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41E3EFA-5277-4003-BFC0-1037D5E5F630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Version History" sheetId="1" state="hidden" r:id="rId1"/>
    <sheet name="Dashboard" sheetId="2" state="hidden" r:id="rId2"/>
    <sheet name="First 5 Innings" sheetId="3" r:id="rId3"/>
    <sheet name="daily_forecast" sheetId="4" r:id="rId4"/>
    <sheet name="Game 1 NegBin" sheetId="5" state="hidden" r:id="rId5"/>
    <sheet name="Game1NegBin" sheetId="6" r:id="rId6"/>
    <sheet name="Game2NegBin" sheetId="7" state="hidden" r:id="rId7"/>
    <sheet name="Game3NegBin" sheetId="8" state="hidden" r:id="rId8"/>
    <sheet name="Game4NegBin" sheetId="9" state="hidden" r:id="rId9"/>
    <sheet name="Game5NegBin" sheetId="10" state="hidden" r:id="rId10"/>
    <sheet name="Game6NegBin" sheetId="11" state="hidden" r:id="rId11"/>
    <sheet name="Game7NegBin" sheetId="12" state="hidden" r:id="rId12"/>
    <sheet name="Game8NegBin" sheetId="13" state="hidden" r:id="rId13"/>
    <sheet name="Game9NegBin" sheetId="14" state="hidden" r:id="rId14"/>
    <sheet name="Game10NegBin" sheetId="15" state="hidden" r:id="rId15"/>
    <sheet name="Game11NegBin" sheetId="16" state="hidden" r:id="rId16"/>
    <sheet name="Game12NegBin" sheetId="17" state="hidden" r:id="rId17"/>
    <sheet name="Game13NegBin" sheetId="18" state="hidden" r:id="rId18"/>
    <sheet name="Game14NegBin" sheetId="19" state="hidden" r:id="rId19"/>
    <sheet name="Game15NegBin" sheetId="20" state="hidden" r:id="rId20"/>
    <sheet name="Bets" sheetId="21" state="hidden" r:id="rId21"/>
    <sheet name="Game1Poisson" sheetId="22" state="hidden" r:id="rId22"/>
    <sheet name="Game2Poisson" sheetId="23" state="hidden" r:id="rId23"/>
    <sheet name="Game3Poisson" sheetId="24" state="hidden" r:id="rId24"/>
    <sheet name="Game4Poisson" sheetId="25" state="hidden" r:id="rId25"/>
    <sheet name="Game5Poisson" sheetId="26" state="hidden" r:id="rId26"/>
    <sheet name="Game6Poisson" sheetId="27" state="hidden" r:id="rId27"/>
    <sheet name="Game7Poisson" sheetId="28" state="hidden" r:id="rId28"/>
    <sheet name="Game8Poisson" sheetId="29" state="hidden" r:id="rId29"/>
    <sheet name="Game9Poisson" sheetId="30" state="hidden" r:id="rId30"/>
    <sheet name="Game10Poisson" sheetId="31" state="hidden" r:id="rId31"/>
    <sheet name="Game11Poisson" sheetId="32" state="hidden" r:id="rId32"/>
    <sheet name="Game12Poisson" sheetId="33" state="hidden" r:id="rId33"/>
    <sheet name="Game13Poisson" sheetId="34" state="hidden" r:id="rId34"/>
    <sheet name="Game14Poisson" sheetId="35" state="hidden" r:id="rId35"/>
    <sheet name="Game15Poisson" sheetId="36" state="hidden" r:id="rId36"/>
    <sheet name="Probables Rough" sheetId="37" state="hidden" r:id="rId37"/>
    <sheet name="Validations" sheetId="38" r:id="rId38"/>
    <sheet name="Park Factor" sheetId="39" r:id="rId39"/>
    <sheet name="Relief Pitchers" sheetId="40" state="hidden" r:id="rId40"/>
    <sheet name="Starting Pitchers" sheetId="41" r:id="rId41"/>
    <sheet name="Pitcher IP" sheetId="42" state="hidden" r:id="rId42"/>
    <sheet name="Team Batting vs R - Season" sheetId="43" r:id="rId43"/>
    <sheet name="Team Batting vs R - L7" sheetId="44" r:id="rId44"/>
    <sheet name="Team Batting vs L - Season" sheetId="45" r:id="rId45"/>
    <sheet name="Team Batting vs L - L14" sheetId="46" r:id="rId46"/>
    <sheet name="RunsGame Calculations" sheetId="47" state="hidden" r:id="rId47"/>
    <sheet name="F5RunPercentage" sheetId="48" r:id="rId48"/>
    <sheet name="MLOdds" sheetId="49" state="hidden" r:id="rId49"/>
    <sheet name="MLOddsP" sheetId="50" state="hidden" r:id="rId50"/>
    <sheet name="TotalsOdds" sheetId="51" state="hidden" r:id="rId51"/>
    <sheet name="WNBA Tracker" sheetId="52" state="hidden" r:id="rId52"/>
    <sheet name="Options" sheetId="53" state="hidden" r:id="rId53"/>
    <sheet name="Team Offense" sheetId="54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6" i="3"/>
  <c r="G7" i="3"/>
  <c r="G8" i="3"/>
  <c r="G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5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7" i="3"/>
  <c r="F8" i="3"/>
  <c r="F6" i="3"/>
  <c r="F5" i="3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6" i="45"/>
  <c r="S4" i="45"/>
  <c r="S7" i="45"/>
  <c r="S8" i="45"/>
  <c r="S9" i="45"/>
  <c r="S10" i="45"/>
  <c r="S11" i="45"/>
  <c r="S12" i="45"/>
  <c r="S13" i="45"/>
  <c r="S14" i="45"/>
  <c r="S15" i="45"/>
  <c r="S16" i="45"/>
  <c r="S17" i="45"/>
  <c r="S18" i="45"/>
  <c r="S19" i="45"/>
  <c r="S20" i="45"/>
  <c r="S21" i="45"/>
  <c r="S22" i="45"/>
  <c r="S23" i="45"/>
  <c r="S24" i="45"/>
  <c r="S25" i="45"/>
  <c r="S26" i="45"/>
  <c r="S27" i="45"/>
  <c r="S28" i="45"/>
  <c r="S29" i="45"/>
  <c r="S30" i="45"/>
  <c r="S31" i="45"/>
  <c r="S32" i="45"/>
  <c r="S33" i="45"/>
  <c r="S34" i="45"/>
  <c r="S35" i="45"/>
  <c r="S6" i="45"/>
  <c r="R6" i="43"/>
  <c r="R7" i="43"/>
  <c r="R8" i="43"/>
  <c r="R9" i="43"/>
  <c r="R10" i="43"/>
  <c r="R11" i="43"/>
  <c r="R12" i="43"/>
  <c r="R13" i="43"/>
  <c r="R14" i="43"/>
  <c r="R15" i="43"/>
  <c r="R16" i="43"/>
  <c r="R17" i="43"/>
  <c r="R18" i="43"/>
  <c r="R19" i="43"/>
  <c r="R20" i="43"/>
  <c r="R21" i="43"/>
  <c r="R22" i="43"/>
  <c r="R23" i="43"/>
  <c r="R24" i="43"/>
  <c r="R25" i="43"/>
  <c r="R26" i="43"/>
  <c r="R27" i="43"/>
  <c r="R28" i="43"/>
  <c r="R29" i="43"/>
  <c r="R30" i="43"/>
  <c r="R31" i="43"/>
  <c r="R32" i="43"/>
  <c r="R33" i="43"/>
  <c r="R34" i="43"/>
  <c r="R35" i="43"/>
  <c r="I5" i="3" a="1"/>
  <c r="I5" i="3" s="1"/>
  <c r="AD4" i="41"/>
  <c r="AD7" i="41"/>
  <c r="AD8" i="41"/>
  <c r="AD9" i="41"/>
  <c r="AD10" i="41"/>
  <c r="AD11" i="41"/>
  <c r="AD12" i="41"/>
  <c r="AD13" i="41"/>
  <c r="AD14" i="41"/>
  <c r="AD15" i="41"/>
  <c r="AD16" i="41"/>
  <c r="AD17" i="41"/>
  <c r="AD18" i="41"/>
  <c r="AD19" i="41"/>
  <c r="AD20" i="41"/>
  <c r="AD21" i="41"/>
  <c r="AD22" i="41"/>
  <c r="AD23" i="41"/>
  <c r="AD24" i="41"/>
  <c r="AD25" i="41"/>
  <c r="AD26" i="41"/>
  <c r="AD27" i="41"/>
  <c r="AD28" i="41"/>
  <c r="AD29" i="41"/>
  <c r="AD30" i="41"/>
  <c r="AD31" i="41"/>
  <c r="AD32" i="41"/>
  <c r="AD33" i="41"/>
  <c r="AD34" i="41"/>
  <c r="AD35" i="41"/>
  <c r="AD36" i="41"/>
  <c r="AD37" i="41"/>
  <c r="AD38" i="41"/>
  <c r="AD39" i="41"/>
  <c r="AD40" i="41"/>
  <c r="AD41" i="41"/>
  <c r="AD42" i="41"/>
  <c r="AD43" i="41"/>
  <c r="AD44" i="41"/>
  <c r="AD45" i="41"/>
  <c r="AD46" i="41"/>
  <c r="AD47" i="41"/>
  <c r="AD48" i="41"/>
  <c r="AD49" i="41"/>
  <c r="AD50" i="41"/>
  <c r="AD51" i="41"/>
  <c r="AD52" i="41"/>
  <c r="AD53" i="41"/>
  <c r="AD54" i="41"/>
  <c r="AD55" i="41"/>
  <c r="AD56" i="41"/>
  <c r="AD57" i="41"/>
  <c r="AD58" i="41"/>
  <c r="AD59" i="41"/>
  <c r="AD60" i="41"/>
  <c r="AD61" i="41"/>
  <c r="AD62" i="41"/>
  <c r="AD63" i="41"/>
  <c r="AD64" i="41"/>
  <c r="AD65" i="41"/>
  <c r="AD66" i="41"/>
  <c r="AD67" i="41"/>
  <c r="AD68" i="41"/>
  <c r="AD69" i="41"/>
  <c r="AD70" i="41"/>
  <c r="AD71" i="41"/>
  <c r="AD72" i="41"/>
  <c r="AD73" i="41"/>
  <c r="AD74" i="41"/>
  <c r="AD75" i="41"/>
  <c r="AD76" i="41"/>
  <c r="AD77" i="41"/>
  <c r="AD78" i="41"/>
  <c r="AD79" i="41"/>
  <c r="AD80" i="41"/>
  <c r="AD81" i="41"/>
  <c r="AD82" i="41"/>
  <c r="AD83" i="41"/>
  <c r="AD84" i="41"/>
  <c r="AD85" i="41"/>
  <c r="AD86" i="41"/>
  <c r="AD87" i="41"/>
  <c r="AD88" i="41"/>
  <c r="AD89" i="41"/>
  <c r="AD90" i="41"/>
  <c r="AD91" i="41"/>
  <c r="AD92" i="41"/>
  <c r="AD93" i="41"/>
  <c r="AD94" i="41"/>
  <c r="AD95" i="41"/>
  <c r="AD96" i="41"/>
  <c r="AD97" i="41"/>
  <c r="AD98" i="41"/>
  <c r="AD99" i="41"/>
  <c r="AD100" i="41"/>
  <c r="AD101" i="41"/>
  <c r="AD102" i="41"/>
  <c r="AD103" i="41"/>
  <c r="AD104" i="41"/>
  <c r="AD105" i="41"/>
  <c r="AD106" i="41"/>
  <c r="AD107" i="41"/>
  <c r="AD108" i="41"/>
  <c r="AD109" i="41"/>
  <c r="AD110" i="41"/>
  <c r="AD111" i="41"/>
  <c r="AD112" i="41"/>
  <c r="AD113" i="41"/>
  <c r="AD114" i="41"/>
  <c r="AD115" i="41"/>
  <c r="AD116" i="41"/>
  <c r="AD117" i="41"/>
  <c r="AD118" i="41"/>
  <c r="AD119" i="41"/>
  <c r="AD120" i="41"/>
  <c r="AD121" i="41"/>
  <c r="AD122" i="41"/>
  <c r="AD123" i="41"/>
  <c r="AD124" i="41"/>
  <c r="AD125" i="41"/>
  <c r="AD126" i="41"/>
  <c r="AD127" i="41"/>
  <c r="AD128" i="41"/>
  <c r="AD129" i="41"/>
  <c r="AD130" i="41"/>
  <c r="AD131" i="41"/>
  <c r="AD132" i="41"/>
  <c r="AD133" i="41"/>
  <c r="AD134" i="41"/>
  <c r="AD135" i="41"/>
  <c r="AD136" i="41"/>
  <c r="AD137" i="41"/>
  <c r="AD138" i="41"/>
  <c r="AD139" i="41"/>
  <c r="AD140" i="41"/>
  <c r="AD141" i="41"/>
  <c r="AD142" i="41"/>
  <c r="AD143" i="41"/>
  <c r="AD144" i="41"/>
  <c r="AD145" i="41"/>
  <c r="AD146" i="41"/>
  <c r="AD147" i="41"/>
  <c r="AD148" i="41"/>
  <c r="AD149" i="41"/>
  <c r="AD150" i="41"/>
  <c r="AD151" i="41"/>
  <c r="AD152" i="41"/>
  <c r="AD153" i="41"/>
  <c r="AD154" i="41"/>
  <c r="AD155" i="41"/>
  <c r="AD156" i="41"/>
  <c r="AD157" i="41"/>
  <c r="AD158" i="41"/>
  <c r="AD159" i="41"/>
  <c r="AD160" i="41"/>
  <c r="AD161" i="41"/>
  <c r="AD162" i="41"/>
  <c r="AD163" i="41"/>
  <c r="AD164" i="41"/>
  <c r="AD165" i="41"/>
  <c r="AD166" i="41"/>
  <c r="AD167" i="41"/>
  <c r="AD168" i="41"/>
  <c r="AD169" i="41"/>
  <c r="AD170" i="41"/>
  <c r="AD171" i="41"/>
  <c r="AD172" i="41"/>
  <c r="AD173" i="41"/>
  <c r="AD6" i="41"/>
  <c r="AA4" i="41"/>
  <c r="AB4" i="41"/>
  <c r="AC4" i="41"/>
  <c r="X4" i="41"/>
  <c r="Y160" i="41" s="1"/>
  <c r="X7" i="41"/>
  <c r="X8" i="41"/>
  <c r="X9" i="41"/>
  <c r="X10" i="41"/>
  <c r="X11" i="41"/>
  <c r="X12" i="41"/>
  <c r="X13" i="41"/>
  <c r="X14" i="41"/>
  <c r="X15" i="41"/>
  <c r="X16" i="41"/>
  <c r="X17" i="41"/>
  <c r="X18" i="41"/>
  <c r="X19" i="41"/>
  <c r="X20" i="41"/>
  <c r="X21" i="41"/>
  <c r="X22" i="41"/>
  <c r="X23" i="41"/>
  <c r="X24" i="41"/>
  <c r="X25" i="41"/>
  <c r="X26" i="41"/>
  <c r="X27" i="41"/>
  <c r="X28" i="41"/>
  <c r="X29" i="41"/>
  <c r="X30" i="41"/>
  <c r="X31" i="41"/>
  <c r="X32" i="41"/>
  <c r="X33" i="41"/>
  <c r="X34" i="41"/>
  <c r="X35" i="41"/>
  <c r="X36" i="41"/>
  <c r="X37" i="41"/>
  <c r="X38" i="41"/>
  <c r="X39" i="41"/>
  <c r="X40" i="41"/>
  <c r="X41" i="41"/>
  <c r="X42" i="41"/>
  <c r="X43" i="41"/>
  <c r="X44" i="41"/>
  <c r="X45" i="41"/>
  <c r="X46" i="41"/>
  <c r="X47" i="41"/>
  <c r="X48" i="41"/>
  <c r="X49" i="41"/>
  <c r="X50" i="41"/>
  <c r="X51" i="41"/>
  <c r="X52" i="41"/>
  <c r="X53" i="41"/>
  <c r="X54" i="41"/>
  <c r="X55" i="41"/>
  <c r="X56" i="41"/>
  <c r="X57" i="41"/>
  <c r="X58" i="41"/>
  <c r="X59" i="41"/>
  <c r="X60" i="41"/>
  <c r="X61" i="41"/>
  <c r="X62" i="41"/>
  <c r="X63" i="41"/>
  <c r="X64" i="41"/>
  <c r="X65" i="41"/>
  <c r="X66" i="41"/>
  <c r="X67" i="41"/>
  <c r="X68" i="41"/>
  <c r="X69" i="41"/>
  <c r="X70" i="41"/>
  <c r="X71" i="41"/>
  <c r="X72" i="41"/>
  <c r="X73" i="41"/>
  <c r="X74" i="41"/>
  <c r="X75" i="41"/>
  <c r="X76" i="41"/>
  <c r="X77" i="41"/>
  <c r="X78" i="41"/>
  <c r="X79" i="41"/>
  <c r="X80" i="41"/>
  <c r="X81" i="41"/>
  <c r="X82" i="41"/>
  <c r="X83" i="41"/>
  <c r="X84" i="41"/>
  <c r="X85" i="41"/>
  <c r="X86" i="41"/>
  <c r="X87" i="41"/>
  <c r="X88" i="41"/>
  <c r="X89" i="41"/>
  <c r="X90" i="41"/>
  <c r="X91" i="41"/>
  <c r="X92" i="41"/>
  <c r="X93" i="41"/>
  <c r="X94" i="41"/>
  <c r="X95" i="41"/>
  <c r="X96" i="41"/>
  <c r="X97" i="41"/>
  <c r="X98" i="41"/>
  <c r="X99" i="41"/>
  <c r="X100" i="41"/>
  <c r="X101" i="41"/>
  <c r="X102" i="41"/>
  <c r="X103" i="41"/>
  <c r="X104" i="41"/>
  <c r="X105" i="41"/>
  <c r="X106" i="41"/>
  <c r="X107" i="41"/>
  <c r="X108" i="41"/>
  <c r="X109" i="41"/>
  <c r="X110" i="41"/>
  <c r="X111" i="41"/>
  <c r="X112" i="41"/>
  <c r="X113" i="41"/>
  <c r="X114" i="41"/>
  <c r="X115" i="41"/>
  <c r="X116" i="41"/>
  <c r="X117" i="41"/>
  <c r="X118" i="41"/>
  <c r="X119" i="41"/>
  <c r="X120" i="41"/>
  <c r="X121" i="41"/>
  <c r="X122" i="41"/>
  <c r="X123" i="41"/>
  <c r="X124" i="41"/>
  <c r="X125" i="41"/>
  <c r="X126" i="41"/>
  <c r="X127" i="41"/>
  <c r="X128" i="41"/>
  <c r="X129" i="41"/>
  <c r="X130" i="41"/>
  <c r="X131" i="41"/>
  <c r="X132" i="41"/>
  <c r="X133" i="41"/>
  <c r="X134" i="41"/>
  <c r="X135" i="41"/>
  <c r="X136" i="41"/>
  <c r="X137" i="41"/>
  <c r="X138" i="41"/>
  <c r="X139" i="41"/>
  <c r="X140" i="41"/>
  <c r="X141" i="41"/>
  <c r="X142" i="41"/>
  <c r="X143" i="41"/>
  <c r="X144" i="41"/>
  <c r="X145" i="41"/>
  <c r="X146" i="41"/>
  <c r="X147" i="41"/>
  <c r="X148" i="41"/>
  <c r="X149" i="41"/>
  <c r="X150" i="41"/>
  <c r="X151" i="41"/>
  <c r="X152" i="41"/>
  <c r="X153" i="41"/>
  <c r="X154" i="41"/>
  <c r="X155" i="41"/>
  <c r="X156" i="41"/>
  <c r="X157" i="41"/>
  <c r="X158" i="41"/>
  <c r="X159" i="41"/>
  <c r="X160" i="41"/>
  <c r="X161" i="41"/>
  <c r="X162" i="41"/>
  <c r="X163" i="41"/>
  <c r="X164" i="41"/>
  <c r="X165" i="41"/>
  <c r="X166" i="41"/>
  <c r="X167" i="41"/>
  <c r="X168" i="41"/>
  <c r="X169" i="41"/>
  <c r="X170" i="41"/>
  <c r="X171" i="41"/>
  <c r="X172" i="41"/>
  <c r="X173" i="41"/>
  <c r="X6" i="41"/>
  <c r="Z167" i="41"/>
  <c r="Y128" i="41"/>
  <c r="Y144" i="41"/>
  <c r="O478" i="52"/>
  <c r="P478" i="52" s="1"/>
  <c r="N478" i="52"/>
  <c r="K478" i="52"/>
  <c r="O477" i="52"/>
  <c r="N477" i="52"/>
  <c r="K477" i="52"/>
  <c r="O476" i="52"/>
  <c r="P476" i="52" s="1"/>
  <c r="N476" i="52"/>
  <c r="K476" i="52"/>
  <c r="O475" i="52"/>
  <c r="N475" i="52"/>
  <c r="K475" i="52"/>
  <c r="O474" i="52"/>
  <c r="P474" i="52" s="1"/>
  <c r="N474" i="52"/>
  <c r="K474" i="52"/>
  <c r="O473" i="52"/>
  <c r="N473" i="52"/>
  <c r="K473" i="52"/>
  <c r="O472" i="52"/>
  <c r="P472" i="52" s="1"/>
  <c r="N472" i="52"/>
  <c r="K472" i="52"/>
  <c r="O471" i="52"/>
  <c r="N471" i="52"/>
  <c r="K471" i="52"/>
  <c r="O470" i="52"/>
  <c r="P470" i="52" s="1"/>
  <c r="N470" i="52"/>
  <c r="K470" i="52"/>
  <c r="O469" i="52"/>
  <c r="N469" i="52"/>
  <c r="K469" i="52"/>
  <c r="O468" i="52"/>
  <c r="P468" i="52" s="1"/>
  <c r="N468" i="52"/>
  <c r="K468" i="52"/>
  <c r="O467" i="52"/>
  <c r="N467" i="52"/>
  <c r="K467" i="52"/>
  <c r="O466" i="52"/>
  <c r="P466" i="52" s="1"/>
  <c r="N466" i="52"/>
  <c r="K466" i="52"/>
  <c r="O465" i="52"/>
  <c r="N465" i="52"/>
  <c r="K465" i="52"/>
  <c r="O464" i="52"/>
  <c r="P464" i="52" s="1"/>
  <c r="N464" i="52"/>
  <c r="K464" i="52"/>
  <c r="O463" i="52"/>
  <c r="N463" i="52"/>
  <c r="K463" i="52"/>
  <c r="O462" i="52"/>
  <c r="P462" i="52" s="1"/>
  <c r="N462" i="52"/>
  <c r="K462" i="52"/>
  <c r="O461" i="52"/>
  <c r="N461" i="52"/>
  <c r="K461" i="52"/>
  <c r="O460" i="52"/>
  <c r="P460" i="52" s="1"/>
  <c r="N460" i="52"/>
  <c r="K460" i="52"/>
  <c r="O459" i="52"/>
  <c r="N459" i="52"/>
  <c r="K459" i="52"/>
  <c r="O458" i="52"/>
  <c r="P458" i="52" s="1"/>
  <c r="N458" i="52"/>
  <c r="K458" i="52"/>
  <c r="O457" i="52"/>
  <c r="N457" i="52"/>
  <c r="K457" i="52"/>
  <c r="O456" i="52"/>
  <c r="P456" i="52" s="1"/>
  <c r="N456" i="52"/>
  <c r="K456" i="52"/>
  <c r="O455" i="52"/>
  <c r="N455" i="52"/>
  <c r="K455" i="52"/>
  <c r="O454" i="52"/>
  <c r="P454" i="52" s="1"/>
  <c r="N454" i="52"/>
  <c r="K454" i="52"/>
  <c r="O453" i="52"/>
  <c r="N453" i="52"/>
  <c r="K453" i="52"/>
  <c r="O452" i="52"/>
  <c r="P452" i="52" s="1"/>
  <c r="N452" i="52"/>
  <c r="K452" i="52"/>
  <c r="O451" i="52"/>
  <c r="N451" i="52"/>
  <c r="K451" i="52"/>
  <c r="O450" i="52"/>
  <c r="P450" i="52" s="1"/>
  <c r="N450" i="52"/>
  <c r="K450" i="52"/>
  <c r="O449" i="52"/>
  <c r="N449" i="52"/>
  <c r="K449" i="52"/>
  <c r="O448" i="52"/>
  <c r="P448" i="52" s="1"/>
  <c r="N448" i="52"/>
  <c r="K448" i="52"/>
  <c r="O447" i="52"/>
  <c r="N447" i="52"/>
  <c r="K447" i="52"/>
  <c r="O446" i="52"/>
  <c r="P446" i="52" s="1"/>
  <c r="N446" i="52"/>
  <c r="K446" i="52"/>
  <c r="O445" i="52"/>
  <c r="N445" i="52"/>
  <c r="K445" i="52"/>
  <c r="O444" i="52"/>
  <c r="P444" i="52" s="1"/>
  <c r="N444" i="52"/>
  <c r="K444" i="52"/>
  <c r="O443" i="52"/>
  <c r="N443" i="52"/>
  <c r="K443" i="52"/>
  <c r="O442" i="52"/>
  <c r="P442" i="52" s="1"/>
  <c r="N442" i="52"/>
  <c r="K442" i="52"/>
  <c r="O441" i="52"/>
  <c r="N441" i="52"/>
  <c r="K441" i="52"/>
  <c r="O440" i="52"/>
  <c r="P440" i="52" s="1"/>
  <c r="N440" i="52"/>
  <c r="K440" i="52"/>
  <c r="O439" i="52"/>
  <c r="N439" i="52"/>
  <c r="K439" i="52"/>
  <c r="O438" i="52"/>
  <c r="P438" i="52" s="1"/>
  <c r="N438" i="52"/>
  <c r="K438" i="52"/>
  <c r="O437" i="52"/>
  <c r="N437" i="52"/>
  <c r="K437" i="52"/>
  <c r="O436" i="52"/>
  <c r="P436" i="52" s="1"/>
  <c r="N436" i="52"/>
  <c r="K436" i="52"/>
  <c r="O435" i="52"/>
  <c r="N435" i="52"/>
  <c r="K435" i="52"/>
  <c r="O434" i="52"/>
  <c r="P434" i="52" s="1"/>
  <c r="N434" i="52"/>
  <c r="K434" i="52"/>
  <c r="O433" i="52"/>
  <c r="N433" i="52"/>
  <c r="K433" i="52"/>
  <c r="O432" i="52"/>
  <c r="P432" i="52" s="1"/>
  <c r="N432" i="52"/>
  <c r="K432" i="52"/>
  <c r="O431" i="52"/>
  <c r="N431" i="52"/>
  <c r="K431" i="52"/>
  <c r="O430" i="52"/>
  <c r="P430" i="52" s="1"/>
  <c r="N430" i="52"/>
  <c r="K430" i="52"/>
  <c r="O429" i="52"/>
  <c r="N429" i="52"/>
  <c r="K429" i="52"/>
  <c r="O428" i="52"/>
  <c r="P428" i="52" s="1"/>
  <c r="N428" i="52"/>
  <c r="K428" i="52"/>
  <c r="O427" i="52"/>
  <c r="N427" i="52"/>
  <c r="K427" i="52"/>
  <c r="O426" i="52"/>
  <c r="P426" i="52" s="1"/>
  <c r="N426" i="52"/>
  <c r="K426" i="52"/>
  <c r="O425" i="52"/>
  <c r="N425" i="52"/>
  <c r="K425" i="52"/>
  <c r="O424" i="52"/>
  <c r="P424" i="52" s="1"/>
  <c r="N424" i="52"/>
  <c r="K424" i="52"/>
  <c r="O423" i="52"/>
  <c r="N423" i="52"/>
  <c r="K423" i="52"/>
  <c r="O422" i="52"/>
  <c r="P422" i="52" s="1"/>
  <c r="N422" i="52"/>
  <c r="K422" i="52"/>
  <c r="O421" i="52"/>
  <c r="N421" i="52"/>
  <c r="K421" i="52"/>
  <c r="O420" i="52"/>
  <c r="P420" i="52" s="1"/>
  <c r="N420" i="52"/>
  <c r="K420" i="52"/>
  <c r="O419" i="52"/>
  <c r="N419" i="52"/>
  <c r="K419" i="52"/>
  <c r="O418" i="52"/>
  <c r="P418" i="52" s="1"/>
  <c r="N418" i="52"/>
  <c r="K418" i="52"/>
  <c r="O417" i="52"/>
  <c r="N417" i="52"/>
  <c r="K417" i="52"/>
  <c r="O416" i="52"/>
  <c r="P416" i="52" s="1"/>
  <c r="N416" i="52"/>
  <c r="K416" i="52"/>
  <c r="O415" i="52"/>
  <c r="N415" i="52"/>
  <c r="K415" i="52"/>
  <c r="O414" i="52"/>
  <c r="P414" i="52" s="1"/>
  <c r="N414" i="52"/>
  <c r="K414" i="52"/>
  <c r="O413" i="52"/>
  <c r="N413" i="52"/>
  <c r="K413" i="52"/>
  <c r="O412" i="52"/>
  <c r="P412" i="52" s="1"/>
  <c r="N412" i="52"/>
  <c r="K412" i="52"/>
  <c r="O411" i="52"/>
  <c r="N411" i="52"/>
  <c r="K411" i="52"/>
  <c r="O410" i="52"/>
  <c r="P410" i="52" s="1"/>
  <c r="N410" i="52"/>
  <c r="K410" i="52"/>
  <c r="O409" i="52"/>
  <c r="N409" i="52"/>
  <c r="K409" i="52"/>
  <c r="O408" i="52"/>
  <c r="P408" i="52" s="1"/>
  <c r="N408" i="52"/>
  <c r="K408" i="52"/>
  <c r="O407" i="52"/>
  <c r="N407" i="52"/>
  <c r="K407" i="52"/>
  <c r="O406" i="52"/>
  <c r="P406" i="52" s="1"/>
  <c r="N406" i="52"/>
  <c r="K406" i="52"/>
  <c r="O405" i="52"/>
  <c r="N405" i="52"/>
  <c r="K405" i="52"/>
  <c r="O404" i="52"/>
  <c r="P404" i="52" s="1"/>
  <c r="N404" i="52"/>
  <c r="K404" i="52"/>
  <c r="O403" i="52"/>
  <c r="N403" i="52"/>
  <c r="K403" i="52"/>
  <c r="O402" i="52"/>
  <c r="P402" i="52" s="1"/>
  <c r="N402" i="52"/>
  <c r="K402" i="52"/>
  <c r="O401" i="52"/>
  <c r="N401" i="52"/>
  <c r="K401" i="52"/>
  <c r="O400" i="52"/>
  <c r="P400" i="52" s="1"/>
  <c r="N400" i="52"/>
  <c r="K400" i="52"/>
  <c r="O399" i="52"/>
  <c r="N399" i="52"/>
  <c r="K399" i="52"/>
  <c r="O398" i="52"/>
  <c r="P398" i="52" s="1"/>
  <c r="N398" i="52"/>
  <c r="K398" i="52"/>
  <c r="O397" i="52"/>
  <c r="N397" i="52"/>
  <c r="K397" i="52"/>
  <c r="O396" i="52"/>
  <c r="P396" i="52" s="1"/>
  <c r="N396" i="52"/>
  <c r="K396" i="52"/>
  <c r="O395" i="52"/>
  <c r="N395" i="52"/>
  <c r="K395" i="52"/>
  <c r="O394" i="52"/>
  <c r="P394" i="52" s="1"/>
  <c r="N394" i="52"/>
  <c r="K394" i="52"/>
  <c r="O393" i="52"/>
  <c r="N393" i="52"/>
  <c r="K393" i="52"/>
  <c r="O392" i="52"/>
  <c r="P392" i="52" s="1"/>
  <c r="N392" i="52"/>
  <c r="K392" i="52"/>
  <c r="O391" i="52"/>
  <c r="N391" i="52"/>
  <c r="K391" i="52"/>
  <c r="O390" i="52"/>
  <c r="P390" i="52" s="1"/>
  <c r="N390" i="52"/>
  <c r="K390" i="52"/>
  <c r="O389" i="52"/>
  <c r="N389" i="52"/>
  <c r="K389" i="52"/>
  <c r="O388" i="52"/>
  <c r="P388" i="52" s="1"/>
  <c r="N388" i="52"/>
  <c r="K388" i="52"/>
  <c r="O387" i="52"/>
  <c r="N387" i="52"/>
  <c r="K387" i="52"/>
  <c r="O386" i="52"/>
  <c r="P386" i="52" s="1"/>
  <c r="N386" i="52"/>
  <c r="K386" i="52"/>
  <c r="O385" i="52"/>
  <c r="N385" i="52"/>
  <c r="K385" i="52"/>
  <c r="O384" i="52"/>
  <c r="P384" i="52" s="1"/>
  <c r="N384" i="52"/>
  <c r="K384" i="52"/>
  <c r="O383" i="52"/>
  <c r="N383" i="52"/>
  <c r="K383" i="52"/>
  <c r="O382" i="52"/>
  <c r="P382" i="52" s="1"/>
  <c r="N382" i="52"/>
  <c r="K382" i="52"/>
  <c r="O381" i="52"/>
  <c r="N381" i="52"/>
  <c r="K381" i="52"/>
  <c r="O380" i="52"/>
  <c r="P380" i="52" s="1"/>
  <c r="N380" i="52"/>
  <c r="K380" i="52"/>
  <c r="O379" i="52"/>
  <c r="N379" i="52"/>
  <c r="K379" i="52"/>
  <c r="O378" i="52"/>
  <c r="P378" i="52" s="1"/>
  <c r="N378" i="52"/>
  <c r="K378" i="52"/>
  <c r="O377" i="52"/>
  <c r="N377" i="52"/>
  <c r="K377" i="52"/>
  <c r="O376" i="52"/>
  <c r="P376" i="52" s="1"/>
  <c r="N376" i="52"/>
  <c r="K376" i="52"/>
  <c r="O375" i="52"/>
  <c r="N375" i="52"/>
  <c r="K375" i="52"/>
  <c r="O374" i="52"/>
  <c r="P374" i="52" s="1"/>
  <c r="N374" i="52"/>
  <c r="K374" i="52"/>
  <c r="O373" i="52"/>
  <c r="N373" i="52"/>
  <c r="K373" i="52"/>
  <c r="O372" i="52"/>
  <c r="P372" i="52" s="1"/>
  <c r="N372" i="52"/>
  <c r="K372" i="52"/>
  <c r="O371" i="52"/>
  <c r="N371" i="52"/>
  <c r="K371" i="52"/>
  <c r="O370" i="52"/>
  <c r="P370" i="52" s="1"/>
  <c r="N370" i="52"/>
  <c r="K370" i="52"/>
  <c r="O369" i="52"/>
  <c r="N369" i="52"/>
  <c r="K369" i="52"/>
  <c r="O368" i="52"/>
  <c r="P368" i="52" s="1"/>
  <c r="N368" i="52"/>
  <c r="K368" i="52"/>
  <c r="O367" i="52"/>
  <c r="N367" i="52"/>
  <c r="K367" i="52"/>
  <c r="O366" i="52"/>
  <c r="N366" i="52"/>
  <c r="K366" i="52"/>
  <c r="O365" i="52"/>
  <c r="N365" i="52"/>
  <c r="K365" i="52"/>
  <c r="O364" i="52"/>
  <c r="N364" i="52"/>
  <c r="K364" i="52"/>
  <c r="O363" i="52"/>
  <c r="N363" i="52"/>
  <c r="K363" i="52"/>
  <c r="O362" i="52"/>
  <c r="N362" i="52"/>
  <c r="K362" i="52"/>
  <c r="O361" i="52"/>
  <c r="N361" i="52"/>
  <c r="K361" i="52"/>
  <c r="O360" i="52"/>
  <c r="N360" i="52"/>
  <c r="K360" i="52"/>
  <c r="O359" i="52"/>
  <c r="N359" i="52"/>
  <c r="K359" i="52"/>
  <c r="O358" i="52"/>
  <c r="N358" i="52"/>
  <c r="K358" i="52"/>
  <c r="O357" i="52"/>
  <c r="N357" i="52"/>
  <c r="K357" i="52"/>
  <c r="O356" i="52"/>
  <c r="N356" i="52"/>
  <c r="K356" i="52"/>
  <c r="O355" i="52"/>
  <c r="N355" i="52"/>
  <c r="K355" i="52"/>
  <c r="O354" i="52"/>
  <c r="P354" i="52" s="1"/>
  <c r="N354" i="52"/>
  <c r="K354" i="52"/>
  <c r="O353" i="52"/>
  <c r="N353" i="52"/>
  <c r="K353" i="52"/>
  <c r="O352" i="52"/>
  <c r="N352" i="52"/>
  <c r="K352" i="52"/>
  <c r="O351" i="52"/>
  <c r="N351" i="52"/>
  <c r="K351" i="52"/>
  <c r="O350" i="52"/>
  <c r="P350" i="52" s="1"/>
  <c r="N350" i="52"/>
  <c r="K350" i="52"/>
  <c r="O349" i="52"/>
  <c r="N349" i="52"/>
  <c r="K349" i="52"/>
  <c r="O348" i="52"/>
  <c r="N348" i="52"/>
  <c r="K348" i="52"/>
  <c r="O347" i="52"/>
  <c r="N347" i="52"/>
  <c r="K347" i="52"/>
  <c r="O346" i="52"/>
  <c r="P346" i="52" s="1"/>
  <c r="N346" i="52"/>
  <c r="K346" i="52"/>
  <c r="O345" i="52"/>
  <c r="N345" i="52"/>
  <c r="K345" i="52"/>
  <c r="O344" i="52"/>
  <c r="N344" i="52"/>
  <c r="K344" i="52"/>
  <c r="O343" i="52"/>
  <c r="N343" i="52"/>
  <c r="K343" i="52"/>
  <c r="O342" i="52"/>
  <c r="P342" i="52" s="1"/>
  <c r="N342" i="52"/>
  <c r="K342" i="52"/>
  <c r="O341" i="52"/>
  <c r="N341" i="52"/>
  <c r="K341" i="52"/>
  <c r="O340" i="52"/>
  <c r="N340" i="52"/>
  <c r="K340" i="52"/>
  <c r="O339" i="52"/>
  <c r="N339" i="52"/>
  <c r="K339" i="52"/>
  <c r="O338" i="52"/>
  <c r="N338" i="52"/>
  <c r="K338" i="52"/>
  <c r="O337" i="52"/>
  <c r="N337" i="52"/>
  <c r="K337" i="52"/>
  <c r="O336" i="52"/>
  <c r="P336" i="52" s="1"/>
  <c r="N336" i="52"/>
  <c r="K336" i="52"/>
  <c r="O335" i="52"/>
  <c r="P335" i="52" s="1"/>
  <c r="N335" i="52"/>
  <c r="K335" i="52"/>
  <c r="O334" i="52"/>
  <c r="N334" i="52"/>
  <c r="K334" i="52"/>
  <c r="O333" i="52"/>
  <c r="P333" i="52" s="1"/>
  <c r="N333" i="52"/>
  <c r="K333" i="52"/>
  <c r="O332" i="52"/>
  <c r="P332" i="52" s="1"/>
  <c r="N332" i="52"/>
  <c r="K332" i="52"/>
  <c r="O331" i="52"/>
  <c r="N331" i="52"/>
  <c r="K331" i="52"/>
  <c r="O330" i="52"/>
  <c r="P330" i="52" s="1"/>
  <c r="N330" i="52"/>
  <c r="K330" i="52"/>
  <c r="O329" i="52"/>
  <c r="N329" i="52"/>
  <c r="K329" i="52"/>
  <c r="O328" i="52"/>
  <c r="N328" i="52"/>
  <c r="K328" i="52"/>
  <c r="O327" i="52"/>
  <c r="P327" i="52" s="1"/>
  <c r="N327" i="52"/>
  <c r="K327" i="52"/>
  <c r="O326" i="52"/>
  <c r="P326" i="52" s="1"/>
  <c r="N326" i="52"/>
  <c r="K326" i="52"/>
  <c r="O325" i="52"/>
  <c r="P325" i="52" s="1"/>
  <c r="N325" i="52"/>
  <c r="K325" i="52"/>
  <c r="O324" i="52"/>
  <c r="N324" i="52"/>
  <c r="K324" i="52"/>
  <c r="O323" i="52"/>
  <c r="P323" i="52" s="1"/>
  <c r="N323" i="52"/>
  <c r="K323" i="52"/>
  <c r="O322" i="52"/>
  <c r="N322" i="52"/>
  <c r="K322" i="52"/>
  <c r="O321" i="52"/>
  <c r="N321" i="52"/>
  <c r="K321" i="52"/>
  <c r="O320" i="52"/>
  <c r="N320" i="52"/>
  <c r="K320" i="52"/>
  <c r="O319" i="52"/>
  <c r="P319" i="52" s="1"/>
  <c r="N319" i="52"/>
  <c r="K319" i="52"/>
  <c r="O318" i="52"/>
  <c r="N318" i="52"/>
  <c r="K318" i="52"/>
  <c r="O317" i="52"/>
  <c r="N317" i="52"/>
  <c r="K317" i="52"/>
  <c r="O316" i="52"/>
  <c r="P316" i="52" s="1"/>
  <c r="N316" i="52"/>
  <c r="K316" i="52"/>
  <c r="O315" i="52"/>
  <c r="N315" i="52"/>
  <c r="K315" i="52"/>
  <c r="O314" i="52"/>
  <c r="P314" i="52" s="1"/>
  <c r="N314" i="52"/>
  <c r="K314" i="52"/>
  <c r="O313" i="52"/>
  <c r="N313" i="52"/>
  <c r="K313" i="52"/>
  <c r="O312" i="52"/>
  <c r="N312" i="52"/>
  <c r="K312" i="52"/>
  <c r="O311" i="52"/>
  <c r="P311" i="52" s="1"/>
  <c r="N311" i="52"/>
  <c r="K311" i="52"/>
  <c r="O310" i="52"/>
  <c r="N310" i="52"/>
  <c r="K310" i="52"/>
  <c r="O309" i="52"/>
  <c r="P309" i="52" s="1"/>
  <c r="N309" i="52"/>
  <c r="K309" i="52"/>
  <c r="O308" i="52"/>
  <c r="N308" i="52"/>
  <c r="K308" i="52"/>
  <c r="O307" i="52"/>
  <c r="N307" i="52"/>
  <c r="K307" i="52"/>
  <c r="O306" i="52"/>
  <c r="P306" i="52" s="1"/>
  <c r="N306" i="52"/>
  <c r="K306" i="52"/>
  <c r="O305" i="52"/>
  <c r="P305" i="52" s="1"/>
  <c r="N305" i="52"/>
  <c r="K305" i="52"/>
  <c r="O304" i="52"/>
  <c r="N304" i="52"/>
  <c r="K304" i="52"/>
  <c r="O303" i="52"/>
  <c r="P303" i="52" s="1"/>
  <c r="N303" i="52"/>
  <c r="K303" i="52"/>
  <c r="O302" i="52"/>
  <c r="P302" i="52" s="1"/>
  <c r="N302" i="52"/>
  <c r="K302" i="52"/>
  <c r="O301" i="52"/>
  <c r="N301" i="52"/>
  <c r="K301" i="52"/>
  <c r="O300" i="52"/>
  <c r="N300" i="52"/>
  <c r="K300" i="52"/>
  <c r="O299" i="52"/>
  <c r="N299" i="52"/>
  <c r="K299" i="52"/>
  <c r="O298" i="52"/>
  <c r="P298" i="52" s="1"/>
  <c r="N298" i="52"/>
  <c r="K298" i="52"/>
  <c r="O297" i="52"/>
  <c r="P297" i="52" s="1"/>
  <c r="N297" i="52"/>
  <c r="K297" i="52"/>
  <c r="O296" i="52"/>
  <c r="N296" i="52"/>
  <c r="K296" i="52"/>
  <c r="O295" i="52"/>
  <c r="N295" i="52"/>
  <c r="K295" i="52"/>
  <c r="O294" i="52"/>
  <c r="P294" i="52" s="1"/>
  <c r="N294" i="52"/>
  <c r="K294" i="52"/>
  <c r="O293" i="52"/>
  <c r="N293" i="52"/>
  <c r="K293" i="52"/>
  <c r="O292" i="52"/>
  <c r="N292" i="52"/>
  <c r="K292" i="52"/>
  <c r="O291" i="52"/>
  <c r="N291" i="52"/>
  <c r="K291" i="52"/>
  <c r="O290" i="52"/>
  <c r="N290" i="52"/>
  <c r="K290" i="52"/>
  <c r="O289" i="52"/>
  <c r="N289" i="52"/>
  <c r="K289" i="52"/>
  <c r="O288" i="52"/>
  <c r="N288" i="52"/>
  <c r="K288" i="52"/>
  <c r="O287" i="52"/>
  <c r="P287" i="52" s="1"/>
  <c r="N287" i="52"/>
  <c r="K287" i="52"/>
  <c r="O286" i="52"/>
  <c r="N286" i="52"/>
  <c r="K286" i="52"/>
  <c r="O285" i="52"/>
  <c r="N285" i="52"/>
  <c r="K285" i="52"/>
  <c r="O284" i="52"/>
  <c r="N284" i="52"/>
  <c r="K284" i="52"/>
  <c r="O283" i="52"/>
  <c r="P283" i="52" s="1"/>
  <c r="N283" i="52"/>
  <c r="K283" i="52"/>
  <c r="O282" i="52"/>
  <c r="N282" i="52"/>
  <c r="K282" i="52"/>
  <c r="O281" i="52"/>
  <c r="N281" i="52"/>
  <c r="K281" i="52"/>
  <c r="O280" i="52"/>
  <c r="N280" i="52"/>
  <c r="K280" i="52"/>
  <c r="O279" i="52"/>
  <c r="N279" i="52"/>
  <c r="K279" i="52"/>
  <c r="O278" i="52"/>
  <c r="N278" i="52"/>
  <c r="K278" i="52"/>
  <c r="O277" i="52"/>
  <c r="P277" i="52" s="1"/>
  <c r="N277" i="52"/>
  <c r="K277" i="52"/>
  <c r="O276" i="52"/>
  <c r="N276" i="52"/>
  <c r="K276" i="52"/>
  <c r="O275" i="52"/>
  <c r="P275" i="52" s="1"/>
  <c r="N275" i="52"/>
  <c r="K275" i="52"/>
  <c r="O274" i="52"/>
  <c r="N274" i="52"/>
  <c r="K274" i="52"/>
  <c r="O273" i="52"/>
  <c r="N273" i="52"/>
  <c r="K273" i="52"/>
  <c r="O272" i="52"/>
  <c r="N272" i="52"/>
  <c r="K272" i="52"/>
  <c r="O271" i="52"/>
  <c r="N271" i="52"/>
  <c r="K271" i="52"/>
  <c r="O270" i="52"/>
  <c r="N270" i="52"/>
  <c r="K270" i="52"/>
  <c r="O269" i="52"/>
  <c r="N269" i="52"/>
  <c r="K269" i="52"/>
  <c r="O268" i="52"/>
  <c r="N268" i="52"/>
  <c r="K268" i="52"/>
  <c r="O267" i="52"/>
  <c r="N267" i="52"/>
  <c r="K267" i="52"/>
  <c r="O266" i="52"/>
  <c r="P266" i="52" s="1"/>
  <c r="N266" i="52"/>
  <c r="K266" i="52"/>
  <c r="O265" i="52"/>
  <c r="N265" i="52"/>
  <c r="K265" i="52"/>
  <c r="O264" i="52"/>
  <c r="P264" i="52" s="1"/>
  <c r="N264" i="52"/>
  <c r="K264" i="52"/>
  <c r="O263" i="52"/>
  <c r="P263" i="52" s="1"/>
  <c r="N263" i="52"/>
  <c r="K263" i="52"/>
  <c r="O262" i="52"/>
  <c r="N262" i="52"/>
  <c r="K262" i="52"/>
  <c r="O261" i="52"/>
  <c r="N261" i="52"/>
  <c r="K261" i="52"/>
  <c r="O260" i="52"/>
  <c r="N260" i="52"/>
  <c r="K260" i="52"/>
  <c r="O259" i="52"/>
  <c r="N259" i="52"/>
  <c r="K259" i="52"/>
  <c r="O258" i="52"/>
  <c r="P258" i="52" s="1"/>
  <c r="N258" i="52"/>
  <c r="K258" i="52"/>
  <c r="O257" i="52"/>
  <c r="N257" i="52"/>
  <c r="K257" i="52"/>
  <c r="O256" i="52"/>
  <c r="P256" i="52" s="1"/>
  <c r="N256" i="52"/>
  <c r="K256" i="52"/>
  <c r="O255" i="52"/>
  <c r="P255" i="52" s="1"/>
  <c r="N255" i="52"/>
  <c r="K255" i="52"/>
  <c r="O254" i="52"/>
  <c r="N254" i="52"/>
  <c r="K254" i="52"/>
  <c r="O253" i="52"/>
  <c r="P253" i="52" s="1"/>
  <c r="N253" i="52"/>
  <c r="K253" i="52"/>
  <c r="O252" i="52"/>
  <c r="N252" i="52"/>
  <c r="K252" i="52"/>
  <c r="O251" i="52"/>
  <c r="P251" i="52" s="1"/>
  <c r="N251" i="52"/>
  <c r="K251" i="52"/>
  <c r="O250" i="52"/>
  <c r="P250" i="52" s="1"/>
  <c r="N250" i="52"/>
  <c r="K250" i="52"/>
  <c r="O249" i="52"/>
  <c r="N249" i="52"/>
  <c r="K249" i="52"/>
  <c r="O248" i="52"/>
  <c r="N248" i="52"/>
  <c r="K248" i="52"/>
  <c r="O247" i="52"/>
  <c r="P247" i="52" s="1"/>
  <c r="N247" i="52"/>
  <c r="K247" i="52"/>
  <c r="O246" i="52"/>
  <c r="N246" i="52"/>
  <c r="K246" i="52"/>
  <c r="O245" i="52"/>
  <c r="P245" i="52" s="1"/>
  <c r="N245" i="52"/>
  <c r="K245" i="52"/>
  <c r="O244" i="52"/>
  <c r="N244" i="52"/>
  <c r="K244" i="52"/>
  <c r="O243" i="52"/>
  <c r="P243" i="52" s="1"/>
  <c r="N243" i="52"/>
  <c r="K243" i="52"/>
  <c r="O242" i="52"/>
  <c r="P242" i="52" s="1"/>
  <c r="N242" i="52"/>
  <c r="K242" i="52"/>
  <c r="O241" i="52"/>
  <c r="P241" i="52" s="1"/>
  <c r="N241" i="52"/>
  <c r="K241" i="52"/>
  <c r="O240" i="52"/>
  <c r="N240" i="52"/>
  <c r="K240" i="52"/>
  <c r="O239" i="52"/>
  <c r="P239" i="52" s="1"/>
  <c r="N239" i="52"/>
  <c r="K239" i="52"/>
  <c r="O238" i="52"/>
  <c r="P238" i="52" s="1"/>
  <c r="N238" i="52"/>
  <c r="K238" i="52"/>
  <c r="O237" i="52"/>
  <c r="N237" i="52"/>
  <c r="K237" i="52"/>
  <c r="O236" i="52"/>
  <c r="N236" i="52"/>
  <c r="K236" i="52"/>
  <c r="O235" i="52"/>
  <c r="P235" i="52" s="1"/>
  <c r="N235" i="52"/>
  <c r="K235" i="52"/>
  <c r="O234" i="52"/>
  <c r="P234" i="52" s="1"/>
  <c r="N234" i="52"/>
  <c r="K234" i="52"/>
  <c r="O233" i="52"/>
  <c r="P233" i="52" s="1"/>
  <c r="N233" i="52"/>
  <c r="K233" i="52"/>
  <c r="O232" i="52"/>
  <c r="P232" i="52" s="1"/>
  <c r="N232" i="52"/>
  <c r="K232" i="52"/>
  <c r="O231" i="52"/>
  <c r="P231" i="52" s="1"/>
  <c r="N231" i="52"/>
  <c r="K231" i="52"/>
  <c r="O230" i="52"/>
  <c r="P230" i="52" s="1"/>
  <c r="N230" i="52"/>
  <c r="K230" i="52"/>
  <c r="O229" i="52"/>
  <c r="N229" i="52"/>
  <c r="K229" i="52"/>
  <c r="O228" i="52"/>
  <c r="P228" i="52" s="1"/>
  <c r="N228" i="52"/>
  <c r="K228" i="52"/>
  <c r="O227" i="52"/>
  <c r="P227" i="52" s="1"/>
  <c r="N227" i="52"/>
  <c r="K227" i="52"/>
  <c r="O226" i="52"/>
  <c r="N226" i="52"/>
  <c r="K226" i="52"/>
  <c r="O225" i="52"/>
  <c r="P225" i="52" s="1"/>
  <c r="N225" i="52"/>
  <c r="K225" i="52"/>
  <c r="O224" i="52"/>
  <c r="P224" i="52" s="1"/>
  <c r="N224" i="52"/>
  <c r="K224" i="52"/>
  <c r="O223" i="52"/>
  <c r="P223" i="52" s="1"/>
  <c r="N223" i="52"/>
  <c r="K223" i="52"/>
  <c r="O222" i="52"/>
  <c r="N222" i="52"/>
  <c r="K222" i="52"/>
  <c r="O221" i="52"/>
  <c r="P221" i="52" s="1"/>
  <c r="N221" i="52"/>
  <c r="K221" i="52"/>
  <c r="O220" i="52"/>
  <c r="N220" i="52"/>
  <c r="K220" i="52"/>
  <c r="O219" i="52"/>
  <c r="N219" i="52"/>
  <c r="K219" i="52"/>
  <c r="O218" i="52"/>
  <c r="P218" i="52" s="1"/>
  <c r="N218" i="52"/>
  <c r="K218" i="52"/>
  <c r="O217" i="52"/>
  <c r="N217" i="52"/>
  <c r="K217" i="52"/>
  <c r="O216" i="52"/>
  <c r="P216" i="52" s="1"/>
  <c r="N216" i="52"/>
  <c r="K216" i="52"/>
  <c r="O215" i="52"/>
  <c r="N215" i="52"/>
  <c r="K215" i="52"/>
  <c r="O214" i="52"/>
  <c r="N214" i="52"/>
  <c r="K214" i="52"/>
  <c r="O213" i="52"/>
  <c r="P213" i="52" s="1"/>
  <c r="N213" i="52"/>
  <c r="K213" i="52"/>
  <c r="O212" i="52"/>
  <c r="N212" i="52"/>
  <c r="K212" i="52"/>
  <c r="O211" i="52"/>
  <c r="P211" i="52" s="1"/>
  <c r="N211" i="52"/>
  <c r="K211" i="52"/>
  <c r="O210" i="52"/>
  <c r="P210" i="52" s="1"/>
  <c r="N210" i="52"/>
  <c r="K210" i="52"/>
  <c r="O209" i="52"/>
  <c r="N209" i="52"/>
  <c r="K209" i="52"/>
  <c r="O208" i="52"/>
  <c r="N208" i="52"/>
  <c r="K208" i="52"/>
  <c r="O207" i="52"/>
  <c r="N207" i="52"/>
  <c r="K207" i="52"/>
  <c r="O206" i="52"/>
  <c r="P206" i="52" s="1"/>
  <c r="N206" i="52"/>
  <c r="K206" i="52"/>
  <c r="O205" i="52"/>
  <c r="N205" i="52"/>
  <c r="K205" i="52"/>
  <c r="O204" i="52"/>
  <c r="N204" i="52"/>
  <c r="K204" i="52"/>
  <c r="O203" i="52"/>
  <c r="P203" i="52" s="1"/>
  <c r="N203" i="52"/>
  <c r="K203" i="52"/>
  <c r="O202" i="52"/>
  <c r="N202" i="52"/>
  <c r="K202" i="52"/>
  <c r="O201" i="52"/>
  <c r="P201" i="52" s="1"/>
  <c r="N201" i="52"/>
  <c r="K201" i="52"/>
  <c r="O200" i="52"/>
  <c r="P200" i="52" s="1"/>
  <c r="N200" i="52"/>
  <c r="K200" i="52"/>
  <c r="O199" i="52"/>
  <c r="N199" i="52"/>
  <c r="K199" i="52"/>
  <c r="O198" i="52"/>
  <c r="P198" i="52" s="1"/>
  <c r="N198" i="52"/>
  <c r="K198" i="52"/>
  <c r="O197" i="52"/>
  <c r="P197" i="52" s="1"/>
  <c r="N197" i="52"/>
  <c r="K197" i="52"/>
  <c r="O196" i="52"/>
  <c r="P196" i="52" s="1"/>
  <c r="N196" i="52"/>
  <c r="K196" i="52"/>
  <c r="O195" i="52"/>
  <c r="P195" i="52" s="1"/>
  <c r="N195" i="52"/>
  <c r="K195" i="52"/>
  <c r="O194" i="52"/>
  <c r="P194" i="52" s="1"/>
  <c r="N194" i="52"/>
  <c r="K194" i="52"/>
  <c r="O193" i="52"/>
  <c r="P193" i="52" s="1"/>
  <c r="N193" i="52"/>
  <c r="K193" i="52"/>
  <c r="O192" i="52"/>
  <c r="N192" i="52"/>
  <c r="K192" i="52"/>
  <c r="O191" i="52"/>
  <c r="P191" i="52" s="1"/>
  <c r="N191" i="52"/>
  <c r="K191" i="52"/>
  <c r="O190" i="52"/>
  <c r="P190" i="52" s="1"/>
  <c r="N190" i="52"/>
  <c r="K190" i="52"/>
  <c r="O189" i="52"/>
  <c r="N189" i="52"/>
  <c r="K189" i="52"/>
  <c r="O188" i="52"/>
  <c r="N188" i="52"/>
  <c r="K188" i="52"/>
  <c r="O187" i="52"/>
  <c r="N187" i="52"/>
  <c r="K187" i="52"/>
  <c r="O186" i="52"/>
  <c r="N186" i="52"/>
  <c r="K186" i="52"/>
  <c r="O185" i="52"/>
  <c r="N185" i="52"/>
  <c r="K185" i="52"/>
  <c r="O184" i="52"/>
  <c r="P184" i="52" s="1"/>
  <c r="N184" i="52"/>
  <c r="K184" i="52"/>
  <c r="O183" i="52"/>
  <c r="N183" i="52"/>
  <c r="K183" i="52"/>
  <c r="O182" i="52"/>
  <c r="P182" i="52" s="1"/>
  <c r="N182" i="52"/>
  <c r="K182" i="52"/>
  <c r="O181" i="52"/>
  <c r="P181" i="52" s="1"/>
  <c r="N181" i="52"/>
  <c r="K181" i="52"/>
  <c r="O180" i="52"/>
  <c r="P180" i="52" s="1"/>
  <c r="N180" i="52"/>
  <c r="K180" i="52"/>
  <c r="O179" i="52"/>
  <c r="P179" i="52" s="1"/>
  <c r="N179" i="52"/>
  <c r="K179" i="52"/>
  <c r="O178" i="52"/>
  <c r="P178" i="52" s="1"/>
  <c r="N178" i="52"/>
  <c r="K178" i="52"/>
  <c r="O177" i="52"/>
  <c r="P177" i="52" s="1"/>
  <c r="N177" i="52"/>
  <c r="K177" i="52"/>
  <c r="O176" i="52"/>
  <c r="N176" i="52"/>
  <c r="K176" i="52"/>
  <c r="O175" i="52"/>
  <c r="P175" i="52" s="1"/>
  <c r="N175" i="52"/>
  <c r="K175" i="52"/>
  <c r="O174" i="52"/>
  <c r="P174" i="52" s="1"/>
  <c r="N174" i="52"/>
  <c r="K174" i="52"/>
  <c r="O173" i="52"/>
  <c r="N173" i="52"/>
  <c r="K173" i="52"/>
  <c r="O172" i="52"/>
  <c r="P172" i="52" s="1"/>
  <c r="N172" i="52"/>
  <c r="K172" i="52"/>
  <c r="O171" i="52"/>
  <c r="P171" i="52" s="1"/>
  <c r="N171" i="52"/>
  <c r="K171" i="52"/>
  <c r="O170" i="52"/>
  <c r="N170" i="52"/>
  <c r="K170" i="52"/>
  <c r="O169" i="52"/>
  <c r="P169" i="52" s="1"/>
  <c r="N169" i="52"/>
  <c r="K169" i="52"/>
  <c r="O168" i="52"/>
  <c r="P168" i="52" s="1"/>
  <c r="N168" i="52"/>
  <c r="K168" i="52"/>
  <c r="O167" i="52"/>
  <c r="N167" i="52"/>
  <c r="K167" i="52"/>
  <c r="O166" i="52"/>
  <c r="P166" i="52" s="1"/>
  <c r="N166" i="52"/>
  <c r="K166" i="52"/>
  <c r="O165" i="52"/>
  <c r="P165" i="52" s="1"/>
  <c r="N165" i="52"/>
  <c r="K165" i="52"/>
  <c r="O164" i="52"/>
  <c r="P164" i="52" s="1"/>
  <c r="N164" i="52"/>
  <c r="K164" i="52"/>
  <c r="O163" i="52"/>
  <c r="N163" i="52"/>
  <c r="K163" i="52"/>
  <c r="O162" i="52"/>
  <c r="P162" i="52" s="1"/>
  <c r="N162" i="52"/>
  <c r="K162" i="52"/>
  <c r="O161" i="52"/>
  <c r="N161" i="52"/>
  <c r="K161" i="52"/>
  <c r="O160" i="52"/>
  <c r="N160" i="52"/>
  <c r="K160" i="52"/>
  <c r="O159" i="52"/>
  <c r="P159" i="52" s="1"/>
  <c r="N159" i="52"/>
  <c r="K159" i="52"/>
  <c r="O158" i="52"/>
  <c r="P158" i="52" s="1"/>
  <c r="N158" i="52"/>
  <c r="K158" i="52"/>
  <c r="O157" i="52"/>
  <c r="P157" i="52" s="1"/>
  <c r="N157" i="52"/>
  <c r="K157" i="52"/>
  <c r="O156" i="52"/>
  <c r="P156" i="52" s="1"/>
  <c r="N156" i="52"/>
  <c r="K156" i="52"/>
  <c r="O155" i="52"/>
  <c r="N155" i="52"/>
  <c r="K155" i="52"/>
  <c r="O154" i="52"/>
  <c r="P154" i="52" s="1"/>
  <c r="N154" i="52"/>
  <c r="K154" i="52"/>
  <c r="O153" i="52"/>
  <c r="P153" i="52" s="1"/>
  <c r="N153" i="52"/>
  <c r="K153" i="52"/>
  <c r="O152" i="52"/>
  <c r="N152" i="52"/>
  <c r="K152" i="52"/>
  <c r="O151" i="52"/>
  <c r="N151" i="52"/>
  <c r="K151" i="52"/>
  <c r="O150" i="52"/>
  <c r="P150" i="52" s="1"/>
  <c r="N150" i="52"/>
  <c r="K150" i="52"/>
  <c r="O149" i="52"/>
  <c r="P149" i="52" s="1"/>
  <c r="N149" i="52"/>
  <c r="K149" i="52"/>
  <c r="O148" i="52"/>
  <c r="P148" i="52" s="1"/>
  <c r="N148" i="52"/>
  <c r="K148" i="52"/>
  <c r="O147" i="52"/>
  <c r="N147" i="52"/>
  <c r="K147" i="52"/>
  <c r="O146" i="52"/>
  <c r="P146" i="52" s="1"/>
  <c r="N146" i="52"/>
  <c r="K146" i="52"/>
  <c r="O145" i="52"/>
  <c r="N145" i="52"/>
  <c r="K145" i="52"/>
  <c r="O144" i="52"/>
  <c r="N144" i="52"/>
  <c r="K144" i="52"/>
  <c r="O143" i="52"/>
  <c r="P143" i="52" s="1"/>
  <c r="N143" i="52"/>
  <c r="K143" i="52"/>
  <c r="O142" i="52"/>
  <c r="P142" i="52" s="1"/>
  <c r="N142" i="52"/>
  <c r="K142" i="52"/>
  <c r="O141" i="52"/>
  <c r="P141" i="52" s="1"/>
  <c r="N141" i="52"/>
  <c r="K141" i="52"/>
  <c r="O140" i="52"/>
  <c r="P140" i="52" s="1"/>
  <c r="N140" i="52"/>
  <c r="K140" i="52"/>
  <c r="O139" i="52"/>
  <c r="N139" i="52"/>
  <c r="K139" i="52"/>
  <c r="O138" i="52"/>
  <c r="P138" i="52" s="1"/>
  <c r="N138" i="52"/>
  <c r="K138" i="52"/>
  <c r="O137" i="52"/>
  <c r="P137" i="52" s="1"/>
  <c r="N137" i="52"/>
  <c r="K137" i="52"/>
  <c r="O136" i="52"/>
  <c r="N136" i="52"/>
  <c r="K136" i="52"/>
  <c r="O135" i="52"/>
  <c r="N135" i="52"/>
  <c r="K135" i="52"/>
  <c r="O134" i="52"/>
  <c r="P134" i="52" s="1"/>
  <c r="N134" i="52"/>
  <c r="K134" i="52"/>
  <c r="O133" i="52"/>
  <c r="P133" i="52" s="1"/>
  <c r="N133" i="52"/>
  <c r="K133" i="52"/>
  <c r="O132" i="52"/>
  <c r="P132" i="52" s="1"/>
  <c r="N132" i="52"/>
  <c r="K132" i="52"/>
  <c r="O131" i="52"/>
  <c r="N131" i="52"/>
  <c r="K131" i="52"/>
  <c r="O130" i="52"/>
  <c r="P130" i="52" s="1"/>
  <c r="N130" i="52"/>
  <c r="K130" i="52"/>
  <c r="O129" i="52"/>
  <c r="N129" i="52"/>
  <c r="K129" i="52"/>
  <c r="O128" i="52"/>
  <c r="N128" i="52"/>
  <c r="K128" i="52"/>
  <c r="O127" i="52"/>
  <c r="P127" i="52" s="1"/>
  <c r="N127" i="52"/>
  <c r="K127" i="52"/>
  <c r="O126" i="52"/>
  <c r="P126" i="52" s="1"/>
  <c r="N126" i="52"/>
  <c r="K126" i="52"/>
  <c r="O125" i="52"/>
  <c r="P125" i="52" s="1"/>
  <c r="N125" i="52"/>
  <c r="K125" i="52"/>
  <c r="O124" i="52"/>
  <c r="P124" i="52" s="1"/>
  <c r="N124" i="52"/>
  <c r="K124" i="52"/>
  <c r="O123" i="52"/>
  <c r="N123" i="52"/>
  <c r="K123" i="52"/>
  <c r="O122" i="52"/>
  <c r="P122" i="52" s="1"/>
  <c r="N122" i="52"/>
  <c r="K122" i="52"/>
  <c r="O121" i="52"/>
  <c r="P121" i="52" s="1"/>
  <c r="N121" i="52"/>
  <c r="K121" i="52"/>
  <c r="O120" i="52"/>
  <c r="N120" i="52"/>
  <c r="K120" i="52"/>
  <c r="O119" i="52"/>
  <c r="N119" i="52"/>
  <c r="K119" i="52"/>
  <c r="O118" i="52"/>
  <c r="P118" i="52" s="1"/>
  <c r="N118" i="52"/>
  <c r="K118" i="52"/>
  <c r="O117" i="52"/>
  <c r="P117" i="52" s="1"/>
  <c r="N117" i="52"/>
  <c r="K117" i="52"/>
  <c r="O116" i="52"/>
  <c r="P116" i="52" s="1"/>
  <c r="N116" i="52"/>
  <c r="K116" i="52"/>
  <c r="O115" i="52"/>
  <c r="N115" i="52"/>
  <c r="K115" i="52"/>
  <c r="O114" i="52"/>
  <c r="P114" i="52" s="1"/>
  <c r="N114" i="52"/>
  <c r="K114" i="52"/>
  <c r="O113" i="52"/>
  <c r="N113" i="52"/>
  <c r="K113" i="52"/>
  <c r="O112" i="52"/>
  <c r="N112" i="52"/>
  <c r="K112" i="52"/>
  <c r="O111" i="52"/>
  <c r="P111" i="52" s="1"/>
  <c r="N111" i="52"/>
  <c r="K111" i="52"/>
  <c r="O110" i="52"/>
  <c r="P110" i="52" s="1"/>
  <c r="N110" i="52"/>
  <c r="K110" i="52"/>
  <c r="O109" i="52"/>
  <c r="P109" i="52" s="1"/>
  <c r="N109" i="52"/>
  <c r="K109" i="52"/>
  <c r="O108" i="52"/>
  <c r="P108" i="52" s="1"/>
  <c r="N108" i="52"/>
  <c r="K108" i="52"/>
  <c r="O107" i="52"/>
  <c r="N107" i="52"/>
  <c r="K107" i="52"/>
  <c r="O106" i="52"/>
  <c r="P106" i="52" s="1"/>
  <c r="N106" i="52"/>
  <c r="K106" i="52"/>
  <c r="O105" i="52"/>
  <c r="P105" i="52" s="1"/>
  <c r="N105" i="52"/>
  <c r="K105" i="52"/>
  <c r="O104" i="52"/>
  <c r="N104" i="52"/>
  <c r="K104" i="52"/>
  <c r="O103" i="52"/>
  <c r="N103" i="52"/>
  <c r="K103" i="52"/>
  <c r="O102" i="52"/>
  <c r="P102" i="52" s="1"/>
  <c r="N102" i="52"/>
  <c r="K102" i="52"/>
  <c r="O101" i="52"/>
  <c r="P101" i="52" s="1"/>
  <c r="N101" i="52"/>
  <c r="K101" i="52"/>
  <c r="O100" i="52"/>
  <c r="P100" i="52" s="1"/>
  <c r="N100" i="52"/>
  <c r="K100" i="52"/>
  <c r="O99" i="52"/>
  <c r="N99" i="52"/>
  <c r="K99" i="52"/>
  <c r="O98" i="52"/>
  <c r="P98" i="52" s="1"/>
  <c r="N98" i="52"/>
  <c r="K98" i="52"/>
  <c r="O97" i="52"/>
  <c r="P97" i="52" s="1"/>
  <c r="N97" i="52"/>
  <c r="K97" i="52"/>
  <c r="O96" i="52"/>
  <c r="P96" i="52" s="1"/>
  <c r="N96" i="52"/>
  <c r="K96" i="52"/>
  <c r="O95" i="52"/>
  <c r="N95" i="52"/>
  <c r="K95" i="52"/>
  <c r="O94" i="52"/>
  <c r="P94" i="52" s="1"/>
  <c r="N94" i="52"/>
  <c r="K94" i="52"/>
  <c r="O93" i="52"/>
  <c r="P93" i="52" s="1"/>
  <c r="N93" i="52"/>
  <c r="K93" i="52"/>
  <c r="O92" i="52"/>
  <c r="N92" i="52"/>
  <c r="K92" i="52"/>
  <c r="O91" i="52"/>
  <c r="N91" i="52"/>
  <c r="K91" i="52"/>
  <c r="O90" i="52"/>
  <c r="P90" i="52" s="1"/>
  <c r="N90" i="52"/>
  <c r="K90" i="52"/>
  <c r="O89" i="52"/>
  <c r="P89" i="52" s="1"/>
  <c r="N89" i="52"/>
  <c r="K89" i="52"/>
  <c r="O88" i="52"/>
  <c r="P88" i="52" s="1"/>
  <c r="N88" i="52"/>
  <c r="K88" i="52"/>
  <c r="O87" i="52"/>
  <c r="N87" i="52"/>
  <c r="K87" i="52"/>
  <c r="O86" i="52"/>
  <c r="P86" i="52" s="1"/>
  <c r="N86" i="52"/>
  <c r="K86" i="52"/>
  <c r="O85" i="52"/>
  <c r="P85" i="52" s="1"/>
  <c r="N85" i="52"/>
  <c r="K85" i="52"/>
  <c r="O84" i="52"/>
  <c r="P84" i="52" s="1"/>
  <c r="N84" i="52"/>
  <c r="K84" i="52"/>
  <c r="O83" i="52"/>
  <c r="P83" i="52" s="1"/>
  <c r="N83" i="52"/>
  <c r="K83" i="52"/>
  <c r="O82" i="52"/>
  <c r="P82" i="52" s="1"/>
  <c r="N82" i="52"/>
  <c r="K82" i="52"/>
  <c r="O81" i="52"/>
  <c r="P81" i="52" s="1"/>
  <c r="N81" i="52"/>
  <c r="K81" i="52"/>
  <c r="O80" i="52"/>
  <c r="P80" i="52" s="1"/>
  <c r="N80" i="52"/>
  <c r="K80" i="52"/>
  <c r="O79" i="52"/>
  <c r="N79" i="52"/>
  <c r="K79" i="52"/>
  <c r="O78" i="52"/>
  <c r="P78" i="52" s="1"/>
  <c r="N78" i="52"/>
  <c r="K78" i="52"/>
  <c r="O77" i="52"/>
  <c r="N77" i="52"/>
  <c r="K77" i="52"/>
  <c r="O76" i="52"/>
  <c r="P76" i="52" s="1"/>
  <c r="N76" i="52"/>
  <c r="K76" i="52"/>
  <c r="O75" i="52"/>
  <c r="N75" i="52"/>
  <c r="K75" i="52"/>
  <c r="O74" i="52"/>
  <c r="P74" i="52" s="1"/>
  <c r="N74" i="52"/>
  <c r="K74" i="52"/>
  <c r="O73" i="52"/>
  <c r="P73" i="52" s="1"/>
  <c r="N73" i="52"/>
  <c r="K73" i="52"/>
  <c r="O72" i="52"/>
  <c r="P72" i="52" s="1"/>
  <c r="N72" i="52"/>
  <c r="K72" i="52"/>
  <c r="O71" i="52"/>
  <c r="N71" i="52"/>
  <c r="K71" i="52"/>
  <c r="O70" i="52"/>
  <c r="P70" i="52" s="1"/>
  <c r="N70" i="52"/>
  <c r="K70" i="52"/>
  <c r="O69" i="52"/>
  <c r="P69" i="52" s="1"/>
  <c r="N69" i="52"/>
  <c r="K69" i="52"/>
  <c r="O68" i="52"/>
  <c r="P68" i="52" s="1"/>
  <c r="N68" i="52"/>
  <c r="K68" i="52"/>
  <c r="O67" i="52"/>
  <c r="N67" i="52"/>
  <c r="K67" i="52"/>
  <c r="O66" i="52"/>
  <c r="P66" i="52" s="1"/>
  <c r="N66" i="52"/>
  <c r="K66" i="52"/>
  <c r="O65" i="52"/>
  <c r="P65" i="52" s="1"/>
  <c r="N65" i="52"/>
  <c r="K65" i="52"/>
  <c r="O64" i="52"/>
  <c r="N64" i="52"/>
  <c r="K64" i="52"/>
  <c r="O63" i="52"/>
  <c r="P63" i="52" s="1"/>
  <c r="N63" i="52"/>
  <c r="K63" i="52"/>
  <c r="O62" i="52"/>
  <c r="P62" i="52" s="1"/>
  <c r="N62" i="52"/>
  <c r="K62" i="52"/>
  <c r="O61" i="52"/>
  <c r="P61" i="52" s="1"/>
  <c r="N61" i="52"/>
  <c r="K61" i="52"/>
  <c r="O60" i="52"/>
  <c r="N60" i="52"/>
  <c r="K60" i="52"/>
  <c r="O59" i="52"/>
  <c r="P59" i="52" s="1"/>
  <c r="N59" i="52"/>
  <c r="K59" i="52"/>
  <c r="O58" i="52"/>
  <c r="N58" i="52"/>
  <c r="K58" i="52"/>
  <c r="O57" i="52"/>
  <c r="P57" i="52" s="1"/>
  <c r="N57" i="52"/>
  <c r="K57" i="52"/>
  <c r="O56" i="52"/>
  <c r="P56" i="52" s="1"/>
  <c r="N56" i="52"/>
  <c r="K56" i="52"/>
  <c r="O55" i="52"/>
  <c r="N55" i="52"/>
  <c r="K55" i="52"/>
  <c r="O54" i="52"/>
  <c r="P54" i="52" s="1"/>
  <c r="N54" i="52"/>
  <c r="K54" i="52"/>
  <c r="O53" i="52"/>
  <c r="N53" i="52"/>
  <c r="K53" i="52"/>
  <c r="O52" i="52"/>
  <c r="P52" i="52" s="1"/>
  <c r="N52" i="52"/>
  <c r="K52" i="52"/>
  <c r="O51" i="52"/>
  <c r="P51" i="52" s="1"/>
  <c r="N51" i="52"/>
  <c r="K51" i="52"/>
  <c r="O50" i="52"/>
  <c r="P50" i="52" s="1"/>
  <c r="N50" i="52"/>
  <c r="K50" i="52"/>
  <c r="O49" i="52"/>
  <c r="P49" i="52" s="1"/>
  <c r="N49" i="52"/>
  <c r="K49" i="52"/>
  <c r="O48" i="52"/>
  <c r="P48" i="52" s="1"/>
  <c r="N48" i="52"/>
  <c r="K48" i="52"/>
  <c r="O47" i="52"/>
  <c r="P47" i="52" s="1"/>
  <c r="N47" i="52"/>
  <c r="K47" i="52"/>
  <c r="O46" i="52"/>
  <c r="P46" i="52" s="1"/>
  <c r="N46" i="52"/>
  <c r="K46" i="52"/>
  <c r="O45" i="52"/>
  <c r="N45" i="52"/>
  <c r="K45" i="52"/>
  <c r="O44" i="52"/>
  <c r="P44" i="52" s="1"/>
  <c r="N44" i="52"/>
  <c r="K44" i="52"/>
  <c r="O43" i="52"/>
  <c r="P43" i="52" s="1"/>
  <c r="N43" i="52"/>
  <c r="K43" i="52"/>
  <c r="O42" i="52"/>
  <c r="P42" i="52" s="1"/>
  <c r="N42" i="52"/>
  <c r="K42" i="52"/>
  <c r="O41" i="52"/>
  <c r="P41" i="52" s="1"/>
  <c r="N41" i="52"/>
  <c r="K41" i="52"/>
  <c r="O40" i="52"/>
  <c r="P40" i="52" s="1"/>
  <c r="N40" i="52"/>
  <c r="K40" i="52"/>
  <c r="O39" i="52"/>
  <c r="N39" i="52"/>
  <c r="K39" i="52"/>
  <c r="O38" i="52"/>
  <c r="P38" i="52" s="1"/>
  <c r="N38" i="52"/>
  <c r="K38" i="52"/>
  <c r="O37" i="52"/>
  <c r="P37" i="52" s="1"/>
  <c r="N37" i="52"/>
  <c r="K37" i="52"/>
  <c r="O36" i="52"/>
  <c r="P36" i="52" s="1"/>
  <c r="N36" i="52"/>
  <c r="K36" i="52"/>
  <c r="O35" i="52"/>
  <c r="N35" i="52"/>
  <c r="K35" i="52"/>
  <c r="O34" i="52"/>
  <c r="P34" i="52" s="1"/>
  <c r="N34" i="52"/>
  <c r="K34" i="52"/>
  <c r="O33" i="52"/>
  <c r="N33" i="52"/>
  <c r="K33" i="52"/>
  <c r="O32" i="52"/>
  <c r="P32" i="52" s="1"/>
  <c r="N32" i="52"/>
  <c r="K32" i="52"/>
  <c r="O31" i="52"/>
  <c r="P31" i="52" s="1"/>
  <c r="N31" i="52"/>
  <c r="K31" i="52"/>
  <c r="O30" i="52"/>
  <c r="P30" i="52" s="1"/>
  <c r="N30" i="52"/>
  <c r="K30" i="52"/>
  <c r="O29" i="52"/>
  <c r="P29" i="52" s="1"/>
  <c r="N29" i="52"/>
  <c r="K29" i="52"/>
  <c r="O28" i="52"/>
  <c r="P28" i="52" s="1"/>
  <c r="N28" i="52"/>
  <c r="K28" i="52"/>
  <c r="O27" i="52"/>
  <c r="P27" i="52" s="1"/>
  <c r="N27" i="52"/>
  <c r="K27" i="52"/>
  <c r="O26" i="52"/>
  <c r="P26" i="52" s="1"/>
  <c r="N26" i="52"/>
  <c r="K26" i="52"/>
  <c r="O25" i="52"/>
  <c r="P25" i="52" s="1"/>
  <c r="N25" i="52"/>
  <c r="K25" i="52"/>
  <c r="O24" i="52"/>
  <c r="P24" i="52" s="1"/>
  <c r="N24" i="52"/>
  <c r="K24" i="52"/>
  <c r="O23" i="52"/>
  <c r="P23" i="52" s="1"/>
  <c r="N23" i="52"/>
  <c r="K23" i="52"/>
  <c r="O22" i="52"/>
  <c r="P22" i="52" s="1"/>
  <c r="N22" i="52"/>
  <c r="K22" i="52"/>
  <c r="O21" i="52"/>
  <c r="P21" i="52" s="1"/>
  <c r="N21" i="52"/>
  <c r="K21" i="52"/>
  <c r="O20" i="52"/>
  <c r="P20" i="52" s="1"/>
  <c r="N20" i="52"/>
  <c r="K20" i="52"/>
  <c r="O19" i="52"/>
  <c r="P19" i="52" s="1"/>
  <c r="N19" i="52"/>
  <c r="K19" i="52" s="1"/>
  <c r="O18" i="52"/>
  <c r="N18" i="52"/>
  <c r="K18" i="52"/>
  <c r="O17" i="52"/>
  <c r="N17" i="52"/>
  <c r="K17" i="52"/>
  <c r="O16" i="52"/>
  <c r="P16" i="52" s="1"/>
  <c r="N16" i="52"/>
  <c r="K16" i="52" s="1"/>
  <c r="O15" i="52"/>
  <c r="P15" i="52" s="1"/>
  <c r="N15" i="52"/>
  <c r="K15" i="52" s="1"/>
  <c r="I2" i="52" s="1"/>
  <c r="L2" i="52" s="1"/>
  <c r="O14" i="52"/>
  <c r="P14" i="52" s="1"/>
  <c r="N14" i="52"/>
  <c r="K14" i="52"/>
  <c r="O13" i="52"/>
  <c r="P13" i="52" s="1"/>
  <c r="N13" i="52"/>
  <c r="K13" i="52"/>
  <c r="O12" i="52"/>
  <c r="P12" i="52" s="1"/>
  <c r="N12" i="52"/>
  <c r="K12" i="52"/>
  <c r="O11" i="52"/>
  <c r="P11" i="52" s="1"/>
  <c r="N11" i="52"/>
  <c r="K11" i="52"/>
  <c r="O10" i="52"/>
  <c r="P10" i="52" s="1"/>
  <c r="N10" i="52"/>
  <c r="K10" i="52"/>
  <c r="L7" i="52"/>
  <c r="K7" i="52"/>
  <c r="J7" i="52"/>
  <c r="I7" i="52"/>
  <c r="H7" i="52"/>
  <c r="G7" i="52"/>
  <c r="F7" i="52"/>
  <c r="L6" i="52"/>
  <c r="K6" i="52"/>
  <c r="J6" i="52"/>
  <c r="I6" i="52"/>
  <c r="H6" i="52"/>
  <c r="G6" i="52"/>
  <c r="F6" i="52"/>
  <c r="L5" i="52"/>
  <c r="K5" i="52"/>
  <c r="J5" i="52"/>
  <c r="I5" i="52"/>
  <c r="H5" i="52"/>
  <c r="G5" i="52"/>
  <c r="F5" i="52"/>
  <c r="AB4" i="52"/>
  <c r="L4" i="52"/>
  <c r="K4" i="52"/>
  <c r="J4" i="52"/>
  <c r="I4" i="52"/>
  <c r="H4" i="52"/>
  <c r="G4" i="52"/>
  <c r="F4" i="52"/>
  <c r="D4" i="52" s="1"/>
  <c r="L3" i="52"/>
  <c r="K3" i="52"/>
  <c r="J3" i="52"/>
  <c r="I3" i="52"/>
  <c r="H3" i="52"/>
  <c r="G3" i="52"/>
  <c r="D3" i="52" s="1"/>
  <c r="F3" i="52"/>
  <c r="H2" i="52"/>
  <c r="G2" i="52"/>
  <c r="F2" i="52"/>
  <c r="D2" i="52" s="1"/>
  <c r="AB2" i="52" s="1"/>
  <c r="G19" i="48"/>
  <c r="H34" i="47"/>
  <c r="G35" i="47" s="1"/>
  <c r="G34" i="47"/>
  <c r="L33" i="47"/>
  <c r="P32" i="47"/>
  <c r="L32" i="47"/>
  <c r="P31" i="47"/>
  <c r="L31" i="47"/>
  <c r="P29" i="47"/>
  <c r="L29" i="47"/>
  <c r="P28" i="47"/>
  <c r="L28" i="47"/>
  <c r="P27" i="47"/>
  <c r="L27" i="47"/>
  <c r="L24" i="47"/>
  <c r="P23" i="47"/>
  <c r="L23" i="47"/>
  <c r="P21" i="47"/>
  <c r="P20" i="47"/>
  <c r="P19" i="47"/>
  <c r="L19" i="47"/>
  <c r="P14" i="47"/>
  <c r="L14" i="47"/>
  <c r="P12" i="47"/>
  <c r="P11" i="47"/>
  <c r="L11" i="47"/>
  <c r="P8" i="47"/>
  <c r="L8" i="47"/>
  <c r="P5" i="47"/>
  <c r="P36" i="46"/>
  <c r="R34" i="46"/>
  <c r="T34" i="46" s="1"/>
  <c r="T32" i="46"/>
  <c r="R32" i="46"/>
  <c r="T30" i="46"/>
  <c r="R30" i="46"/>
  <c r="R28" i="46"/>
  <c r="R26" i="46"/>
  <c r="R25" i="46"/>
  <c r="T25" i="46" s="1"/>
  <c r="R23" i="46"/>
  <c r="T23" i="46" s="1"/>
  <c r="R22" i="46"/>
  <c r="T22" i="46" s="1"/>
  <c r="T20" i="46"/>
  <c r="R20" i="46"/>
  <c r="R18" i="46"/>
  <c r="R16" i="46"/>
  <c r="R14" i="46"/>
  <c r="T12" i="46"/>
  <c r="R12" i="46"/>
  <c r="R10" i="46"/>
  <c r="R9" i="46"/>
  <c r="R7" i="46"/>
  <c r="T6" i="46"/>
  <c r="R6" i="46"/>
  <c r="R3" i="46"/>
  <c r="R29" i="46" s="1"/>
  <c r="T29" i="46" s="1"/>
  <c r="P3" i="46"/>
  <c r="R33" i="46" s="1"/>
  <c r="P36" i="45"/>
  <c r="U5" i="45"/>
  <c r="S3" i="45"/>
  <c r="P3" i="45"/>
  <c r="C3" i="45"/>
  <c r="T5" i="46" s="1"/>
  <c r="P36" i="44"/>
  <c r="R35" i="44"/>
  <c r="R33" i="44"/>
  <c r="R31" i="44"/>
  <c r="R29" i="44"/>
  <c r="R27" i="44"/>
  <c r="R25" i="44"/>
  <c r="T25" i="44" s="1"/>
  <c r="R23" i="44"/>
  <c r="R22" i="44"/>
  <c r="R20" i="44"/>
  <c r="R19" i="44"/>
  <c r="R17" i="44"/>
  <c r="R15" i="44"/>
  <c r="R13" i="44"/>
  <c r="R11" i="44"/>
  <c r="R9" i="44"/>
  <c r="R7" i="44"/>
  <c r="R6" i="44"/>
  <c r="R3" i="44"/>
  <c r="R28" i="44" s="1"/>
  <c r="T28" i="44" s="1"/>
  <c r="P3" i="44"/>
  <c r="P36" i="43"/>
  <c r="S3" i="43"/>
  <c r="S14" i="43" s="1"/>
  <c r="P3" i="43"/>
  <c r="C3" i="43"/>
  <c r="T17" i="44" s="1"/>
  <c r="I4" i="42"/>
  <c r="H4" i="42"/>
  <c r="V176" i="40"/>
  <c r="W152" i="40"/>
  <c r="W150" i="40"/>
  <c r="W148" i="40"/>
  <c r="W144" i="40"/>
  <c r="W138" i="40"/>
  <c r="W136" i="40"/>
  <c r="W134" i="40"/>
  <c r="W132" i="40"/>
  <c r="W128" i="40"/>
  <c r="W122" i="40"/>
  <c r="W120" i="40"/>
  <c r="W118" i="40"/>
  <c r="W116" i="40"/>
  <c r="W112" i="40"/>
  <c r="W106" i="40"/>
  <c r="W104" i="40"/>
  <c r="W102" i="40"/>
  <c r="W100" i="40"/>
  <c r="W96" i="40"/>
  <c r="W90" i="40"/>
  <c r="W88" i="40"/>
  <c r="W86" i="40"/>
  <c r="W84" i="40"/>
  <c r="W82" i="40"/>
  <c r="W80" i="40"/>
  <c r="W76" i="40"/>
  <c r="W74" i="40"/>
  <c r="W72" i="40"/>
  <c r="W70" i="40"/>
  <c r="W68" i="40"/>
  <c r="W66" i="40"/>
  <c r="W64" i="40"/>
  <c r="W60" i="40"/>
  <c r="W58" i="40"/>
  <c r="W56" i="40"/>
  <c r="W54" i="40"/>
  <c r="W52" i="40"/>
  <c r="W50" i="40"/>
  <c r="W48" i="40"/>
  <c r="W46" i="40"/>
  <c r="W44" i="40"/>
  <c r="W42" i="40"/>
  <c r="W40" i="40"/>
  <c r="W38" i="40"/>
  <c r="W36" i="40"/>
  <c r="W34" i="40"/>
  <c r="W32" i="40"/>
  <c r="W30" i="40"/>
  <c r="W28" i="40"/>
  <c r="W26" i="40"/>
  <c r="W24" i="40"/>
  <c r="W22" i="40"/>
  <c r="W20" i="40"/>
  <c r="W18" i="40"/>
  <c r="W17" i="40"/>
  <c r="W16" i="40"/>
  <c r="W14" i="40"/>
  <c r="W13" i="40"/>
  <c r="W12" i="40"/>
  <c r="W10" i="40"/>
  <c r="W9" i="40"/>
  <c r="W8" i="40"/>
  <c r="W6" i="40"/>
  <c r="K3" i="38"/>
  <c r="K2" i="38"/>
  <c r="I52" i="37"/>
  <c r="H52" i="37"/>
  <c r="G52" i="37"/>
  <c r="F52" i="37"/>
  <c r="E52" i="37"/>
  <c r="D52" i="37"/>
  <c r="C52" i="37"/>
  <c r="B52" i="37"/>
  <c r="I51" i="37"/>
  <c r="H51" i="37"/>
  <c r="G51" i="37"/>
  <c r="F51" i="37"/>
  <c r="E51" i="37"/>
  <c r="D51" i="37"/>
  <c r="C51" i="37"/>
  <c r="B51" i="37"/>
  <c r="I50" i="37"/>
  <c r="H50" i="37"/>
  <c r="G50" i="37"/>
  <c r="F50" i="37"/>
  <c r="E50" i="37"/>
  <c r="D50" i="37"/>
  <c r="C50" i="37"/>
  <c r="B50" i="37"/>
  <c r="I49" i="37"/>
  <c r="H49" i="37"/>
  <c r="G49" i="37"/>
  <c r="F49" i="37"/>
  <c r="E49" i="37"/>
  <c r="D49" i="37"/>
  <c r="C49" i="37"/>
  <c r="B49" i="37"/>
  <c r="I48" i="37"/>
  <c r="H48" i="37"/>
  <c r="G48" i="37"/>
  <c r="F48" i="37"/>
  <c r="E48" i="37"/>
  <c r="D48" i="37"/>
  <c r="C48" i="37"/>
  <c r="B48" i="37"/>
  <c r="T47" i="37"/>
  <c r="I47" i="37"/>
  <c r="H47" i="37"/>
  <c r="G47" i="37"/>
  <c r="F47" i="37"/>
  <c r="E47" i="37"/>
  <c r="D47" i="37"/>
  <c r="C47" i="37"/>
  <c r="B47" i="37"/>
  <c r="U46" i="37"/>
  <c r="T46" i="37"/>
  <c r="J46" i="37"/>
  <c r="U45" i="37"/>
  <c r="T45" i="37"/>
  <c r="J45" i="37"/>
  <c r="U44" i="37"/>
  <c r="B44" i="37"/>
  <c r="U43" i="37"/>
  <c r="T43" i="37"/>
  <c r="J43" i="37"/>
  <c r="U42" i="37"/>
  <c r="T42" i="37"/>
  <c r="J42" i="37"/>
  <c r="U41" i="37"/>
  <c r="B41" i="37"/>
  <c r="U40" i="37"/>
  <c r="T40" i="37"/>
  <c r="J40" i="37"/>
  <c r="U39" i="37"/>
  <c r="T39" i="37"/>
  <c r="J39" i="37"/>
  <c r="U38" i="37"/>
  <c r="B38" i="37"/>
  <c r="U37" i="37"/>
  <c r="T37" i="37"/>
  <c r="J37" i="37"/>
  <c r="Y36" i="37"/>
  <c r="U36" i="37"/>
  <c r="T36" i="37"/>
  <c r="J36" i="37"/>
  <c r="Y35" i="37"/>
  <c r="U35" i="37"/>
  <c r="B35" i="37"/>
  <c r="Y34" i="37"/>
  <c r="Q34" i="37"/>
  <c r="P34" i="37"/>
  <c r="O34" i="37"/>
  <c r="N34" i="37"/>
  <c r="M34" i="37"/>
  <c r="U34" i="37" s="1"/>
  <c r="L34" i="37"/>
  <c r="K34" i="37"/>
  <c r="J34" i="37"/>
  <c r="I34" i="37"/>
  <c r="H34" i="37"/>
  <c r="G34" i="37"/>
  <c r="F34" i="37"/>
  <c r="E34" i="37"/>
  <c r="D34" i="37"/>
  <c r="C34" i="37"/>
  <c r="B34" i="37"/>
  <c r="Y33" i="37"/>
  <c r="Q33" i="37"/>
  <c r="P33" i="37"/>
  <c r="O33" i="37"/>
  <c r="N33" i="37"/>
  <c r="M33" i="37"/>
  <c r="U33" i="37" s="1"/>
  <c r="L33" i="37"/>
  <c r="K33" i="37"/>
  <c r="J33" i="37"/>
  <c r="I33" i="37"/>
  <c r="H33" i="37"/>
  <c r="G33" i="37"/>
  <c r="F33" i="37"/>
  <c r="E33" i="37"/>
  <c r="D33" i="37"/>
  <c r="C33" i="37"/>
  <c r="B33" i="37"/>
  <c r="W32" i="37"/>
  <c r="Y32" i="37" s="1"/>
  <c r="U32" i="37"/>
  <c r="I32" i="37"/>
  <c r="H32" i="37"/>
  <c r="G32" i="37"/>
  <c r="F32" i="37"/>
  <c r="E32" i="37"/>
  <c r="D32" i="37"/>
  <c r="C32" i="37"/>
  <c r="B32" i="37"/>
  <c r="W31" i="37"/>
  <c r="Y31" i="37" s="1"/>
  <c r="Q31" i="37"/>
  <c r="P31" i="37"/>
  <c r="O31" i="37"/>
  <c r="N31" i="37"/>
  <c r="M31" i="37"/>
  <c r="U31" i="37" s="1"/>
  <c r="L31" i="37"/>
  <c r="K31" i="37"/>
  <c r="J31" i="37"/>
  <c r="I31" i="37"/>
  <c r="H31" i="37"/>
  <c r="G31" i="37"/>
  <c r="F31" i="37"/>
  <c r="E31" i="37"/>
  <c r="D31" i="37"/>
  <c r="C31" i="37"/>
  <c r="B31" i="37"/>
  <c r="W30" i="37"/>
  <c r="Y30" i="37" s="1"/>
  <c r="Q30" i="37"/>
  <c r="P30" i="37"/>
  <c r="O30" i="37"/>
  <c r="N30" i="37"/>
  <c r="M30" i="37"/>
  <c r="U30" i="37" s="1"/>
  <c r="L30" i="37"/>
  <c r="K30" i="37"/>
  <c r="J30" i="37"/>
  <c r="I30" i="37"/>
  <c r="H30" i="37"/>
  <c r="G30" i="37"/>
  <c r="F30" i="37"/>
  <c r="E30" i="37"/>
  <c r="D30" i="37"/>
  <c r="C30" i="37"/>
  <c r="B30" i="37"/>
  <c r="W29" i="37"/>
  <c r="U29" i="37"/>
  <c r="I29" i="37"/>
  <c r="H29" i="37"/>
  <c r="G29" i="37"/>
  <c r="F29" i="37"/>
  <c r="E29" i="37"/>
  <c r="D29" i="37"/>
  <c r="C29" i="37"/>
  <c r="B29" i="37"/>
  <c r="W28" i="37"/>
  <c r="Q28" i="37"/>
  <c r="P28" i="37"/>
  <c r="O28" i="37"/>
  <c r="N28" i="37"/>
  <c r="M28" i="37"/>
  <c r="U28" i="37" s="1"/>
  <c r="L28" i="37"/>
  <c r="K28" i="37"/>
  <c r="J28" i="37"/>
  <c r="I28" i="37"/>
  <c r="H28" i="37"/>
  <c r="G28" i="37"/>
  <c r="F28" i="37"/>
  <c r="E28" i="37"/>
  <c r="D28" i="37"/>
  <c r="C28" i="37"/>
  <c r="B28" i="37"/>
  <c r="W27" i="37"/>
  <c r="Y27" i="37" s="1"/>
  <c r="Q27" i="37"/>
  <c r="P27" i="37"/>
  <c r="O27" i="37"/>
  <c r="N27" i="37"/>
  <c r="M27" i="37"/>
  <c r="U27" i="37" s="1"/>
  <c r="L27" i="37"/>
  <c r="K27" i="37"/>
  <c r="J27" i="37"/>
  <c r="I27" i="37"/>
  <c r="H27" i="37"/>
  <c r="G27" i="37"/>
  <c r="F27" i="37"/>
  <c r="E27" i="37"/>
  <c r="D27" i="37"/>
  <c r="C27" i="37"/>
  <c r="B27" i="37"/>
  <c r="W26" i="37"/>
  <c r="Y26" i="37" s="1"/>
  <c r="U26" i="37"/>
  <c r="I26" i="37"/>
  <c r="H26" i="37"/>
  <c r="G26" i="37"/>
  <c r="F26" i="37"/>
  <c r="E26" i="37"/>
  <c r="D26" i="37"/>
  <c r="C26" i="37"/>
  <c r="B26" i="37"/>
  <c r="W25" i="37"/>
  <c r="Y25" i="37" s="1"/>
  <c r="Q25" i="37"/>
  <c r="P25" i="37"/>
  <c r="O25" i="37"/>
  <c r="N25" i="37"/>
  <c r="M25" i="37"/>
  <c r="U25" i="37" s="1"/>
  <c r="L25" i="37"/>
  <c r="K25" i="37"/>
  <c r="J25" i="37"/>
  <c r="I25" i="37"/>
  <c r="H25" i="37"/>
  <c r="G25" i="37"/>
  <c r="F25" i="37"/>
  <c r="E25" i="37"/>
  <c r="D25" i="37"/>
  <c r="C25" i="37"/>
  <c r="B25" i="37"/>
  <c r="W24" i="37"/>
  <c r="Q24" i="37"/>
  <c r="P24" i="37"/>
  <c r="O24" i="37"/>
  <c r="N24" i="37"/>
  <c r="M24" i="37"/>
  <c r="U24" i="37" s="1"/>
  <c r="L24" i="37"/>
  <c r="K24" i="37"/>
  <c r="J24" i="37"/>
  <c r="I24" i="37"/>
  <c r="H24" i="37"/>
  <c r="G24" i="37"/>
  <c r="F24" i="37"/>
  <c r="E24" i="37"/>
  <c r="D24" i="37"/>
  <c r="C24" i="37"/>
  <c r="B24" i="37"/>
  <c r="W23" i="37"/>
  <c r="U23" i="37"/>
  <c r="I23" i="37"/>
  <c r="H23" i="37"/>
  <c r="G23" i="37"/>
  <c r="F23" i="37"/>
  <c r="E23" i="37"/>
  <c r="D23" i="37"/>
  <c r="C23" i="37"/>
  <c r="B23" i="37"/>
  <c r="W22" i="37"/>
  <c r="Q22" i="37"/>
  <c r="P22" i="37"/>
  <c r="O22" i="37"/>
  <c r="N22" i="37"/>
  <c r="M22" i="37"/>
  <c r="U22" i="37" s="1"/>
  <c r="L22" i="37"/>
  <c r="K22" i="37"/>
  <c r="J22" i="37"/>
  <c r="I22" i="37"/>
  <c r="H22" i="37"/>
  <c r="G22" i="37"/>
  <c r="F22" i="37"/>
  <c r="E22" i="37"/>
  <c r="D22" i="37"/>
  <c r="C22" i="37"/>
  <c r="B22" i="37"/>
  <c r="W21" i="37"/>
  <c r="Y21" i="37" s="1"/>
  <c r="Q21" i="37"/>
  <c r="P21" i="37"/>
  <c r="O21" i="37"/>
  <c r="N21" i="37"/>
  <c r="M21" i="37"/>
  <c r="U21" i="37" s="1"/>
  <c r="L21" i="37"/>
  <c r="K21" i="37"/>
  <c r="J21" i="37"/>
  <c r="I21" i="37"/>
  <c r="H21" i="37"/>
  <c r="G21" i="37"/>
  <c r="F21" i="37"/>
  <c r="E21" i="37"/>
  <c r="D21" i="37"/>
  <c r="C21" i="37"/>
  <c r="B21" i="37"/>
  <c r="W20" i="37"/>
  <c r="Y20" i="37" s="1"/>
  <c r="U20" i="37"/>
  <c r="I20" i="37"/>
  <c r="H20" i="37"/>
  <c r="G20" i="37"/>
  <c r="F20" i="37"/>
  <c r="E20" i="37"/>
  <c r="D20" i="37"/>
  <c r="C20" i="37"/>
  <c r="B20" i="37"/>
  <c r="W19" i="37"/>
  <c r="Y19" i="37" s="1"/>
  <c r="Q19" i="37"/>
  <c r="P19" i="37"/>
  <c r="O19" i="37"/>
  <c r="N19" i="37"/>
  <c r="M19" i="37"/>
  <c r="U19" i="37" s="1"/>
  <c r="L19" i="37"/>
  <c r="K19" i="37"/>
  <c r="J19" i="37"/>
  <c r="I19" i="37"/>
  <c r="H19" i="37"/>
  <c r="G19" i="37"/>
  <c r="F19" i="37"/>
  <c r="E19" i="37"/>
  <c r="D19" i="37"/>
  <c r="C19" i="37"/>
  <c r="B19" i="37"/>
  <c r="W18" i="37"/>
  <c r="Y18" i="37" s="1"/>
  <c r="Q18" i="37"/>
  <c r="P18" i="37"/>
  <c r="O18" i="37"/>
  <c r="N18" i="37"/>
  <c r="M18" i="37"/>
  <c r="U18" i="37" s="1"/>
  <c r="L18" i="37"/>
  <c r="K18" i="37"/>
  <c r="J18" i="37"/>
  <c r="I18" i="37"/>
  <c r="H18" i="37"/>
  <c r="G18" i="37"/>
  <c r="F18" i="37"/>
  <c r="E18" i="37"/>
  <c r="D18" i="37"/>
  <c r="C18" i="37"/>
  <c r="B18" i="37"/>
  <c r="W17" i="37"/>
  <c r="Y17" i="37" s="1"/>
  <c r="U17" i="37"/>
  <c r="I17" i="37"/>
  <c r="H17" i="37"/>
  <c r="G17" i="37"/>
  <c r="F17" i="37"/>
  <c r="E17" i="37"/>
  <c r="D17" i="37"/>
  <c r="C17" i="37"/>
  <c r="B17" i="37"/>
  <c r="W16" i="37"/>
  <c r="Q16" i="37"/>
  <c r="P16" i="37"/>
  <c r="O16" i="37"/>
  <c r="N16" i="37"/>
  <c r="M16" i="37"/>
  <c r="U16" i="37" s="1"/>
  <c r="L16" i="37"/>
  <c r="K16" i="37"/>
  <c r="J16" i="37"/>
  <c r="I16" i="37"/>
  <c r="H16" i="37"/>
  <c r="G16" i="37"/>
  <c r="F16" i="37"/>
  <c r="E16" i="37"/>
  <c r="D16" i="37"/>
  <c r="C16" i="37"/>
  <c r="B16" i="37"/>
  <c r="W15" i="37"/>
  <c r="Y15" i="37" s="1"/>
  <c r="Q15" i="37"/>
  <c r="P15" i="37"/>
  <c r="O15" i="37"/>
  <c r="N15" i="37"/>
  <c r="M15" i="37"/>
  <c r="U15" i="37" s="1"/>
  <c r="L15" i="37"/>
  <c r="K15" i="37"/>
  <c r="J15" i="37"/>
  <c r="I15" i="37"/>
  <c r="H15" i="37"/>
  <c r="G15" i="37"/>
  <c r="F15" i="37"/>
  <c r="E15" i="37"/>
  <c r="D15" i="37"/>
  <c r="C15" i="37"/>
  <c r="B15" i="37"/>
  <c r="W14" i="37"/>
  <c r="Y14" i="37" s="1"/>
  <c r="U14" i="37"/>
  <c r="I14" i="37"/>
  <c r="H14" i="37"/>
  <c r="G14" i="37"/>
  <c r="F14" i="37"/>
  <c r="E14" i="37"/>
  <c r="D14" i="37"/>
  <c r="C14" i="37"/>
  <c r="B14" i="37"/>
  <c r="W13" i="37"/>
  <c r="Y13" i="37" s="1"/>
  <c r="Q13" i="37"/>
  <c r="P13" i="37"/>
  <c r="O13" i="37"/>
  <c r="N13" i="37"/>
  <c r="M13" i="37"/>
  <c r="U13" i="37" s="1"/>
  <c r="L13" i="37"/>
  <c r="K13" i="37"/>
  <c r="J13" i="37"/>
  <c r="I13" i="37"/>
  <c r="H13" i="37"/>
  <c r="G13" i="37"/>
  <c r="F13" i="37"/>
  <c r="E13" i="37"/>
  <c r="D13" i="37"/>
  <c r="C13" i="37"/>
  <c r="B13" i="37"/>
  <c r="W12" i="37"/>
  <c r="Y12" i="37" s="1"/>
  <c r="Q12" i="37"/>
  <c r="P12" i="37"/>
  <c r="O12" i="37"/>
  <c r="N12" i="37"/>
  <c r="M12" i="37"/>
  <c r="U12" i="37" s="1"/>
  <c r="L12" i="37"/>
  <c r="K12" i="37"/>
  <c r="J12" i="37"/>
  <c r="I12" i="37"/>
  <c r="H12" i="37"/>
  <c r="G12" i="37"/>
  <c r="F12" i="37"/>
  <c r="E12" i="37"/>
  <c r="D12" i="37"/>
  <c r="C12" i="37"/>
  <c r="B12" i="37"/>
  <c r="W11" i="37"/>
  <c r="U11" i="37"/>
  <c r="I11" i="37"/>
  <c r="H11" i="37"/>
  <c r="G11" i="37"/>
  <c r="F11" i="37"/>
  <c r="E11" i="37"/>
  <c r="D11" i="37"/>
  <c r="C11" i="37"/>
  <c r="B11" i="37"/>
  <c r="W10" i="37"/>
  <c r="Y10" i="37" s="1"/>
  <c r="Q10" i="37"/>
  <c r="P10" i="37"/>
  <c r="O10" i="37"/>
  <c r="N10" i="37"/>
  <c r="M10" i="37"/>
  <c r="U10" i="37" s="1"/>
  <c r="L10" i="37"/>
  <c r="K10" i="37"/>
  <c r="J10" i="37"/>
  <c r="I10" i="37"/>
  <c r="H10" i="37"/>
  <c r="G10" i="37"/>
  <c r="F10" i="37"/>
  <c r="E10" i="37"/>
  <c r="D10" i="37"/>
  <c r="C10" i="37"/>
  <c r="B10" i="37"/>
  <c r="W9" i="37"/>
  <c r="Y9" i="37" s="1"/>
  <c r="Q9" i="37"/>
  <c r="P9" i="37"/>
  <c r="O9" i="37"/>
  <c r="N9" i="37"/>
  <c r="M9" i="37"/>
  <c r="U9" i="37" s="1"/>
  <c r="L9" i="37"/>
  <c r="K9" i="37"/>
  <c r="J9" i="37"/>
  <c r="I9" i="37"/>
  <c r="H9" i="37"/>
  <c r="G9" i="37"/>
  <c r="F9" i="37"/>
  <c r="E9" i="37"/>
  <c r="D9" i="37"/>
  <c r="C9" i="37"/>
  <c r="B9" i="37"/>
  <c r="W8" i="37"/>
  <c r="Y8" i="37" s="1"/>
  <c r="U8" i="37"/>
  <c r="I8" i="37"/>
  <c r="H8" i="37"/>
  <c r="G8" i="37"/>
  <c r="F8" i="37"/>
  <c r="E8" i="37"/>
  <c r="D8" i="37"/>
  <c r="C8" i="37"/>
  <c r="B8" i="37"/>
  <c r="W7" i="37"/>
  <c r="Y7" i="37" s="1"/>
  <c r="Q7" i="37"/>
  <c r="P7" i="37"/>
  <c r="O7" i="37"/>
  <c r="N7" i="37"/>
  <c r="M7" i="37"/>
  <c r="U7" i="37" s="1"/>
  <c r="L7" i="37"/>
  <c r="K7" i="37"/>
  <c r="J7" i="37"/>
  <c r="I7" i="37"/>
  <c r="H7" i="37"/>
  <c r="G7" i="37"/>
  <c r="F7" i="37"/>
  <c r="E7" i="37"/>
  <c r="D7" i="37"/>
  <c r="C7" i="37"/>
  <c r="B7" i="37"/>
  <c r="W6" i="37"/>
  <c r="Y6" i="37" s="1"/>
  <c r="Q6" i="37"/>
  <c r="P6" i="37"/>
  <c r="O6" i="37"/>
  <c r="N6" i="37"/>
  <c r="M6" i="37"/>
  <c r="U6" i="37" s="1"/>
  <c r="L6" i="37"/>
  <c r="K6" i="37"/>
  <c r="J6" i="37"/>
  <c r="I6" i="37"/>
  <c r="H6" i="37"/>
  <c r="G6" i="37"/>
  <c r="F6" i="37"/>
  <c r="E6" i="37"/>
  <c r="D6" i="37"/>
  <c r="C6" i="37"/>
  <c r="B6" i="37"/>
  <c r="W5" i="37"/>
  <c r="Y5" i="37" s="1"/>
  <c r="U5" i="37"/>
  <c r="I5" i="37"/>
  <c r="H5" i="37"/>
  <c r="G5" i="37"/>
  <c r="F5" i="37"/>
  <c r="E5" i="37"/>
  <c r="D5" i="37"/>
  <c r="C5" i="37"/>
  <c r="B5" i="37"/>
  <c r="W4" i="37"/>
  <c r="Q4" i="37"/>
  <c r="P4" i="37"/>
  <c r="O4" i="37"/>
  <c r="N4" i="37"/>
  <c r="M4" i="37"/>
  <c r="U4" i="37" s="1"/>
  <c r="L4" i="37"/>
  <c r="K4" i="37"/>
  <c r="J4" i="37"/>
  <c r="I4" i="37"/>
  <c r="H4" i="37"/>
  <c r="G4" i="37"/>
  <c r="F4" i="37"/>
  <c r="E4" i="37"/>
  <c r="D4" i="37"/>
  <c r="C4" i="37"/>
  <c r="B4" i="37"/>
  <c r="W3" i="37"/>
  <c r="Q3" i="37"/>
  <c r="P3" i="37"/>
  <c r="O3" i="37"/>
  <c r="N3" i="37"/>
  <c r="M3" i="37"/>
  <c r="U3" i="37" s="1"/>
  <c r="L3" i="37"/>
  <c r="K3" i="37"/>
  <c r="J3" i="37"/>
  <c r="I3" i="37"/>
  <c r="H3" i="37"/>
  <c r="G3" i="37"/>
  <c r="F3" i="37"/>
  <c r="E3" i="37"/>
  <c r="D3" i="37"/>
  <c r="C3" i="37"/>
  <c r="B3" i="37"/>
  <c r="W2" i="37"/>
  <c r="I2" i="37"/>
  <c r="H2" i="37"/>
  <c r="G2" i="37"/>
  <c r="F2" i="37"/>
  <c r="E2" i="37"/>
  <c r="D2" i="37"/>
  <c r="C2" i="37"/>
  <c r="B2" i="37"/>
  <c r="C5" i="36"/>
  <c r="E25" i="36" s="1"/>
  <c r="E3" i="36"/>
  <c r="E24" i="36" s="1"/>
  <c r="E31" i="35"/>
  <c r="E24" i="35"/>
  <c r="C5" i="35"/>
  <c r="E25" i="35" s="1"/>
  <c r="E3" i="35"/>
  <c r="E30" i="35" s="1"/>
  <c r="E24" i="34"/>
  <c r="C5" i="34"/>
  <c r="E3" i="34"/>
  <c r="E30" i="34" s="1"/>
  <c r="E30" i="33"/>
  <c r="C5" i="33"/>
  <c r="E31" i="33" s="1"/>
  <c r="E3" i="33"/>
  <c r="E24" i="33" s="1"/>
  <c r="E30" i="32"/>
  <c r="C5" i="32"/>
  <c r="E25" i="32" s="1"/>
  <c r="E3" i="32"/>
  <c r="E24" i="32" s="1"/>
  <c r="E25" i="31"/>
  <c r="C5" i="31"/>
  <c r="E31" i="31" s="1"/>
  <c r="E3" i="31"/>
  <c r="E24" i="30"/>
  <c r="C5" i="30"/>
  <c r="E31" i="30" s="1"/>
  <c r="E3" i="30"/>
  <c r="E30" i="30" s="1"/>
  <c r="E24" i="29"/>
  <c r="C5" i="29"/>
  <c r="E31" i="29" s="1"/>
  <c r="E3" i="29"/>
  <c r="E30" i="29" s="1"/>
  <c r="C5" i="28"/>
  <c r="E3" i="28"/>
  <c r="E30" i="28" s="1"/>
  <c r="C5" i="27"/>
  <c r="E25" i="27" s="1"/>
  <c r="E3" i="27"/>
  <c r="E31" i="26"/>
  <c r="C5" i="26"/>
  <c r="E25" i="26" s="1"/>
  <c r="E3" i="26"/>
  <c r="E31" i="25"/>
  <c r="C5" i="25"/>
  <c r="E25" i="25" s="1"/>
  <c r="E3" i="25"/>
  <c r="E30" i="25" s="1"/>
  <c r="C5" i="24"/>
  <c r="E31" i="24" s="1"/>
  <c r="E3" i="24"/>
  <c r="E30" i="24" s="1"/>
  <c r="E25" i="23"/>
  <c r="C5" i="23"/>
  <c r="E31" i="23" s="1"/>
  <c r="E3" i="23"/>
  <c r="E24" i="23" s="1"/>
  <c r="C5" i="22"/>
  <c r="E3" i="22"/>
  <c r="E24" i="22" s="1"/>
  <c r="X979" i="21"/>
  <c r="T979" i="21"/>
  <c r="S979" i="21"/>
  <c r="Q979" i="21" s="1"/>
  <c r="O979" i="21" s="1"/>
  <c r="R979" i="21"/>
  <c r="P979" i="21"/>
  <c r="M979" i="21"/>
  <c r="L979" i="21"/>
  <c r="X978" i="21"/>
  <c r="T978" i="21"/>
  <c r="S978" i="21"/>
  <c r="Q978" i="21" s="1"/>
  <c r="O978" i="21" s="1"/>
  <c r="R978" i="21"/>
  <c r="P978" i="21"/>
  <c r="N978" i="21"/>
  <c r="M978" i="21"/>
  <c r="L978" i="21"/>
  <c r="X977" i="21"/>
  <c r="T977" i="21"/>
  <c r="S977" i="21"/>
  <c r="Q977" i="21" s="1"/>
  <c r="O977" i="21" s="1"/>
  <c r="R977" i="21"/>
  <c r="P977" i="21"/>
  <c r="N977" i="21"/>
  <c r="M977" i="21"/>
  <c r="L977" i="21"/>
  <c r="X976" i="21"/>
  <c r="T976" i="21"/>
  <c r="S976" i="21"/>
  <c r="R976" i="21"/>
  <c r="N976" i="21" s="1"/>
  <c r="Q976" i="21"/>
  <c r="O976" i="21" s="1"/>
  <c r="P976" i="21"/>
  <c r="M976" i="21"/>
  <c r="L976" i="21"/>
  <c r="X975" i="21"/>
  <c r="T975" i="21"/>
  <c r="S975" i="21"/>
  <c r="Q975" i="21" s="1"/>
  <c r="O975" i="21" s="1"/>
  <c r="R975" i="21"/>
  <c r="P975" i="21"/>
  <c r="M975" i="21"/>
  <c r="L975" i="21"/>
  <c r="X974" i="21"/>
  <c r="T974" i="21"/>
  <c r="S974" i="21"/>
  <c r="Q974" i="21" s="1"/>
  <c r="O974" i="21" s="1"/>
  <c r="R974" i="21"/>
  <c r="P974" i="21"/>
  <c r="N974" i="21"/>
  <c r="M974" i="21"/>
  <c r="L974" i="21"/>
  <c r="X973" i="21"/>
  <c r="T973" i="21"/>
  <c r="S973" i="21"/>
  <c r="Q973" i="21" s="1"/>
  <c r="O973" i="21" s="1"/>
  <c r="R973" i="21"/>
  <c r="P973" i="21"/>
  <c r="N973" i="21"/>
  <c r="M973" i="21"/>
  <c r="L973" i="21"/>
  <c r="X972" i="21"/>
  <c r="T972" i="21"/>
  <c r="S972" i="21"/>
  <c r="R972" i="21"/>
  <c r="N972" i="21" s="1"/>
  <c r="Q972" i="21"/>
  <c r="O972" i="21" s="1"/>
  <c r="P972" i="21"/>
  <c r="M972" i="21"/>
  <c r="L972" i="21"/>
  <c r="X971" i="21"/>
  <c r="T971" i="21"/>
  <c r="S971" i="21"/>
  <c r="R971" i="21"/>
  <c r="P971" i="21"/>
  <c r="M971" i="21"/>
  <c r="L971" i="21"/>
  <c r="X970" i="21"/>
  <c r="T970" i="21"/>
  <c r="S970" i="21"/>
  <c r="Q970" i="21" s="1"/>
  <c r="O970" i="21" s="1"/>
  <c r="R970" i="21"/>
  <c r="P970" i="21"/>
  <c r="N970" i="21"/>
  <c r="M970" i="21"/>
  <c r="L970" i="21"/>
  <c r="X969" i="21"/>
  <c r="T969" i="21"/>
  <c r="S969" i="21"/>
  <c r="Q969" i="21" s="1"/>
  <c r="O969" i="21" s="1"/>
  <c r="R969" i="21"/>
  <c r="P969" i="21"/>
  <c r="N969" i="21"/>
  <c r="M969" i="21"/>
  <c r="L969" i="21"/>
  <c r="X968" i="21"/>
  <c r="T968" i="21"/>
  <c r="S968" i="21"/>
  <c r="R968" i="21"/>
  <c r="N968" i="21" s="1"/>
  <c r="Q968" i="21"/>
  <c r="O968" i="21" s="1"/>
  <c r="P968" i="21"/>
  <c r="M968" i="21"/>
  <c r="L968" i="21"/>
  <c r="X967" i="21"/>
  <c r="T967" i="21"/>
  <c r="S967" i="21"/>
  <c r="Q967" i="21" s="1"/>
  <c r="O967" i="21" s="1"/>
  <c r="R967" i="21"/>
  <c r="P967" i="21"/>
  <c r="M967" i="21"/>
  <c r="L967" i="21"/>
  <c r="X966" i="21"/>
  <c r="T966" i="21"/>
  <c r="S966" i="21"/>
  <c r="Q966" i="21" s="1"/>
  <c r="O966" i="21" s="1"/>
  <c r="R966" i="21"/>
  <c r="P966" i="21"/>
  <c r="N966" i="21"/>
  <c r="M966" i="21"/>
  <c r="L966" i="21"/>
  <c r="X965" i="21"/>
  <c r="T965" i="21"/>
  <c r="S965" i="21"/>
  <c r="Q965" i="21" s="1"/>
  <c r="O965" i="21" s="1"/>
  <c r="R965" i="21"/>
  <c r="P965" i="21"/>
  <c r="N965" i="21"/>
  <c r="M965" i="21"/>
  <c r="L965" i="21"/>
  <c r="X964" i="21"/>
  <c r="T964" i="21"/>
  <c r="S964" i="21"/>
  <c r="R964" i="21"/>
  <c r="N964" i="21" s="1"/>
  <c r="Q964" i="21"/>
  <c r="O964" i="21" s="1"/>
  <c r="P964" i="21"/>
  <c r="M964" i="21"/>
  <c r="L964" i="21"/>
  <c r="X963" i="21"/>
  <c r="T963" i="21"/>
  <c r="S963" i="21"/>
  <c r="Q963" i="21" s="1"/>
  <c r="O963" i="21" s="1"/>
  <c r="R963" i="21"/>
  <c r="P963" i="21"/>
  <c r="M963" i="21"/>
  <c r="L963" i="21"/>
  <c r="X962" i="21"/>
  <c r="T962" i="21"/>
  <c r="S962" i="21"/>
  <c r="Q962" i="21" s="1"/>
  <c r="O962" i="21" s="1"/>
  <c r="R962" i="21"/>
  <c r="P962" i="21"/>
  <c r="N962" i="21"/>
  <c r="M962" i="21"/>
  <c r="L962" i="21"/>
  <c r="X961" i="21"/>
  <c r="T961" i="21"/>
  <c r="S961" i="21"/>
  <c r="Q961" i="21" s="1"/>
  <c r="O961" i="21" s="1"/>
  <c r="R961" i="21"/>
  <c r="P961" i="21"/>
  <c r="N961" i="21"/>
  <c r="M961" i="21"/>
  <c r="L961" i="21"/>
  <c r="X960" i="21"/>
  <c r="T960" i="21"/>
  <c r="S960" i="21"/>
  <c r="R960" i="21"/>
  <c r="N960" i="21" s="1"/>
  <c r="Q960" i="21"/>
  <c r="O960" i="21" s="1"/>
  <c r="P960" i="21"/>
  <c r="M960" i="21"/>
  <c r="L960" i="21"/>
  <c r="X959" i="21"/>
  <c r="T959" i="21"/>
  <c r="S959" i="21"/>
  <c r="Q959" i="21" s="1"/>
  <c r="O959" i="21" s="1"/>
  <c r="R959" i="21"/>
  <c r="P959" i="21"/>
  <c r="M959" i="21"/>
  <c r="L959" i="21"/>
  <c r="X958" i="21"/>
  <c r="T958" i="21"/>
  <c r="S958" i="21"/>
  <c r="Q958" i="21" s="1"/>
  <c r="O958" i="21" s="1"/>
  <c r="R958" i="21"/>
  <c r="P958" i="21"/>
  <c r="N958" i="21"/>
  <c r="M958" i="21"/>
  <c r="L958" i="21"/>
  <c r="X957" i="21"/>
  <c r="T957" i="21"/>
  <c r="S957" i="21"/>
  <c r="Q957" i="21" s="1"/>
  <c r="O957" i="21" s="1"/>
  <c r="R957" i="21"/>
  <c r="P957" i="21"/>
  <c r="N957" i="21"/>
  <c r="M957" i="21"/>
  <c r="L957" i="21"/>
  <c r="X956" i="21"/>
  <c r="T956" i="21"/>
  <c r="S956" i="21"/>
  <c r="R956" i="21"/>
  <c r="N956" i="21" s="1"/>
  <c r="Q956" i="21"/>
  <c r="O956" i="21" s="1"/>
  <c r="P956" i="21"/>
  <c r="M956" i="21"/>
  <c r="L956" i="21"/>
  <c r="X955" i="21"/>
  <c r="T955" i="21"/>
  <c r="S955" i="21"/>
  <c r="Q955" i="21" s="1"/>
  <c r="O955" i="21" s="1"/>
  <c r="R955" i="21"/>
  <c r="P955" i="21"/>
  <c r="M955" i="21"/>
  <c r="L955" i="21"/>
  <c r="X954" i="21"/>
  <c r="T954" i="21"/>
  <c r="S954" i="21"/>
  <c r="Q954" i="21" s="1"/>
  <c r="O954" i="21" s="1"/>
  <c r="R954" i="21"/>
  <c r="P954" i="21"/>
  <c r="N954" i="21"/>
  <c r="M954" i="21"/>
  <c r="L954" i="21"/>
  <c r="X953" i="21"/>
  <c r="T953" i="21"/>
  <c r="S953" i="21"/>
  <c r="Q953" i="21" s="1"/>
  <c r="O953" i="21" s="1"/>
  <c r="R953" i="21"/>
  <c r="P953" i="21"/>
  <c r="N953" i="21"/>
  <c r="M953" i="21"/>
  <c r="L953" i="21"/>
  <c r="X952" i="21"/>
  <c r="T952" i="21"/>
  <c r="S952" i="21"/>
  <c r="R952" i="21"/>
  <c r="N952" i="21" s="1"/>
  <c r="Q952" i="21"/>
  <c r="O952" i="21" s="1"/>
  <c r="P952" i="21"/>
  <c r="M952" i="21"/>
  <c r="L952" i="21"/>
  <c r="X951" i="21"/>
  <c r="T951" i="21"/>
  <c r="S951" i="21"/>
  <c r="Q951" i="21" s="1"/>
  <c r="O951" i="21" s="1"/>
  <c r="R951" i="21"/>
  <c r="P951" i="21"/>
  <c r="M951" i="21"/>
  <c r="L951" i="21"/>
  <c r="X950" i="21"/>
  <c r="T950" i="21"/>
  <c r="Q950" i="21" s="1"/>
  <c r="O950" i="21" s="1"/>
  <c r="S950" i="21"/>
  <c r="R950" i="21"/>
  <c r="P950" i="21"/>
  <c r="N950" i="21"/>
  <c r="M950" i="21"/>
  <c r="L950" i="21"/>
  <c r="X949" i="21"/>
  <c r="T949" i="21"/>
  <c r="S949" i="21"/>
  <c r="Q949" i="21" s="1"/>
  <c r="O949" i="21" s="1"/>
  <c r="R949" i="21"/>
  <c r="P949" i="21"/>
  <c r="N949" i="21"/>
  <c r="M949" i="21"/>
  <c r="L949" i="21"/>
  <c r="X948" i="21"/>
  <c r="T948" i="21"/>
  <c r="S948" i="21"/>
  <c r="R948" i="21"/>
  <c r="N948" i="21" s="1"/>
  <c r="Q948" i="21"/>
  <c r="O948" i="21" s="1"/>
  <c r="P948" i="21"/>
  <c r="M948" i="21"/>
  <c r="L948" i="21"/>
  <c r="X947" i="21"/>
  <c r="T947" i="21"/>
  <c r="S947" i="21"/>
  <c r="R947" i="21"/>
  <c r="P947" i="21"/>
  <c r="M947" i="21"/>
  <c r="L947" i="21"/>
  <c r="X946" i="21"/>
  <c r="T946" i="21"/>
  <c r="Q946" i="21" s="1"/>
  <c r="O946" i="21" s="1"/>
  <c r="S946" i="21"/>
  <c r="R946" i="21"/>
  <c r="P946" i="21"/>
  <c r="N946" i="21"/>
  <c r="M946" i="21"/>
  <c r="L946" i="21"/>
  <c r="X945" i="21"/>
  <c r="T945" i="21"/>
  <c r="S945" i="21"/>
  <c r="Q945" i="21" s="1"/>
  <c r="O945" i="21" s="1"/>
  <c r="R945" i="21"/>
  <c r="P945" i="21"/>
  <c r="N945" i="21"/>
  <c r="M945" i="21"/>
  <c r="L945" i="21"/>
  <c r="X944" i="21"/>
  <c r="T944" i="21"/>
  <c r="S944" i="21"/>
  <c r="R944" i="21"/>
  <c r="N944" i="21" s="1"/>
  <c r="Q944" i="21"/>
  <c r="O944" i="21" s="1"/>
  <c r="P944" i="21"/>
  <c r="M944" i="21"/>
  <c r="L944" i="21"/>
  <c r="X943" i="21"/>
  <c r="T943" i="21"/>
  <c r="S943" i="21"/>
  <c r="Q943" i="21" s="1"/>
  <c r="O943" i="21" s="1"/>
  <c r="R943" i="21"/>
  <c r="P943" i="21"/>
  <c r="M943" i="21"/>
  <c r="L943" i="21"/>
  <c r="X942" i="21"/>
  <c r="T942" i="21"/>
  <c r="Q942" i="21" s="1"/>
  <c r="O942" i="21" s="1"/>
  <c r="S942" i="21"/>
  <c r="R942" i="21"/>
  <c r="P942" i="21"/>
  <c r="N942" i="21"/>
  <c r="M942" i="21"/>
  <c r="L942" i="21"/>
  <c r="X941" i="21"/>
  <c r="T941" i="21"/>
  <c r="S941" i="21"/>
  <c r="Q941" i="21" s="1"/>
  <c r="O941" i="21" s="1"/>
  <c r="R941" i="21"/>
  <c r="P941" i="21"/>
  <c r="N941" i="21"/>
  <c r="M941" i="21"/>
  <c r="L941" i="21"/>
  <c r="X940" i="21"/>
  <c r="T940" i="21"/>
  <c r="S940" i="21"/>
  <c r="R940" i="21"/>
  <c r="N940" i="21" s="1"/>
  <c r="Q940" i="21"/>
  <c r="O940" i="21" s="1"/>
  <c r="P940" i="21"/>
  <c r="M940" i="21"/>
  <c r="L940" i="21"/>
  <c r="X939" i="21"/>
  <c r="T939" i="21"/>
  <c r="S939" i="21"/>
  <c r="R939" i="21"/>
  <c r="P939" i="21"/>
  <c r="M939" i="21"/>
  <c r="L939" i="21"/>
  <c r="X938" i="21"/>
  <c r="T938" i="21"/>
  <c r="Q938" i="21" s="1"/>
  <c r="O938" i="21" s="1"/>
  <c r="S938" i="21"/>
  <c r="R938" i="21"/>
  <c r="P938" i="21"/>
  <c r="N938" i="21"/>
  <c r="M938" i="21"/>
  <c r="L938" i="21"/>
  <c r="X937" i="21"/>
  <c r="T937" i="21"/>
  <c r="S937" i="21"/>
  <c r="Q937" i="21" s="1"/>
  <c r="O937" i="21" s="1"/>
  <c r="R937" i="21"/>
  <c r="P937" i="21"/>
  <c r="N937" i="21"/>
  <c r="M937" i="21"/>
  <c r="L937" i="21"/>
  <c r="X936" i="21"/>
  <c r="T936" i="21"/>
  <c r="S936" i="21"/>
  <c r="R936" i="21"/>
  <c r="N936" i="21" s="1"/>
  <c r="Q936" i="21"/>
  <c r="O936" i="21" s="1"/>
  <c r="P936" i="21"/>
  <c r="M936" i="21"/>
  <c r="L936" i="21"/>
  <c r="X935" i="21"/>
  <c r="T935" i="21"/>
  <c r="S935" i="21"/>
  <c r="Q935" i="21" s="1"/>
  <c r="O935" i="21" s="1"/>
  <c r="R935" i="21"/>
  <c r="P935" i="21"/>
  <c r="M935" i="21"/>
  <c r="L935" i="21"/>
  <c r="X934" i="21"/>
  <c r="T934" i="21"/>
  <c r="Q934" i="21" s="1"/>
  <c r="O934" i="21" s="1"/>
  <c r="S934" i="21"/>
  <c r="R934" i="21"/>
  <c r="P934" i="21"/>
  <c r="N934" i="21"/>
  <c r="M934" i="21"/>
  <c r="L934" i="21"/>
  <c r="X933" i="21"/>
  <c r="T933" i="21"/>
  <c r="S933" i="21"/>
  <c r="Q933" i="21" s="1"/>
  <c r="O933" i="21" s="1"/>
  <c r="R933" i="21"/>
  <c r="P933" i="21"/>
  <c r="N933" i="21"/>
  <c r="M933" i="21"/>
  <c r="L933" i="21"/>
  <c r="X932" i="21"/>
  <c r="T932" i="21"/>
  <c r="S932" i="21"/>
  <c r="R932" i="21"/>
  <c r="N932" i="21" s="1"/>
  <c r="Q932" i="21"/>
  <c r="O932" i="21" s="1"/>
  <c r="P932" i="21"/>
  <c r="M932" i="21"/>
  <c r="L932" i="21"/>
  <c r="X931" i="21"/>
  <c r="T931" i="21"/>
  <c r="S931" i="21"/>
  <c r="Q931" i="21" s="1"/>
  <c r="O931" i="21" s="1"/>
  <c r="R931" i="21"/>
  <c r="P931" i="21"/>
  <c r="M931" i="21"/>
  <c r="L931" i="21"/>
  <c r="X930" i="21"/>
  <c r="T930" i="21"/>
  <c r="Q930" i="21" s="1"/>
  <c r="O930" i="21" s="1"/>
  <c r="S930" i="21"/>
  <c r="R930" i="21"/>
  <c r="P930" i="21"/>
  <c r="N930" i="21"/>
  <c r="M930" i="21"/>
  <c r="L930" i="21"/>
  <c r="X929" i="21"/>
  <c r="T929" i="21"/>
  <c r="S929" i="21"/>
  <c r="Q929" i="21" s="1"/>
  <c r="O929" i="21" s="1"/>
  <c r="R929" i="21"/>
  <c r="P929" i="21"/>
  <c r="N929" i="21"/>
  <c r="M929" i="21"/>
  <c r="L929" i="21"/>
  <c r="X928" i="21"/>
  <c r="T928" i="21"/>
  <c r="S928" i="21"/>
  <c r="R928" i="21"/>
  <c r="N928" i="21" s="1"/>
  <c r="Q928" i="21"/>
  <c r="O928" i="21" s="1"/>
  <c r="P928" i="21"/>
  <c r="M928" i="21"/>
  <c r="L928" i="21"/>
  <c r="X927" i="21"/>
  <c r="T927" i="21"/>
  <c r="S927" i="21"/>
  <c r="Q927" i="21" s="1"/>
  <c r="O927" i="21" s="1"/>
  <c r="R927" i="21"/>
  <c r="P927" i="21"/>
  <c r="M927" i="21"/>
  <c r="L927" i="21"/>
  <c r="X926" i="21"/>
  <c r="T926" i="21"/>
  <c r="Q926" i="21" s="1"/>
  <c r="O926" i="21" s="1"/>
  <c r="S926" i="21"/>
  <c r="R926" i="21"/>
  <c r="P926" i="21"/>
  <c r="N926" i="21"/>
  <c r="M926" i="21"/>
  <c r="L926" i="21"/>
  <c r="X925" i="21"/>
  <c r="T925" i="21"/>
  <c r="S925" i="21"/>
  <c r="Q925" i="21" s="1"/>
  <c r="O925" i="21" s="1"/>
  <c r="R925" i="21"/>
  <c r="P925" i="21"/>
  <c r="N925" i="21"/>
  <c r="M925" i="21"/>
  <c r="L925" i="21"/>
  <c r="X924" i="21"/>
  <c r="T924" i="21"/>
  <c r="S924" i="21"/>
  <c r="R924" i="21"/>
  <c r="N924" i="21" s="1"/>
  <c r="Q924" i="21"/>
  <c r="O924" i="21" s="1"/>
  <c r="P924" i="21"/>
  <c r="M924" i="21"/>
  <c r="L924" i="21"/>
  <c r="X923" i="21"/>
  <c r="T923" i="21"/>
  <c r="S923" i="21"/>
  <c r="Q923" i="21" s="1"/>
  <c r="O923" i="21" s="1"/>
  <c r="R923" i="21"/>
  <c r="P923" i="21"/>
  <c r="M923" i="21"/>
  <c r="L923" i="21"/>
  <c r="X922" i="21"/>
  <c r="T922" i="21"/>
  <c r="Q922" i="21" s="1"/>
  <c r="O922" i="21" s="1"/>
  <c r="S922" i="21"/>
  <c r="R922" i="21"/>
  <c r="P922" i="21"/>
  <c r="N922" i="21"/>
  <c r="M922" i="21"/>
  <c r="L922" i="21"/>
  <c r="X921" i="21"/>
  <c r="T921" i="21"/>
  <c r="S921" i="21"/>
  <c r="Q921" i="21" s="1"/>
  <c r="O921" i="21" s="1"/>
  <c r="R921" i="21"/>
  <c r="P921" i="21"/>
  <c r="N921" i="21"/>
  <c r="M921" i="21"/>
  <c r="L921" i="21"/>
  <c r="X920" i="21"/>
  <c r="T920" i="21"/>
  <c r="S920" i="21"/>
  <c r="R920" i="21"/>
  <c r="N920" i="21" s="1"/>
  <c r="Q920" i="21"/>
  <c r="O920" i="21" s="1"/>
  <c r="P920" i="21"/>
  <c r="M920" i="21"/>
  <c r="L920" i="21"/>
  <c r="X919" i="21"/>
  <c r="T919" i="21"/>
  <c r="S919" i="21"/>
  <c r="Q919" i="21" s="1"/>
  <c r="O919" i="21" s="1"/>
  <c r="R919" i="21"/>
  <c r="P919" i="21"/>
  <c r="M919" i="21"/>
  <c r="L919" i="21"/>
  <c r="X918" i="21"/>
  <c r="T918" i="21"/>
  <c r="Q918" i="21" s="1"/>
  <c r="O918" i="21" s="1"/>
  <c r="S918" i="21"/>
  <c r="R918" i="21"/>
  <c r="P918" i="21"/>
  <c r="N918" i="21"/>
  <c r="M918" i="21"/>
  <c r="L918" i="21"/>
  <c r="X917" i="21"/>
  <c r="T917" i="21"/>
  <c r="S917" i="21"/>
  <c r="Q917" i="21" s="1"/>
  <c r="O917" i="21" s="1"/>
  <c r="R917" i="21"/>
  <c r="P917" i="21"/>
  <c r="N917" i="21"/>
  <c r="M917" i="21"/>
  <c r="L917" i="21"/>
  <c r="X916" i="21"/>
  <c r="T916" i="21"/>
  <c r="S916" i="21"/>
  <c r="R916" i="21"/>
  <c r="N916" i="21" s="1"/>
  <c r="Q916" i="21"/>
  <c r="O916" i="21" s="1"/>
  <c r="P916" i="21"/>
  <c r="M916" i="21"/>
  <c r="L916" i="21"/>
  <c r="X915" i="21"/>
  <c r="T915" i="21"/>
  <c r="S915" i="21"/>
  <c r="R915" i="21"/>
  <c r="P915" i="21"/>
  <c r="M915" i="21"/>
  <c r="L915" i="21"/>
  <c r="X914" i="21"/>
  <c r="T914" i="21"/>
  <c r="Q914" i="21" s="1"/>
  <c r="O914" i="21" s="1"/>
  <c r="S914" i="21"/>
  <c r="R914" i="21"/>
  <c r="P914" i="21"/>
  <c r="N914" i="21"/>
  <c r="M914" i="21"/>
  <c r="L914" i="21"/>
  <c r="X913" i="21"/>
  <c r="T913" i="21"/>
  <c r="S913" i="21"/>
  <c r="Q913" i="21" s="1"/>
  <c r="O913" i="21" s="1"/>
  <c r="R913" i="21"/>
  <c r="P913" i="21"/>
  <c r="N913" i="21"/>
  <c r="M913" i="21"/>
  <c r="L913" i="21"/>
  <c r="X912" i="21"/>
  <c r="T912" i="21"/>
  <c r="S912" i="21"/>
  <c r="R912" i="21"/>
  <c r="N912" i="21" s="1"/>
  <c r="Q912" i="21"/>
  <c r="O912" i="21" s="1"/>
  <c r="P912" i="21"/>
  <c r="M912" i="21"/>
  <c r="L912" i="21"/>
  <c r="X911" i="21"/>
  <c r="T911" i="21"/>
  <c r="S911" i="21"/>
  <c r="Q911" i="21" s="1"/>
  <c r="O911" i="21" s="1"/>
  <c r="R911" i="21"/>
  <c r="P911" i="21"/>
  <c r="M911" i="21"/>
  <c r="L911" i="21"/>
  <c r="X910" i="21"/>
  <c r="T910" i="21"/>
  <c r="Q910" i="21" s="1"/>
  <c r="O910" i="21" s="1"/>
  <c r="S910" i="21"/>
  <c r="R910" i="21"/>
  <c r="P910" i="21"/>
  <c r="N910" i="21"/>
  <c r="M910" i="21"/>
  <c r="L910" i="21"/>
  <c r="X909" i="21"/>
  <c r="T909" i="21"/>
  <c r="S909" i="21"/>
  <c r="Q909" i="21" s="1"/>
  <c r="O909" i="21" s="1"/>
  <c r="R909" i="21"/>
  <c r="P909" i="21"/>
  <c r="N909" i="21"/>
  <c r="M909" i="21"/>
  <c r="L909" i="21"/>
  <c r="X908" i="21"/>
  <c r="T908" i="21"/>
  <c r="S908" i="21"/>
  <c r="R908" i="21"/>
  <c r="N908" i="21" s="1"/>
  <c r="Q908" i="21"/>
  <c r="O908" i="21" s="1"/>
  <c r="P908" i="21"/>
  <c r="M908" i="21"/>
  <c r="L908" i="21"/>
  <c r="X907" i="21"/>
  <c r="T907" i="21"/>
  <c r="S907" i="21"/>
  <c r="R907" i="21"/>
  <c r="P907" i="21"/>
  <c r="M907" i="21"/>
  <c r="L907" i="21"/>
  <c r="X906" i="21"/>
  <c r="T906" i="21"/>
  <c r="Q906" i="21" s="1"/>
  <c r="O906" i="21" s="1"/>
  <c r="S906" i="21"/>
  <c r="R906" i="21"/>
  <c r="P906" i="21"/>
  <c r="N906" i="21"/>
  <c r="M906" i="21"/>
  <c r="L906" i="21"/>
  <c r="X905" i="21"/>
  <c r="T905" i="21"/>
  <c r="S905" i="21"/>
  <c r="Q905" i="21" s="1"/>
  <c r="O905" i="21" s="1"/>
  <c r="R905" i="21"/>
  <c r="P905" i="21"/>
  <c r="N905" i="21"/>
  <c r="M905" i="21"/>
  <c r="L905" i="21"/>
  <c r="X904" i="21"/>
  <c r="T904" i="21"/>
  <c r="S904" i="21"/>
  <c r="R904" i="21"/>
  <c r="N904" i="21" s="1"/>
  <c r="Q904" i="21"/>
  <c r="O904" i="21" s="1"/>
  <c r="P904" i="21"/>
  <c r="M904" i="21"/>
  <c r="L904" i="21"/>
  <c r="X903" i="21"/>
  <c r="T903" i="21"/>
  <c r="S903" i="21"/>
  <c r="Q903" i="21" s="1"/>
  <c r="O903" i="21" s="1"/>
  <c r="R903" i="21"/>
  <c r="P903" i="21"/>
  <c r="M903" i="21"/>
  <c r="L903" i="21"/>
  <c r="X902" i="21"/>
  <c r="T902" i="21"/>
  <c r="Q902" i="21" s="1"/>
  <c r="O902" i="21" s="1"/>
  <c r="S902" i="21"/>
  <c r="R902" i="21"/>
  <c r="P902" i="21"/>
  <c r="N902" i="21"/>
  <c r="M902" i="21"/>
  <c r="L902" i="21"/>
  <c r="X901" i="21"/>
  <c r="T901" i="21"/>
  <c r="S901" i="21"/>
  <c r="Q901" i="21" s="1"/>
  <c r="O901" i="21" s="1"/>
  <c r="R901" i="21"/>
  <c r="P901" i="21"/>
  <c r="N901" i="21"/>
  <c r="M901" i="21"/>
  <c r="L901" i="21"/>
  <c r="X900" i="21"/>
  <c r="T900" i="21"/>
  <c r="S900" i="21"/>
  <c r="R900" i="21"/>
  <c r="N900" i="21" s="1"/>
  <c r="Q900" i="21"/>
  <c r="O900" i="21" s="1"/>
  <c r="P900" i="21"/>
  <c r="M900" i="21"/>
  <c r="L900" i="21"/>
  <c r="X899" i="21"/>
  <c r="T899" i="21"/>
  <c r="S899" i="21"/>
  <c r="Q899" i="21" s="1"/>
  <c r="O899" i="21" s="1"/>
  <c r="R899" i="21"/>
  <c r="P899" i="21"/>
  <c r="M899" i="21"/>
  <c r="L899" i="21"/>
  <c r="X898" i="21"/>
  <c r="T898" i="21"/>
  <c r="Q898" i="21" s="1"/>
  <c r="O898" i="21" s="1"/>
  <c r="S898" i="21"/>
  <c r="R898" i="21"/>
  <c r="P898" i="21"/>
  <c r="N898" i="21"/>
  <c r="M898" i="21"/>
  <c r="L898" i="21"/>
  <c r="X897" i="21"/>
  <c r="T897" i="21"/>
  <c r="S897" i="21"/>
  <c r="Q897" i="21" s="1"/>
  <c r="O897" i="21" s="1"/>
  <c r="R897" i="21"/>
  <c r="P897" i="21"/>
  <c r="N897" i="21"/>
  <c r="M897" i="21"/>
  <c r="L897" i="21"/>
  <c r="X896" i="21"/>
  <c r="T896" i="21"/>
  <c r="S896" i="21"/>
  <c r="R896" i="21"/>
  <c r="N896" i="21" s="1"/>
  <c r="Q896" i="21"/>
  <c r="O896" i="21" s="1"/>
  <c r="P896" i="21"/>
  <c r="M896" i="21"/>
  <c r="L896" i="21"/>
  <c r="X895" i="21"/>
  <c r="T895" i="21"/>
  <c r="S895" i="21"/>
  <c r="Q895" i="21" s="1"/>
  <c r="O895" i="21" s="1"/>
  <c r="R895" i="21"/>
  <c r="P895" i="21"/>
  <c r="M895" i="21"/>
  <c r="L895" i="21"/>
  <c r="X894" i="21"/>
  <c r="T894" i="21"/>
  <c r="Q894" i="21" s="1"/>
  <c r="O894" i="21" s="1"/>
  <c r="S894" i="21"/>
  <c r="R894" i="21"/>
  <c r="P894" i="21"/>
  <c r="N894" i="21"/>
  <c r="M894" i="21"/>
  <c r="L894" i="21"/>
  <c r="X893" i="21"/>
  <c r="T893" i="21"/>
  <c r="S893" i="21"/>
  <c r="Q893" i="21" s="1"/>
  <c r="O893" i="21" s="1"/>
  <c r="R893" i="21"/>
  <c r="P893" i="21"/>
  <c r="N893" i="21"/>
  <c r="M893" i="21"/>
  <c r="L893" i="21"/>
  <c r="X892" i="21"/>
  <c r="T892" i="21"/>
  <c r="S892" i="21"/>
  <c r="R892" i="21"/>
  <c r="N892" i="21" s="1"/>
  <c r="Q892" i="21"/>
  <c r="O892" i="21" s="1"/>
  <c r="P892" i="21"/>
  <c r="M892" i="21"/>
  <c r="L892" i="21"/>
  <c r="X891" i="21"/>
  <c r="T891" i="21"/>
  <c r="S891" i="21"/>
  <c r="Q891" i="21" s="1"/>
  <c r="O891" i="21" s="1"/>
  <c r="R891" i="21"/>
  <c r="P891" i="21"/>
  <c r="M891" i="21"/>
  <c r="L891" i="21"/>
  <c r="X890" i="21"/>
  <c r="T890" i="21"/>
  <c r="Q890" i="21" s="1"/>
  <c r="O890" i="21" s="1"/>
  <c r="S890" i="21"/>
  <c r="R890" i="21"/>
  <c r="P890" i="21"/>
  <c r="N890" i="21"/>
  <c r="M890" i="21"/>
  <c r="L890" i="21"/>
  <c r="X889" i="21"/>
  <c r="T889" i="21"/>
  <c r="S889" i="21"/>
  <c r="Q889" i="21" s="1"/>
  <c r="O889" i="21" s="1"/>
  <c r="R889" i="21"/>
  <c r="P889" i="21"/>
  <c r="N889" i="21"/>
  <c r="M889" i="21"/>
  <c r="L889" i="21"/>
  <c r="X888" i="21"/>
  <c r="T888" i="21"/>
  <c r="S888" i="21"/>
  <c r="R888" i="21"/>
  <c r="N888" i="21" s="1"/>
  <c r="Q888" i="21"/>
  <c r="O888" i="21" s="1"/>
  <c r="P888" i="21"/>
  <c r="M888" i="21"/>
  <c r="L888" i="21"/>
  <c r="X887" i="21"/>
  <c r="T887" i="21"/>
  <c r="S887" i="21"/>
  <c r="Q887" i="21" s="1"/>
  <c r="O887" i="21" s="1"/>
  <c r="R887" i="21"/>
  <c r="P887" i="21"/>
  <c r="M887" i="21"/>
  <c r="L887" i="21"/>
  <c r="X886" i="21"/>
  <c r="T886" i="21"/>
  <c r="Q886" i="21" s="1"/>
  <c r="O886" i="21" s="1"/>
  <c r="S886" i="21"/>
  <c r="R886" i="21"/>
  <c r="P886" i="21"/>
  <c r="N886" i="21"/>
  <c r="M886" i="21"/>
  <c r="L886" i="21"/>
  <c r="X885" i="21"/>
  <c r="T885" i="21"/>
  <c r="S885" i="21"/>
  <c r="Q885" i="21" s="1"/>
  <c r="O885" i="21" s="1"/>
  <c r="R885" i="21"/>
  <c r="P885" i="21"/>
  <c r="N885" i="21"/>
  <c r="M885" i="21"/>
  <c r="L885" i="21"/>
  <c r="X884" i="21"/>
  <c r="T884" i="21"/>
  <c r="S884" i="21"/>
  <c r="R884" i="21"/>
  <c r="N884" i="21" s="1"/>
  <c r="Q884" i="21"/>
  <c r="O884" i="21" s="1"/>
  <c r="P884" i="21"/>
  <c r="M884" i="21"/>
  <c r="L884" i="21"/>
  <c r="X883" i="21"/>
  <c r="T883" i="21"/>
  <c r="S883" i="21"/>
  <c r="R883" i="21"/>
  <c r="P883" i="21"/>
  <c r="M883" i="21"/>
  <c r="L883" i="21"/>
  <c r="X882" i="21"/>
  <c r="T882" i="21"/>
  <c r="Q882" i="21" s="1"/>
  <c r="O882" i="21" s="1"/>
  <c r="S882" i="21"/>
  <c r="R882" i="21"/>
  <c r="P882" i="21"/>
  <c r="N882" i="21"/>
  <c r="M882" i="21"/>
  <c r="L882" i="21"/>
  <c r="X881" i="21"/>
  <c r="T881" i="21"/>
  <c r="S881" i="21"/>
  <c r="Q881" i="21" s="1"/>
  <c r="O881" i="21" s="1"/>
  <c r="R881" i="21"/>
  <c r="P881" i="21"/>
  <c r="N881" i="21"/>
  <c r="M881" i="21"/>
  <c r="L881" i="21"/>
  <c r="X880" i="21"/>
  <c r="T880" i="21"/>
  <c r="S880" i="21"/>
  <c r="R880" i="21"/>
  <c r="N880" i="21" s="1"/>
  <c r="Q880" i="21"/>
  <c r="O880" i="21" s="1"/>
  <c r="P880" i="21"/>
  <c r="M880" i="21"/>
  <c r="L880" i="21"/>
  <c r="X879" i="21"/>
  <c r="T879" i="21"/>
  <c r="S879" i="21"/>
  <c r="Q879" i="21" s="1"/>
  <c r="O879" i="21" s="1"/>
  <c r="R879" i="21"/>
  <c r="P879" i="21"/>
  <c r="M879" i="21"/>
  <c r="L879" i="21"/>
  <c r="X878" i="21"/>
  <c r="T878" i="21"/>
  <c r="Q878" i="21" s="1"/>
  <c r="O878" i="21" s="1"/>
  <c r="S878" i="21"/>
  <c r="R878" i="21"/>
  <c r="P878" i="21"/>
  <c r="N878" i="21"/>
  <c r="M878" i="21"/>
  <c r="L878" i="21"/>
  <c r="X877" i="21"/>
  <c r="T877" i="21"/>
  <c r="S877" i="21"/>
  <c r="Q877" i="21" s="1"/>
  <c r="O877" i="21" s="1"/>
  <c r="R877" i="21"/>
  <c r="P877" i="21"/>
  <c r="N877" i="21"/>
  <c r="M877" i="21"/>
  <c r="L877" i="21"/>
  <c r="X876" i="21"/>
  <c r="T876" i="21"/>
  <c r="S876" i="21"/>
  <c r="R876" i="21"/>
  <c r="N876" i="21" s="1"/>
  <c r="Q876" i="21"/>
  <c r="O876" i="21" s="1"/>
  <c r="P876" i="21"/>
  <c r="M876" i="21"/>
  <c r="L876" i="21"/>
  <c r="X875" i="21"/>
  <c r="T875" i="21"/>
  <c r="S875" i="21"/>
  <c r="R875" i="21"/>
  <c r="P875" i="21"/>
  <c r="M875" i="21"/>
  <c r="L875" i="21"/>
  <c r="X874" i="21"/>
  <c r="T874" i="21"/>
  <c r="Q874" i="21" s="1"/>
  <c r="O874" i="21" s="1"/>
  <c r="S874" i="21"/>
  <c r="R874" i="21"/>
  <c r="P874" i="21"/>
  <c r="N874" i="21"/>
  <c r="M874" i="21"/>
  <c r="L874" i="21"/>
  <c r="X873" i="21"/>
  <c r="T873" i="21"/>
  <c r="S873" i="21"/>
  <c r="Q873" i="21" s="1"/>
  <c r="O873" i="21" s="1"/>
  <c r="R873" i="21"/>
  <c r="P873" i="21"/>
  <c r="N873" i="21"/>
  <c r="M873" i="21"/>
  <c r="L873" i="21"/>
  <c r="X872" i="21"/>
  <c r="T872" i="21"/>
  <c r="S872" i="21"/>
  <c r="R872" i="21"/>
  <c r="N872" i="21" s="1"/>
  <c r="Q872" i="21"/>
  <c r="O872" i="21" s="1"/>
  <c r="P872" i="21"/>
  <c r="M872" i="21"/>
  <c r="L872" i="21"/>
  <c r="X871" i="21"/>
  <c r="T871" i="21"/>
  <c r="S871" i="21"/>
  <c r="Q871" i="21" s="1"/>
  <c r="O871" i="21" s="1"/>
  <c r="R871" i="21"/>
  <c r="P871" i="21"/>
  <c r="M871" i="21"/>
  <c r="L871" i="21"/>
  <c r="X870" i="21"/>
  <c r="T870" i="21"/>
  <c r="Q870" i="21" s="1"/>
  <c r="O870" i="21" s="1"/>
  <c r="S870" i="21"/>
  <c r="R870" i="21"/>
  <c r="P870" i="21"/>
  <c r="N870" i="21"/>
  <c r="M870" i="21"/>
  <c r="L870" i="21"/>
  <c r="X869" i="21"/>
  <c r="T869" i="21"/>
  <c r="S869" i="21"/>
  <c r="Q869" i="21" s="1"/>
  <c r="O869" i="21" s="1"/>
  <c r="R869" i="21"/>
  <c r="P869" i="21"/>
  <c r="N869" i="21"/>
  <c r="M869" i="21"/>
  <c r="L869" i="21"/>
  <c r="X868" i="21"/>
  <c r="T868" i="21"/>
  <c r="S868" i="21"/>
  <c r="R868" i="21"/>
  <c r="N868" i="21" s="1"/>
  <c r="Q868" i="21"/>
  <c r="O868" i="21" s="1"/>
  <c r="P868" i="21"/>
  <c r="M868" i="21"/>
  <c r="L868" i="21"/>
  <c r="X867" i="21"/>
  <c r="T867" i="21"/>
  <c r="S867" i="21"/>
  <c r="Q867" i="21" s="1"/>
  <c r="O867" i="21" s="1"/>
  <c r="R867" i="21"/>
  <c r="P867" i="21"/>
  <c r="M867" i="21"/>
  <c r="L867" i="21"/>
  <c r="X866" i="21"/>
  <c r="T866" i="21"/>
  <c r="Q866" i="21" s="1"/>
  <c r="O866" i="21" s="1"/>
  <c r="S866" i="21"/>
  <c r="R866" i="21"/>
  <c r="P866" i="21"/>
  <c r="N866" i="21"/>
  <c r="M866" i="21"/>
  <c r="L866" i="21"/>
  <c r="X865" i="21"/>
  <c r="T865" i="21"/>
  <c r="S865" i="21"/>
  <c r="Q865" i="21" s="1"/>
  <c r="O865" i="21" s="1"/>
  <c r="R865" i="21"/>
  <c r="P865" i="21"/>
  <c r="N865" i="21"/>
  <c r="M865" i="21"/>
  <c r="L865" i="21"/>
  <c r="X864" i="21"/>
  <c r="T864" i="21"/>
  <c r="S864" i="21"/>
  <c r="R864" i="21"/>
  <c r="N864" i="21" s="1"/>
  <c r="Q864" i="21"/>
  <c r="O864" i="21" s="1"/>
  <c r="P864" i="21"/>
  <c r="M864" i="21"/>
  <c r="L864" i="21"/>
  <c r="X863" i="21"/>
  <c r="T863" i="21"/>
  <c r="S863" i="21"/>
  <c r="Q863" i="21" s="1"/>
  <c r="O863" i="21" s="1"/>
  <c r="R863" i="21"/>
  <c r="P863" i="21"/>
  <c r="M863" i="21"/>
  <c r="L863" i="21"/>
  <c r="X862" i="21"/>
  <c r="T862" i="21"/>
  <c r="Q862" i="21" s="1"/>
  <c r="O862" i="21" s="1"/>
  <c r="S862" i="21"/>
  <c r="R862" i="21"/>
  <c r="P862" i="21"/>
  <c r="N862" i="21"/>
  <c r="M862" i="21"/>
  <c r="L862" i="21"/>
  <c r="X861" i="21"/>
  <c r="T861" i="21"/>
  <c r="S861" i="21"/>
  <c r="Q861" i="21" s="1"/>
  <c r="O861" i="21" s="1"/>
  <c r="R861" i="21"/>
  <c r="P861" i="21"/>
  <c r="N861" i="21"/>
  <c r="M861" i="21"/>
  <c r="L861" i="21"/>
  <c r="X860" i="21"/>
  <c r="T860" i="21"/>
  <c r="S860" i="21"/>
  <c r="R860" i="21"/>
  <c r="N860" i="21" s="1"/>
  <c r="Q860" i="21"/>
  <c r="O860" i="21" s="1"/>
  <c r="P860" i="21"/>
  <c r="M860" i="21"/>
  <c r="L860" i="21"/>
  <c r="X859" i="21"/>
  <c r="T859" i="21"/>
  <c r="S859" i="21"/>
  <c r="Q859" i="21" s="1"/>
  <c r="O859" i="21" s="1"/>
  <c r="R859" i="21"/>
  <c r="P859" i="21"/>
  <c r="M859" i="21"/>
  <c r="L859" i="21"/>
  <c r="X858" i="21"/>
  <c r="T858" i="21"/>
  <c r="Q858" i="21" s="1"/>
  <c r="O858" i="21" s="1"/>
  <c r="S858" i="21"/>
  <c r="R858" i="21"/>
  <c r="P858" i="21"/>
  <c r="N858" i="21"/>
  <c r="M858" i="21"/>
  <c r="L858" i="21"/>
  <c r="X857" i="21"/>
  <c r="T857" i="21"/>
  <c r="Q857" i="21" s="1"/>
  <c r="O857" i="21" s="1"/>
  <c r="S857" i="21"/>
  <c r="R857" i="21"/>
  <c r="P857" i="21"/>
  <c r="N857" i="21"/>
  <c r="M857" i="21"/>
  <c r="L857" i="21"/>
  <c r="X856" i="21"/>
  <c r="T856" i="21"/>
  <c r="S856" i="21"/>
  <c r="R856" i="21"/>
  <c r="N856" i="21" s="1"/>
  <c r="Q856" i="21"/>
  <c r="O856" i="21" s="1"/>
  <c r="P856" i="21"/>
  <c r="M856" i="21"/>
  <c r="L856" i="21"/>
  <c r="X855" i="21"/>
  <c r="T855" i="21"/>
  <c r="S855" i="21"/>
  <c r="Q855" i="21" s="1"/>
  <c r="O855" i="21" s="1"/>
  <c r="R855" i="21"/>
  <c r="P855" i="21"/>
  <c r="M855" i="21"/>
  <c r="L855" i="21"/>
  <c r="X854" i="21"/>
  <c r="T854" i="21"/>
  <c r="S854" i="21"/>
  <c r="Q854" i="21" s="1"/>
  <c r="O854" i="21" s="1"/>
  <c r="R854" i="21"/>
  <c r="P854" i="21"/>
  <c r="N854" i="21"/>
  <c r="M854" i="21"/>
  <c r="L854" i="21"/>
  <c r="X853" i="21"/>
  <c r="T853" i="21"/>
  <c r="Q853" i="21" s="1"/>
  <c r="O853" i="21" s="1"/>
  <c r="S853" i="21"/>
  <c r="R853" i="21"/>
  <c r="P853" i="21"/>
  <c r="N853" i="21"/>
  <c r="M853" i="21"/>
  <c r="L853" i="21"/>
  <c r="X852" i="21"/>
  <c r="T852" i="21"/>
  <c r="S852" i="21"/>
  <c r="R852" i="21"/>
  <c r="N852" i="21" s="1"/>
  <c r="Q852" i="21"/>
  <c r="O852" i="21" s="1"/>
  <c r="P852" i="21"/>
  <c r="M852" i="21"/>
  <c r="L852" i="21"/>
  <c r="X851" i="21"/>
  <c r="T851" i="21"/>
  <c r="S851" i="21"/>
  <c r="R851" i="21"/>
  <c r="P851" i="21"/>
  <c r="M851" i="21"/>
  <c r="L851" i="21"/>
  <c r="X850" i="21"/>
  <c r="T850" i="21"/>
  <c r="Q850" i="21" s="1"/>
  <c r="O850" i="21" s="1"/>
  <c r="S850" i="21"/>
  <c r="R850" i="21"/>
  <c r="P850" i="21"/>
  <c r="N850" i="21"/>
  <c r="M850" i="21"/>
  <c r="L850" i="21"/>
  <c r="X849" i="21"/>
  <c r="T849" i="21"/>
  <c r="Q849" i="21" s="1"/>
  <c r="O849" i="21" s="1"/>
  <c r="S849" i="21"/>
  <c r="R849" i="21"/>
  <c r="P849" i="21"/>
  <c r="N849" i="21"/>
  <c r="M849" i="21"/>
  <c r="L849" i="21"/>
  <c r="X848" i="21"/>
  <c r="T848" i="21"/>
  <c r="S848" i="21"/>
  <c r="R848" i="21"/>
  <c r="N848" i="21" s="1"/>
  <c r="Q848" i="21"/>
  <c r="O848" i="21" s="1"/>
  <c r="P848" i="21"/>
  <c r="M848" i="21"/>
  <c r="L848" i="21"/>
  <c r="X847" i="21"/>
  <c r="T847" i="21"/>
  <c r="S847" i="21"/>
  <c r="Q847" i="21" s="1"/>
  <c r="O847" i="21" s="1"/>
  <c r="R847" i="21"/>
  <c r="P847" i="21"/>
  <c r="M847" i="21"/>
  <c r="L847" i="21"/>
  <c r="X846" i="21"/>
  <c r="T846" i="21"/>
  <c r="Q846" i="21" s="1"/>
  <c r="O846" i="21" s="1"/>
  <c r="S846" i="21"/>
  <c r="R846" i="21"/>
  <c r="P846" i="21"/>
  <c r="N846" i="21"/>
  <c r="M846" i="21"/>
  <c r="L846" i="21"/>
  <c r="X845" i="21"/>
  <c r="T845" i="21"/>
  <c r="Q845" i="21" s="1"/>
  <c r="O845" i="21" s="1"/>
  <c r="S845" i="21"/>
  <c r="R845" i="21"/>
  <c r="P845" i="21"/>
  <c r="N845" i="21"/>
  <c r="M845" i="21"/>
  <c r="L845" i="21"/>
  <c r="X844" i="21"/>
  <c r="T844" i="21"/>
  <c r="S844" i="21"/>
  <c r="R844" i="21"/>
  <c r="N844" i="21" s="1"/>
  <c r="Q844" i="21"/>
  <c r="O844" i="21" s="1"/>
  <c r="P844" i="21"/>
  <c r="M844" i="21"/>
  <c r="L844" i="21"/>
  <c r="X843" i="21"/>
  <c r="T843" i="21"/>
  <c r="S843" i="21"/>
  <c r="R843" i="21"/>
  <c r="P843" i="21"/>
  <c r="M843" i="21"/>
  <c r="L843" i="21"/>
  <c r="X842" i="21"/>
  <c r="T842" i="21"/>
  <c r="S842" i="21"/>
  <c r="Q842" i="21" s="1"/>
  <c r="O842" i="21" s="1"/>
  <c r="R842" i="21"/>
  <c r="P842" i="21"/>
  <c r="N842" i="21"/>
  <c r="M842" i="21"/>
  <c r="L842" i="21"/>
  <c r="X841" i="21"/>
  <c r="T841" i="21"/>
  <c r="Q841" i="21" s="1"/>
  <c r="O841" i="21" s="1"/>
  <c r="S841" i="21"/>
  <c r="R841" i="21"/>
  <c r="P841" i="21"/>
  <c r="N841" i="21"/>
  <c r="M841" i="21"/>
  <c r="L841" i="21"/>
  <c r="X840" i="21"/>
  <c r="T840" i="21"/>
  <c r="S840" i="21"/>
  <c r="R840" i="21"/>
  <c r="N840" i="21" s="1"/>
  <c r="Q840" i="21"/>
  <c r="O840" i="21" s="1"/>
  <c r="P840" i="21"/>
  <c r="M840" i="21"/>
  <c r="L840" i="21"/>
  <c r="X839" i="21"/>
  <c r="T839" i="21"/>
  <c r="S839" i="21"/>
  <c r="Q839" i="21" s="1"/>
  <c r="O839" i="21" s="1"/>
  <c r="R839" i="21"/>
  <c r="P839" i="21"/>
  <c r="M839" i="21"/>
  <c r="L839" i="21"/>
  <c r="X838" i="21"/>
  <c r="T838" i="21"/>
  <c r="S838" i="21"/>
  <c r="Q838" i="21" s="1"/>
  <c r="O838" i="21" s="1"/>
  <c r="R838" i="21"/>
  <c r="P838" i="21"/>
  <c r="N838" i="21"/>
  <c r="M838" i="21"/>
  <c r="L838" i="21"/>
  <c r="X837" i="21"/>
  <c r="T837" i="21"/>
  <c r="Q837" i="21" s="1"/>
  <c r="O837" i="21" s="1"/>
  <c r="S837" i="21"/>
  <c r="R837" i="21"/>
  <c r="P837" i="21"/>
  <c r="N837" i="21"/>
  <c r="M837" i="21"/>
  <c r="L837" i="21"/>
  <c r="X836" i="21"/>
  <c r="T836" i="21"/>
  <c r="S836" i="21"/>
  <c r="R836" i="21"/>
  <c r="N836" i="21" s="1"/>
  <c r="Q836" i="21"/>
  <c r="O836" i="21" s="1"/>
  <c r="P836" i="21"/>
  <c r="M836" i="21"/>
  <c r="L836" i="21"/>
  <c r="X835" i="21"/>
  <c r="T835" i="21"/>
  <c r="S835" i="21"/>
  <c r="R835" i="21"/>
  <c r="P835" i="21"/>
  <c r="M835" i="21"/>
  <c r="L835" i="21"/>
  <c r="X834" i="21"/>
  <c r="T834" i="21"/>
  <c r="Q834" i="21" s="1"/>
  <c r="O834" i="21" s="1"/>
  <c r="S834" i="21"/>
  <c r="R834" i="21"/>
  <c r="P834" i="21"/>
  <c r="N834" i="21"/>
  <c r="M834" i="21"/>
  <c r="L834" i="21"/>
  <c r="X833" i="21"/>
  <c r="T833" i="21"/>
  <c r="Q833" i="21" s="1"/>
  <c r="O833" i="21" s="1"/>
  <c r="S833" i="21"/>
  <c r="R833" i="21"/>
  <c r="P833" i="21"/>
  <c r="N833" i="21"/>
  <c r="M833" i="21"/>
  <c r="L833" i="21"/>
  <c r="X832" i="21"/>
  <c r="T832" i="21"/>
  <c r="S832" i="21"/>
  <c r="R832" i="21"/>
  <c r="N832" i="21" s="1"/>
  <c r="Q832" i="21"/>
  <c r="O832" i="21" s="1"/>
  <c r="P832" i="21"/>
  <c r="M832" i="21"/>
  <c r="L832" i="21"/>
  <c r="X831" i="21"/>
  <c r="T831" i="21"/>
  <c r="S831" i="21"/>
  <c r="R831" i="21"/>
  <c r="P831" i="21"/>
  <c r="M831" i="21"/>
  <c r="L831" i="21"/>
  <c r="X830" i="21"/>
  <c r="T830" i="21"/>
  <c r="S830" i="21"/>
  <c r="R830" i="21"/>
  <c r="P830" i="21"/>
  <c r="N830" i="21"/>
  <c r="M830" i="21"/>
  <c r="L830" i="21"/>
  <c r="X829" i="21"/>
  <c r="T829" i="21"/>
  <c r="Q829" i="21" s="1"/>
  <c r="O829" i="21" s="1"/>
  <c r="S829" i="21"/>
  <c r="R829" i="21"/>
  <c r="P829" i="21"/>
  <c r="N829" i="21"/>
  <c r="M829" i="21"/>
  <c r="L829" i="21"/>
  <c r="X828" i="21"/>
  <c r="T828" i="21"/>
  <c r="S828" i="21"/>
  <c r="R828" i="21"/>
  <c r="N828" i="21" s="1"/>
  <c r="Q828" i="21"/>
  <c r="O828" i="21" s="1"/>
  <c r="P828" i="21"/>
  <c r="M828" i="21"/>
  <c r="L828" i="21"/>
  <c r="X827" i="21"/>
  <c r="T827" i="21"/>
  <c r="S827" i="21"/>
  <c r="R827" i="21"/>
  <c r="P827" i="21"/>
  <c r="M827" i="21"/>
  <c r="L827" i="21"/>
  <c r="X826" i="21"/>
  <c r="T826" i="21"/>
  <c r="S826" i="21"/>
  <c r="R826" i="21"/>
  <c r="P826" i="21"/>
  <c r="N826" i="21"/>
  <c r="M826" i="21"/>
  <c r="L826" i="21"/>
  <c r="X825" i="21"/>
  <c r="T825" i="21"/>
  <c r="Q825" i="21" s="1"/>
  <c r="O825" i="21" s="1"/>
  <c r="S825" i="21"/>
  <c r="R825" i="21"/>
  <c r="P825" i="21"/>
  <c r="N825" i="21"/>
  <c r="M825" i="21"/>
  <c r="L825" i="21"/>
  <c r="X824" i="21"/>
  <c r="T824" i="21"/>
  <c r="S824" i="21"/>
  <c r="R824" i="21"/>
  <c r="N824" i="21" s="1"/>
  <c r="Q824" i="21"/>
  <c r="O824" i="21" s="1"/>
  <c r="P824" i="21"/>
  <c r="M824" i="21"/>
  <c r="L824" i="21"/>
  <c r="X823" i="21"/>
  <c r="T823" i="21"/>
  <c r="S823" i="21"/>
  <c r="R823" i="21"/>
  <c r="P823" i="21"/>
  <c r="M823" i="21"/>
  <c r="L823" i="21"/>
  <c r="X822" i="21"/>
  <c r="T822" i="21"/>
  <c r="Q822" i="21" s="1"/>
  <c r="O822" i="21" s="1"/>
  <c r="S822" i="21"/>
  <c r="R822" i="21"/>
  <c r="P822" i="21"/>
  <c r="N822" i="21"/>
  <c r="M822" i="21"/>
  <c r="L822" i="21"/>
  <c r="X821" i="21"/>
  <c r="T821" i="21"/>
  <c r="S821" i="21"/>
  <c r="Q821" i="21" s="1"/>
  <c r="R821" i="21"/>
  <c r="P821" i="21"/>
  <c r="O821" i="21"/>
  <c r="N821" i="21"/>
  <c r="M821" i="21"/>
  <c r="L821" i="21"/>
  <c r="X820" i="21"/>
  <c r="T820" i="21"/>
  <c r="S820" i="21"/>
  <c r="R820" i="21"/>
  <c r="N820" i="21" s="1"/>
  <c r="Q820" i="21"/>
  <c r="O820" i="21" s="1"/>
  <c r="P820" i="21"/>
  <c r="M820" i="21"/>
  <c r="L820" i="21"/>
  <c r="X819" i="21"/>
  <c r="T819" i="21"/>
  <c r="S819" i="21"/>
  <c r="R819" i="21"/>
  <c r="P819" i="21"/>
  <c r="M819" i="21"/>
  <c r="L819" i="21"/>
  <c r="X818" i="21"/>
  <c r="T818" i="21"/>
  <c r="Q818" i="21" s="1"/>
  <c r="O818" i="21" s="1"/>
  <c r="S818" i="21"/>
  <c r="R818" i="21"/>
  <c r="P818" i="21"/>
  <c r="N818" i="21"/>
  <c r="M818" i="21"/>
  <c r="L818" i="21"/>
  <c r="X817" i="21"/>
  <c r="T817" i="21"/>
  <c r="S817" i="21"/>
  <c r="Q817" i="21" s="1"/>
  <c r="R817" i="21"/>
  <c r="P817" i="21"/>
  <c r="O817" i="21"/>
  <c r="N817" i="21"/>
  <c r="M817" i="21"/>
  <c r="L817" i="21"/>
  <c r="X816" i="21"/>
  <c r="T816" i="21"/>
  <c r="S816" i="21"/>
  <c r="R816" i="21"/>
  <c r="N816" i="21" s="1"/>
  <c r="Q816" i="21"/>
  <c r="O816" i="21" s="1"/>
  <c r="P816" i="21"/>
  <c r="M816" i="21"/>
  <c r="L816" i="21"/>
  <c r="X815" i="21"/>
  <c r="T815" i="21"/>
  <c r="S815" i="21"/>
  <c r="R815" i="21"/>
  <c r="P815" i="21"/>
  <c r="M815" i="21"/>
  <c r="L815" i="21"/>
  <c r="X814" i="21"/>
  <c r="T814" i="21"/>
  <c r="S814" i="21"/>
  <c r="R814" i="21"/>
  <c r="P814" i="21"/>
  <c r="N814" i="21"/>
  <c r="M814" i="21"/>
  <c r="L814" i="21"/>
  <c r="X813" i="21"/>
  <c r="T813" i="21"/>
  <c r="S813" i="21"/>
  <c r="Q813" i="21" s="1"/>
  <c r="R813" i="21"/>
  <c r="P813" i="21"/>
  <c r="O813" i="21"/>
  <c r="N813" i="21"/>
  <c r="M813" i="21"/>
  <c r="L813" i="21"/>
  <c r="X812" i="21"/>
  <c r="T812" i="21"/>
  <c r="S812" i="21"/>
  <c r="R812" i="21"/>
  <c r="N812" i="21" s="1"/>
  <c r="Q812" i="21"/>
  <c r="O812" i="21" s="1"/>
  <c r="P812" i="21"/>
  <c r="M812" i="21"/>
  <c r="L812" i="21"/>
  <c r="X811" i="21"/>
  <c r="T811" i="21"/>
  <c r="S811" i="21"/>
  <c r="R811" i="21"/>
  <c r="P811" i="21"/>
  <c r="M811" i="21"/>
  <c r="L811" i="21"/>
  <c r="X810" i="21"/>
  <c r="T810" i="21"/>
  <c r="S810" i="21"/>
  <c r="R810" i="21"/>
  <c r="P810" i="21"/>
  <c r="N810" i="21"/>
  <c r="M810" i="21"/>
  <c r="L810" i="21"/>
  <c r="X809" i="21"/>
  <c r="T809" i="21"/>
  <c r="S809" i="21"/>
  <c r="Q809" i="21" s="1"/>
  <c r="R809" i="21"/>
  <c r="P809" i="21"/>
  <c r="O809" i="21"/>
  <c r="N809" i="21"/>
  <c r="M809" i="21"/>
  <c r="L809" i="21"/>
  <c r="X808" i="21"/>
  <c r="T808" i="21"/>
  <c r="S808" i="21"/>
  <c r="R808" i="21"/>
  <c r="N808" i="21" s="1"/>
  <c r="Q808" i="21"/>
  <c r="O808" i="21" s="1"/>
  <c r="P808" i="21"/>
  <c r="M808" i="21"/>
  <c r="L808" i="21"/>
  <c r="X807" i="21"/>
  <c r="T807" i="21"/>
  <c r="S807" i="21"/>
  <c r="R807" i="21"/>
  <c r="P807" i="21"/>
  <c r="M807" i="21"/>
  <c r="L807" i="21"/>
  <c r="X806" i="21"/>
  <c r="T806" i="21"/>
  <c r="S806" i="21"/>
  <c r="R806" i="21"/>
  <c r="P806" i="21"/>
  <c r="N806" i="21"/>
  <c r="M806" i="21"/>
  <c r="L806" i="21"/>
  <c r="X805" i="21"/>
  <c r="T805" i="21"/>
  <c r="S805" i="21"/>
  <c r="Q805" i="21" s="1"/>
  <c r="R805" i="21"/>
  <c r="P805" i="21"/>
  <c r="O805" i="21"/>
  <c r="N805" i="21"/>
  <c r="M805" i="21"/>
  <c r="L805" i="21"/>
  <c r="X804" i="21"/>
  <c r="T804" i="21"/>
  <c r="S804" i="21"/>
  <c r="R804" i="21"/>
  <c r="N804" i="21" s="1"/>
  <c r="Q804" i="21"/>
  <c r="O804" i="21" s="1"/>
  <c r="P804" i="21"/>
  <c r="M804" i="21"/>
  <c r="L804" i="21"/>
  <c r="X803" i="21"/>
  <c r="T803" i="21"/>
  <c r="S803" i="21"/>
  <c r="R803" i="21"/>
  <c r="P803" i="21"/>
  <c r="M803" i="21"/>
  <c r="L803" i="21"/>
  <c r="X802" i="21"/>
  <c r="T802" i="21"/>
  <c r="S802" i="21"/>
  <c r="Q802" i="21" s="1"/>
  <c r="O802" i="21" s="1"/>
  <c r="R802" i="21"/>
  <c r="P802" i="21"/>
  <c r="N802" i="21"/>
  <c r="M802" i="21"/>
  <c r="L802" i="21"/>
  <c r="X801" i="21"/>
  <c r="T801" i="21"/>
  <c r="S801" i="21"/>
  <c r="Q801" i="21" s="1"/>
  <c r="R801" i="21"/>
  <c r="P801" i="21"/>
  <c r="O801" i="21"/>
  <c r="N801" i="21"/>
  <c r="M801" i="21"/>
  <c r="L801" i="21"/>
  <c r="X800" i="21"/>
  <c r="T800" i="21"/>
  <c r="S800" i="21"/>
  <c r="R800" i="21"/>
  <c r="N800" i="21" s="1"/>
  <c r="Q800" i="21"/>
  <c r="O800" i="21" s="1"/>
  <c r="P800" i="21"/>
  <c r="M800" i="21"/>
  <c r="L800" i="21"/>
  <c r="X799" i="21"/>
  <c r="T799" i="21"/>
  <c r="S799" i="21"/>
  <c r="R799" i="21"/>
  <c r="P799" i="21"/>
  <c r="M799" i="21"/>
  <c r="L799" i="21"/>
  <c r="X798" i="21"/>
  <c r="T798" i="21"/>
  <c r="S798" i="21"/>
  <c r="Q798" i="21" s="1"/>
  <c r="O798" i="21" s="1"/>
  <c r="R798" i="21"/>
  <c r="P798" i="21"/>
  <c r="N798" i="21"/>
  <c r="M798" i="21"/>
  <c r="L798" i="21"/>
  <c r="X797" i="21"/>
  <c r="T797" i="21"/>
  <c r="S797" i="21"/>
  <c r="Q797" i="21" s="1"/>
  <c r="R797" i="21"/>
  <c r="P797" i="21"/>
  <c r="O797" i="21"/>
  <c r="N797" i="21"/>
  <c r="M797" i="21"/>
  <c r="L797" i="21"/>
  <c r="X796" i="21"/>
  <c r="T796" i="21"/>
  <c r="S796" i="21"/>
  <c r="R796" i="21"/>
  <c r="N796" i="21" s="1"/>
  <c r="Q796" i="21"/>
  <c r="O796" i="21" s="1"/>
  <c r="P796" i="21"/>
  <c r="M796" i="21"/>
  <c r="L796" i="21"/>
  <c r="X795" i="21"/>
  <c r="T795" i="21"/>
  <c r="S795" i="21"/>
  <c r="R795" i="21"/>
  <c r="P795" i="21"/>
  <c r="M795" i="21"/>
  <c r="L795" i="21"/>
  <c r="X794" i="21"/>
  <c r="T794" i="21"/>
  <c r="S794" i="21"/>
  <c r="Q794" i="21" s="1"/>
  <c r="O794" i="21" s="1"/>
  <c r="R794" i="21"/>
  <c r="P794" i="21"/>
  <c r="N794" i="21"/>
  <c r="M794" i="21"/>
  <c r="L794" i="21"/>
  <c r="X793" i="21"/>
  <c r="T793" i="21"/>
  <c r="S793" i="21"/>
  <c r="Q793" i="21" s="1"/>
  <c r="R793" i="21"/>
  <c r="P793" i="21"/>
  <c r="O793" i="21"/>
  <c r="N793" i="21"/>
  <c r="M793" i="21"/>
  <c r="L793" i="21"/>
  <c r="X792" i="21"/>
  <c r="T792" i="21"/>
  <c r="S792" i="21"/>
  <c r="R792" i="21"/>
  <c r="N792" i="21" s="1"/>
  <c r="Q792" i="21"/>
  <c r="O792" i="21" s="1"/>
  <c r="P792" i="21"/>
  <c r="M792" i="21"/>
  <c r="L792" i="21"/>
  <c r="X791" i="21"/>
  <c r="T791" i="21"/>
  <c r="S791" i="21"/>
  <c r="R791" i="21"/>
  <c r="P791" i="21"/>
  <c r="M791" i="21"/>
  <c r="L791" i="21"/>
  <c r="X790" i="21"/>
  <c r="T790" i="21"/>
  <c r="S790" i="21"/>
  <c r="Q790" i="21" s="1"/>
  <c r="O790" i="21" s="1"/>
  <c r="R790" i="21"/>
  <c r="P790" i="21"/>
  <c r="N790" i="21"/>
  <c r="M790" i="21"/>
  <c r="L790" i="21"/>
  <c r="X789" i="21"/>
  <c r="T789" i="21"/>
  <c r="S789" i="21"/>
  <c r="Q789" i="21" s="1"/>
  <c r="R789" i="21"/>
  <c r="P789" i="21"/>
  <c r="O789" i="21"/>
  <c r="N789" i="21"/>
  <c r="M789" i="21"/>
  <c r="L789" i="21"/>
  <c r="X788" i="21"/>
  <c r="T788" i="21"/>
  <c r="S788" i="21"/>
  <c r="R788" i="21"/>
  <c r="N788" i="21" s="1"/>
  <c r="Q788" i="21"/>
  <c r="O788" i="21" s="1"/>
  <c r="P788" i="21"/>
  <c r="M788" i="21"/>
  <c r="L788" i="21"/>
  <c r="X787" i="21"/>
  <c r="T787" i="21"/>
  <c r="S787" i="21"/>
  <c r="R787" i="21"/>
  <c r="P787" i="21"/>
  <c r="M787" i="21"/>
  <c r="L787" i="21"/>
  <c r="X786" i="21"/>
  <c r="T786" i="21"/>
  <c r="S786" i="21"/>
  <c r="Q786" i="21" s="1"/>
  <c r="O786" i="21" s="1"/>
  <c r="R786" i="21"/>
  <c r="P786" i="21"/>
  <c r="N786" i="21"/>
  <c r="M786" i="21"/>
  <c r="L786" i="21"/>
  <c r="X785" i="21"/>
  <c r="T785" i="21"/>
  <c r="S785" i="21"/>
  <c r="Q785" i="21" s="1"/>
  <c r="R785" i="21"/>
  <c r="P785" i="21"/>
  <c r="O785" i="21"/>
  <c r="N785" i="21"/>
  <c r="M785" i="21"/>
  <c r="L785" i="21"/>
  <c r="X784" i="21"/>
  <c r="T784" i="21"/>
  <c r="S784" i="21"/>
  <c r="R784" i="21"/>
  <c r="N784" i="21" s="1"/>
  <c r="Q784" i="21"/>
  <c r="O784" i="21" s="1"/>
  <c r="P784" i="21"/>
  <c r="M784" i="21"/>
  <c r="L784" i="21"/>
  <c r="X783" i="21"/>
  <c r="T783" i="21"/>
  <c r="S783" i="21"/>
  <c r="R783" i="21"/>
  <c r="P783" i="21"/>
  <c r="M783" i="21"/>
  <c r="L783" i="21"/>
  <c r="X782" i="21"/>
  <c r="T782" i="21"/>
  <c r="S782" i="21"/>
  <c r="Q782" i="21" s="1"/>
  <c r="O782" i="21" s="1"/>
  <c r="R782" i="21"/>
  <c r="P782" i="21"/>
  <c r="N782" i="21"/>
  <c r="M782" i="21"/>
  <c r="L782" i="21"/>
  <c r="X781" i="21"/>
  <c r="T781" i="21"/>
  <c r="S781" i="21"/>
  <c r="Q781" i="21" s="1"/>
  <c r="R781" i="21"/>
  <c r="P781" i="21"/>
  <c r="O781" i="21"/>
  <c r="N781" i="21"/>
  <c r="M781" i="21"/>
  <c r="L781" i="21"/>
  <c r="X780" i="21"/>
  <c r="T780" i="21"/>
  <c r="S780" i="21"/>
  <c r="R780" i="21"/>
  <c r="N780" i="21" s="1"/>
  <c r="Q780" i="21"/>
  <c r="O780" i="21" s="1"/>
  <c r="P780" i="21"/>
  <c r="M780" i="21"/>
  <c r="L780" i="21"/>
  <c r="X779" i="21"/>
  <c r="T779" i="21"/>
  <c r="S779" i="21"/>
  <c r="R779" i="21"/>
  <c r="P779" i="21"/>
  <c r="M779" i="21"/>
  <c r="L779" i="21"/>
  <c r="X778" i="21"/>
  <c r="T778" i="21"/>
  <c r="S778" i="21"/>
  <c r="Q778" i="21" s="1"/>
  <c r="O778" i="21" s="1"/>
  <c r="R778" i="21"/>
  <c r="P778" i="21"/>
  <c r="N778" i="21"/>
  <c r="M778" i="21"/>
  <c r="L778" i="21"/>
  <c r="X777" i="21"/>
  <c r="T777" i="21"/>
  <c r="S777" i="21"/>
  <c r="Q777" i="21" s="1"/>
  <c r="R777" i="21"/>
  <c r="P777" i="21"/>
  <c r="O777" i="21"/>
  <c r="N777" i="21"/>
  <c r="M777" i="21"/>
  <c r="L777" i="21"/>
  <c r="X776" i="21"/>
  <c r="T776" i="21"/>
  <c r="S776" i="21"/>
  <c r="R776" i="21"/>
  <c r="N776" i="21" s="1"/>
  <c r="Q776" i="21"/>
  <c r="O776" i="21" s="1"/>
  <c r="P776" i="21"/>
  <c r="M776" i="21"/>
  <c r="L776" i="21"/>
  <c r="X775" i="21"/>
  <c r="T775" i="21"/>
  <c r="S775" i="21"/>
  <c r="R775" i="21"/>
  <c r="P775" i="21"/>
  <c r="M775" i="21"/>
  <c r="L775" i="21"/>
  <c r="X774" i="21"/>
  <c r="T774" i="21"/>
  <c r="Q774" i="21" s="1"/>
  <c r="O774" i="21" s="1"/>
  <c r="S774" i="21"/>
  <c r="R774" i="21"/>
  <c r="P774" i="21"/>
  <c r="N774" i="21"/>
  <c r="M774" i="21"/>
  <c r="L774" i="21"/>
  <c r="X773" i="21"/>
  <c r="T773" i="21"/>
  <c r="S773" i="21"/>
  <c r="Q773" i="21" s="1"/>
  <c r="R773" i="21"/>
  <c r="P773" i="21"/>
  <c r="O773" i="21"/>
  <c r="N773" i="21"/>
  <c r="M773" i="21"/>
  <c r="L773" i="21"/>
  <c r="X772" i="21"/>
  <c r="T772" i="21"/>
  <c r="S772" i="21"/>
  <c r="R772" i="21"/>
  <c r="N772" i="21" s="1"/>
  <c r="Q772" i="21"/>
  <c r="O772" i="21" s="1"/>
  <c r="P772" i="21"/>
  <c r="M772" i="21"/>
  <c r="L772" i="21"/>
  <c r="X771" i="21"/>
  <c r="T771" i="21"/>
  <c r="S771" i="21"/>
  <c r="R771" i="21"/>
  <c r="P771" i="21"/>
  <c r="M771" i="21"/>
  <c r="L771" i="21"/>
  <c r="X770" i="21"/>
  <c r="T770" i="21"/>
  <c r="Q770" i="21" s="1"/>
  <c r="O770" i="21" s="1"/>
  <c r="S770" i="21"/>
  <c r="R770" i="21"/>
  <c r="P770" i="21"/>
  <c r="N770" i="21"/>
  <c r="M770" i="21"/>
  <c r="L770" i="21"/>
  <c r="X769" i="21"/>
  <c r="T769" i="21"/>
  <c r="S769" i="21"/>
  <c r="Q769" i="21" s="1"/>
  <c r="R769" i="21"/>
  <c r="P769" i="21"/>
  <c r="O769" i="21"/>
  <c r="N769" i="21"/>
  <c r="M769" i="21"/>
  <c r="L769" i="21"/>
  <c r="X768" i="21"/>
  <c r="T768" i="21"/>
  <c r="S768" i="21"/>
  <c r="R768" i="21"/>
  <c r="N768" i="21" s="1"/>
  <c r="Q768" i="21"/>
  <c r="O768" i="21" s="1"/>
  <c r="P768" i="21"/>
  <c r="M768" i="21"/>
  <c r="L768" i="21"/>
  <c r="X767" i="21"/>
  <c r="T767" i="21"/>
  <c r="S767" i="21"/>
  <c r="R767" i="21"/>
  <c r="P767" i="21"/>
  <c r="M767" i="21"/>
  <c r="L767" i="21"/>
  <c r="X766" i="21"/>
  <c r="T766" i="21"/>
  <c r="Q766" i="21" s="1"/>
  <c r="O766" i="21" s="1"/>
  <c r="S766" i="21"/>
  <c r="R766" i="21"/>
  <c r="P766" i="21"/>
  <c r="N766" i="21"/>
  <c r="M766" i="21"/>
  <c r="L766" i="21"/>
  <c r="X765" i="21"/>
  <c r="T765" i="21"/>
  <c r="S765" i="21"/>
  <c r="Q765" i="21" s="1"/>
  <c r="R765" i="21"/>
  <c r="P765" i="21"/>
  <c r="O765" i="21"/>
  <c r="N765" i="21"/>
  <c r="M765" i="21"/>
  <c r="L765" i="21"/>
  <c r="X764" i="21"/>
  <c r="T764" i="21"/>
  <c r="S764" i="21"/>
  <c r="R764" i="21"/>
  <c r="N764" i="21" s="1"/>
  <c r="Q764" i="21"/>
  <c r="O764" i="21" s="1"/>
  <c r="P764" i="21"/>
  <c r="M764" i="21"/>
  <c r="L764" i="21"/>
  <c r="X763" i="21"/>
  <c r="T763" i="21"/>
  <c r="S763" i="21"/>
  <c r="R763" i="21"/>
  <c r="P763" i="21"/>
  <c r="M763" i="21"/>
  <c r="L763" i="21"/>
  <c r="X762" i="21"/>
  <c r="T762" i="21"/>
  <c r="Q762" i="21" s="1"/>
  <c r="O762" i="21" s="1"/>
  <c r="S762" i="21"/>
  <c r="R762" i="21"/>
  <c r="P762" i="21"/>
  <c r="N762" i="21"/>
  <c r="M762" i="21"/>
  <c r="L762" i="21"/>
  <c r="X761" i="21"/>
  <c r="T761" i="21"/>
  <c r="S761" i="21"/>
  <c r="Q761" i="21" s="1"/>
  <c r="R761" i="21"/>
  <c r="P761" i="21"/>
  <c r="O761" i="21"/>
  <c r="N761" i="21"/>
  <c r="M761" i="21"/>
  <c r="L761" i="21"/>
  <c r="X760" i="21"/>
  <c r="T760" i="21"/>
  <c r="S760" i="21"/>
  <c r="R760" i="21"/>
  <c r="N760" i="21" s="1"/>
  <c r="Q760" i="21"/>
  <c r="O760" i="21" s="1"/>
  <c r="P760" i="21"/>
  <c r="M760" i="21"/>
  <c r="L760" i="21"/>
  <c r="X759" i="21"/>
  <c r="T759" i="21"/>
  <c r="S759" i="21"/>
  <c r="R759" i="21"/>
  <c r="P759" i="21"/>
  <c r="M759" i="21"/>
  <c r="L759" i="21"/>
  <c r="X758" i="21"/>
  <c r="T758" i="21"/>
  <c r="Q758" i="21" s="1"/>
  <c r="O758" i="21" s="1"/>
  <c r="S758" i="21"/>
  <c r="R758" i="21"/>
  <c r="P758" i="21"/>
  <c r="N758" i="21"/>
  <c r="M758" i="21"/>
  <c r="L758" i="21"/>
  <c r="X757" i="21"/>
  <c r="T757" i="21"/>
  <c r="S757" i="21"/>
  <c r="Q757" i="21" s="1"/>
  <c r="R757" i="21"/>
  <c r="P757" i="21"/>
  <c r="O757" i="21"/>
  <c r="N757" i="21"/>
  <c r="M757" i="21"/>
  <c r="L757" i="21"/>
  <c r="X756" i="21"/>
  <c r="T756" i="21"/>
  <c r="S756" i="21"/>
  <c r="R756" i="21"/>
  <c r="N756" i="21" s="1"/>
  <c r="Q756" i="21"/>
  <c r="O756" i="21" s="1"/>
  <c r="P756" i="21"/>
  <c r="M756" i="21"/>
  <c r="L756" i="21"/>
  <c r="X755" i="21"/>
  <c r="T755" i="21"/>
  <c r="S755" i="21"/>
  <c r="R755" i="21"/>
  <c r="P755" i="21"/>
  <c r="M755" i="21"/>
  <c r="L755" i="21"/>
  <c r="X754" i="21"/>
  <c r="T754" i="21"/>
  <c r="Q754" i="21" s="1"/>
  <c r="O754" i="21" s="1"/>
  <c r="S754" i="21"/>
  <c r="R754" i="21"/>
  <c r="P754" i="21"/>
  <c r="N754" i="21"/>
  <c r="M754" i="21"/>
  <c r="L754" i="21"/>
  <c r="X753" i="21"/>
  <c r="T753" i="21"/>
  <c r="S753" i="21"/>
  <c r="Q753" i="21" s="1"/>
  <c r="R753" i="21"/>
  <c r="P753" i="21"/>
  <c r="O753" i="21"/>
  <c r="N753" i="21"/>
  <c r="M753" i="21"/>
  <c r="L753" i="21"/>
  <c r="X752" i="21"/>
  <c r="T752" i="21"/>
  <c r="S752" i="21"/>
  <c r="R752" i="21"/>
  <c r="N752" i="21" s="1"/>
  <c r="Q752" i="21"/>
  <c r="O752" i="21" s="1"/>
  <c r="P752" i="21"/>
  <c r="M752" i="21"/>
  <c r="L752" i="21"/>
  <c r="X751" i="21"/>
  <c r="T751" i="21"/>
  <c r="S751" i="21"/>
  <c r="Q751" i="21" s="1"/>
  <c r="O751" i="21" s="1"/>
  <c r="R751" i="21"/>
  <c r="P751" i="21"/>
  <c r="M751" i="21"/>
  <c r="L751" i="21"/>
  <c r="X750" i="21"/>
  <c r="T750" i="21"/>
  <c r="Q750" i="21" s="1"/>
  <c r="O750" i="21" s="1"/>
  <c r="S750" i="21"/>
  <c r="R750" i="21"/>
  <c r="P750" i="21"/>
  <c r="N750" i="21"/>
  <c r="M750" i="21"/>
  <c r="L750" i="21"/>
  <c r="X749" i="21"/>
  <c r="T749" i="21"/>
  <c r="S749" i="21"/>
  <c r="Q749" i="21" s="1"/>
  <c r="O749" i="21" s="1"/>
  <c r="R749" i="21"/>
  <c r="N749" i="21" s="1"/>
  <c r="P749" i="21"/>
  <c r="M749" i="21"/>
  <c r="L749" i="21"/>
  <c r="X748" i="21"/>
  <c r="T748" i="21"/>
  <c r="Q748" i="21" s="1"/>
  <c r="O748" i="21" s="1"/>
  <c r="S748" i="21"/>
  <c r="R748" i="21"/>
  <c r="N748" i="21" s="1"/>
  <c r="P748" i="21"/>
  <c r="M748" i="21"/>
  <c r="L748" i="21"/>
  <c r="X747" i="21"/>
  <c r="T747" i="21"/>
  <c r="S747" i="21"/>
  <c r="N747" i="21" s="1"/>
  <c r="R747" i="21"/>
  <c r="P747" i="21"/>
  <c r="M747" i="21"/>
  <c r="L747" i="21"/>
  <c r="X746" i="21"/>
  <c r="T746" i="21"/>
  <c r="Q746" i="21" s="1"/>
  <c r="O746" i="21" s="1"/>
  <c r="S746" i="21"/>
  <c r="R746" i="21"/>
  <c r="N746" i="21" s="1"/>
  <c r="P746" i="21"/>
  <c r="M746" i="21"/>
  <c r="L746" i="21"/>
  <c r="X745" i="21"/>
  <c r="T745" i="21"/>
  <c r="S745" i="21"/>
  <c r="R745" i="21"/>
  <c r="N745" i="21" s="1"/>
  <c r="P745" i="21"/>
  <c r="M745" i="21"/>
  <c r="L745" i="21"/>
  <c r="X744" i="21"/>
  <c r="T744" i="21"/>
  <c r="Q744" i="21" s="1"/>
  <c r="O744" i="21" s="1"/>
  <c r="S744" i="21"/>
  <c r="R744" i="21"/>
  <c r="P744" i="21"/>
  <c r="N744" i="21"/>
  <c r="M744" i="21"/>
  <c r="L744" i="21"/>
  <c r="X743" i="21"/>
  <c r="T743" i="21"/>
  <c r="S743" i="21"/>
  <c r="R743" i="21"/>
  <c r="P743" i="21"/>
  <c r="N743" i="21"/>
  <c r="M743" i="21"/>
  <c r="L743" i="21"/>
  <c r="X742" i="21"/>
  <c r="T742" i="21"/>
  <c r="Q742" i="21" s="1"/>
  <c r="O742" i="21" s="1"/>
  <c r="S742" i="21"/>
  <c r="R742" i="21"/>
  <c r="P742" i="21"/>
  <c r="N742" i="21"/>
  <c r="M742" i="21"/>
  <c r="L742" i="21"/>
  <c r="X741" i="21"/>
  <c r="T741" i="21"/>
  <c r="S741" i="21"/>
  <c r="R741" i="21"/>
  <c r="P741" i="21"/>
  <c r="N741" i="21"/>
  <c r="M741" i="21"/>
  <c r="L741" i="21"/>
  <c r="X740" i="21"/>
  <c r="T740" i="21"/>
  <c r="S740" i="21"/>
  <c r="R740" i="21"/>
  <c r="Q740" i="21"/>
  <c r="O740" i="21" s="1"/>
  <c r="P740" i="21"/>
  <c r="N740" i="21"/>
  <c r="M740" i="21"/>
  <c r="L740" i="21"/>
  <c r="X739" i="21"/>
  <c r="T739" i="21"/>
  <c r="S739" i="21"/>
  <c r="Q739" i="21" s="1"/>
  <c r="O739" i="21" s="1"/>
  <c r="R739" i="21"/>
  <c r="P739" i="21"/>
  <c r="N739" i="21"/>
  <c r="M739" i="21"/>
  <c r="L739" i="21"/>
  <c r="X738" i="21"/>
  <c r="T738" i="21"/>
  <c r="Q738" i="21" s="1"/>
  <c r="O738" i="21" s="1"/>
  <c r="S738" i="21"/>
  <c r="R738" i="21"/>
  <c r="P738" i="21"/>
  <c r="N738" i="21"/>
  <c r="M738" i="21"/>
  <c r="L738" i="21"/>
  <c r="X737" i="21"/>
  <c r="T737" i="21"/>
  <c r="S737" i="21"/>
  <c r="Q737" i="21" s="1"/>
  <c r="R737" i="21"/>
  <c r="P737" i="21"/>
  <c r="O737" i="21"/>
  <c r="N737" i="21"/>
  <c r="M737" i="21"/>
  <c r="L737" i="21"/>
  <c r="X736" i="21"/>
  <c r="T736" i="21"/>
  <c r="S736" i="21"/>
  <c r="R736" i="21"/>
  <c r="N736" i="21" s="1"/>
  <c r="Q736" i="21"/>
  <c r="O736" i="21" s="1"/>
  <c r="P736" i="21"/>
  <c r="M736" i="21"/>
  <c r="L736" i="21"/>
  <c r="X735" i="21"/>
  <c r="T735" i="21"/>
  <c r="S735" i="21"/>
  <c r="Q735" i="21" s="1"/>
  <c r="O735" i="21" s="1"/>
  <c r="R735" i="21"/>
  <c r="P735" i="21"/>
  <c r="M735" i="21"/>
  <c r="L735" i="21"/>
  <c r="X734" i="21"/>
  <c r="T734" i="21"/>
  <c r="Q734" i="21" s="1"/>
  <c r="O734" i="21" s="1"/>
  <c r="S734" i="21"/>
  <c r="R734" i="21"/>
  <c r="N734" i="21" s="1"/>
  <c r="P734" i="21"/>
  <c r="M734" i="21"/>
  <c r="L734" i="21"/>
  <c r="X733" i="21"/>
  <c r="T733" i="21"/>
  <c r="Q733" i="21" s="1"/>
  <c r="S733" i="21"/>
  <c r="R733" i="21"/>
  <c r="N733" i="21" s="1"/>
  <c r="P733" i="21"/>
  <c r="O733" i="21"/>
  <c r="M733" i="21"/>
  <c r="L733" i="21"/>
  <c r="X732" i="21"/>
  <c r="T732" i="21"/>
  <c r="Q732" i="21" s="1"/>
  <c r="O732" i="21" s="1"/>
  <c r="S732" i="21"/>
  <c r="R732" i="21"/>
  <c r="N732" i="21" s="1"/>
  <c r="P732" i="21"/>
  <c r="M732" i="21"/>
  <c r="L732" i="21"/>
  <c r="X731" i="21"/>
  <c r="T731" i="21"/>
  <c r="S731" i="21"/>
  <c r="N731" i="21" s="1"/>
  <c r="R731" i="21"/>
  <c r="P731" i="21"/>
  <c r="M731" i="21"/>
  <c r="L731" i="21"/>
  <c r="X730" i="21"/>
  <c r="T730" i="21"/>
  <c r="Q730" i="21" s="1"/>
  <c r="O730" i="21" s="1"/>
  <c r="S730" i="21"/>
  <c r="R730" i="21"/>
  <c r="N730" i="21" s="1"/>
  <c r="P730" i="21"/>
  <c r="M730" i="21"/>
  <c r="L730" i="21"/>
  <c r="X729" i="21"/>
  <c r="T729" i="21"/>
  <c r="Q729" i="21" s="1"/>
  <c r="O729" i="21" s="1"/>
  <c r="S729" i="21"/>
  <c r="R729" i="21"/>
  <c r="P729" i="21"/>
  <c r="N729" i="21"/>
  <c r="M729" i="21"/>
  <c r="L729" i="21"/>
  <c r="X728" i="21"/>
  <c r="T728" i="21"/>
  <c r="S728" i="21"/>
  <c r="R728" i="21"/>
  <c r="Q728" i="21"/>
  <c r="O728" i="21" s="1"/>
  <c r="P728" i="21"/>
  <c r="N728" i="21"/>
  <c r="M728" i="21"/>
  <c r="L728" i="21"/>
  <c r="X727" i="21"/>
  <c r="T727" i="21"/>
  <c r="S727" i="21"/>
  <c r="Q727" i="21" s="1"/>
  <c r="R727" i="21"/>
  <c r="P727" i="21"/>
  <c r="O727" i="21"/>
  <c r="N727" i="21"/>
  <c r="M727" i="21"/>
  <c r="L727" i="21"/>
  <c r="X726" i="21"/>
  <c r="T726" i="21"/>
  <c r="S726" i="21"/>
  <c r="R726" i="21"/>
  <c r="N726" i="21" s="1"/>
  <c r="Q726" i="21"/>
  <c r="O726" i="21" s="1"/>
  <c r="P726" i="21"/>
  <c r="M726" i="21"/>
  <c r="L726" i="21"/>
  <c r="X725" i="21"/>
  <c r="T725" i="21"/>
  <c r="S725" i="21"/>
  <c r="R725" i="21"/>
  <c r="P725" i="21"/>
  <c r="M725" i="21"/>
  <c r="L725" i="21"/>
  <c r="X724" i="21"/>
  <c r="T724" i="21"/>
  <c r="S724" i="21"/>
  <c r="Q724" i="21" s="1"/>
  <c r="O724" i="21" s="1"/>
  <c r="R724" i="21"/>
  <c r="P724" i="21"/>
  <c r="M724" i="21"/>
  <c r="L724" i="21"/>
  <c r="X723" i="21"/>
  <c r="T723" i="21"/>
  <c r="S723" i="21"/>
  <c r="R723" i="21"/>
  <c r="P723" i="21"/>
  <c r="N723" i="21"/>
  <c r="M723" i="21"/>
  <c r="L723" i="21"/>
  <c r="X722" i="21"/>
  <c r="T722" i="21"/>
  <c r="S722" i="21"/>
  <c r="R722" i="21"/>
  <c r="Q722" i="21"/>
  <c r="P722" i="21"/>
  <c r="O722" i="21"/>
  <c r="N722" i="21"/>
  <c r="M722" i="21"/>
  <c r="L722" i="21"/>
  <c r="X721" i="21"/>
  <c r="T721" i="21"/>
  <c r="S721" i="21"/>
  <c r="N721" i="21" s="1"/>
  <c r="R721" i="21"/>
  <c r="Q721" i="21"/>
  <c r="O721" i="21" s="1"/>
  <c r="P721" i="21"/>
  <c r="M721" i="21"/>
  <c r="L721" i="21"/>
  <c r="X720" i="21"/>
  <c r="T720" i="21"/>
  <c r="S720" i="21"/>
  <c r="R720" i="21"/>
  <c r="P720" i="21"/>
  <c r="M720" i="21"/>
  <c r="L720" i="21"/>
  <c r="X719" i="21"/>
  <c r="T719" i="21"/>
  <c r="S719" i="21"/>
  <c r="Q719" i="21" s="1"/>
  <c r="O719" i="21" s="1"/>
  <c r="R719" i="21"/>
  <c r="P719" i="21"/>
  <c r="N719" i="21"/>
  <c r="M719" i="21"/>
  <c r="L719" i="21"/>
  <c r="X718" i="21"/>
  <c r="T718" i="21"/>
  <c r="S718" i="21"/>
  <c r="R718" i="21"/>
  <c r="Q718" i="21"/>
  <c r="P718" i="21"/>
  <c r="O718" i="21"/>
  <c r="N718" i="21"/>
  <c r="M718" i="21"/>
  <c r="L718" i="21"/>
  <c r="X717" i="21"/>
  <c r="T717" i="21"/>
  <c r="S717" i="21"/>
  <c r="N717" i="21" s="1"/>
  <c r="R717" i="21"/>
  <c r="Q717" i="21"/>
  <c r="O717" i="21" s="1"/>
  <c r="P717" i="21"/>
  <c r="M717" i="21"/>
  <c r="L717" i="21"/>
  <c r="X716" i="21"/>
  <c r="T716" i="21"/>
  <c r="S716" i="21"/>
  <c r="R716" i="21"/>
  <c r="P716" i="21"/>
  <c r="M716" i="21"/>
  <c r="L716" i="21"/>
  <c r="X715" i="21"/>
  <c r="T715" i="21"/>
  <c r="S715" i="21"/>
  <c r="Q715" i="21" s="1"/>
  <c r="O715" i="21" s="1"/>
  <c r="R715" i="21"/>
  <c r="P715" i="21"/>
  <c r="N715" i="21"/>
  <c r="M715" i="21"/>
  <c r="L715" i="21"/>
  <c r="X714" i="21"/>
  <c r="T714" i="21"/>
  <c r="S714" i="21"/>
  <c r="R714" i="21"/>
  <c r="Q714" i="21"/>
  <c r="P714" i="21"/>
  <c r="O714" i="21"/>
  <c r="N714" i="21"/>
  <c r="M714" i="21"/>
  <c r="L714" i="21"/>
  <c r="X713" i="21"/>
  <c r="T713" i="21"/>
  <c r="S713" i="21"/>
  <c r="N713" i="21" s="1"/>
  <c r="R713" i="21"/>
  <c r="Q713" i="21"/>
  <c r="O713" i="21" s="1"/>
  <c r="P713" i="21"/>
  <c r="M713" i="21"/>
  <c r="L713" i="21"/>
  <c r="X712" i="21"/>
  <c r="T712" i="21"/>
  <c r="S712" i="21"/>
  <c r="R712" i="21"/>
  <c r="P712" i="21"/>
  <c r="M712" i="21"/>
  <c r="L712" i="21"/>
  <c r="X711" i="21"/>
  <c r="T711" i="21"/>
  <c r="S711" i="21"/>
  <c r="Q711" i="21" s="1"/>
  <c r="O711" i="21" s="1"/>
  <c r="R711" i="21"/>
  <c r="P711" i="21"/>
  <c r="N711" i="21"/>
  <c r="M711" i="21"/>
  <c r="L711" i="21"/>
  <c r="X710" i="21"/>
  <c r="T710" i="21"/>
  <c r="S710" i="21"/>
  <c r="R710" i="21"/>
  <c r="Q710" i="21"/>
  <c r="P710" i="21"/>
  <c r="O710" i="21"/>
  <c r="N710" i="21"/>
  <c r="M710" i="21"/>
  <c r="L710" i="21"/>
  <c r="X709" i="21"/>
  <c r="T709" i="21"/>
  <c r="S709" i="21"/>
  <c r="N709" i="21" s="1"/>
  <c r="R709" i="21"/>
  <c r="Q709" i="21"/>
  <c r="O709" i="21" s="1"/>
  <c r="P709" i="21"/>
  <c r="M709" i="21"/>
  <c r="L709" i="21"/>
  <c r="X708" i="21"/>
  <c r="T708" i="21"/>
  <c r="S708" i="21"/>
  <c r="R708" i="21"/>
  <c r="P708" i="21"/>
  <c r="M708" i="21"/>
  <c r="L708" i="21"/>
  <c r="X707" i="21"/>
  <c r="T707" i="21"/>
  <c r="S707" i="21"/>
  <c r="Q707" i="21" s="1"/>
  <c r="O707" i="21" s="1"/>
  <c r="R707" i="21"/>
  <c r="P707" i="21"/>
  <c r="N707" i="21"/>
  <c r="M707" i="21"/>
  <c r="L707" i="21"/>
  <c r="X706" i="21"/>
  <c r="T706" i="21"/>
  <c r="S706" i="21"/>
  <c r="R706" i="21"/>
  <c r="Q706" i="21"/>
  <c r="P706" i="21"/>
  <c r="O706" i="21"/>
  <c r="N706" i="21"/>
  <c r="M706" i="21"/>
  <c r="L706" i="21"/>
  <c r="X705" i="21"/>
  <c r="T705" i="21"/>
  <c r="S705" i="21"/>
  <c r="N705" i="21" s="1"/>
  <c r="R705" i="21"/>
  <c r="Q705" i="21"/>
  <c r="O705" i="21" s="1"/>
  <c r="P705" i="21"/>
  <c r="M705" i="21"/>
  <c r="L705" i="21"/>
  <c r="X704" i="21"/>
  <c r="T704" i="21"/>
  <c r="S704" i="21"/>
  <c r="R704" i="21"/>
  <c r="P704" i="21"/>
  <c r="M704" i="21"/>
  <c r="L704" i="21"/>
  <c r="X703" i="21"/>
  <c r="T703" i="21"/>
  <c r="S703" i="21"/>
  <c r="Q703" i="21" s="1"/>
  <c r="O703" i="21" s="1"/>
  <c r="R703" i="21"/>
  <c r="P703" i="21"/>
  <c r="N703" i="21"/>
  <c r="M703" i="21"/>
  <c r="L703" i="21"/>
  <c r="X702" i="21"/>
  <c r="T702" i="21"/>
  <c r="S702" i="21"/>
  <c r="R702" i="21"/>
  <c r="Q702" i="21"/>
  <c r="P702" i="21"/>
  <c r="O702" i="21"/>
  <c r="N702" i="21"/>
  <c r="M702" i="21"/>
  <c r="L702" i="21"/>
  <c r="X701" i="21"/>
  <c r="T701" i="21"/>
  <c r="S701" i="21"/>
  <c r="N701" i="21" s="1"/>
  <c r="R701" i="21"/>
  <c r="Q701" i="21"/>
  <c r="O701" i="21" s="1"/>
  <c r="P701" i="21"/>
  <c r="M701" i="21"/>
  <c r="L701" i="21"/>
  <c r="X700" i="21"/>
  <c r="T700" i="21"/>
  <c r="S700" i="21"/>
  <c r="R700" i="21"/>
  <c r="P700" i="21"/>
  <c r="M700" i="21"/>
  <c r="L700" i="21"/>
  <c r="X699" i="21"/>
  <c r="T699" i="21"/>
  <c r="S699" i="21"/>
  <c r="Q699" i="21" s="1"/>
  <c r="O699" i="21" s="1"/>
  <c r="R699" i="21"/>
  <c r="P699" i="21"/>
  <c r="N699" i="21"/>
  <c r="M699" i="21"/>
  <c r="L699" i="21"/>
  <c r="X698" i="21"/>
  <c r="T698" i="21"/>
  <c r="S698" i="21"/>
  <c r="R698" i="21"/>
  <c r="Q698" i="21"/>
  <c r="P698" i="21"/>
  <c r="O698" i="21"/>
  <c r="N698" i="21"/>
  <c r="M698" i="21"/>
  <c r="L698" i="21"/>
  <c r="X697" i="21"/>
  <c r="T697" i="21"/>
  <c r="S697" i="21"/>
  <c r="N697" i="21" s="1"/>
  <c r="R697" i="21"/>
  <c r="Q697" i="21"/>
  <c r="O697" i="21" s="1"/>
  <c r="P697" i="21"/>
  <c r="M697" i="21"/>
  <c r="L697" i="21"/>
  <c r="X696" i="21"/>
  <c r="T696" i="21"/>
  <c r="S696" i="21"/>
  <c r="R696" i="21"/>
  <c r="P696" i="21"/>
  <c r="M696" i="21"/>
  <c r="L696" i="21"/>
  <c r="X695" i="21"/>
  <c r="T695" i="21"/>
  <c r="S695" i="21"/>
  <c r="Q695" i="21" s="1"/>
  <c r="O695" i="21" s="1"/>
  <c r="R695" i="21"/>
  <c r="P695" i="21"/>
  <c r="N695" i="21"/>
  <c r="M695" i="21"/>
  <c r="L695" i="21"/>
  <c r="X694" i="21"/>
  <c r="T694" i="21"/>
  <c r="S694" i="21"/>
  <c r="R694" i="21"/>
  <c r="Q694" i="21"/>
  <c r="P694" i="21"/>
  <c r="O694" i="21"/>
  <c r="N694" i="21"/>
  <c r="M694" i="21"/>
  <c r="L694" i="21"/>
  <c r="X693" i="21"/>
  <c r="T693" i="21"/>
  <c r="S693" i="21"/>
  <c r="N693" i="21" s="1"/>
  <c r="R693" i="21"/>
  <c r="Q693" i="21"/>
  <c r="O693" i="21" s="1"/>
  <c r="P693" i="21"/>
  <c r="M693" i="21"/>
  <c r="L693" i="21"/>
  <c r="X692" i="21"/>
  <c r="T692" i="21"/>
  <c r="S692" i="21"/>
  <c r="R692" i="21"/>
  <c r="P692" i="21"/>
  <c r="M692" i="21"/>
  <c r="L692" i="21"/>
  <c r="X691" i="21"/>
  <c r="T691" i="21"/>
  <c r="S691" i="21"/>
  <c r="Q691" i="21" s="1"/>
  <c r="O691" i="21" s="1"/>
  <c r="R691" i="21"/>
  <c r="P691" i="21"/>
  <c r="N691" i="21"/>
  <c r="M691" i="21"/>
  <c r="L691" i="21"/>
  <c r="X690" i="21"/>
  <c r="T690" i="21"/>
  <c r="S690" i="21"/>
  <c r="R690" i="21"/>
  <c r="Q690" i="21"/>
  <c r="P690" i="21"/>
  <c r="O690" i="21"/>
  <c r="N690" i="21"/>
  <c r="M690" i="21"/>
  <c r="L690" i="21"/>
  <c r="X689" i="21"/>
  <c r="T689" i="21"/>
  <c r="S689" i="21"/>
  <c r="N689" i="21" s="1"/>
  <c r="R689" i="21"/>
  <c r="Q689" i="21"/>
  <c r="O689" i="21" s="1"/>
  <c r="P689" i="21"/>
  <c r="M689" i="21"/>
  <c r="L689" i="21"/>
  <c r="X688" i="21"/>
  <c r="T688" i="21"/>
  <c r="S688" i="21"/>
  <c r="R688" i="21"/>
  <c r="P688" i="21"/>
  <c r="M688" i="21"/>
  <c r="L688" i="21"/>
  <c r="X687" i="21"/>
  <c r="T687" i="21"/>
  <c r="S687" i="21"/>
  <c r="Q687" i="21" s="1"/>
  <c r="O687" i="21" s="1"/>
  <c r="R687" i="21"/>
  <c r="P687" i="21"/>
  <c r="N687" i="21"/>
  <c r="M687" i="21"/>
  <c r="L687" i="21"/>
  <c r="X686" i="21"/>
  <c r="T686" i="21"/>
  <c r="S686" i="21"/>
  <c r="R686" i="21"/>
  <c r="Q686" i="21"/>
  <c r="P686" i="21"/>
  <c r="O686" i="21"/>
  <c r="N686" i="21"/>
  <c r="M686" i="21"/>
  <c r="L686" i="21"/>
  <c r="X685" i="21"/>
  <c r="T685" i="21"/>
  <c r="S685" i="21"/>
  <c r="N685" i="21" s="1"/>
  <c r="R685" i="21"/>
  <c r="Q685" i="21"/>
  <c r="O685" i="21" s="1"/>
  <c r="P685" i="21"/>
  <c r="M685" i="21"/>
  <c r="L685" i="21"/>
  <c r="X684" i="21"/>
  <c r="T684" i="21"/>
  <c r="S684" i="21"/>
  <c r="R684" i="21"/>
  <c r="P684" i="21"/>
  <c r="M684" i="21"/>
  <c r="L684" i="21"/>
  <c r="X683" i="21"/>
  <c r="T683" i="21"/>
  <c r="S683" i="21"/>
  <c r="Q683" i="21" s="1"/>
  <c r="O683" i="21" s="1"/>
  <c r="R683" i="21"/>
  <c r="P683" i="21"/>
  <c r="N683" i="21"/>
  <c r="M683" i="21"/>
  <c r="L683" i="21"/>
  <c r="X682" i="21"/>
  <c r="T682" i="21"/>
  <c r="S682" i="21"/>
  <c r="R682" i="21"/>
  <c r="Q682" i="21"/>
  <c r="P682" i="21"/>
  <c r="O682" i="21"/>
  <c r="N682" i="21"/>
  <c r="M682" i="21"/>
  <c r="L682" i="21"/>
  <c r="X681" i="21"/>
  <c r="T681" i="21"/>
  <c r="S681" i="21"/>
  <c r="N681" i="21" s="1"/>
  <c r="R681" i="21"/>
  <c r="Q681" i="21"/>
  <c r="O681" i="21" s="1"/>
  <c r="P681" i="21"/>
  <c r="M681" i="21"/>
  <c r="L681" i="21"/>
  <c r="X680" i="21"/>
  <c r="T680" i="21"/>
  <c r="S680" i="21"/>
  <c r="R680" i="21"/>
  <c r="P680" i="21"/>
  <c r="M680" i="21"/>
  <c r="L680" i="21"/>
  <c r="X679" i="21"/>
  <c r="T679" i="21"/>
  <c r="S679" i="21"/>
  <c r="Q679" i="21" s="1"/>
  <c r="O679" i="21" s="1"/>
  <c r="R679" i="21"/>
  <c r="P679" i="21"/>
  <c r="N679" i="21"/>
  <c r="M679" i="21"/>
  <c r="L679" i="21"/>
  <c r="X678" i="21"/>
  <c r="T678" i="21"/>
  <c r="S678" i="21"/>
  <c r="R678" i="21"/>
  <c r="Q678" i="21"/>
  <c r="P678" i="21"/>
  <c r="O678" i="21"/>
  <c r="N678" i="21"/>
  <c r="M678" i="21"/>
  <c r="L678" i="21"/>
  <c r="X677" i="21"/>
  <c r="T677" i="21"/>
  <c r="S677" i="21"/>
  <c r="N677" i="21" s="1"/>
  <c r="R677" i="21"/>
  <c r="Q677" i="21"/>
  <c r="O677" i="21" s="1"/>
  <c r="P677" i="21"/>
  <c r="M677" i="21"/>
  <c r="L677" i="21"/>
  <c r="X676" i="21"/>
  <c r="T676" i="21"/>
  <c r="S676" i="21"/>
  <c r="R676" i="21"/>
  <c r="P676" i="21"/>
  <c r="M676" i="21"/>
  <c r="L676" i="21"/>
  <c r="X675" i="21"/>
  <c r="T675" i="21"/>
  <c r="S675" i="21"/>
  <c r="Q675" i="21" s="1"/>
  <c r="O675" i="21" s="1"/>
  <c r="R675" i="21"/>
  <c r="P675" i="21"/>
  <c r="N675" i="21"/>
  <c r="M675" i="21"/>
  <c r="L675" i="21"/>
  <c r="X674" i="21"/>
  <c r="T674" i="21"/>
  <c r="S674" i="21"/>
  <c r="R674" i="21"/>
  <c r="Q674" i="21"/>
  <c r="P674" i="21"/>
  <c r="O674" i="21"/>
  <c r="N674" i="21"/>
  <c r="M674" i="21"/>
  <c r="L674" i="21"/>
  <c r="X673" i="21"/>
  <c r="T673" i="21"/>
  <c r="S673" i="21"/>
  <c r="N673" i="21" s="1"/>
  <c r="R673" i="21"/>
  <c r="Q673" i="21"/>
  <c r="O673" i="21" s="1"/>
  <c r="P673" i="21"/>
  <c r="M673" i="21"/>
  <c r="L673" i="21"/>
  <c r="X672" i="21"/>
  <c r="T672" i="21"/>
  <c r="S672" i="21"/>
  <c r="R672" i="21"/>
  <c r="P672" i="21"/>
  <c r="M672" i="21"/>
  <c r="L672" i="21"/>
  <c r="X671" i="21"/>
  <c r="T671" i="21"/>
  <c r="S671" i="21"/>
  <c r="Q671" i="21" s="1"/>
  <c r="O671" i="21" s="1"/>
  <c r="R671" i="21"/>
  <c r="P671" i="21"/>
  <c r="N671" i="21"/>
  <c r="M671" i="21"/>
  <c r="L671" i="21"/>
  <c r="X670" i="21"/>
  <c r="T670" i="21"/>
  <c r="S670" i="21"/>
  <c r="R670" i="21"/>
  <c r="Q670" i="21"/>
  <c r="P670" i="21"/>
  <c r="O670" i="21"/>
  <c r="N670" i="21"/>
  <c r="M670" i="21"/>
  <c r="L670" i="21"/>
  <c r="X669" i="21"/>
  <c r="T669" i="21"/>
  <c r="S669" i="21"/>
  <c r="N669" i="21" s="1"/>
  <c r="R669" i="21"/>
  <c r="Q669" i="21"/>
  <c r="O669" i="21" s="1"/>
  <c r="P669" i="21"/>
  <c r="M669" i="21"/>
  <c r="L669" i="21"/>
  <c r="X668" i="21"/>
  <c r="T668" i="21"/>
  <c r="S668" i="21"/>
  <c r="R668" i="21"/>
  <c r="P668" i="21"/>
  <c r="M668" i="21"/>
  <c r="L668" i="21"/>
  <c r="X667" i="21"/>
  <c r="T667" i="21"/>
  <c r="S667" i="21"/>
  <c r="Q667" i="21" s="1"/>
  <c r="O667" i="21" s="1"/>
  <c r="R667" i="21"/>
  <c r="P667" i="21"/>
  <c r="N667" i="21"/>
  <c r="M667" i="21"/>
  <c r="L667" i="21"/>
  <c r="X666" i="21"/>
  <c r="T666" i="21"/>
  <c r="S666" i="21"/>
  <c r="R666" i="21"/>
  <c r="Q666" i="21"/>
  <c r="P666" i="21"/>
  <c r="O666" i="21"/>
  <c r="N666" i="21"/>
  <c r="M666" i="21"/>
  <c r="L666" i="21"/>
  <c r="X665" i="21"/>
  <c r="T665" i="21"/>
  <c r="S665" i="21"/>
  <c r="N665" i="21" s="1"/>
  <c r="R665" i="21"/>
  <c r="Q665" i="21"/>
  <c r="O665" i="21" s="1"/>
  <c r="P665" i="21"/>
  <c r="M665" i="21"/>
  <c r="L665" i="21"/>
  <c r="X664" i="21"/>
  <c r="T664" i="21"/>
  <c r="S664" i="21"/>
  <c r="R664" i="21"/>
  <c r="P664" i="21"/>
  <c r="M664" i="21"/>
  <c r="L664" i="21"/>
  <c r="X663" i="21"/>
  <c r="T663" i="21"/>
  <c r="S663" i="21"/>
  <c r="Q663" i="21" s="1"/>
  <c r="O663" i="21" s="1"/>
  <c r="R663" i="21"/>
  <c r="P663" i="21"/>
  <c r="N663" i="21"/>
  <c r="M663" i="21"/>
  <c r="L663" i="21"/>
  <c r="X662" i="21"/>
  <c r="T662" i="21"/>
  <c r="S662" i="21"/>
  <c r="R662" i="21"/>
  <c r="Q662" i="21"/>
  <c r="P662" i="21"/>
  <c r="O662" i="21"/>
  <c r="N662" i="21"/>
  <c r="M662" i="21"/>
  <c r="L662" i="21"/>
  <c r="X661" i="21"/>
  <c r="T661" i="21"/>
  <c r="S661" i="21"/>
  <c r="N661" i="21" s="1"/>
  <c r="R661" i="21"/>
  <c r="Q661" i="21"/>
  <c r="O661" i="21" s="1"/>
  <c r="P661" i="21"/>
  <c r="M661" i="21"/>
  <c r="L661" i="21"/>
  <c r="X660" i="21"/>
  <c r="T660" i="21"/>
  <c r="S660" i="21"/>
  <c r="R660" i="21"/>
  <c r="P660" i="21"/>
  <c r="M660" i="21"/>
  <c r="L660" i="21"/>
  <c r="X659" i="21"/>
  <c r="T659" i="21"/>
  <c r="S659" i="21"/>
  <c r="Q659" i="21" s="1"/>
  <c r="O659" i="21" s="1"/>
  <c r="R659" i="21"/>
  <c r="P659" i="21"/>
  <c r="N659" i="21"/>
  <c r="M659" i="21"/>
  <c r="L659" i="21"/>
  <c r="X658" i="21"/>
  <c r="T658" i="21"/>
  <c r="S658" i="21"/>
  <c r="R658" i="21"/>
  <c r="Q658" i="21"/>
  <c r="P658" i="21"/>
  <c r="O658" i="21"/>
  <c r="N658" i="21"/>
  <c r="M658" i="21"/>
  <c r="L658" i="21"/>
  <c r="X657" i="21"/>
  <c r="T657" i="21"/>
  <c r="S657" i="21"/>
  <c r="N657" i="21" s="1"/>
  <c r="R657" i="21"/>
  <c r="Q657" i="21"/>
  <c r="O657" i="21" s="1"/>
  <c r="P657" i="21"/>
  <c r="M657" i="21"/>
  <c r="L657" i="21"/>
  <c r="X656" i="21"/>
  <c r="T656" i="21"/>
  <c r="S656" i="21"/>
  <c r="R656" i="21"/>
  <c r="P656" i="21"/>
  <c r="M656" i="21"/>
  <c r="L656" i="21"/>
  <c r="X655" i="21"/>
  <c r="T655" i="21"/>
  <c r="S655" i="21"/>
  <c r="Q655" i="21" s="1"/>
  <c r="O655" i="21" s="1"/>
  <c r="R655" i="21"/>
  <c r="P655" i="21"/>
  <c r="N655" i="21"/>
  <c r="M655" i="21"/>
  <c r="L655" i="21"/>
  <c r="X654" i="21"/>
  <c r="T654" i="21"/>
  <c r="S654" i="21"/>
  <c r="R654" i="21"/>
  <c r="Q654" i="21"/>
  <c r="P654" i="21"/>
  <c r="O654" i="21"/>
  <c r="N654" i="21"/>
  <c r="M654" i="21"/>
  <c r="L654" i="21"/>
  <c r="X653" i="21"/>
  <c r="T653" i="21"/>
  <c r="S653" i="21"/>
  <c r="N653" i="21" s="1"/>
  <c r="R653" i="21"/>
  <c r="Q653" i="21"/>
  <c r="O653" i="21" s="1"/>
  <c r="P653" i="21"/>
  <c r="M653" i="21"/>
  <c r="L653" i="21"/>
  <c r="X652" i="21"/>
  <c r="T652" i="21"/>
  <c r="S652" i="21"/>
  <c r="R652" i="21"/>
  <c r="P652" i="21"/>
  <c r="M652" i="21"/>
  <c r="L652" i="21"/>
  <c r="X651" i="21"/>
  <c r="T651" i="21"/>
  <c r="S651" i="21"/>
  <c r="Q651" i="21" s="1"/>
  <c r="O651" i="21" s="1"/>
  <c r="R651" i="21"/>
  <c r="P651" i="21"/>
  <c r="N651" i="21"/>
  <c r="M651" i="21"/>
  <c r="L651" i="21"/>
  <c r="X650" i="21"/>
  <c r="T650" i="21"/>
  <c r="S650" i="21"/>
  <c r="R650" i="21"/>
  <c r="Q650" i="21"/>
  <c r="P650" i="21"/>
  <c r="O650" i="21"/>
  <c r="N650" i="21"/>
  <c r="M650" i="21"/>
  <c r="L650" i="21"/>
  <c r="X649" i="21"/>
  <c r="T649" i="21"/>
  <c r="S649" i="21"/>
  <c r="N649" i="21" s="1"/>
  <c r="R649" i="21"/>
  <c r="Q649" i="21"/>
  <c r="O649" i="21" s="1"/>
  <c r="P649" i="21"/>
  <c r="M649" i="21"/>
  <c r="L649" i="21"/>
  <c r="X648" i="21"/>
  <c r="T648" i="21"/>
  <c r="S648" i="21"/>
  <c r="R648" i="21"/>
  <c r="P648" i="21"/>
  <c r="M648" i="21"/>
  <c r="L648" i="21"/>
  <c r="X647" i="21"/>
  <c r="T647" i="21"/>
  <c r="S647" i="21"/>
  <c r="Q647" i="21" s="1"/>
  <c r="O647" i="21" s="1"/>
  <c r="R647" i="21"/>
  <c r="P647" i="21"/>
  <c r="N647" i="21"/>
  <c r="M647" i="21"/>
  <c r="L647" i="21"/>
  <c r="X646" i="21"/>
  <c r="T646" i="21"/>
  <c r="S646" i="21"/>
  <c r="R646" i="21"/>
  <c r="Q646" i="21"/>
  <c r="P646" i="21"/>
  <c r="O646" i="21"/>
  <c r="N646" i="21"/>
  <c r="M646" i="21"/>
  <c r="L646" i="21"/>
  <c r="X645" i="21"/>
  <c r="T645" i="21"/>
  <c r="S645" i="21"/>
  <c r="N645" i="21" s="1"/>
  <c r="R645" i="21"/>
  <c r="Q645" i="21"/>
  <c r="O645" i="21" s="1"/>
  <c r="P645" i="21"/>
  <c r="M645" i="21"/>
  <c r="L645" i="21"/>
  <c r="X644" i="21"/>
  <c r="T644" i="21"/>
  <c r="S644" i="21"/>
  <c r="R644" i="21"/>
  <c r="P644" i="21"/>
  <c r="M644" i="21"/>
  <c r="L644" i="21"/>
  <c r="X643" i="21"/>
  <c r="T643" i="21"/>
  <c r="S643" i="21"/>
  <c r="Q643" i="21" s="1"/>
  <c r="O643" i="21" s="1"/>
  <c r="R643" i="21"/>
  <c r="P643" i="21"/>
  <c r="N643" i="21"/>
  <c r="M643" i="21"/>
  <c r="L643" i="21"/>
  <c r="X642" i="21"/>
  <c r="T642" i="21"/>
  <c r="S642" i="21"/>
  <c r="R642" i="21"/>
  <c r="Q642" i="21"/>
  <c r="P642" i="21"/>
  <c r="O642" i="21"/>
  <c r="N642" i="21"/>
  <c r="M642" i="21"/>
  <c r="L642" i="21"/>
  <c r="X641" i="21"/>
  <c r="T641" i="21"/>
  <c r="S641" i="21"/>
  <c r="N641" i="21" s="1"/>
  <c r="R641" i="21"/>
  <c r="Q641" i="21"/>
  <c r="O641" i="21" s="1"/>
  <c r="P641" i="21"/>
  <c r="M641" i="21"/>
  <c r="L641" i="21"/>
  <c r="X640" i="21"/>
  <c r="T640" i="21"/>
  <c r="S640" i="21"/>
  <c r="R640" i="21"/>
  <c r="P640" i="21"/>
  <c r="M640" i="21"/>
  <c r="L640" i="21"/>
  <c r="X639" i="21"/>
  <c r="T639" i="21"/>
  <c r="S639" i="21"/>
  <c r="Q639" i="21" s="1"/>
  <c r="O639" i="21" s="1"/>
  <c r="R639" i="21"/>
  <c r="P639" i="21"/>
  <c r="N639" i="21"/>
  <c r="M639" i="21"/>
  <c r="L639" i="21"/>
  <c r="X638" i="21"/>
  <c r="T638" i="21"/>
  <c r="S638" i="21"/>
  <c r="R638" i="21"/>
  <c r="Q638" i="21"/>
  <c r="P638" i="21"/>
  <c r="O638" i="21"/>
  <c r="N638" i="21"/>
  <c r="M638" i="21"/>
  <c r="L638" i="21"/>
  <c r="X637" i="21"/>
  <c r="T637" i="21"/>
  <c r="S637" i="21"/>
  <c r="N637" i="21" s="1"/>
  <c r="R637" i="21"/>
  <c r="Q637" i="21"/>
  <c r="O637" i="21" s="1"/>
  <c r="P637" i="21"/>
  <c r="M637" i="21"/>
  <c r="L637" i="21"/>
  <c r="X636" i="21"/>
  <c r="T636" i="21"/>
  <c r="S636" i="21"/>
  <c r="R636" i="21"/>
  <c r="P636" i="21"/>
  <c r="M636" i="21"/>
  <c r="L636" i="21"/>
  <c r="X635" i="21"/>
  <c r="T635" i="21"/>
  <c r="S635" i="21"/>
  <c r="Q635" i="21" s="1"/>
  <c r="O635" i="21" s="1"/>
  <c r="R635" i="21"/>
  <c r="P635" i="21"/>
  <c r="N635" i="21"/>
  <c r="M635" i="21"/>
  <c r="L635" i="21"/>
  <c r="X634" i="21"/>
  <c r="T634" i="21"/>
  <c r="S634" i="21"/>
  <c r="R634" i="21"/>
  <c r="Q634" i="21"/>
  <c r="P634" i="21"/>
  <c r="O634" i="21"/>
  <c r="N634" i="21"/>
  <c r="M634" i="21"/>
  <c r="L634" i="21"/>
  <c r="X633" i="21"/>
  <c r="T633" i="21"/>
  <c r="S633" i="21"/>
  <c r="N633" i="21" s="1"/>
  <c r="R633" i="21"/>
  <c r="Q633" i="21"/>
  <c r="O633" i="21" s="1"/>
  <c r="P633" i="21"/>
  <c r="M633" i="21"/>
  <c r="L633" i="21"/>
  <c r="X632" i="21"/>
  <c r="T632" i="21"/>
  <c r="S632" i="21"/>
  <c r="R632" i="21"/>
  <c r="P632" i="21"/>
  <c r="M632" i="21"/>
  <c r="L632" i="21"/>
  <c r="X631" i="21"/>
  <c r="T631" i="21"/>
  <c r="S631" i="21"/>
  <c r="Q631" i="21" s="1"/>
  <c r="O631" i="21" s="1"/>
  <c r="R631" i="21"/>
  <c r="P631" i="21"/>
  <c r="N631" i="21"/>
  <c r="M631" i="21"/>
  <c r="L631" i="21"/>
  <c r="X630" i="21"/>
  <c r="T630" i="21"/>
  <c r="S630" i="21"/>
  <c r="R630" i="21"/>
  <c r="Q630" i="21"/>
  <c r="P630" i="21"/>
  <c r="O630" i="21"/>
  <c r="N630" i="21"/>
  <c r="M630" i="21"/>
  <c r="L630" i="21"/>
  <c r="X629" i="21"/>
  <c r="T629" i="21"/>
  <c r="S629" i="21"/>
  <c r="N629" i="21" s="1"/>
  <c r="R629" i="21"/>
  <c r="Q629" i="21"/>
  <c r="O629" i="21" s="1"/>
  <c r="P629" i="21"/>
  <c r="M629" i="21"/>
  <c r="L629" i="21"/>
  <c r="X628" i="21"/>
  <c r="T628" i="21"/>
  <c r="S628" i="21"/>
  <c r="R628" i="21"/>
  <c r="P628" i="21"/>
  <c r="M628" i="21"/>
  <c r="L628" i="21"/>
  <c r="X627" i="21"/>
  <c r="T627" i="21"/>
  <c r="S627" i="21"/>
  <c r="Q627" i="21" s="1"/>
  <c r="O627" i="21" s="1"/>
  <c r="R627" i="21"/>
  <c r="P627" i="21"/>
  <c r="N627" i="21"/>
  <c r="M627" i="21"/>
  <c r="L627" i="21"/>
  <c r="X626" i="21"/>
  <c r="T626" i="21"/>
  <c r="S626" i="21"/>
  <c r="R626" i="21"/>
  <c r="Q626" i="21"/>
  <c r="P626" i="21"/>
  <c r="O626" i="21"/>
  <c r="N626" i="21"/>
  <c r="M626" i="21"/>
  <c r="L626" i="21"/>
  <c r="X625" i="21"/>
  <c r="T625" i="21"/>
  <c r="S625" i="21"/>
  <c r="N625" i="21" s="1"/>
  <c r="R625" i="21"/>
  <c r="Q625" i="21"/>
  <c r="O625" i="21" s="1"/>
  <c r="P625" i="21"/>
  <c r="M625" i="21"/>
  <c r="L625" i="21"/>
  <c r="X624" i="21"/>
  <c r="T624" i="21"/>
  <c r="S624" i="21"/>
  <c r="R624" i="21"/>
  <c r="P624" i="21"/>
  <c r="M624" i="21"/>
  <c r="L624" i="21"/>
  <c r="X623" i="21"/>
  <c r="T623" i="21"/>
  <c r="S623" i="21"/>
  <c r="Q623" i="21" s="1"/>
  <c r="O623" i="21" s="1"/>
  <c r="R623" i="21"/>
  <c r="P623" i="21"/>
  <c r="N623" i="21"/>
  <c r="M623" i="21"/>
  <c r="L623" i="21"/>
  <c r="X622" i="21"/>
  <c r="T622" i="21"/>
  <c r="S622" i="21"/>
  <c r="R622" i="21"/>
  <c r="Q622" i="21"/>
  <c r="P622" i="21"/>
  <c r="O622" i="21"/>
  <c r="N622" i="21"/>
  <c r="M622" i="21"/>
  <c r="L622" i="21"/>
  <c r="X621" i="21"/>
  <c r="T621" i="21"/>
  <c r="S621" i="21"/>
  <c r="N621" i="21" s="1"/>
  <c r="R621" i="21"/>
  <c r="Q621" i="21"/>
  <c r="O621" i="21" s="1"/>
  <c r="P621" i="21"/>
  <c r="M621" i="21"/>
  <c r="L621" i="21"/>
  <c r="X620" i="21"/>
  <c r="T620" i="21"/>
  <c r="S620" i="21"/>
  <c r="R620" i="21"/>
  <c r="P620" i="21"/>
  <c r="M620" i="21"/>
  <c r="L620" i="21"/>
  <c r="X619" i="21"/>
  <c r="T619" i="21"/>
  <c r="S619" i="21"/>
  <c r="Q619" i="21" s="1"/>
  <c r="O619" i="21" s="1"/>
  <c r="R619" i="21"/>
  <c r="P619" i="21"/>
  <c r="N619" i="21"/>
  <c r="M619" i="21"/>
  <c r="L619" i="21"/>
  <c r="X618" i="21"/>
  <c r="T618" i="21"/>
  <c r="S618" i="21"/>
  <c r="R618" i="21"/>
  <c r="Q618" i="21"/>
  <c r="P618" i="21"/>
  <c r="O618" i="21"/>
  <c r="N618" i="21"/>
  <c r="M618" i="21"/>
  <c r="L618" i="21"/>
  <c r="X617" i="21"/>
  <c r="T617" i="21"/>
  <c r="S617" i="21"/>
  <c r="N617" i="21" s="1"/>
  <c r="R617" i="21"/>
  <c r="Q617" i="21"/>
  <c r="O617" i="21" s="1"/>
  <c r="P617" i="21"/>
  <c r="M617" i="21"/>
  <c r="L617" i="21"/>
  <c r="X616" i="21"/>
  <c r="T616" i="21"/>
  <c r="S616" i="21"/>
  <c r="R616" i="21"/>
  <c r="P616" i="21"/>
  <c r="M616" i="21"/>
  <c r="L616" i="21"/>
  <c r="X615" i="21"/>
  <c r="T615" i="21"/>
  <c r="S615" i="21"/>
  <c r="Q615" i="21" s="1"/>
  <c r="O615" i="21" s="1"/>
  <c r="R615" i="21"/>
  <c r="P615" i="21"/>
  <c r="N615" i="21"/>
  <c r="M615" i="21"/>
  <c r="L615" i="21"/>
  <c r="X614" i="21"/>
  <c r="T614" i="21"/>
  <c r="S614" i="21"/>
  <c r="R614" i="21"/>
  <c r="Q614" i="21"/>
  <c r="P614" i="21"/>
  <c r="O614" i="21"/>
  <c r="N614" i="21"/>
  <c r="M614" i="21"/>
  <c r="L614" i="21"/>
  <c r="X613" i="21"/>
  <c r="T613" i="21"/>
  <c r="S613" i="21"/>
  <c r="N613" i="21" s="1"/>
  <c r="R613" i="21"/>
  <c r="Q613" i="21"/>
  <c r="O613" i="21" s="1"/>
  <c r="P613" i="21"/>
  <c r="M613" i="21"/>
  <c r="L613" i="21"/>
  <c r="X612" i="21"/>
  <c r="T612" i="21"/>
  <c r="S612" i="21"/>
  <c r="R612" i="21"/>
  <c r="P612" i="21"/>
  <c r="M612" i="21"/>
  <c r="L612" i="21"/>
  <c r="X611" i="21"/>
  <c r="T611" i="21"/>
  <c r="S611" i="21"/>
  <c r="Q611" i="21" s="1"/>
  <c r="O611" i="21" s="1"/>
  <c r="R611" i="21"/>
  <c r="P611" i="21"/>
  <c r="N611" i="21"/>
  <c r="M611" i="21"/>
  <c r="L611" i="21"/>
  <c r="X610" i="21"/>
  <c r="T610" i="21"/>
  <c r="S610" i="21"/>
  <c r="R610" i="21"/>
  <c r="Q610" i="21"/>
  <c r="P610" i="21"/>
  <c r="O610" i="21"/>
  <c r="N610" i="21"/>
  <c r="M610" i="21"/>
  <c r="L610" i="21"/>
  <c r="X609" i="21"/>
  <c r="T609" i="21"/>
  <c r="S609" i="21"/>
  <c r="N609" i="21" s="1"/>
  <c r="R609" i="21"/>
  <c r="Q609" i="21"/>
  <c r="O609" i="21" s="1"/>
  <c r="P609" i="21"/>
  <c r="M609" i="21"/>
  <c r="L609" i="21"/>
  <c r="X608" i="21"/>
  <c r="T608" i="21"/>
  <c r="S608" i="21"/>
  <c r="R608" i="21"/>
  <c r="P608" i="21"/>
  <c r="M608" i="21"/>
  <c r="L608" i="21"/>
  <c r="X607" i="21"/>
  <c r="T607" i="21"/>
  <c r="S607" i="21"/>
  <c r="Q607" i="21" s="1"/>
  <c r="O607" i="21" s="1"/>
  <c r="R607" i="21"/>
  <c r="P607" i="21"/>
  <c r="N607" i="21"/>
  <c r="M607" i="21"/>
  <c r="L607" i="21"/>
  <c r="X606" i="21"/>
  <c r="T606" i="21"/>
  <c r="S606" i="21"/>
  <c r="R606" i="21"/>
  <c r="Q606" i="21"/>
  <c r="P606" i="21"/>
  <c r="O606" i="21"/>
  <c r="N606" i="21"/>
  <c r="M606" i="21"/>
  <c r="L606" i="21"/>
  <c r="X605" i="21"/>
  <c r="T605" i="21"/>
  <c r="S605" i="21"/>
  <c r="N605" i="21" s="1"/>
  <c r="R605" i="21"/>
  <c r="Q605" i="21"/>
  <c r="O605" i="21" s="1"/>
  <c r="P605" i="21"/>
  <c r="M605" i="21"/>
  <c r="L605" i="21"/>
  <c r="X604" i="21"/>
  <c r="T604" i="21"/>
  <c r="S604" i="21"/>
  <c r="R604" i="21"/>
  <c r="P604" i="21"/>
  <c r="M604" i="21"/>
  <c r="L604" i="21"/>
  <c r="X603" i="21"/>
  <c r="T603" i="21"/>
  <c r="S603" i="21"/>
  <c r="Q603" i="21" s="1"/>
  <c r="O603" i="21" s="1"/>
  <c r="R603" i="21"/>
  <c r="P603" i="21"/>
  <c r="N603" i="21"/>
  <c r="M603" i="21"/>
  <c r="L603" i="21"/>
  <c r="X602" i="21"/>
  <c r="T602" i="21"/>
  <c r="S602" i="21"/>
  <c r="R602" i="21"/>
  <c r="Q602" i="21"/>
  <c r="P602" i="21"/>
  <c r="O602" i="21"/>
  <c r="N602" i="21"/>
  <c r="M602" i="21"/>
  <c r="L602" i="21"/>
  <c r="X601" i="21"/>
  <c r="T601" i="21"/>
  <c r="S601" i="21"/>
  <c r="N601" i="21" s="1"/>
  <c r="R601" i="21"/>
  <c r="Q601" i="21"/>
  <c r="O601" i="21" s="1"/>
  <c r="P601" i="21"/>
  <c r="M601" i="21"/>
  <c r="L601" i="21"/>
  <c r="X600" i="21"/>
  <c r="T600" i="21"/>
  <c r="S600" i="21"/>
  <c r="R600" i="21"/>
  <c r="P600" i="21"/>
  <c r="M600" i="21"/>
  <c r="L600" i="21"/>
  <c r="X599" i="21"/>
  <c r="T599" i="21"/>
  <c r="S599" i="21"/>
  <c r="Q599" i="21" s="1"/>
  <c r="O599" i="21" s="1"/>
  <c r="R599" i="21"/>
  <c r="P599" i="21"/>
  <c r="N599" i="21"/>
  <c r="M599" i="21"/>
  <c r="L599" i="21"/>
  <c r="X598" i="21"/>
  <c r="T598" i="21"/>
  <c r="S598" i="21"/>
  <c r="R598" i="21"/>
  <c r="Q598" i="21"/>
  <c r="P598" i="21"/>
  <c r="O598" i="21"/>
  <c r="N598" i="21"/>
  <c r="M598" i="21"/>
  <c r="L598" i="21"/>
  <c r="X597" i="21"/>
  <c r="T597" i="21"/>
  <c r="S597" i="21"/>
  <c r="N597" i="21" s="1"/>
  <c r="R597" i="21"/>
  <c r="Q597" i="21"/>
  <c r="O597" i="21" s="1"/>
  <c r="P597" i="21"/>
  <c r="M597" i="21"/>
  <c r="L597" i="21"/>
  <c r="X596" i="21"/>
  <c r="T596" i="21"/>
  <c r="S596" i="21"/>
  <c r="R596" i="21"/>
  <c r="P596" i="21"/>
  <c r="M596" i="21"/>
  <c r="L596" i="21"/>
  <c r="X595" i="21"/>
  <c r="T595" i="21"/>
  <c r="S595" i="21"/>
  <c r="Q595" i="21" s="1"/>
  <c r="O595" i="21" s="1"/>
  <c r="R595" i="21"/>
  <c r="P595" i="21"/>
  <c r="N595" i="21"/>
  <c r="M595" i="21"/>
  <c r="L595" i="21"/>
  <c r="X594" i="21"/>
  <c r="T594" i="21"/>
  <c r="S594" i="21"/>
  <c r="R594" i="21"/>
  <c r="Q594" i="21"/>
  <c r="P594" i="21"/>
  <c r="O594" i="21"/>
  <c r="N594" i="21"/>
  <c r="M594" i="21"/>
  <c r="L594" i="21"/>
  <c r="X593" i="21"/>
  <c r="T593" i="21"/>
  <c r="S593" i="21"/>
  <c r="N593" i="21" s="1"/>
  <c r="R593" i="21"/>
  <c r="Q593" i="21"/>
  <c r="O593" i="21" s="1"/>
  <c r="P593" i="21"/>
  <c r="M593" i="21"/>
  <c r="L593" i="21"/>
  <c r="X592" i="21"/>
  <c r="T592" i="21"/>
  <c r="S592" i="21"/>
  <c r="R592" i="21"/>
  <c r="P592" i="21"/>
  <c r="M592" i="21"/>
  <c r="L592" i="21"/>
  <c r="X591" i="21"/>
  <c r="T591" i="21"/>
  <c r="S591" i="21"/>
  <c r="Q591" i="21" s="1"/>
  <c r="O591" i="21" s="1"/>
  <c r="R591" i="21"/>
  <c r="P591" i="21"/>
  <c r="N591" i="21"/>
  <c r="M591" i="21"/>
  <c r="L591" i="21"/>
  <c r="X590" i="21"/>
  <c r="T590" i="21"/>
  <c r="S590" i="21"/>
  <c r="R590" i="21"/>
  <c r="Q590" i="21"/>
  <c r="P590" i="21"/>
  <c r="O590" i="21"/>
  <c r="N590" i="21"/>
  <c r="M590" i="21"/>
  <c r="L590" i="21"/>
  <c r="X589" i="21"/>
  <c r="T589" i="21"/>
  <c r="S589" i="21"/>
  <c r="R589" i="21"/>
  <c r="Q589" i="21"/>
  <c r="O589" i="21" s="1"/>
  <c r="P589" i="21"/>
  <c r="M589" i="21"/>
  <c r="L589" i="21"/>
  <c r="X588" i="21"/>
  <c r="T588" i="21"/>
  <c r="S588" i="21"/>
  <c r="R588" i="21"/>
  <c r="P588" i="21"/>
  <c r="M588" i="21"/>
  <c r="L588" i="21"/>
  <c r="X587" i="21"/>
  <c r="T587" i="21"/>
  <c r="S587" i="21"/>
  <c r="Q587" i="21" s="1"/>
  <c r="O587" i="21" s="1"/>
  <c r="R587" i="21"/>
  <c r="P587" i="21"/>
  <c r="N587" i="21"/>
  <c r="M587" i="21"/>
  <c r="L587" i="21"/>
  <c r="X586" i="21"/>
  <c r="T586" i="21"/>
  <c r="S586" i="21"/>
  <c r="R586" i="21"/>
  <c r="Q586" i="21"/>
  <c r="P586" i="21"/>
  <c r="O586" i="21"/>
  <c r="N586" i="21"/>
  <c r="M586" i="21"/>
  <c r="L586" i="21"/>
  <c r="X585" i="21"/>
  <c r="T585" i="21"/>
  <c r="S585" i="21"/>
  <c r="R585" i="21"/>
  <c r="Q585" i="21"/>
  <c r="O585" i="21" s="1"/>
  <c r="P585" i="21"/>
  <c r="M585" i="21"/>
  <c r="L585" i="21"/>
  <c r="X584" i="21"/>
  <c r="T584" i="21"/>
  <c r="S584" i="21"/>
  <c r="R584" i="21"/>
  <c r="P584" i="21"/>
  <c r="M584" i="21"/>
  <c r="L584" i="21"/>
  <c r="X583" i="21"/>
  <c r="T583" i="21"/>
  <c r="S583" i="21"/>
  <c r="Q583" i="21" s="1"/>
  <c r="O583" i="21" s="1"/>
  <c r="R583" i="21"/>
  <c r="P583" i="21"/>
  <c r="N583" i="21"/>
  <c r="M583" i="21"/>
  <c r="L583" i="21"/>
  <c r="X582" i="21"/>
  <c r="T582" i="21"/>
  <c r="S582" i="21"/>
  <c r="R582" i="21"/>
  <c r="Q582" i="21"/>
  <c r="P582" i="21"/>
  <c r="O582" i="21"/>
  <c r="N582" i="21"/>
  <c r="M582" i="21"/>
  <c r="L582" i="21"/>
  <c r="X581" i="21"/>
  <c r="T581" i="21"/>
  <c r="S581" i="21"/>
  <c r="N581" i="21" s="1"/>
  <c r="R581" i="21"/>
  <c r="Q581" i="21"/>
  <c r="O581" i="21" s="1"/>
  <c r="P581" i="21"/>
  <c r="M581" i="21"/>
  <c r="L581" i="21"/>
  <c r="X580" i="21"/>
  <c r="T580" i="21"/>
  <c r="S580" i="21"/>
  <c r="R580" i="21"/>
  <c r="P580" i="21"/>
  <c r="M580" i="21"/>
  <c r="L580" i="21"/>
  <c r="X579" i="21"/>
  <c r="T579" i="21"/>
  <c r="S579" i="21"/>
  <c r="Q579" i="21" s="1"/>
  <c r="O579" i="21" s="1"/>
  <c r="R579" i="21"/>
  <c r="P579" i="21"/>
  <c r="N579" i="21"/>
  <c r="M579" i="21"/>
  <c r="L579" i="21"/>
  <c r="X578" i="21"/>
  <c r="T578" i="21"/>
  <c r="S578" i="21"/>
  <c r="R578" i="21"/>
  <c r="Q578" i="21"/>
  <c r="P578" i="21"/>
  <c r="O578" i="21"/>
  <c r="N578" i="21"/>
  <c r="M578" i="21"/>
  <c r="L578" i="21"/>
  <c r="X577" i="21"/>
  <c r="T577" i="21"/>
  <c r="S577" i="21"/>
  <c r="N577" i="21" s="1"/>
  <c r="R577" i="21"/>
  <c r="Q577" i="21"/>
  <c r="O577" i="21" s="1"/>
  <c r="P577" i="21"/>
  <c r="M577" i="21"/>
  <c r="L577" i="21"/>
  <c r="X576" i="21"/>
  <c r="T576" i="21"/>
  <c r="S576" i="21"/>
  <c r="R576" i="21"/>
  <c r="P576" i="21"/>
  <c r="M576" i="21"/>
  <c r="L576" i="21"/>
  <c r="X575" i="21"/>
  <c r="T575" i="21"/>
  <c r="S575" i="21"/>
  <c r="Q575" i="21" s="1"/>
  <c r="O575" i="21" s="1"/>
  <c r="R575" i="21"/>
  <c r="P575" i="21"/>
  <c r="N575" i="21"/>
  <c r="M575" i="21"/>
  <c r="L575" i="21"/>
  <c r="X574" i="21"/>
  <c r="T574" i="21"/>
  <c r="S574" i="21"/>
  <c r="R574" i="21"/>
  <c r="Q574" i="21"/>
  <c r="P574" i="21"/>
  <c r="O574" i="21"/>
  <c r="N574" i="21"/>
  <c r="M574" i="21"/>
  <c r="L574" i="21"/>
  <c r="X573" i="21"/>
  <c r="T573" i="21"/>
  <c r="S573" i="21"/>
  <c r="N573" i="21" s="1"/>
  <c r="R573" i="21"/>
  <c r="Q573" i="21"/>
  <c r="O573" i="21" s="1"/>
  <c r="P573" i="21"/>
  <c r="M573" i="21"/>
  <c r="L573" i="21"/>
  <c r="X572" i="21"/>
  <c r="T572" i="21"/>
  <c r="S572" i="21"/>
  <c r="R572" i="21"/>
  <c r="P572" i="21"/>
  <c r="M572" i="21"/>
  <c r="L572" i="21"/>
  <c r="X571" i="21"/>
  <c r="T571" i="21"/>
  <c r="S571" i="21"/>
  <c r="Q571" i="21" s="1"/>
  <c r="O571" i="21" s="1"/>
  <c r="R571" i="21"/>
  <c r="P571" i="21"/>
  <c r="N571" i="21"/>
  <c r="M571" i="21"/>
  <c r="L571" i="21"/>
  <c r="X570" i="21"/>
  <c r="T570" i="21"/>
  <c r="S570" i="21"/>
  <c r="R570" i="21"/>
  <c r="Q570" i="21"/>
  <c r="P570" i="21"/>
  <c r="O570" i="21"/>
  <c r="N570" i="21"/>
  <c r="M570" i="21"/>
  <c r="L570" i="21"/>
  <c r="X569" i="21"/>
  <c r="T569" i="21"/>
  <c r="S569" i="21"/>
  <c r="R569" i="21"/>
  <c r="Q569" i="21"/>
  <c r="O569" i="21" s="1"/>
  <c r="P569" i="21"/>
  <c r="M569" i="21"/>
  <c r="L569" i="21"/>
  <c r="X568" i="21"/>
  <c r="T568" i="21"/>
  <c r="S568" i="21"/>
  <c r="R568" i="21"/>
  <c r="P568" i="21"/>
  <c r="M568" i="21"/>
  <c r="L568" i="21"/>
  <c r="X567" i="21"/>
  <c r="T567" i="21"/>
  <c r="S567" i="21"/>
  <c r="Q567" i="21" s="1"/>
  <c r="O567" i="21" s="1"/>
  <c r="R567" i="21"/>
  <c r="P567" i="21"/>
  <c r="N567" i="21"/>
  <c r="M567" i="21"/>
  <c r="L567" i="21"/>
  <c r="X566" i="21"/>
  <c r="T566" i="21"/>
  <c r="S566" i="21"/>
  <c r="R566" i="21"/>
  <c r="Q566" i="21"/>
  <c r="P566" i="21"/>
  <c r="O566" i="21"/>
  <c r="N566" i="21"/>
  <c r="M566" i="21"/>
  <c r="L566" i="21"/>
  <c r="X565" i="21"/>
  <c r="T565" i="21"/>
  <c r="S565" i="21"/>
  <c r="N565" i="21" s="1"/>
  <c r="R565" i="21"/>
  <c r="Q565" i="21"/>
  <c r="O565" i="21" s="1"/>
  <c r="P565" i="21"/>
  <c r="M565" i="21"/>
  <c r="L565" i="21"/>
  <c r="X564" i="21"/>
  <c r="T564" i="21"/>
  <c r="S564" i="21"/>
  <c r="R564" i="21"/>
  <c r="P564" i="21"/>
  <c r="M564" i="21"/>
  <c r="L564" i="21"/>
  <c r="X563" i="21"/>
  <c r="T563" i="21"/>
  <c r="S563" i="21"/>
  <c r="Q563" i="21" s="1"/>
  <c r="O563" i="21" s="1"/>
  <c r="R563" i="21"/>
  <c r="P563" i="21"/>
  <c r="N563" i="21"/>
  <c r="M563" i="21"/>
  <c r="L563" i="21"/>
  <c r="X562" i="21"/>
  <c r="T562" i="21"/>
  <c r="S562" i="21"/>
  <c r="R562" i="21"/>
  <c r="Q562" i="21"/>
  <c r="P562" i="21"/>
  <c r="O562" i="21"/>
  <c r="N562" i="21"/>
  <c r="M562" i="21"/>
  <c r="L562" i="21"/>
  <c r="X561" i="21"/>
  <c r="T561" i="21"/>
  <c r="S561" i="21"/>
  <c r="N561" i="21" s="1"/>
  <c r="R561" i="21"/>
  <c r="Q561" i="21"/>
  <c r="O561" i="21" s="1"/>
  <c r="P561" i="21"/>
  <c r="M561" i="21"/>
  <c r="L561" i="21"/>
  <c r="X560" i="21"/>
  <c r="T560" i="21"/>
  <c r="S560" i="21"/>
  <c r="R560" i="21"/>
  <c r="P560" i="21"/>
  <c r="M560" i="21"/>
  <c r="L560" i="21"/>
  <c r="X559" i="21"/>
  <c r="T559" i="21"/>
  <c r="S559" i="21"/>
  <c r="Q559" i="21" s="1"/>
  <c r="O559" i="21" s="1"/>
  <c r="R559" i="21"/>
  <c r="P559" i="21"/>
  <c r="N559" i="21"/>
  <c r="M559" i="21"/>
  <c r="L559" i="21"/>
  <c r="X558" i="21"/>
  <c r="T558" i="21"/>
  <c r="S558" i="21"/>
  <c r="R558" i="21"/>
  <c r="Q558" i="21"/>
  <c r="P558" i="21"/>
  <c r="O558" i="21"/>
  <c r="N558" i="21"/>
  <c r="M558" i="21"/>
  <c r="L558" i="21"/>
  <c r="X557" i="21"/>
  <c r="T557" i="21"/>
  <c r="S557" i="21"/>
  <c r="R557" i="21"/>
  <c r="Q557" i="21"/>
  <c r="O557" i="21" s="1"/>
  <c r="P557" i="21"/>
  <c r="M557" i="21"/>
  <c r="L557" i="21"/>
  <c r="X556" i="21"/>
  <c r="T556" i="21"/>
  <c r="S556" i="21"/>
  <c r="R556" i="21"/>
  <c r="P556" i="21"/>
  <c r="M556" i="21"/>
  <c r="L556" i="21"/>
  <c r="X555" i="21"/>
  <c r="T555" i="21"/>
  <c r="S555" i="21"/>
  <c r="Q555" i="21" s="1"/>
  <c r="O555" i="21" s="1"/>
  <c r="R555" i="21"/>
  <c r="P555" i="21"/>
  <c r="N555" i="21"/>
  <c r="M555" i="21"/>
  <c r="L555" i="21"/>
  <c r="X554" i="21"/>
  <c r="T554" i="21"/>
  <c r="S554" i="21"/>
  <c r="R554" i="21"/>
  <c r="Q554" i="21"/>
  <c r="P554" i="21"/>
  <c r="O554" i="21"/>
  <c r="N554" i="21"/>
  <c r="M554" i="21"/>
  <c r="L554" i="21"/>
  <c r="X553" i="21"/>
  <c r="T553" i="21"/>
  <c r="S553" i="21"/>
  <c r="R553" i="21"/>
  <c r="Q553" i="21"/>
  <c r="O553" i="21" s="1"/>
  <c r="P553" i="21"/>
  <c r="M553" i="21"/>
  <c r="L553" i="21"/>
  <c r="X552" i="21"/>
  <c r="T552" i="21"/>
  <c r="S552" i="21"/>
  <c r="R552" i="21"/>
  <c r="P552" i="21"/>
  <c r="M552" i="21"/>
  <c r="L552" i="21"/>
  <c r="X551" i="21"/>
  <c r="T551" i="21"/>
  <c r="S551" i="21"/>
  <c r="Q551" i="21" s="1"/>
  <c r="O551" i="21" s="1"/>
  <c r="R551" i="21"/>
  <c r="P551" i="21"/>
  <c r="N551" i="21"/>
  <c r="M551" i="21"/>
  <c r="L551" i="21"/>
  <c r="X550" i="21"/>
  <c r="T550" i="21"/>
  <c r="S550" i="21"/>
  <c r="R550" i="21"/>
  <c r="Q550" i="21"/>
  <c r="P550" i="21"/>
  <c r="O550" i="21"/>
  <c r="N550" i="21"/>
  <c r="M550" i="21"/>
  <c r="L550" i="21"/>
  <c r="X549" i="21"/>
  <c r="T549" i="21"/>
  <c r="S549" i="21"/>
  <c r="N549" i="21" s="1"/>
  <c r="R549" i="21"/>
  <c r="Q549" i="21"/>
  <c r="O549" i="21" s="1"/>
  <c r="P549" i="21"/>
  <c r="M549" i="21"/>
  <c r="L549" i="21"/>
  <c r="X548" i="21"/>
  <c r="T548" i="21"/>
  <c r="S548" i="21"/>
  <c r="R548" i="21"/>
  <c r="P548" i="21"/>
  <c r="M548" i="21"/>
  <c r="L548" i="21"/>
  <c r="X547" i="21"/>
  <c r="T547" i="21"/>
  <c r="S547" i="21"/>
  <c r="Q547" i="21" s="1"/>
  <c r="O547" i="21" s="1"/>
  <c r="R547" i="21"/>
  <c r="P547" i="21"/>
  <c r="N547" i="21"/>
  <c r="M547" i="21"/>
  <c r="L547" i="21"/>
  <c r="X546" i="21"/>
  <c r="T546" i="21"/>
  <c r="S546" i="21"/>
  <c r="R546" i="21"/>
  <c r="Q546" i="21"/>
  <c r="P546" i="21"/>
  <c r="O546" i="21"/>
  <c r="N546" i="21"/>
  <c r="M546" i="21"/>
  <c r="L546" i="21"/>
  <c r="X545" i="21"/>
  <c r="T545" i="21"/>
  <c r="S545" i="21"/>
  <c r="N545" i="21" s="1"/>
  <c r="R545" i="21"/>
  <c r="Q545" i="21"/>
  <c r="O545" i="21" s="1"/>
  <c r="P545" i="21"/>
  <c r="M545" i="21"/>
  <c r="L545" i="21"/>
  <c r="X544" i="21"/>
  <c r="T544" i="21"/>
  <c r="S544" i="21"/>
  <c r="R544" i="21"/>
  <c r="P544" i="21"/>
  <c r="M544" i="21"/>
  <c r="L544" i="21"/>
  <c r="X543" i="21"/>
  <c r="T543" i="21"/>
  <c r="S543" i="21"/>
  <c r="Q543" i="21" s="1"/>
  <c r="O543" i="21" s="1"/>
  <c r="R543" i="21"/>
  <c r="P543" i="21"/>
  <c r="N543" i="21"/>
  <c r="M543" i="21"/>
  <c r="L543" i="21"/>
  <c r="X542" i="21"/>
  <c r="T542" i="21"/>
  <c r="S542" i="21"/>
  <c r="R542" i="21"/>
  <c r="Q542" i="21"/>
  <c r="P542" i="21"/>
  <c r="O542" i="21"/>
  <c r="N542" i="21"/>
  <c r="M542" i="21"/>
  <c r="L542" i="21"/>
  <c r="X541" i="21"/>
  <c r="T541" i="21"/>
  <c r="S541" i="21"/>
  <c r="N541" i="21" s="1"/>
  <c r="R541" i="21"/>
  <c r="Q541" i="21"/>
  <c r="O541" i="21" s="1"/>
  <c r="P541" i="21"/>
  <c r="M541" i="21"/>
  <c r="L541" i="21"/>
  <c r="X540" i="21"/>
  <c r="T540" i="21"/>
  <c r="S540" i="21"/>
  <c r="R540" i="21"/>
  <c r="P540" i="21"/>
  <c r="M540" i="21"/>
  <c r="L540" i="21"/>
  <c r="X539" i="21"/>
  <c r="T539" i="21"/>
  <c r="S539" i="21"/>
  <c r="R539" i="21"/>
  <c r="P539" i="21"/>
  <c r="N539" i="21"/>
  <c r="M539" i="21"/>
  <c r="L539" i="21"/>
  <c r="X538" i="21"/>
  <c r="T538" i="21"/>
  <c r="S538" i="21"/>
  <c r="R538" i="21"/>
  <c r="Q538" i="21"/>
  <c r="P538" i="21"/>
  <c r="O538" i="21"/>
  <c r="N538" i="21"/>
  <c r="M538" i="21"/>
  <c r="L538" i="21"/>
  <c r="X537" i="21"/>
  <c r="T537" i="21"/>
  <c r="S537" i="21"/>
  <c r="R537" i="21"/>
  <c r="Q537" i="21"/>
  <c r="O537" i="21" s="1"/>
  <c r="P537" i="21"/>
  <c r="M537" i="21"/>
  <c r="L537" i="21"/>
  <c r="X536" i="21"/>
  <c r="T536" i="21"/>
  <c r="S536" i="21"/>
  <c r="R536" i="21"/>
  <c r="P536" i="21"/>
  <c r="M536" i="21"/>
  <c r="L536" i="21"/>
  <c r="X535" i="21"/>
  <c r="T535" i="21"/>
  <c r="S535" i="21"/>
  <c r="R535" i="21"/>
  <c r="P535" i="21"/>
  <c r="N535" i="21"/>
  <c r="M535" i="21"/>
  <c r="L535" i="21"/>
  <c r="X534" i="21"/>
  <c r="T534" i="21"/>
  <c r="S534" i="21"/>
  <c r="R534" i="21"/>
  <c r="Q534" i="21"/>
  <c r="P534" i="21"/>
  <c r="O534" i="21"/>
  <c r="N534" i="21"/>
  <c r="M534" i="21"/>
  <c r="L534" i="21"/>
  <c r="X533" i="21"/>
  <c r="T533" i="21"/>
  <c r="S533" i="21"/>
  <c r="N533" i="21" s="1"/>
  <c r="R533" i="21"/>
  <c r="Q533" i="21"/>
  <c r="O533" i="21" s="1"/>
  <c r="P533" i="21"/>
  <c r="M533" i="21"/>
  <c r="L533" i="21"/>
  <c r="X532" i="21"/>
  <c r="T532" i="21"/>
  <c r="S532" i="21"/>
  <c r="R532" i="21"/>
  <c r="P532" i="21"/>
  <c r="M532" i="21"/>
  <c r="L532" i="21"/>
  <c r="X531" i="21"/>
  <c r="T531" i="21"/>
  <c r="S531" i="21"/>
  <c r="R531" i="21"/>
  <c r="P531" i="21"/>
  <c r="N531" i="21"/>
  <c r="M531" i="21"/>
  <c r="L531" i="21"/>
  <c r="X530" i="21"/>
  <c r="T530" i="21"/>
  <c r="S530" i="21"/>
  <c r="R530" i="21"/>
  <c r="Q530" i="21"/>
  <c r="P530" i="21"/>
  <c r="O530" i="21"/>
  <c r="N530" i="21"/>
  <c r="M530" i="21"/>
  <c r="L530" i="21"/>
  <c r="X529" i="21"/>
  <c r="T529" i="21"/>
  <c r="S529" i="21"/>
  <c r="N529" i="21" s="1"/>
  <c r="R529" i="21"/>
  <c r="Q529" i="21"/>
  <c r="O529" i="21" s="1"/>
  <c r="P529" i="21"/>
  <c r="M529" i="21"/>
  <c r="L529" i="21"/>
  <c r="X528" i="21"/>
  <c r="T528" i="21"/>
  <c r="S528" i="21"/>
  <c r="R528" i="21"/>
  <c r="P528" i="21"/>
  <c r="M528" i="21"/>
  <c r="L528" i="21"/>
  <c r="X527" i="21"/>
  <c r="T527" i="21"/>
  <c r="S527" i="21"/>
  <c r="Q527" i="21" s="1"/>
  <c r="O527" i="21" s="1"/>
  <c r="R527" i="21"/>
  <c r="P527" i="21"/>
  <c r="N527" i="21"/>
  <c r="M527" i="21"/>
  <c r="L527" i="21"/>
  <c r="X526" i="21"/>
  <c r="T526" i="21"/>
  <c r="S526" i="21"/>
  <c r="R526" i="21"/>
  <c r="Q526" i="21"/>
  <c r="P526" i="21"/>
  <c r="O526" i="21"/>
  <c r="N526" i="21"/>
  <c r="M526" i="21"/>
  <c r="L526" i="21"/>
  <c r="X525" i="21"/>
  <c r="T525" i="21"/>
  <c r="S525" i="21"/>
  <c r="R525" i="21"/>
  <c r="Q525" i="21"/>
  <c r="O525" i="21" s="1"/>
  <c r="P525" i="21"/>
  <c r="M525" i="21"/>
  <c r="L525" i="21"/>
  <c r="X524" i="21"/>
  <c r="T524" i="21"/>
  <c r="S524" i="21"/>
  <c r="R524" i="21"/>
  <c r="P524" i="21"/>
  <c r="M524" i="21"/>
  <c r="L524" i="21"/>
  <c r="X523" i="21"/>
  <c r="T523" i="21"/>
  <c r="S523" i="21"/>
  <c r="R523" i="21"/>
  <c r="P523" i="21"/>
  <c r="N523" i="21"/>
  <c r="M523" i="21"/>
  <c r="L523" i="21"/>
  <c r="X522" i="21"/>
  <c r="T522" i="21"/>
  <c r="S522" i="21"/>
  <c r="R522" i="21"/>
  <c r="Q522" i="21"/>
  <c r="O522" i="21" s="1"/>
  <c r="P522" i="21"/>
  <c r="N522" i="21"/>
  <c r="M522" i="21"/>
  <c r="L522" i="21"/>
  <c r="X521" i="21"/>
  <c r="T521" i="21"/>
  <c r="S521" i="21"/>
  <c r="N521" i="21" s="1"/>
  <c r="R521" i="21"/>
  <c r="P521" i="21"/>
  <c r="M521" i="21"/>
  <c r="L521" i="21"/>
  <c r="X520" i="21"/>
  <c r="T520" i="21"/>
  <c r="S520" i="21"/>
  <c r="R520" i="21"/>
  <c r="P520" i="21"/>
  <c r="M520" i="21"/>
  <c r="L520" i="21"/>
  <c r="X519" i="21"/>
  <c r="T519" i="21"/>
  <c r="S519" i="21"/>
  <c r="Q519" i="21" s="1"/>
  <c r="O519" i="21" s="1"/>
  <c r="R519" i="21"/>
  <c r="P519" i="21"/>
  <c r="N519" i="21"/>
  <c r="M519" i="21"/>
  <c r="L519" i="21"/>
  <c r="X518" i="21"/>
  <c r="T518" i="21"/>
  <c r="S518" i="21"/>
  <c r="R518" i="21"/>
  <c r="Q518" i="21"/>
  <c r="P518" i="21"/>
  <c r="O518" i="21"/>
  <c r="N518" i="21"/>
  <c r="M518" i="21"/>
  <c r="L518" i="21"/>
  <c r="X517" i="21"/>
  <c r="T517" i="21"/>
  <c r="S517" i="21"/>
  <c r="N517" i="21" s="1"/>
  <c r="R517" i="21"/>
  <c r="Q517" i="21"/>
  <c r="O517" i="21" s="1"/>
  <c r="P517" i="21"/>
  <c r="M517" i="21"/>
  <c r="L517" i="21"/>
  <c r="X516" i="21"/>
  <c r="T516" i="21"/>
  <c r="S516" i="21"/>
  <c r="R516" i="21"/>
  <c r="P516" i="21"/>
  <c r="M516" i="21"/>
  <c r="L516" i="21"/>
  <c r="X515" i="21"/>
  <c r="T515" i="21"/>
  <c r="S515" i="21"/>
  <c r="R515" i="21"/>
  <c r="P515" i="21"/>
  <c r="N515" i="21"/>
  <c r="M515" i="21"/>
  <c r="L515" i="21"/>
  <c r="X514" i="21"/>
  <c r="T514" i="21"/>
  <c r="S514" i="21"/>
  <c r="R514" i="21"/>
  <c r="Q514" i="21"/>
  <c r="O514" i="21" s="1"/>
  <c r="P514" i="21"/>
  <c r="N514" i="21"/>
  <c r="M514" i="21"/>
  <c r="L514" i="21"/>
  <c r="X513" i="21"/>
  <c r="T513" i="21"/>
  <c r="S513" i="21"/>
  <c r="R513" i="21"/>
  <c r="P513" i="21"/>
  <c r="M513" i="21"/>
  <c r="L513" i="21"/>
  <c r="X512" i="21"/>
  <c r="T512" i="21"/>
  <c r="S512" i="21"/>
  <c r="R512" i="21"/>
  <c r="P512" i="21"/>
  <c r="M512" i="21"/>
  <c r="L512" i="21"/>
  <c r="X511" i="21"/>
  <c r="T511" i="21"/>
  <c r="S511" i="21"/>
  <c r="R511" i="21"/>
  <c r="P511" i="21"/>
  <c r="N511" i="21"/>
  <c r="M511" i="21"/>
  <c r="L511" i="21"/>
  <c r="X510" i="21"/>
  <c r="T510" i="21"/>
  <c r="S510" i="21"/>
  <c r="R510" i="21"/>
  <c r="Q510" i="21"/>
  <c r="P510" i="21"/>
  <c r="O510" i="21"/>
  <c r="N510" i="21"/>
  <c r="M510" i="21"/>
  <c r="L510" i="21"/>
  <c r="X509" i="21"/>
  <c r="T509" i="21"/>
  <c r="S509" i="21"/>
  <c r="R509" i="21"/>
  <c r="Q509" i="21"/>
  <c r="O509" i="21" s="1"/>
  <c r="P509" i="21"/>
  <c r="M509" i="21"/>
  <c r="L509" i="21"/>
  <c r="X508" i="21"/>
  <c r="T508" i="21"/>
  <c r="S508" i="21"/>
  <c r="R508" i="21"/>
  <c r="P508" i="21"/>
  <c r="M508" i="21"/>
  <c r="L508" i="21"/>
  <c r="X507" i="21"/>
  <c r="T507" i="21"/>
  <c r="S507" i="21"/>
  <c r="R507" i="21"/>
  <c r="P507" i="21"/>
  <c r="N507" i="21"/>
  <c r="M507" i="21"/>
  <c r="L507" i="21"/>
  <c r="X506" i="21"/>
  <c r="T506" i="21"/>
  <c r="S506" i="21"/>
  <c r="R506" i="21"/>
  <c r="Q506" i="21"/>
  <c r="O506" i="21" s="1"/>
  <c r="P506" i="21"/>
  <c r="N506" i="21"/>
  <c r="M506" i="21"/>
  <c r="L506" i="21"/>
  <c r="X505" i="21"/>
  <c r="T505" i="21"/>
  <c r="S505" i="21"/>
  <c r="N505" i="21" s="1"/>
  <c r="R505" i="21"/>
  <c r="P505" i="21"/>
  <c r="M505" i="21"/>
  <c r="L505" i="21"/>
  <c r="X504" i="21"/>
  <c r="T504" i="21"/>
  <c r="S504" i="21"/>
  <c r="R504" i="21"/>
  <c r="P504" i="21"/>
  <c r="M504" i="21"/>
  <c r="L504" i="21"/>
  <c r="X503" i="21"/>
  <c r="T503" i="21"/>
  <c r="S503" i="21"/>
  <c r="Q503" i="21" s="1"/>
  <c r="O503" i="21" s="1"/>
  <c r="R503" i="21"/>
  <c r="P503" i="21"/>
  <c r="N503" i="21"/>
  <c r="M503" i="21"/>
  <c r="L503" i="21"/>
  <c r="X502" i="21"/>
  <c r="T502" i="21"/>
  <c r="S502" i="21"/>
  <c r="R502" i="21"/>
  <c r="Q502" i="21"/>
  <c r="P502" i="21"/>
  <c r="O502" i="21"/>
  <c r="N502" i="21"/>
  <c r="M502" i="21"/>
  <c r="L502" i="21"/>
  <c r="X501" i="21"/>
  <c r="T501" i="21"/>
  <c r="S501" i="21"/>
  <c r="N501" i="21" s="1"/>
  <c r="R501" i="21"/>
  <c r="Q501" i="21"/>
  <c r="O501" i="21" s="1"/>
  <c r="P501" i="21"/>
  <c r="M501" i="21"/>
  <c r="L501" i="21"/>
  <c r="X500" i="21"/>
  <c r="T500" i="21"/>
  <c r="S500" i="21"/>
  <c r="R500" i="21"/>
  <c r="Q500" i="21"/>
  <c r="O500" i="21" s="1"/>
  <c r="P500" i="21"/>
  <c r="M500" i="21"/>
  <c r="L500" i="21"/>
  <c r="X499" i="21"/>
  <c r="T499" i="21"/>
  <c r="S499" i="21"/>
  <c r="R499" i="21"/>
  <c r="P499" i="21"/>
  <c r="N499" i="21"/>
  <c r="M499" i="21"/>
  <c r="L499" i="21"/>
  <c r="X498" i="21"/>
  <c r="T498" i="21"/>
  <c r="S498" i="21"/>
  <c r="R498" i="21"/>
  <c r="Q498" i="21"/>
  <c r="P498" i="21"/>
  <c r="O498" i="21"/>
  <c r="N498" i="21"/>
  <c r="M498" i="21"/>
  <c r="L498" i="21"/>
  <c r="X497" i="21"/>
  <c r="T497" i="21"/>
  <c r="S497" i="21"/>
  <c r="R497" i="21"/>
  <c r="Q497" i="21"/>
  <c r="O497" i="21" s="1"/>
  <c r="P497" i="21"/>
  <c r="M497" i="21"/>
  <c r="L497" i="21"/>
  <c r="X496" i="21"/>
  <c r="T496" i="21"/>
  <c r="S496" i="21"/>
  <c r="Q496" i="21" s="1"/>
  <c r="O496" i="21" s="1"/>
  <c r="R496" i="21"/>
  <c r="P496" i="21"/>
  <c r="M496" i="21"/>
  <c r="L496" i="21"/>
  <c r="X495" i="21"/>
  <c r="T495" i="21"/>
  <c r="S495" i="21"/>
  <c r="Q495" i="21" s="1"/>
  <c r="O495" i="21" s="1"/>
  <c r="R495" i="21"/>
  <c r="P495" i="21"/>
  <c r="M495" i="21"/>
  <c r="L495" i="21"/>
  <c r="X494" i="21"/>
  <c r="T494" i="21"/>
  <c r="S494" i="21"/>
  <c r="R494" i="21"/>
  <c r="Q494" i="21"/>
  <c r="P494" i="21"/>
  <c r="O494" i="21"/>
  <c r="N494" i="21"/>
  <c r="M494" i="21"/>
  <c r="L494" i="21"/>
  <c r="X493" i="21"/>
  <c r="T493" i="21"/>
  <c r="S493" i="21"/>
  <c r="N493" i="21" s="1"/>
  <c r="R493" i="21"/>
  <c r="Q493" i="21"/>
  <c r="O493" i="21" s="1"/>
  <c r="P493" i="21"/>
  <c r="M493" i="21"/>
  <c r="L493" i="21"/>
  <c r="X492" i="21"/>
  <c r="T492" i="21"/>
  <c r="S492" i="21"/>
  <c r="R492" i="21"/>
  <c r="Q492" i="21"/>
  <c r="O492" i="21" s="1"/>
  <c r="P492" i="21"/>
  <c r="M492" i="21"/>
  <c r="L492" i="21"/>
  <c r="X491" i="21"/>
  <c r="T491" i="21"/>
  <c r="S491" i="21"/>
  <c r="R491" i="21"/>
  <c r="P491" i="21"/>
  <c r="N491" i="21"/>
  <c r="M491" i="21"/>
  <c r="L491" i="21"/>
  <c r="X490" i="21"/>
  <c r="T490" i="21"/>
  <c r="S490" i="21"/>
  <c r="R490" i="21"/>
  <c r="Q490" i="21"/>
  <c r="P490" i="21"/>
  <c r="O490" i="21"/>
  <c r="N490" i="21"/>
  <c r="M490" i="21"/>
  <c r="L490" i="21"/>
  <c r="X489" i="21"/>
  <c r="T489" i="21"/>
  <c r="S489" i="21"/>
  <c r="R489" i="21"/>
  <c r="Q489" i="21"/>
  <c r="O489" i="21" s="1"/>
  <c r="P489" i="21"/>
  <c r="M489" i="21"/>
  <c r="L489" i="21"/>
  <c r="X488" i="21"/>
  <c r="T488" i="21"/>
  <c r="S488" i="21"/>
  <c r="Q488" i="21" s="1"/>
  <c r="O488" i="21" s="1"/>
  <c r="R488" i="21"/>
  <c r="P488" i="21"/>
  <c r="M488" i="21"/>
  <c r="L488" i="21"/>
  <c r="X487" i="21"/>
  <c r="T487" i="21"/>
  <c r="S487" i="21"/>
  <c r="Q487" i="21" s="1"/>
  <c r="O487" i="21" s="1"/>
  <c r="R487" i="21"/>
  <c r="P487" i="21"/>
  <c r="M487" i="21"/>
  <c r="L487" i="21"/>
  <c r="X486" i="21"/>
  <c r="T486" i="21"/>
  <c r="S486" i="21"/>
  <c r="R486" i="21"/>
  <c r="Q486" i="21"/>
  <c r="P486" i="21"/>
  <c r="O486" i="21"/>
  <c r="N486" i="21"/>
  <c r="M486" i="21"/>
  <c r="L486" i="21"/>
  <c r="X485" i="21"/>
  <c r="T485" i="21"/>
  <c r="S485" i="21"/>
  <c r="N485" i="21" s="1"/>
  <c r="R485" i="21"/>
  <c r="Q485" i="21"/>
  <c r="O485" i="21" s="1"/>
  <c r="P485" i="21"/>
  <c r="M485" i="21"/>
  <c r="L485" i="21"/>
  <c r="X484" i="21"/>
  <c r="T484" i="21"/>
  <c r="S484" i="21"/>
  <c r="R484" i="21"/>
  <c r="Q484" i="21"/>
  <c r="O484" i="21" s="1"/>
  <c r="P484" i="21"/>
  <c r="M484" i="21"/>
  <c r="L484" i="21"/>
  <c r="X483" i="21"/>
  <c r="T483" i="21"/>
  <c r="S483" i="21"/>
  <c r="R483" i="21"/>
  <c r="P483" i="21"/>
  <c r="N483" i="21"/>
  <c r="M483" i="21"/>
  <c r="L483" i="21"/>
  <c r="X482" i="21"/>
  <c r="T482" i="21"/>
  <c r="S482" i="21"/>
  <c r="R482" i="21"/>
  <c r="Q482" i="21"/>
  <c r="P482" i="21"/>
  <c r="O482" i="21"/>
  <c r="N482" i="21"/>
  <c r="M482" i="21"/>
  <c r="L482" i="21"/>
  <c r="X481" i="21"/>
  <c r="T481" i="21"/>
  <c r="S481" i="21"/>
  <c r="R481" i="21"/>
  <c r="Q481" i="21"/>
  <c r="O481" i="21" s="1"/>
  <c r="P481" i="21"/>
  <c r="M481" i="21"/>
  <c r="L481" i="21"/>
  <c r="X480" i="21"/>
  <c r="T480" i="21"/>
  <c r="S480" i="21"/>
  <c r="Q480" i="21" s="1"/>
  <c r="O480" i="21" s="1"/>
  <c r="R480" i="21"/>
  <c r="P480" i="21"/>
  <c r="M480" i="21"/>
  <c r="L480" i="21"/>
  <c r="X479" i="21"/>
  <c r="T479" i="21"/>
  <c r="S479" i="21"/>
  <c r="Q479" i="21" s="1"/>
  <c r="O479" i="21" s="1"/>
  <c r="R479" i="21"/>
  <c r="P479" i="21"/>
  <c r="M479" i="21"/>
  <c r="L479" i="21"/>
  <c r="X478" i="21"/>
  <c r="T478" i="21"/>
  <c r="S478" i="21"/>
  <c r="R478" i="21"/>
  <c r="Q478" i="21"/>
  <c r="P478" i="21"/>
  <c r="O478" i="21"/>
  <c r="N478" i="21"/>
  <c r="M478" i="21"/>
  <c r="L478" i="21"/>
  <c r="X477" i="21"/>
  <c r="T477" i="21"/>
  <c r="S477" i="21"/>
  <c r="N477" i="21" s="1"/>
  <c r="R477" i="21"/>
  <c r="Q477" i="21"/>
  <c r="O477" i="21" s="1"/>
  <c r="P477" i="21"/>
  <c r="M477" i="21"/>
  <c r="L477" i="21"/>
  <c r="X476" i="21"/>
  <c r="T476" i="21"/>
  <c r="S476" i="21"/>
  <c r="R476" i="21"/>
  <c r="Q476" i="21"/>
  <c r="O476" i="21" s="1"/>
  <c r="P476" i="21"/>
  <c r="M476" i="21"/>
  <c r="L476" i="21"/>
  <c r="X475" i="21"/>
  <c r="T475" i="21"/>
  <c r="S475" i="21"/>
  <c r="R475" i="21"/>
  <c r="P475" i="21"/>
  <c r="N475" i="21"/>
  <c r="M475" i="21"/>
  <c r="L475" i="21"/>
  <c r="X474" i="21"/>
  <c r="T474" i="21"/>
  <c r="S474" i="21"/>
  <c r="R474" i="21"/>
  <c r="Q474" i="21"/>
  <c r="P474" i="21"/>
  <c r="O474" i="21"/>
  <c r="N474" i="21"/>
  <c r="M474" i="21"/>
  <c r="L474" i="21"/>
  <c r="X473" i="21"/>
  <c r="T473" i="21"/>
  <c r="S473" i="21"/>
  <c r="R473" i="21"/>
  <c r="Q473" i="21"/>
  <c r="O473" i="21" s="1"/>
  <c r="P473" i="21"/>
  <c r="M473" i="21"/>
  <c r="L473" i="21"/>
  <c r="X472" i="21"/>
  <c r="T472" i="21"/>
  <c r="S472" i="21"/>
  <c r="Q472" i="21" s="1"/>
  <c r="O472" i="21" s="1"/>
  <c r="R472" i="21"/>
  <c r="P472" i="21"/>
  <c r="M472" i="21"/>
  <c r="L472" i="21"/>
  <c r="X471" i="21"/>
  <c r="T471" i="21"/>
  <c r="S471" i="21"/>
  <c r="Q471" i="21" s="1"/>
  <c r="O471" i="21" s="1"/>
  <c r="R471" i="21"/>
  <c r="P471" i="21"/>
  <c r="M471" i="21"/>
  <c r="L471" i="21"/>
  <c r="X470" i="21"/>
  <c r="T470" i="21"/>
  <c r="S470" i="21"/>
  <c r="R470" i="21"/>
  <c r="Q470" i="21"/>
  <c r="P470" i="21"/>
  <c r="O470" i="21"/>
  <c r="N470" i="21"/>
  <c r="M470" i="21"/>
  <c r="L470" i="21"/>
  <c r="X469" i="21"/>
  <c r="T469" i="21"/>
  <c r="S469" i="21"/>
  <c r="N469" i="21" s="1"/>
  <c r="R469" i="21"/>
  <c r="Q469" i="21"/>
  <c r="O469" i="21" s="1"/>
  <c r="P469" i="21"/>
  <c r="M469" i="21"/>
  <c r="L469" i="21"/>
  <c r="X468" i="21"/>
  <c r="T468" i="21"/>
  <c r="S468" i="21"/>
  <c r="R468" i="21"/>
  <c r="Q468" i="21"/>
  <c r="O468" i="21" s="1"/>
  <c r="P468" i="21"/>
  <c r="M468" i="21"/>
  <c r="L468" i="21"/>
  <c r="X467" i="21"/>
  <c r="T467" i="21"/>
  <c r="S467" i="21"/>
  <c r="R467" i="21"/>
  <c r="P467" i="21"/>
  <c r="N467" i="21"/>
  <c r="M467" i="21"/>
  <c r="L467" i="21"/>
  <c r="X466" i="21"/>
  <c r="T466" i="21"/>
  <c r="S466" i="21"/>
  <c r="R466" i="21"/>
  <c r="Q466" i="21"/>
  <c r="P466" i="21"/>
  <c r="O466" i="21"/>
  <c r="N466" i="21"/>
  <c r="M466" i="21"/>
  <c r="L466" i="21"/>
  <c r="X465" i="21"/>
  <c r="T465" i="21"/>
  <c r="S465" i="21"/>
  <c r="R465" i="21"/>
  <c r="Q465" i="21"/>
  <c r="O465" i="21" s="1"/>
  <c r="P465" i="21"/>
  <c r="M465" i="21"/>
  <c r="L465" i="21"/>
  <c r="X464" i="21"/>
  <c r="T464" i="21"/>
  <c r="S464" i="21"/>
  <c r="Q464" i="21" s="1"/>
  <c r="O464" i="21" s="1"/>
  <c r="R464" i="21"/>
  <c r="P464" i="21"/>
  <c r="M464" i="21"/>
  <c r="L464" i="21"/>
  <c r="X463" i="21"/>
  <c r="T463" i="21"/>
  <c r="S463" i="21"/>
  <c r="Q463" i="21" s="1"/>
  <c r="O463" i="21" s="1"/>
  <c r="R463" i="21"/>
  <c r="P463" i="21"/>
  <c r="M463" i="21"/>
  <c r="L463" i="21"/>
  <c r="X462" i="21"/>
  <c r="T462" i="21"/>
  <c r="S462" i="21"/>
  <c r="R462" i="21"/>
  <c r="Q462" i="21"/>
  <c r="P462" i="21"/>
  <c r="O462" i="21"/>
  <c r="N462" i="21"/>
  <c r="M462" i="21"/>
  <c r="L462" i="21"/>
  <c r="X461" i="21"/>
  <c r="T461" i="21"/>
  <c r="S461" i="21"/>
  <c r="N461" i="21" s="1"/>
  <c r="R461" i="21"/>
  <c r="Q461" i="21"/>
  <c r="O461" i="21" s="1"/>
  <c r="P461" i="21"/>
  <c r="M461" i="21"/>
  <c r="L461" i="21"/>
  <c r="X460" i="21"/>
  <c r="T460" i="21"/>
  <c r="S460" i="21"/>
  <c r="R460" i="21"/>
  <c r="Q460" i="21"/>
  <c r="O460" i="21" s="1"/>
  <c r="P460" i="21"/>
  <c r="M460" i="21"/>
  <c r="L460" i="21"/>
  <c r="X459" i="21"/>
  <c r="T459" i="21"/>
  <c r="S459" i="21"/>
  <c r="R459" i="21"/>
  <c r="P459" i="21"/>
  <c r="N459" i="21"/>
  <c r="M459" i="21"/>
  <c r="L459" i="21"/>
  <c r="X458" i="21"/>
  <c r="T458" i="21"/>
  <c r="S458" i="21"/>
  <c r="R458" i="21"/>
  <c r="Q458" i="21"/>
  <c r="P458" i="21"/>
  <c r="O458" i="21"/>
  <c r="N458" i="21"/>
  <c r="M458" i="21"/>
  <c r="L458" i="21"/>
  <c r="X457" i="21"/>
  <c r="T457" i="21"/>
  <c r="S457" i="21"/>
  <c r="R457" i="21"/>
  <c r="Q457" i="21"/>
  <c r="O457" i="21" s="1"/>
  <c r="P457" i="21"/>
  <c r="M457" i="21"/>
  <c r="L457" i="21"/>
  <c r="X456" i="21"/>
  <c r="T456" i="21"/>
  <c r="S456" i="21"/>
  <c r="Q456" i="21" s="1"/>
  <c r="O456" i="21" s="1"/>
  <c r="R456" i="21"/>
  <c r="P456" i="21"/>
  <c r="M456" i="21"/>
  <c r="L456" i="21"/>
  <c r="X455" i="21"/>
  <c r="T455" i="21"/>
  <c r="S455" i="21"/>
  <c r="Q455" i="21" s="1"/>
  <c r="O455" i="21" s="1"/>
  <c r="R455" i="21"/>
  <c r="P455" i="21"/>
  <c r="M455" i="21"/>
  <c r="L455" i="21"/>
  <c r="X454" i="21"/>
  <c r="T454" i="21"/>
  <c r="S454" i="21"/>
  <c r="R454" i="21"/>
  <c r="Q454" i="21"/>
  <c r="P454" i="21"/>
  <c r="O454" i="21"/>
  <c r="N454" i="21"/>
  <c r="M454" i="21"/>
  <c r="L454" i="21"/>
  <c r="X453" i="21"/>
  <c r="T453" i="21"/>
  <c r="S453" i="21"/>
  <c r="N453" i="21" s="1"/>
  <c r="R453" i="21"/>
  <c r="Q453" i="21"/>
  <c r="O453" i="21" s="1"/>
  <c r="P453" i="21"/>
  <c r="M453" i="21"/>
  <c r="L453" i="21"/>
  <c r="X452" i="21"/>
  <c r="T452" i="21"/>
  <c r="S452" i="21"/>
  <c r="R452" i="21"/>
  <c r="Q452" i="21"/>
  <c r="O452" i="21" s="1"/>
  <c r="P452" i="21"/>
  <c r="M452" i="21"/>
  <c r="L452" i="21"/>
  <c r="X451" i="21"/>
  <c r="T451" i="21"/>
  <c r="S451" i="21"/>
  <c r="R451" i="21"/>
  <c r="P451" i="21"/>
  <c r="N451" i="21"/>
  <c r="M451" i="21"/>
  <c r="L451" i="21"/>
  <c r="X450" i="21"/>
  <c r="T450" i="21"/>
  <c r="S450" i="21"/>
  <c r="R450" i="21"/>
  <c r="Q450" i="21"/>
  <c r="P450" i="21"/>
  <c r="O450" i="21"/>
  <c r="N450" i="21"/>
  <c r="M450" i="21"/>
  <c r="L450" i="21"/>
  <c r="X449" i="21"/>
  <c r="T449" i="21"/>
  <c r="S449" i="21"/>
  <c r="R449" i="21"/>
  <c r="Q449" i="21"/>
  <c r="O449" i="21" s="1"/>
  <c r="P449" i="21"/>
  <c r="M449" i="21"/>
  <c r="L449" i="21"/>
  <c r="X448" i="21"/>
  <c r="T448" i="21"/>
  <c r="S448" i="21"/>
  <c r="Q448" i="21" s="1"/>
  <c r="O448" i="21" s="1"/>
  <c r="R448" i="21"/>
  <c r="P448" i="21"/>
  <c r="M448" i="21"/>
  <c r="L448" i="21"/>
  <c r="X447" i="21"/>
  <c r="T447" i="21"/>
  <c r="S447" i="21"/>
  <c r="Q447" i="21" s="1"/>
  <c r="O447" i="21" s="1"/>
  <c r="R447" i="21"/>
  <c r="P447" i="21"/>
  <c r="M447" i="21"/>
  <c r="L447" i="21"/>
  <c r="X446" i="21"/>
  <c r="T446" i="21"/>
  <c r="S446" i="21"/>
  <c r="R446" i="21"/>
  <c r="Q446" i="21"/>
  <c r="P446" i="21"/>
  <c r="O446" i="21"/>
  <c r="N446" i="21"/>
  <c r="M446" i="21"/>
  <c r="L446" i="21"/>
  <c r="X445" i="21"/>
  <c r="T445" i="21"/>
  <c r="S445" i="21"/>
  <c r="N445" i="21" s="1"/>
  <c r="R445" i="21"/>
  <c r="Q445" i="21"/>
  <c r="O445" i="21" s="1"/>
  <c r="P445" i="21"/>
  <c r="M445" i="21"/>
  <c r="L445" i="21"/>
  <c r="X444" i="21"/>
  <c r="T444" i="21"/>
  <c r="S444" i="21"/>
  <c r="R444" i="21"/>
  <c r="Q444" i="21"/>
  <c r="O444" i="21" s="1"/>
  <c r="P444" i="21"/>
  <c r="M444" i="21"/>
  <c r="L444" i="21"/>
  <c r="X443" i="21"/>
  <c r="T443" i="21"/>
  <c r="S443" i="21"/>
  <c r="R443" i="21"/>
  <c r="P443" i="21"/>
  <c r="N443" i="21"/>
  <c r="M443" i="21"/>
  <c r="L443" i="21"/>
  <c r="X442" i="21"/>
  <c r="T442" i="21"/>
  <c r="S442" i="21"/>
  <c r="R442" i="21"/>
  <c r="Q442" i="21"/>
  <c r="P442" i="21"/>
  <c r="O442" i="21"/>
  <c r="N442" i="21"/>
  <c r="M442" i="21"/>
  <c r="L442" i="21"/>
  <c r="X441" i="21"/>
  <c r="T441" i="21"/>
  <c r="S441" i="21"/>
  <c r="R441" i="21"/>
  <c r="Q441" i="21"/>
  <c r="O441" i="21" s="1"/>
  <c r="P441" i="21"/>
  <c r="M441" i="21"/>
  <c r="L441" i="21"/>
  <c r="X440" i="21"/>
  <c r="T440" i="21"/>
  <c r="S440" i="21"/>
  <c r="N440" i="21" s="1"/>
  <c r="R440" i="21"/>
  <c r="P440" i="21"/>
  <c r="M440" i="21"/>
  <c r="L440" i="21"/>
  <c r="X439" i="21"/>
  <c r="T439" i="21"/>
  <c r="S439" i="21"/>
  <c r="Q439" i="21" s="1"/>
  <c r="O439" i="21" s="1"/>
  <c r="R439" i="21"/>
  <c r="P439" i="21"/>
  <c r="M439" i="21"/>
  <c r="L439" i="21"/>
  <c r="X438" i="21"/>
  <c r="T438" i="21"/>
  <c r="S438" i="21"/>
  <c r="R438" i="21"/>
  <c r="Q438" i="21"/>
  <c r="P438" i="21"/>
  <c r="O438" i="21"/>
  <c r="N438" i="21"/>
  <c r="M438" i="21"/>
  <c r="L438" i="21"/>
  <c r="X437" i="21"/>
  <c r="T437" i="21"/>
  <c r="S437" i="21"/>
  <c r="N437" i="21" s="1"/>
  <c r="R437" i="21"/>
  <c r="Q437" i="21"/>
  <c r="O437" i="21" s="1"/>
  <c r="P437" i="21"/>
  <c r="M437" i="21"/>
  <c r="L437" i="21"/>
  <c r="X436" i="21"/>
  <c r="T436" i="21"/>
  <c r="S436" i="21"/>
  <c r="R436" i="21"/>
  <c r="Q436" i="21"/>
  <c r="O436" i="21" s="1"/>
  <c r="P436" i="21"/>
  <c r="M436" i="21"/>
  <c r="L436" i="21"/>
  <c r="X435" i="21"/>
  <c r="T435" i="21"/>
  <c r="S435" i="21"/>
  <c r="R435" i="21"/>
  <c r="P435" i="21"/>
  <c r="N435" i="21"/>
  <c r="M435" i="21"/>
  <c r="L435" i="21"/>
  <c r="X434" i="21"/>
  <c r="T434" i="21"/>
  <c r="S434" i="21"/>
  <c r="R434" i="21"/>
  <c r="Q434" i="21"/>
  <c r="P434" i="21"/>
  <c r="O434" i="21"/>
  <c r="N434" i="21"/>
  <c r="M434" i="21"/>
  <c r="L434" i="21"/>
  <c r="X433" i="21"/>
  <c r="T433" i="21"/>
  <c r="S433" i="21"/>
  <c r="R433" i="21"/>
  <c r="Q433" i="21"/>
  <c r="O433" i="21" s="1"/>
  <c r="P433" i="21"/>
  <c r="M433" i="21"/>
  <c r="L433" i="21"/>
  <c r="X432" i="21"/>
  <c r="T432" i="21"/>
  <c r="S432" i="21"/>
  <c r="N432" i="21" s="1"/>
  <c r="R432" i="21"/>
  <c r="P432" i="21"/>
  <c r="M432" i="21"/>
  <c r="L432" i="21"/>
  <c r="X431" i="21"/>
  <c r="T431" i="21"/>
  <c r="S431" i="21"/>
  <c r="Q431" i="21" s="1"/>
  <c r="O431" i="21" s="1"/>
  <c r="R431" i="21"/>
  <c r="P431" i="21"/>
  <c r="M431" i="21"/>
  <c r="L431" i="21"/>
  <c r="X430" i="21"/>
  <c r="T430" i="21"/>
  <c r="S430" i="21"/>
  <c r="R430" i="21"/>
  <c r="Q430" i="21"/>
  <c r="P430" i="21"/>
  <c r="O430" i="21"/>
  <c r="N430" i="21"/>
  <c r="M430" i="21"/>
  <c r="L430" i="21"/>
  <c r="X429" i="21"/>
  <c r="T429" i="21"/>
  <c r="S429" i="21"/>
  <c r="N429" i="21" s="1"/>
  <c r="R429" i="21"/>
  <c r="Q429" i="21"/>
  <c r="O429" i="21" s="1"/>
  <c r="P429" i="21"/>
  <c r="M429" i="21"/>
  <c r="L429" i="21"/>
  <c r="X428" i="21"/>
  <c r="T428" i="21"/>
  <c r="S428" i="21"/>
  <c r="R428" i="21"/>
  <c r="Q428" i="21"/>
  <c r="O428" i="21" s="1"/>
  <c r="P428" i="21"/>
  <c r="M428" i="21"/>
  <c r="L428" i="21"/>
  <c r="X427" i="21"/>
  <c r="T427" i="21"/>
  <c r="S427" i="21"/>
  <c r="R427" i="21"/>
  <c r="P427" i="21"/>
  <c r="N427" i="21"/>
  <c r="M427" i="21"/>
  <c r="L427" i="21"/>
  <c r="X426" i="21"/>
  <c r="T426" i="21"/>
  <c r="S426" i="21"/>
  <c r="R426" i="21"/>
  <c r="Q426" i="21"/>
  <c r="P426" i="21"/>
  <c r="O426" i="21"/>
  <c r="N426" i="21"/>
  <c r="M426" i="21"/>
  <c r="L426" i="21"/>
  <c r="X425" i="21"/>
  <c r="T425" i="21"/>
  <c r="S425" i="21"/>
  <c r="R425" i="21"/>
  <c r="Q425" i="21"/>
  <c r="O425" i="21" s="1"/>
  <c r="P425" i="21"/>
  <c r="M425" i="21"/>
  <c r="L425" i="21"/>
  <c r="X424" i="21"/>
  <c r="T424" i="21"/>
  <c r="S424" i="21"/>
  <c r="N424" i="21" s="1"/>
  <c r="R424" i="21"/>
  <c r="P424" i="21"/>
  <c r="M424" i="21"/>
  <c r="L424" i="21"/>
  <c r="X423" i="21"/>
  <c r="T423" i="21"/>
  <c r="S423" i="21"/>
  <c r="Q423" i="21" s="1"/>
  <c r="O423" i="21" s="1"/>
  <c r="R423" i="21"/>
  <c r="P423" i="21"/>
  <c r="M423" i="21"/>
  <c r="L423" i="21"/>
  <c r="X422" i="21"/>
  <c r="T422" i="21"/>
  <c r="S422" i="21"/>
  <c r="R422" i="21"/>
  <c r="Q422" i="21"/>
  <c r="P422" i="21"/>
  <c r="O422" i="21"/>
  <c r="N422" i="21"/>
  <c r="M422" i="21"/>
  <c r="L422" i="21"/>
  <c r="X421" i="21"/>
  <c r="T421" i="21"/>
  <c r="S421" i="21"/>
  <c r="N421" i="21" s="1"/>
  <c r="R421" i="21"/>
  <c r="Q421" i="21"/>
  <c r="O421" i="21" s="1"/>
  <c r="P421" i="21"/>
  <c r="M421" i="21"/>
  <c r="L421" i="21"/>
  <c r="X420" i="21"/>
  <c r="T420" i="21"/>
  <c r="S420" i="21"/>
  <c r="R420" i="21"/>
  <c r="Q420" i="21"/>
  <c r="O420" i="21" s="1"/>
  <c r="P420" i="21"/>
  <c r="M420" i="21"/>
  <c r="L420" i="21"/>
  <c r="X419" i="21"/>
  <c r="T419" i="21"/>
  <c r="S419" i="21"/>
  <c r="R419" i="21"/>
  <c r="P419" i="21"/>
  <c r="N419" i="21"/>
  <c r="M419" i="21"/>
  <c r="L419" i="21"/>
  <c r="X418" i="21"/>
  <c r="T418" i="21"/>
  <c r="S418" i="21"/>
  <c r="R418" i="21"/>
  <c r="Q418" i="21"/>
  <c r="P418" i="21"/>
  <c r="O418" i="21"/>
  <c r="N418" i="21"/>
  <c r="M418" i="21"/>
  <c r="L418" i="21"/>
  <c r="X417" i="21"/>
  <c r="T417" i="21"/>
  <c r="S417" i="21"/>
  <c r="R417" i="21"/>
  <c r="Q417" i="21"/>
  <c r="O417" i="21" s="1"/>
  <c r="P417" i="21"/>
  <c r="M417" i="21"/>
  <c r="L417" i="21"/>
  <c r="X416" i="21"/>
  <c r="T416" i="21"/>
  <c r="S416" i="21"/>
  <c r="N416" i="21" s="1"/>
  <c r="R416" i="21"/>
  <c r="P416" i="21"/>
  <c r="M416" i="21"/>
  <c r="L416" i="21"/>
  <c r="X415" i="21"/>
  <c r="T415" i="21"/>
  <c r="S415" i="21"/>
  <c r="Q415" i="21" s="1"/>
  <c r="O415" i="21" s="1"/>
  <c r="R415" i="21"/>
  <c r="P415" i="21"/>
  <c r="M415" i="21"/>
  <c r="L415" i="21"/>
  <c r="X414" i="21"/>
  <c r="T414" i="21"/>
  <c r="S414" i="21"/>
  <c r="R414" i="21"/>
  <c r="Q414" i="21"/>
  <c r="P414" i="21"/>
  <c r="O414" i="21"/>
  <c r="N414" i="21"/>
  <c r="M414" i="21"/>
  <c r="L414" i="21"/>
  <c r="X413" i="21"/>
  <c r="T413" i="21"/>
  <c r="S413" i="21"/>
  <c r="N413" i="21" s="1"/>
  <c r="R413" i="21"/>
  <c r="Q413" i="21"/>
  <c r="O413" i="21" s="1"/>
  <c r="P413" i="21"/>
  <c r="M413" i="21"/>
  <c r="L413" i="21"/>
  <c r="X412" i="21"/>
  <c r="T412" i="21"/>
  <c r="S412" i="21"/>
  <c r="R412" i="21"/>
  <c r="Q412" i="21"/>
  <c r="O412" i="21" s="1"/>
  <c r="P412" i="21"/>
  <c r="M412" i="21"/>
  <c r="L412" i="21"/>
  <c r="X411" i="21"/>
  <c r="T411" i="21"/>
  <c r="S411" i="21"/>
  <c r="R411" i="21"/>
  <c r="P411" i="21"/>
  <c r="N411" i="21"/>
  <c r="M411" i="21"/>
  <c r="L411" i="21"/>
  <c r="X410" i="21"/>
  <c r="T410" i="21"/>
  <c r="S410" i="21"/>
  <c r="R410" i="21"/>
  <c r="Q410" i="21"/>
  <c r="P410" i="21"/>
  <c r="O410" i="21"/>
  <c r="N410" i="21"/>
  <c r="M410" i="21"/>
  <c r="L410" i="21"/>
  <c r="X409" i="21"/>
  <c r="T409" i="21"/>
  <c r="S409" i="21"/>
  <c r="R409" i="21"/>
  <c r="Q409" i="21"/>
  <c r="O409" i="21" s="1"/>
  <c r="P409" i="21"/>
  <c r="M409" i="21"/>
  <c r="L409" i="21"/>
  <c r="X408" i="21"/>
  <c r="T408" i="21"/>
  <c r="S408" i="21"/>
  <c r="N408" i="21" s="1"/>
  <c r="R408" i="21"/>
  <c r="P408" i="21"/>
  <c r="M408" i="21"/>
  <c r="L408" i="21"/>
  <c r="X407" i="21"/>
  <c r="T407" i="21"/>
  <c r="S407" i="21"/>
  <c r="Q407" i="21" s="1"/>
  <c r="O407" i="21" s="1"/>
  <c r="R407" i="21"/>
  <c r="P407" i="21"/>
  <c r="M407" i="21"/>
  <c r="L407" i="21"/>
  <c r="X406" i="21"/>
  <c r="T406" i="21"/>
  <c r="S406" i="21"/>
  <c r="R406" i="21"/>
  <c r="Q406" i="21"/>
  <c r="P406" i="21"/>
  <c r="O406" i="21"/>
  <c r="N406" i="21"/>
  <c r="M406" i="21"/>
  <c r="L406" i="21"/>
  <c r="X405" i="21"/>
  <c r="T405" i="21"/>
  <c r="S405" i="21"/>
  <c r="N405" i="21" s="1"/>
  <c r="R405" i="21"/>
  <c r="Q405" i="21"/>
  <c r="O405" i="21" s="1"/>
  <c r="P405" i="21"/>
  <c r="M405" i="21"/>
  <c r="L405" i="21"/>
  <c r="X404" i="21"/>
  <c r="T404" i="21"/>
  <c r="S404" i="21"/>
  <c r="R404" i="21"/>
  <c r="Q404" i="21"/>
  <c r="O404" i="21" s="1"/>
  <c r="P404" i="21"/>
  <c r="M404" i="21"/>
  <c r="L404" i="21"/>
  <c r="X403" i="21"/>
  <c r="T403" i="21"/>
  <c r="S403" i="21"/>
  <c r="R403" i="21"/>
  <c r="P403" i="21"/>
  <c r="N403" i="21"/>
  <c r="M403" i="21"/>
  <c r="L403" i="21"/>
  <c r="X402" i="21"/>
  <c r="T402" i="21"/>
  <c r="S402" i="21"/>
  <c r="R402" i="21"/>
  <c r="Q402" i="21"/>
  <c r="P402" i="21"/>
  <c r="O402" i="21"/>
  <c r="N402" i="21"/>
  <c r="M402" i="21"/>
  <c r="L402" i="21"/>
  <c r="X401" i="21"/>
  <c r="T401" i="21"/>
  <c r="S401" i="21"/>
  <c r="R401" i="21"/>
  <c r="Q401" i="21"/>
  <c r="O401" i="21" s="1"/>
  <c r="P401" i="21"/>
  <c r="M401" i="21"/>
  <c r="L401" i="21"/>
  <c r="X400" i="21"/>
  <c r="T400" i="21"/>
  <c r="S400" i="21"/>
  <c r="N400" i="21" s="1"/>
  <c r="R400" i="21"/>
  <c r="P400" i="21"/>
  <c r="M400" i="21"/>
  <c r="L400" i="21"/>
  <c r="X399" i="21"/>
  <c r="T399" i="21"/>
  <c r="S399" i="21"/>
  <c r="Q399" i="21" s="1"/>
  <c r="O399" i="21" s="1"/>
  <c r="R399" i="21"/>
  <c r="P399" i="21"/>
  <c r="M399" i="21"/>
  <c r="L399" i="21"/>
  <c r="X398" i="21"/>
  <c r="W398" i="21"/>
  <c r="T398" i="21"/>
  <c r="S398" i="21"/>
  <c r="R398" i="21"/>
  <c r="N398" i="21" s="1"/>
  <c r="Q398" i="21"/>
  <c r="P398" i="21"/>
  <c r="O398" i="21"/>
  <c r="M398" i="21"/>
  <c r="L398" i="21"/>
  <c r="X397" i="21"/>
  <c r="W397" i="21"/>
  <c r="T397" i="21"/>
  <c r="S397" i="21"/>
  <c r="R397" i="21"/>
  <c r="L397" i="21" s="1"/>
  <c r="P397" i="21"/>
  <c r="X396" i="21"/>
  <c r="W396" i="21"/>
  <c r="T396" i="21"/>
  <c r="Q396" i="21" s="1"/>
  <c r="O396" i="21" s="1"/>
  <c r="S396" i="21"/>
  <c r="R396" i="21"/>
  <c r="P396" i="21"/>
  <c r="N396" i="21"/>
  <c r="M396" i="21"/>
  <c r="L396" i="21"/>
  <c r="X395" i="21"/>
  <c r="W395" i="21"/>
  <c r="T395" i="21"/>
  <c r="S395" i="21"/>
  <c r="N395" i="21" s="1"/>
  <c r="R395" i="21"/>
  <c r="P395" i="21"/>
  <c r="M395" i="21"/>
  <c r="L395" i="21"/>
  <c r="X394" i="21"/>
  <c r="W394" i="21"/>
  <c r="T394" i="21"/>
  <c r="S394" i="21"/>
  <c r="R394" i="21"/>
  <c r="P394" i="21"/>
  <c r="N394" i="21"/>
  <c r="M394" i="21"/>
  <c r="L394" i="21"/>
  <c r="X393" i="21"/>
  <c r="W393" i="21"/>
  <c r="T393" i="21"/>
  <c r="S393" i="21"/>
  <c r="R393" i="21"/>
  <c r="Q393" i="21"/>
  <c r="O393" i="21" s="1"/>
  <c r="P393" i="21"/>
  <c r="N393" i="21"/>
  <c r="M393" i="21"/>
  <c r="L393" i="21"/>
  <c r="X392" i="21"/>
  <c r="W392" i="21"/>
  <c r="T392" i="21"/>
  <c r="S392" i="21"/>
  <c r="R392" i="21"/>
  <c r="L392" i="21" s="1"/>
  <c r="P392" i="21"/>
  <c r="X391" i="21"/>
  <c r="W391" i="21"/>
  <c r="T391" i="21"/>
  <c r="S391" i="21"/>
  <c r="R391" i="21"/>
  <c r="P391" i="21"/>
  <c r="M391" i="21"/>
  <c r="L391" i="21"/>
  <c r="X390" i="21"/>
  <c r="W390" i="21"/>
  <c r="T390" i="21"/>
  <c r="S390" i="21"/>
  <c r="M390" i="21" s="1"/>
  <c r="R390" i="21"/>
  <c r="L390" i="21" s="1"/>
  <c r="Q390" i="21"/>
  <c r="O390" i="21" s="1"/>
  <c r="P390" i="21"/>
  <c r="N390" i="21"/>
  <c r="X389" i="21"/>
  <c r="W389" i="21"/>
  <c r="T389" i="21"/>
  <c r="S389" i="21"/>
  <c r="N389" i="21" s="1"/>
  <c r="R389" i="21"/>
  <c r="P389" i="21"/>
  <c r="M389" i="21"/>
  <c r="L389" i="21"/>
  <c r="X388" i="21"/>
  <c r="W388" i="21"/>
  <c r="T388" i="21"/>
  <c r="Q388" i="21" s="1"/>
  <c r="S388" i="21"/>
  <c r="R388" i="21"/>
  <c r="P388" i="21"/>
  <c r="O388" i="21"/>
  <c r="N388" i="21"/>
  <c r="M388" i="21"/>
  <c r="L388" i="21"/>
  <c r="X387" i="21"/>
  <c r="W387" i="21"/>
  <c r="T387" i="21"/>
  <c r="S387" i="21"/>
  <c r="R387" i="21"/>
  <c r="L387" i="21" s="1"/>
  <c r="Q387" i="21"/>
  <c r="O387" i="21" s="1"/>
  <c r="P387" i="21"/>
  <c r="X386" i="21"/>
  <c r="W386" i="21"/>
  <c r="T386" i="21"/>
  <c r="S386" i="21"/>
  <c r="R386" i="21"/>
  <c r="P386" i="21"/>
  <c r="M386" i="21"/>
  <c r="X385" i="21"/>
  <c r="W385" i="21"/>
  <c r="T385" i="21"/>
  <c r="S385" i="21"/>
  <c r="R385" i="21"/>
  <c r="Q385" i="21"/>
  <c r="P385" i="21"/>
  <c r="O385" i="21" s="1"/>
  <c r="N385" i="21"/>
  <c r="M385" i="21"/>
  <c r="L385" i="21"/>
  <c r="X384" i="21"/>
  <c r="W384" i="21"/>
  <c r="T384" i="21"/>
  <c r="S384" i="21"/>
  <c r="Q384" i="21" s="1"/>
  <c r="O384" i="21" s="1"/>
  <c r="R384" i="21"/>
  <c r="L384" i="21" s="1"/>
  <c r="P384" i="21"/>
  <c r="X383" i="21"/>
  <c r="W383" i="21"/>
  <c r="T383" i="21"/>
  <c r="S383" i="21"/>
  <c r="Q383" i="21" s="1"/>
  <c r="O383" i="21" s="1"/>
  <c r="R383" i="21"/>
  <c r="P383" i="21"/>
  <c r="M383" i="21"/>
  <c r="L383" i="21"/>
  <c r="X382" i="21"/>
  <c r="W382" i="21"/>
  <c r="T382" i="21"/>
  <c r="S382" i="21"/>
  <c r="R382" i="21"/>
  <c r="N382" i="21" s="1"/>
  <c r="Q382" i="21"/>
  <c r="P382" i="21"/>
  <c r="O382" i="21" s="1"/>
  <c r="M382" i="21"/>
  <c r="L382" i="21"/>
  <c r="X381" i="21"/>
  <c r="W381" i="21"/>
  <c r="T381" i="21"/>
  <c r="S381" i="21"/>
  <c r="R381" i="21"/>
  <c r="P381" i="21"/>
  <c r="M381" i="21"/>
  <c r="L381" i="21"/>
  <c r="X380" i="21"/>
  <c r="W380" i="21"/>
  <c r="T380" i="21"/>
  <c r="Q380" i="21" s="1"/>
  <c r="O380" i="21" s="1"/>
  <c r="S380" i="21"/>
  <c r="R380" i="21"/>
  <c r="P380" i="21"/>
  <c r="N380" i="21"/>
  <c r="M380" i="21"/>
  <c r="L380" i="21"/>
  <c r="X379" i="21"/>
  <c r="W379" i="21"/>
  <c r="T379" i="21"/>
  <c r="S379" i="21"/>
  <c r="Q379" i="21" s="1"/>
  <c r="O379" i="21" s="1"/>
  <c r="R379" i="21"/>
  <c r="P379" i="21"/>
  <c r="L379" i="21"/>
  <c r="X378" i="21"/>
  <c r="W378" i="21"/>
  <c r="T378" i="21"/>
  <c r="S378" i="21"/>
  <c r="R378" i="21"/>
  <c r="P378" i="21"/>
  <c r="N378" i="21"/>
  <c r="M378" i="21"/>
  <c r="L378" i="21"/>
  <c r="X377" i="21"/>
  <c r="W377" i="21"/>
  <c r="T377" i="21"/>
  <c r="S377" i="21"/>
  <c r="R377" i="21"/>
  <c r="Q377" i="21"/>
  <c r="O377" i="21" s="1"/>
  <c r="P377" i="21"/>
  <c r="N377" i="21"/>
  <c r="M377" i="21"/>
  <c r="L377" i="21"/>
  <c r="X376" i="21"/>
  <c r="W376" i="21"/>
  <c r="T376" i="21"/>
  <c r="S376" i="21"/>
  <c r="R376" i="21"/>
  <c r="P376" i="21"/>
  <c r="M376" i="21"/>
  <c r="L376" i="21"/>
  <c r="X375" i="21"/>
  <c r="W375" i="21"/>
  <c r="T375" i="21"/>
  <c r="S375" i="21"/>
  <c r="R375" i="21"/>
  <c r="P375" i="21"/>
  <c r="N375" i="21"/>
  <c r="M375" i="21"/>
  <c r="L375" i="21"/>
  <c r="X374" i="21"/>
  <c r="W374" i="21"/>
  <c r="T374" i="21"/>
  <c r="S374" i="21"/>
  <c r="M374" i="21" s="1"/>
  <c r="R374" i="21"/>
  <c r="L374" i="21" s="1"/>
  <c r="P374" i="21"/>
  <c r="N374" i="21"/>
  <c r="X373" i="21"/>
  <c r="W373" i="21"/>
  <c r="T373" i="21"/>
  <c r="S373" i="21"/>
  <c r="Q373" i="21" s="1"/>
  <c r="O373" i="21" s="1"/>
  <c r="R373" i="21"/>
  <c r="P373" i="21"/>
  <c r="N373" i="21"/>
  <c r="M373" i="21"/>
  <c r="L373" i="21"/>
  <c r="X372" i="21"/>
  <c r="W372" i="21"/>
  <c r="T372" i="21"/>
  <c r="S372" i="21"/>
  <c r="R372" i="21"/>
  <c r="Q372" i="21"/>
  <c r="O372" i="21" s="1"/>
  <c r="P372" i="21"/>
  <c r="N372" i="21"/>
  <c r="M372" i="21"/>
  <c r="L372" i="21"/>
  <c r="X371" i="21"/>
  <c r="W371" i="21"/>
  <c r="T371" i="21"/>
  <c r="Q371" i="21" s="1"/>
  <c r="O371" i="21" s="1"/>
  <c r="S371" i="21"/>
  <c r="R371" i="21"/>
  <c r="L371" i="21" s="1"/>
  <c r="P371" i="21"/>
  <c r="X370" i="21"/>
  <c r="W370" i="21"/>
  <c r="T370" i="21"/>
  <c r="S370" i="21"/>
  <c r="Q370" i="21" s="1"/>
  <c r="O370" i="21" s="1"/>
  <c r="R370" i="21"/>
  <c r="P370" i="21"/>
  <c r="M370" i="21"/>
  <c r="L370" i="21"/>
  <c r="X369" i="21"/>
  <c r="W369" i="21"/>
  <c r="T369" i="21"/>
  <c r="S369" i="21"/>
  <c r="R369" i="21"/>
  <c r="N369" i="21" s="1"/>
  <c r="Q369" i="21"/>
  <c r="P369" i="21"/>
  <c r="O369" i="21" s="1"/>
  <c r="M369" i="21"/>
  <c r="L369" i="21"/>
  <c r="X368" i="21"/>
  <c r="W368" i="21"/>
  <c r="T368" i="21"/>
  <c r="S368" i="21"/>
  <c r="R368" i="21"/>
  <c r="L368" i="21" s="1"/>
  <c r="P368" i="21"/>
  <c r="X367" i="21"/>
  <c r="W367" i="21"/>
  <c r="T367" i="21"/>
  <c r="S367" i="21"/>
  <c r="R367" i="21"/>
  <c r="P367" i="21"/>
  <c r="L367" i="21"/>
  <c r="X366" i="21"/>
  <c r="W366" i="21"/>
  <c r="T366" i="21"/>
  <c r="S366" i="21"/>
  <c r="R366" i="21"/>
  <c r="L366" i="21" s="1"/>
  <c r="P366" i="21"/>
  <c r="X365" i="21"/>
  <c r="W365" i="21"/>
  <c r="T365" i="21"/>
  <c r="S365" i="21"/>
  <c r="Q365" i="21" s="1"/>
  <c r="O365" i="21" s="1"/>
  <c r="R365" i="21"/>
  <c r="P365" i="21"/>
  <c r="N365" i="21"/>
  <c r="M365" i="21"/>
  <c r="L365" i="21"/>
  <c r="X364" i="21"/>
  <c r="W364" i="21"/>
  <c r="T364" i="21"/>
  <c r="S364" i="21"/>
  <c r="R364" i="21"/>
  <c r="Q364" i="21"/>
  <c r="O364" i="21" s="1"/>
  <c r="P364" i="21"/>
  <c r="N364" i="21"/>
  <c r="M364" i="21"/>
  <c r="L364" i="21"/>
  <c r="X363" i="21"/>
  <c r="W363" i="21"/>
  <c r="T363" i="21"/>
  <c r="S363" i="21"/>
  <c r="N363" i="21" s="1"/>
  <c r="R363" i="21"/>
  <c r="Q363" i="21"/>
  <c r="O363" i="21" s="1"/>
  <c r="P363" i="21"/>
  <c r="M363" i="21"/>
  <c r="L363" i="21"/>
  <c r="X362" i="21"/>
  <c r="W362" i="21"/>
  <c r="T362" i="21"/>
  <c r="S362" i="21"/>
  <c r="R362" i="21"/>
  <c r="P362" i="21"/>
  <c r="M362" i="21"/>
  <c r="L362" i="21"/>
  <c r="X361" i="21"/>
  <c r="W361" i="21"/>
  <c r="T361" i="21"/>
  <c r="S361" i="21"/>
  <c r="R361" i="21"/>
  <c r="N361" i="21" s="1"/>
  <c r="Q361" i="21"/>
  <c r="P361" i="21"/>
  <c r="O361" i="21"/>
  <c r="M361" i="21"/>
  <c r="L361" i="21"/>
  <c r="X360" i="21"/>
  <c r="W360" i="21"/>
  <c r="T360" i="21"/>
  <c r="S360" i="21"/>
  <c r="R360" i="21"/>
  <c r="P360" i="21"/>
  <c r="M360" i="21"/>
  <c r="L360" i="21"/>
  <c r="X359" i="21"/>
  <c r="W359" i="21"/>
  <c r="T359" i="21"/>
  <c r="S359" i="21"/>
  <c r="R359" i="21"/>
  <c r="P359" i="21"/>
  <c r="L359" i="21"/>
  <c r="X358" i="21"/>
  <c r="W358" i="21"/>
  <c r="T358" i="21"/>
  <c r="S358" i="21"/>
  <c r="Q358" i="21" s="1"/>
  <c r="O358" i="21" s="1"/>
  <c r="R358" i="21"/>
  <c r="P358" i="21"/>
  <c r="N358" i="21"/>
  <c r="M358" i="21"/>
  <c r="L358" i="21"/>
  <c r="X357" i="21"/>
  <c r="W357" i="21"/>
  <c r="T357" i="21"/>
  <c r="S357" i="21"/>
  <c r="N357" i="21" s="1"/>
  <c r="R357" i="21"/>
  <c r="Q357" i="21"/>
  <c r="O357" i="21" s="1"/>
  <c r="P357" i="21"/>
  <c r="M357" i="21"/>
  <c r="L357" i="21"/>
  <c r="X356" i="21"/>
  <c r="W356" i="21"/>
  <c r="T356" i="21"/>
  <c r="S356" i="21"/>
  <c r="R356" i="21"/>
  <c r="Q356" i="21"/>
  <c r="P356" i="21"/>
  <c r="O356" i="21" s="1"/>
  <c r="N356" i="21"/>
  <c r="M356" i="21"/>
  <c r="L356" i="21"/>
  <c r="X355" i="21"/>
  <c r="W355" i="21"/>
  <c r="T355" i="21"/>
  <c r="S355" i="21"/>
  <c r="R355" i="21"/>
  <c r="P355" i="21"/>
  <c r="M355" i="21"/>
  <c r="L355" i="21"/>
  <c r="X354" i="21"/>
  <c r="W354" i="21"/>
  <c r="T354" i="21"/>
  <c r="S354" i="21"/>
  <c r="R354" i="21"/>
  <c r="P354" i="21"/>
  <c r="N354" i="21"/>
  <c r="M354" i="21"/>
  <c r="L354" i="21"/>
  <c r="X353" i="21"/>
  <c r="W353" i="21"/>
  <c r="T353" i="21"/>
  <c r="S353" i="21"/>
  <c r="M353" i="21" s="1"/>
  <c r="R353" i="21"/>
  <c r="Q353" i="21"/>
  <c r="O353" i="21" s="1"/>
  <c r="P353" i="21"/>
  <c r="W352" i="21"/>
  <c r="T352" i="21"/>
  <c r="S352" i="21"/>
  <c r="R352" i="21"/>
  <c r="U352" i="21" s="1"/>
  <c r="X352" i="21" s="1"/>
  <c r="P352" i="21"/>
  <c r="X351" i="21"/>
  <c r="W351" i="21"/>
  <c r="T351" i="21"/>
  <c r="S351" i="21"/>
  <c r="R351" i="21"/>
  <c r="P351" i="21"/>
  <c r="W350" i="21"/>
  <c r="U350" i="21"/>
  <c r="X350" i="21" s="1"/>
  <c r="T350" i="21"/>
  <c r="S350" i="21"/>
  <c r="R350" i="21"/>
  <c r="P350" i="21"/>
  <c r="N350" i="21"/>
  <c r="M350" i="21"/>
  <c r="L350" i="21"/>
  <c r="X349" i="21"/>
  <c r="W349" i="21"/>
  <c r="T349" i="21"/>
  <c r="S349" i="21"/>
  <c r="M349" i="21" s="1"/>
  <c r="R349" i="21"/>
  <c r="Q349" i="21"/>
  <c r="P349" i="21"/>
  <c r="O349" i="21"/>
  <c r="W348" i="21"/>
  <c r="T348" i="21"/>
  <c r="S348" i="21"/>
  <c r="R348" i="21"/>
  <c r="U348" i="21" s="1"/>
  <c r="X348" i="21" s="1"/>
  <c r="P348" i="21"/>
  <c r="X347" i="21"/>
  <c r="W347" i="21"/>
  <c r="U347" i="21"/>
  <c r="T347" i="21"/>
  <c r="S347" i="21"/>
  <c r="Q347" i="21" s="1"/>
  <c r="O347" i="21" s="1"/>
  <c r="R347" i="21"/>
  <c r="P347" i="21"/>
  <c r="N347" i="21"/>
  <c r="M347" i="21"/>
  <c r="L347" i="21"/>
  <c r="X346" i="21"/>
  <c r="W346" i="21"/>
  <c r="U346" i="21"/>
  <c r="T346" i="21"/>
  <c r="S346" i="21"/>
  <c r="R346" i="21"/>
  <c r="P346" i="21"/>
  <c r="M346" i="21"/>
  <c r="L346" i="21"/>
  <c r="W345" i="21"/>
  <c r="T345" i="21"/>
  <c r="S345" i="21"/>
  <c r="M345" i="21" s="1"/>
  <c r="R345" i="21"/>
  <c r="Q345" i="21"/>
  <c r="O345" i="21" s="1"/>
  <c r="P345" i="21"/>
  <c r="X344" i="21"/>
  <c r="W344" i="21"/>
  <c r="U344" i="21"/>
  <c r="T344" i="21"/>
  <c r="S344" i="21"/>
  <c r="R344" i="21"/>
  <c r="P344" i="21"/>
  <c r="N344" i="21"/>
  <c r="M344" i="21"/>
  <c r="L344" i="21"/>
  <c r="W343" i="21"/>
  <c r="T343" i="21"/>
  <c r="S343" i="21"/>
  <c r="M343" i="21" s="1"/>
  <c r="R343" i="21"/>
  <c r="Q343" i="21"/>
  <c r="O343" i="21" s="1"/>
  <c r="P343" i="21"/>
  <c r="N343" i="21"/>
  <c r="W342" i="21"/>
  <c r="T342" i="21"/>
  <c r="S342" i="21"/>
  <c r="R342" i="21"/>
  <c r="P342" i="21"/>
  <c r="X341" i="21"/>
  <c r="W341" i="21"/>
  <c r="U341" i="21"/>
  <c r="T341" i="21"/>
  <c r="S341" i="21"/>
  <c r="Q341" i="21" s="1"/>
  <c r="O341" i="21" s="1"/>
  <c r="R341" i="21"/>
  <c r="P341" i="21"/>
  <c r="M341" i="21"/>
  <c r="L341" i="21"/>
  <c r="X340" i="21"/>
  <c r="W340" i="21"/>
  <c r="U340" i="21"/>
  <c r="T340" i="21"/>
  <c r="S340" i="21"/>
  <c r="R340" i="21"/>
  <c r="P340" i="21"/>
  <c r="N340" i="21"/>
  <c r="M340" i="21"/>
  <c r="L340" i="21"/>
  <c r="X339" i="21"/>
  <c r="W339" i="21"/>
  <c r="U339" i="21"/>
  <c r="T339" i="21"/>
  <c r="S339" i="21"/>
  <c r="R339" i="21"/>
  <c r="Q339" i="21"/>
  <c r="O339" i="21" s="1"/>
  <c r="P339" i="21"/>
  <c r="M339" i="21"/>
  <c r="L339" i="21"/>
  <c r="W338" i="21"/>
  <c r="U338" i="21"/>
  <c r="X338" i="21" s="1"/>
  <c r="T338" i="21"/>
  <c r="S338" i="21"/>
  <c r="Q338" i="21" s="1"/>
  <c r="R338" i="21"/>
  <c r="P338" i="21"/>
  <c r="O338" i="21"/>
  <c r="M338" i="21"/>
  <c r="L338" i="21"/>
  <c r="X337" i="21"/>
  <c r="W337" i="21"/>
  <c r="U337" i="21"/>
  <c r="T337" i="21"/>
  <c r="S337" i="21"/>
  <c r="N337" i="21" s="1"/>
  <c r="R337" i="21"/>
  <c r="P337" i="21"/>
  <c r="M337" i="21"/>
  <c r="L337" i="21"/>
  <c r="X336" i="21"/>
  <c r="W336" i="21"/>
  <c r="U336" i="21"/>
  <c r="T336" i="21"/>
  <c r="S336" i="21"/>
  <c r="R336" i="21"/>
  <c r="P336" i="21"/>
  <c r="N336" i="21"/>
  <c r="M336" i="21"/>
  <c r="L336" i="21"/>
  <c r="X335" i="21"/>
  <c r="W335" i="21"/>
  <c r="U335" i="21"/>
  <c r="T335" i="21"/>
  <c r="S335" i="21"/>
  <c r="R335" i="21"/>
  <c r="P335" i="21"/>
  <c r="M335" i="21"/>
  <c r="L335" i="21"/>
  <c r="X334" i="21"/>
  <c r="W334" i="21"/>
  <c r="U334" i="21"/>
  <c r="T334" i="21"/>
  <c r="S334" i="21"/>
  <c r="R334" i="21"/>
  <c r="P334" i="21"/>
  <c r="N334" i="21"/>
  <c r="M334" i="21"/>
  <c r="L334" i="21"/>
  <c r="X333" i="21"/>
  <c r="W333" i="21"/>
  <c r="U333" i="21"/>
  <c r="T333" i="21"/>
  <c r="S333" i="21"/>
  <c r="R333" i="21"/>
  <c r="N333" i="21" s="1"/>
  <c r="Q333" i="21"/>
  <c r="P333" i="21"/>
  <c r="O333" i="21"/>
  <c r="M333" i="21"/>
  <c r="L333" i="21"/>
  <c r="W332" i="21"/>
  <c r="U332" i="21"/>
  <c r="X332" i="21" s="1"/>
  <c r="T332" i="21"/>
  <c r="S332" i="21"/>
  <c r="R332" i="21"/>
  <c r="P332" i="21"/>
  <c r="M332" i="21"/>
  <c r="L332" i="21"/>
  <c r="X331" i="21"/>
  <c r="W331" i="21"/>
  <c r="U331" i="21"/>
  <c r="T331" i="21"/>
  <c r="S331" i="21"/>
  <c r="R331" i="21"/>
  <c r="Q331" i="21"/>
  <c r="P331" i="21"/>
  <c r="N331" i="21"/>
  <c r="M331" i="21"/>
  <c r="L331" i="21"/>
  <c r="W330" i="21"/>
  <c r="U330" i="21"/>
  <c r="X330" i="21" s="1"/>
  <c r="T330" i="21"/>
  <c r="S330" i="21"/>
  <c r="R330" i="21"/>
  <c r="N330" i="21" s="1"/>
  <c r="P330" i="21"/>
  <c r="M330" i="21"/>
  <c r="L330" i="21"/>
  <c r="W329" i="21"/>
  <c r="T329" i="21"/>
  <c r="S329" i="21"/>
  <c r="M329" i="21" s="1"/>
  <c r="R329" i="21"/>
  <c r="P329" i="21"/>
  <c r="N329" i="21"/>
  <c r="W328" i="21"/>
  <c r="U328" i="21"/>
  <c r="X328" i="21" s="1"/>
  <c r="T328" i="21"/>
  <c r="S328" i="21"/>
  <c r="Q328" i="21" s="1"/>
  <c r="R328" i="21"/>
  <c r="P328" i="21"/>
  <c r="O328" i="21"/>
  <c r="M328" i="21"/>
  <c r="L328" i="21"/>
  <c r="X327" i="21"/>
  <c r="W327" i="21"/>
  <c r="U327" i="21"/>
  <c r="T327" i="21"/>
  <c r="S327" i="21"/>
  <c r="N327" i="21" s="1"/>
  <c r="R327" i="21"/>
  <c r="Q327" i="21"/>
  <c r="O327" i="21" s="1"/>
  <c r="P327" i="21"/>
  <c r="M327" i="21"/>
  <c r="L327" i="21"/>
  <c r="W326" i="21"/>
  <c r="U326" i="21"/>
  <c r="X326" i="21" s="1"/>
  <c r="T326" i="21"/>
  <c r="S326" i="21"/>
  <c r="R326" i="21"/>
  <c r="P326" i="21"/>
  <c r="N326" i="21"/>
  <c r="M326" i="21"/>
  <c r="L326" i="21"/>
  <c r="W325" i="21"/>
  <c r="T325" i="21"/>
  <c r="S325" i="21"/>
  <c r="M325" i="21" s="1"/>
  <c r="R325" i="21"/>
  <c r="Q325" i="21"/>
  <c r="P325" i="21"/>
  <c r="O325" i="21"/>
  <c r="X324" i="21"/>
  <c r="W324" i="21"/>
  <c r="U324" i="21"/>
  <c r="T324" i="21"/>
  <c r="S324" i="21"/>
  <c r="R324" i="21"/>
  <c r="P324" i="21"/>
  <c r="M324" i="21"/>
  <c r="L324" i="21"/>
  <c r="X323" i="21"/>
  <c r="W323" i="21"/>
  <c r="U323" i="21"/>
  <c r="T323" i="21"/>
  <c r="S323" i="21"/>
  <c r="Q323" i="21" s="1"/>
  <c r="O323" i="21" s="1"/>
  <c r="R323" i="21"/>
  <c r="P323" i="21"/>
  <c r="N323" i="21"/>
  <c r="M323" i="21"/>
  <c r="L323" i="21"/>
  <c r="X322" i="21"/>
  <c r="W322" i="21"/>
  <c r="U322" i="21"/>
  <c r="T322" i="21"/>
  <c r="S322" i="21"/>
  <c r="Q322" i="21" s="1"/>
  <c r="O322" i="21" s="1"/>
  <c r="R322" i="21"/>
  <c r="P322" i="21"/>
  <c r="N322" i="21"/>
  <c r="M322" i="21"/>
  <c r="L322" i="21"/>
  <c r="W321" i="21"/>
  <c r="T321" i="21"/>
  <c r="S321" i="21"/>
  <c r="M321" i="21" s="1"/>
  <c r="R321" i="21"/>
  <c r="Q321" i="21"/>
  <c r="O321" i="21" s="1"/>
  <c r="P321" i="21"/>
  <c r="X320" i="21"/>
  <c r="W320" i="21"/>
  <c r="U320" i="21"/>
  <c r="T320" i="21"/>
  <c r="S320" i="21"/>
  <c r="Q320" i="21" s="1"/>
  <c r="O320" i="21" s="1"/>
  <c r="R320" i="21"/>
  <c r="P320" i="21"/>
  <c r="N320" i="21"/>
  <c r="L320" i="21"/>
  <c r="W319" i="21"/>
  <c r="T319" i="21"/>
  <c r="S319" i="21"/>
  <c r="M319" i="21" s="1"/>
  <c r="R319" i="21"/>
  <c r="Q319" i="21"/>
  <c r="O319" i="21" s="1"/>
  <c r="P319" i="21"/>
  <c r="N319" i="21"/>
  <c r="X318" i="21"/>
  <c r="W318" i="21"/>
  <c r="U318" i="21"/>
  <c r="T318" i="21"/>
  <c r="S318" i="21"/>
  <c r="Q318" i="21" s="1"/>
  <c r="R318" i="21"/>
  <c r="N318" i="21" s="1"/>
  <c r="P318" i="21"/>
  <c r="O318" i="21"/>
  <c r="M318" i="21"/>
  <c r="L318" i="21"/>
  <c r="W317" i="21"/>
  <c r="T317" i="21"/>
  <c r="S317" i="21"/>
  <c r="M317" i="21" s="1"/>
  <c r="R317" i="21"/>
  <c r="Q317" i="21"/>
  <c r="O317" i="21" s="1"/>
  <c r="P317" i="21"/>
  <c r="X316" i="21"/>
  <c r="W316" i="21"/>
  <c r="U316" i="21"/>
  <c r="T316" i="21"/>
  <c r="S316" i="21"/>
  <c r="R316" i="21"/>
  <c r="P316" i="21"/>
  <c r="L316" i="21"/>
  <c r="X315" i="21"/>
  <c r="W315" i="21"/>
  <c r="U315" i="21"/>
  <c r="T315" i="21"/>
  <c r="S315" i="21"/>
  <c r="R315" i="21"/>
  <c r="N315" i="21" s="1"/>
  <c r="Q315" i="21"/>
  <c r="P315" i="21"/>
  <c r="O315" i="21"/>
  <c r="M315" i="21"/>
  <c r="L315" i="21"/>
  <c r="W314" i="21"/>
  <c r="U314" i="21"/>
  <c r="X314" i="21" s="1"/>
  <c r="T314" i="21"/>
  <c r="S314" i="21"/>
  <c r="R314" i="21"/>
  <c r="P314" i="21"/>
  <c r="M314" i="21"/>
  <c r="L314" i="21"/>
  <c r="W313" i="21"/>
  <c r="T313" i="21"/>
  <c r="S313" i="21"/>
  <c r="M313" i="21" s="1"/>
  <c r="R313" i="21"/>
  <c r="P313" i="21"/>
  <c r="X312" i="21"/>
  <c r="W312" i="21"/>
  <c r="U312" i="21"/>
  <c r="T312" i="21"/>
  <c r="S312" i="21"/>
  <c r="R312" i="21"/>
  <c r="N312" i="21" s="1"/>
  <c r="P312" i="21"/>
  <c r="M312" i="21"/>
  <c r="L312" i="21"/>
  <c r="X311" i="21"/>
  <c r="W311" i="21"/>
  <c r="U311" i="21"/>
  <c r="T311" i="21"/>
  <c r="S311" i="21"/>
  <c r="N311" i="21" s="1"/>
  <c r="R311" i="21"/>
  <c r="Q311" i="21"/>
  <c r="O311" i="21" s="1"/>
  <c r="P311" i="21"/>
  <c r="M311" i="21"/>
  <c r="L311" i="21"/>
  <c r="W310" i="21"/>
  <c r="U310" i="21"/>
  <c r="X310" i="21" s="1"/>
  <c r="T310" i="21"/>
  <c r="S310" i="21"/>
  <c r="Q310" i="21" s="1"/>
  <c r="R310" i="21"/>
  <c r="P310" i="21"/>
  <c r="O310" i="21"/>
  <c r="M310" i="21"/>
  <c r="L310" i="21"/>
  <c r="W309" i="21"/>
  <c r="T309" i="21"/>
  <c r="S309" i="21"/>
  <c r="R309" i="21"/>
  <c r="P309" i="21"/>
  <c r="W308" i="21"/>
  <c r="U308" i="21"/>
  <c r="X308" i="21" s="1"/>
  <c r="T308" i="21"/>
  <c r="S308" i="21"/>
  <c r="R308" i="21"/>
  <c r="N308" i="21" s="1"/>
  <c r="P308" i="21"/>
  <c r="M308" i="21"/>
  <c r="L308" i="21"/>
  <c r="X307" i="21"/>
  <c r="W307" i="21"/>
  <c r="U307" i="21"/>
  <c r="T307" i="21"/>
  <c r="S307" i="21"/>
  <c r="Q307" i="21" s="1"/>
  <c r="R307" i="21"/>
  <c r="N307" i="21" s="1"/>
  <c r="P307" i="21"/>
  <c r="O307" i="21" s="1"/>
  <c r="M307" i="21"/>
  <c r="L307" i="21"/>
  <c r="W306" i="21"/>
  <c r="T306" i="21"/>
  <c r="S306" i="21"/>
  <c r="R306" i="21"/>
  <c r="U306" i="21" s="1"/>
  <c r="X306" i="21" s="1"/>
  <c r="P306" i="21"/>
  <c r="X305" i="21"/>
  <c r="W305" i="21"/>
  <c r="U305" i="21"/>
  <c r="T305" i="21"/>
  <c r="S305" i="21"/>
  <c r="Q305" i="21" s="1"/>
  <c r="R305" i="21"/>
  <c r="P305" i="21"/>
  <c r="O305" i="21"/>
  <c r="N305" i="21"/>
  <c r="M305" i="21"/>
  <c r="L305" i="21"/>
  <c r="X304" i="21"/>
  <c r="W304" i="21"/>
  <c r="U304" i="21"/>
  <c r="T304" i="21"/>
  <c r="S304" i="21"/>
  <c r="Q304" i="21" s="1"/>
  <c r="R304" i="21"/>
  <c r="N304" i="21" s="1"/>
  <c r="P304" i="21"/>
  <c r="O304" i="21"/>
  <c r="M304" i="21"/>
  <c r="L304" i="21"/>
  <c r="X303" i="21"/>
  <c r="W303" i="21"/>
  <c r="U303" i="21"/>
  <c r="T303" i="21"/>
  <c r="S303" i="21"/>
  <c r="Q303" i="21" s="1"/>
  <c r="O303" i="21" s="1"/>
  <c r="R303" i="21"/>
  <c r="P303" i="21"/>
  <c r="N303" i="21"/>
  <c r="M303" i="21"/>
  <c r="L303" i="21"/>
  <c r="X302" i="21"/>
  <c r="W302" i="21"/>
  <c r="U302" i="21"/>
  <c r="T302" i="21"/>
  <c r="S302" i="21"/>
  <c r="R302" i="21"/>
  <c r="N302" i="21" s="1"/>
  <c r="P302" i="21"/>
  <c r="M302" i="21"/>
  <c r="L302" i="21"/>
  <c r="W301" i="21"/>
  <c r="T301" i="21"/>
  <c r="S301" i="21"/>
  <c r="R301" i="21"/>
  <c r="Q301" i="21"/>
  <c r="O301" i="21" s="1"/>
  <c r="P301" i="21"/>
  <c r="W300" i="21"/>
  <c r="U300" i="21"/>
  <c r="X300" i="21" s="1"/>
  <c r="T300" i="21"/>
  <c r="S300" i="21"/>
  <c r="R300" i="21"/>
  <c r="P300" i="21"/>
  <c r="M300" i="21"/>
  <c r="L300" i="21"/>
  <c r="X299" i="21"/>
  <c r="W299" i="21"/>
  <c r="U299" i="21"/>
  <c r="T299" i="21"/>
  <c r="S299" i="21"/>
  <c r="R299" i="21"/>
  <c r="Q299" i="21"/>
  <c r="O299" i="21" s="1"/>
  <c r="P299" i="21"/>
  <c r="N299" i="21"/>
  <c r="M299" i="21"/>
  <c r="L299" i="21"/>
  <c r="W298" i="21"/>
  <c r="T298" i="21"/>
  <c r="S298" i="21"/>
  <c r="M298" i="21" s="1"/>
  <c r="R298" i="21"/>
  <c r="N298" i="21" s="1"/>
  <c r="P298" i="21"/>
  <c r="X297" i="21"/>
  <c r="W297" i="21"/>
  <c r="U297" i="21"/>
  <c r="T297" i="21"/>
  <c r="S297" i="21"/>
  <c r="R297" i="21"/>
  <c r="N297" i="21" s="1"/>
  <c r="P297" i="21"/>
  <c r="M297" i="21"/>
  <c r="L297" i="21"/>
  <c r="X296" i="21"/>
  <c r="W296" i="21"/>
  <c r="U296" i="21"/>
  <c r="T296" i="21"/>
  <c r="S296" i="21"/>
  <c r="N296" i="21" s="1"/>
  <c r="R296" i="21"/>
  <c r="Q296" i="21"/>
  <c r="O296" i="21" s="1"/>
  <c r="P296" i="21"/>
  <c r="M296" i="21"/>
  <c r="L296" i="21"/>
  <c r="W295" i="21"/>
  <c r="U295" i="21"/>
  <c r="X295" i="21" s="1"/>
  <c r="T295" i="21"/>
  <c r="S295" i="21"/>
  <c r="Q295" i="21" s="1"/>
  <c r="R295" i="21"/>
  <c r="N295" i="21" s="1"/>
  <c r="P295" i="21"/>
  <c r="O295" i="21"/>
  <c r="M295" i="21"/>
  <c r="L295" i="21"/>
  <c r="X294" i="21"/>
  <c r="W294" i="21"/>
  <c r="U294" i="21"/>
  <c r="T294" i="21"/>
  <c r="S294" i="21"/>
  <c r="N294" i="21" s="1"/>
  <c r="R294" i="21"/>
  <c r="Q294" i="21"/>
  <c r="O294" i="21" s="1"/>
  <c r="P294" i="21"/>
  <c r="M294" i="21"/>
  <c r="L294" i="21"/>
  <c r="X293" i="21"/>
  <c r="W293" i="21"/>
  <c r="U293" i="21"/>
  <c r="T293" i="21"/>
  <c r="S293" i="21"/>
  <c r="R293" i="21"/>
  <c r="N293" i="21" s="1"/>
  <c r="P293" i="21"/>
  <c r="M293" i="21"/>
  <c r="L293" i="21"/>
  <c r="X292" i="21"/>
  <c r="W292" i="21"/>
  <c r="T292" i="21"/>
  <c r="S292" i="21"/>
  <c r="Q292" i="21" s="1"/>
  <c r="O292" i="21" s="1"/>
  <c r="R292" i="21"/>
  <c r="U292" i="21" s="1"/>
  <c r="P292" i="21"/>
  <c r="L292" i="21"/>
  <c r="W291" i="21"/>
  <c r="U291" i="21"/>
  <c r="X291" i="21" s="1"/>
  <c r="T291" i="21"/>
  <c r="S291" i="21"/>
  <c r="Q291" i="21" s="1"/>
  <c r="O291" i="21" s="1"/>
  <c r="R291" i="21"/>
  <c r="N291" i="21" s="1"/>
  <c r="P291" i="21"/>
  <c r="M291" i="21"/>
  <c r="L291" i="21"/>
  <c r="X290" i="21"/>
  <c r="W290" i="21"/>
  <c r="U290" i="21"/>
  <c r="T290" i="21"/>
  <c r="S290" i="21"/>
  <c r="N290" i="21" s="1"/>
  <c r="R290" i="21"/>
  <c r="P290" i="21"/>
  <c r="M290" i="21"/>
  <c r="L290" i="21"/>
  <c r="W289" i="21"/>
  <c r="U289" i="21"/>
  <c r="X289" i="21" s="1"/>
  <c r="T289" i="21"/>
  <c r="S289" i="21"/>
  <c r="R289" i="21"/>
  <c r="N289" i="21" s="1"/>
  <c r="P289" i="21"/>
  <c r="M289" i="21"/>
  <c r="L289" i="21"/>
  <c r="X288" i="21"/>
  <c r="W288" i="21"/>
  <c r="U288" i="21"/>
  <c r="T288" i="21"/>
  <c r="Q288" i="21" s="1"/>
  <c r="O288" i="21" s="1"/>
  <c r="S288" i="21"/>
  <c r="N288" i="21" s="1"/>
  <c r="R288" i="21"/>
  <c r="P288" i="21"/>
  <c r="M288" i="21"/>
  <c r="L288" i="21"/>
  <c r="W287" i="21"/>
  <c r="U287" i="21"/>
  <c r="X287" i="21" s="1"/>
  <c r="T287" i="21"/>
  <c r="S287" i="21"/>
  <c r="Q287" i="21" s="1"/>
  <c r="O287" i="21" s="1"/>
  <c r="R287" i="21"/>
  <c r="N287" i="21" s="1"/>
  <c r="P287" i="21"/>
  <c r="M287" i="21"/>
  <c r="L287" i="21"/>
  <c r="W286" i="21"/>
  <c r="T286" i="21"/>
  <c r="S286" i="21"/>
  <c r="R286" i="21"/>
  <c r="U286" i="21" s="1"/>
  <c r="X286" i="21" s="1"/>
  <c r="Q286" i="21"/>
  <c r="O286" i="21" s="1"/>
  <c r="P286" i="21"/>
  <c r="L286" i="21"/>
  <c r="X285" i="21"/>
  <c r="W285" i="21"/>
  <c r="U285" i="21"/>
  <c r="T285" i="21"/>
  <c r="S285" i="21"/>
  <c r="R285" i="21"/>
  <c r="N285" i="21" s="1"/>
  <c r="P285" i="21"/>
  <c r="M285" i="21"/>
  <c r="L285" i="21"/>
  <c r="W284" i="21"/>
  <c r="T284" i="21"/>
  <c r="Q284" i="21" s="1"/>
  <c r="O284" i="21" s="1"/>
  <c r="S284" i="21"/>
  <c r="R284" i="21"/>
  <c r="U284" i="21" s="1"/>
  <c r="X284" i="21" s="1"/>
  <c r="P284" i="21"/>
  <c r="L284" i="21"/>
  <c r="W283" i="21"/>
  <c r="U283" i="21"/>
  <c r="X283" i="21" s="1"/>
  <c r="T283" i="21"/>
  <c r="S283" i="21"/>
  <c r="Q283" i="21" s="1"/>
  <c r="R283" i="21"/>
  <c r="N283" i="21" s="1"/>
  <c r="P283" i="21"/>
  <c r="O283" i="21"/>
  <c r="M283" i="21"/>
  <c r="L283" i="21"/>
  <c r="W282" i="21"/>
  <c r="T282" i="21"/>
  <c r="S282" i="21"/>
  <c r="Q282" i="21" s="1"/>
  <c r="R282" i="21"/>
  <c r="U282" i="21" s="1"/>
  <c r="X282" i="21" s="1"/>
  <c r="P282" i="21"/>
  <c r="L282" i="21"/>
  <c r="X281" i="21"/>
  <c r="W281" i="21"/>
  <c r="U281" i="21"/>
  <c r="T281" i="21"/>
  <c r="S281" i="21"/>
  <c r="R281" i="21"/>
  <c r="N281" i="21" s="1"/>
  <c r="P281" i="21"/>
  <c r="M281" i="21"/>
  <c r="L281" i="21"/>
  <c r="X280" i="21"/>
  <c r="W280" i="21"/>
  <c r="U280" i="21"/>
  <c r="T280" i="21"/>
  <c r="S280" i="21"/>
  <c r="R280" i="21"/>
  <c r="P280" i="21"/>
  <c r="M280" i="21"/>
  <c r="L280" i="21"/>
  <c r="W279" i="21"/>
  <c r="U279" i="21"/>
  <c r="X279" i="21" s="1"/>
  <c r="T279" i="21"/>
  <c r="S279" i="21"/>
  <c r="R279" i="21"/>
  <c r="N279" i="21" s="1"/>
  <c r="P279" i="21"/>
  <c r="M279" i="21"/>
  <c r="L279" i="21"/>
  <c r="X278" i="21"/>
  <c r="W278" i="21"/>
  <c r="U278" i="21"/>
  <c r="T278" i="21"/>
  <c r="Q278" i="21" s="1"/>
  <c r="O278" i="21" s="1"/>
  <c r="S278" i="21"/>
  <c r="N278" i="21" s="1"/>
  <c r="R278" i="21"/>
  <c r="P278" i="21"/>
  <c r="M278" i="21"/>
  <c r="L278" i="21"/>
  <c r="X277" i="21"/>
  <c r="W277" i="21"/>
  <c r="U277" i="21"/>
  <c r="T277" i="21"/>
  <c r="S277" i="21"/>
  <c r="R277" i="21"/>
  <c r="N277" i="21" s="1"/>
  <c r="P277" i="21"/>
  <c r="M277" i="21"/>
  <c r="L277" i="21"/>
  <c r="X276" i="21"/>
  <c r="W276" i="21"/>
  <c r="U276" i="21"/>
  <c r="T276" i="21"/>
  <c r="S276" i="21"/>
  <c r="R276" i="21"/>
  <c r="P276" i="21"/>
  <c r="M276" i="21"/>
  <c r="L276" i="21"/>
  <c r="W275" i="21"/>
  <c r="U275" i="21"/>
  <c r="X275" i="21" s="1"/>
  <c r="T275" i="21"/>
  <c r="S275" i="21"/>
  <c r="R275" i="21"/>
  <c r="N275" i="21" s="1"/>
  <c r="P275" i="21"/>
  <c r="M275" i="21"/>
  <c r="L275" i="21"/>
  <c r="W274" i="21"/>
  <c r="T274" i="21"/>
  <c r="S274" i="21"/>
  <c r="Q274" i="21" s="1"/>
  <c r="O274" i="21" s="1"/>
  <c r="R274" i="21"/>
  <c r="U274" i="21" s="1"/>
  <c r="X274" i="21" s="1"/>
  <c r="P274" i="21"/>
  <c r="L274" i="21"/>
  <c r="W273" i="21"/>
  <c r="U273" i="21"/>
  <c r="X273" i="21" s="1"/>
  <c r="T273" i="21"/>
  <c r="S273" i="21"/>
  <c r="Q273" i="21" s="1"/>
  <c r="O273" i="21" s="1"/>
  <c r="R273" i="21"/>
  <c r="N273" i="21" s="1"/>
  <c r="P273" i="21"/>
  <c r="M273" i="21"/>
  <c r="L273" i="21"/>
  <c r="X272" i="21"/>
  <c r="W272" i="21"/>
  <c r="U272" i="21"/>
  <c r="T272" i="21"/>
  <c r="S272" i="21"/>
  <c r="N272" i="21" s="1"/>
  <c r="R272" i="21"/>
  <c r="P272" i="21"/>
  <c r="M272" i="21"/>
  <c r="L272" i="21"/>
  <c r="W271" i="21"/>
  <c r="U271" i="21"/>
  <c r="X271" i="21" s="1"/>
  <c r="T271" i="21"/>
  <c r="S271" i="21"/>
  <c r="R271" i="21"/>
  <c r="N271" i="21" s="1"/>
  <c r="P271" i="21"/>
  <c r="M271" i="21"/>
  <c r="L271" i="21"/>
  <c r="W270" i="21"/>
  <c r="T270" i="21"/>
  <c r="S270" i="21"/>
  <c r="R270" i="21"/>
  <c r="U270" i="21" s="1"/>
  <c r="X270" i="21" s="1"/>
  <c r="Q270" i="21"/>
  <c r="O270" i="21" s="1"/>
  <c r="P270" i="21"/>
  <c r="L270" i="21"/>
  <c r="W269" i="21"/>
  <c r="U269" i="21"/>
  <c r="X269" i="21" s="1"/>
  <c r="T269" i="21"/>
  <c r="S269" i="21"/>
  <c r="Q269" i="21" s="1"/>
  <c r="O269" i="21" s="1"/>
  <c r="R269" i="21"/>
  <c r="N269" i="21" s="1"/>
  <c r="P269" i="21"/>
  <c r="M269" i="21"/>
  <c r="L269" i="21"/>
  <c r="X268" i="21"/>
  <c r="W268" i="21"/>
  <c r="T268" i="21"/>
  <c r="Q268" i="21" s="1"/>
  <c r="O268" i="21" s="1"/>
  <c r="S268" i="21"/>
  <c r="R268" i="21"/>
  <c r="U268" i="21" s="1"/>
  <c r="P268" i="21"/>
  <c r="L268" i="21"/>
  <c r="X267" i="21"/>
  <c r="W267" i="21"/>
  <c r="U267" i="21"/>
  <c r="T267" i="21"/>
  <c r="S267" i="21"/>
  <c r="R267" i="21"/>
  <c r="N267" i="21" s="1"/>
  <c r="P267" i="21"/>
  <c r="M267" i="21"/>
  <c r="L267" i="21"/>
  <c r="X266" i="21"/>
  <c r="W266" i="21"/>
  <c r="U266" i="21"/>
  <c r="T266" i="21"/>
  <c r="Q266" i="21" s="1"/>
  <c r="O266" i="21" s="1"/>
  <c r="S266" i="21"/>
  <c r="N266" i="21" s="1"/>
  <c r="R266" i="21"/>
  <c r="P266" i="21"/>
  <c r="M266" i="21"/>
  <c r="L266" i="21"/>
  <c r="X265" i="21"/>
  <c r="W265" i="21"/>
  <c r="U265" i="21"/>
  <c r="T265" i="21"/>
  <c r="S265" i="21"/>
  <c r="R265" i="21"/>
  <c r="N265" i="21" s="1"/>
  <c r="P265" i="21"/>
  <c r="M265" i="21"/>
  <c r="L265" i="21"/>
  <c r="W264" i="21"/>
  <c r="T264" i="21"/>
  <c r="S264" i="21"/>
  <c r="R264" i="21"/>
  <c r="U264" i="21" s="1"/>
  <c r="X264" i="21" s="1"/>
  <c r="Q264" i="21"/>
  <c r="O264" i="21" s="1"/>
  <c r="P264" i="21"/>
  <c r="L264" i="21"/>
  <c r="W263" i="21"/>
  <c r="U263" i="21"/>
  <c r="X263" i="21" s="1"/>
  <c r="T263" i="21"/>
  <c r="S263" i="21"/>
  <c r="R263" i="21"/>
  <c r="N263" i="21" s="1"/>
  <c r="P263" i="21"/>
  <c r="M263" i="21"/>
  <c r="L263" i="21"/>
  <c r="X262" i="21"/>
  <c r="W262" i="21"/>
  <c r="U262" i="21"/>
  <c r="T262" i="21"/>
  <c r="Q262" i="21" s="1"/>
  <c r="O262" i="21" s="1"/>
  <c r="S262" i="21"/>
  <c r="N262" i="21" s="1"/>
  <c r="R262" i="21"/>
  <c r="P262" i="21"/>
  <c r="M262" i="21"/>
  <c r="L262" i="21"/>
  <c r="W261" i="21"/>
  <c r="U261" i="21"/>
  <c r="X261" i="21" s="1"/>
  <c r="T261" i="21"/>
  <c r="S261" i="21"/>
  <c r="Q261" i="21" s="1"/>
  <c r="O261" i="21" s="1"/>
  <c r="R261" i="21"/>
  <c r="N261" i="21" s="1"/>
  <c r="P261" i="21"/>
  <c r="M261" i="21"/>
  <c r="L261" i="21"/>
  <c r="X260" i="21"/>
  <c r="W260" i="21"/>
  <c r="U260" i="21"/>
  <c r="T260" i="21"/>
  <c r="S260" i="21"/>
  <c r="N260" i="21" s="1"/>
  <c r="R260" i="21"/>
  <c r="P260" i="21"/>
  <c r="M260" i="21"/>
  <c r="L260" i="21"/>
  <c r="W259" i="21"/>
  <c r="U259" i="21"/>
  <c r="X259" i="21" s="1"/>
  <c r="T259" i="21"/>
  <c r="S259" i="21"/>
  <c r="R259" i="21"/>
  <c r="N259" i="21" s="1"/>
  <c r="P259" i="21"/>
  <c r="M259" i="21"/>
  <c r="L259" i="21"/>
  <c r="X258" i="21"/>
  <c r="W258" i="21"/>
  <c r="U258" i="21"/>
  <c r="T258" i="21"/>
  <c r="Q258" i="21" s="1"/>
  <c r="O258" i="21" s="1"/>
  <c r="S258" i="21"/>
  <c r="R258" i="21"/>
  <c r="P258" i="21"/>
  <c r="N258" i="21"/>
  <c r="M258" i="21"/>
  <c r="L258" i="21"/>
  <c r="X257" i="21"/>
  <c r="W257" i="21"/>
  <c r="U257" i="21"/>
  <c r="T257" i="21"/>
  <c r="S257" i="21"/>
  <c r="R257" i="21"/>
  <c r="N257" i="21" s="1"/>
  <c r="P257" i="21"/>
  <c r="M257" i="21"/>
  <c r="L257" i="21"/>
  <c r="W256" i="21"/>
  <c r="T256" i="21"/>
  <c r="Q256" i="21" s="1"/>
  <c r="O256" i="21" s="1"/>
  <c r="S256" i="21"/>
  <c r="M256" i="21" s="1"/>
  <c r="R256" i="21"/>
  <c r="U256" i="21" s="1"/>
  <c r="X256" i="21" s="1"/>
  <c r="P256" i="21"/>
  <c r="N256" i="21"/>
  <c r="L256" i="21"/>
  <c r="X255" i="21"/>
  <c r="W255" i="21"/>
  <c r="U255" i="21"/>
  <c r="T255" i="21"/>
  <c r="S255" i="21"/>
  <c r="R255" i="21"/>
  <c r="N255" i="21" s="1"/>
  <c r="P255" i="21"/>
  <c r="M255" i="21"/>
  <c r="L255" i="21"/>
  <c r="W254" i="21"/>
  <c r="T254" i="21"/>
  <c r="S254" i="21"/>
  <c r="M254" i="21" s="1"/>
  <c r="R254" i="21"/>
  <c r="U254" i="21" s="1"/>
  <c r="X254" i="21" s="1"/>
  <c r="Q254" i="21"/>
  <c r="O254" i="21" s="1"/>
  <c r="P254" i="21"/>
  <c r="L254" i="21"/>
  <c r="W253" i="21"/>
  <c r="T253" i="21"/>
  <c r="S253" i="21"/>
  <c r="Q253" i="21" s="1"/>
  <c r="O253" i="21" s="1"/>
  <c r="R253" i="21"/>
  <c r="N253" i="21" s="1"/>
  <c r="P253" i="21"/>
  <c r="M253" i="21"/>
  <c r="L253" i="21"/>
  <c r="X252" i="21"/>
  <c r="W252" i="21"/>
  <c r="U252" i="21"/>
  <c r="T252" i="21"/>
  <c r="S252" i="21"/>
  <c r="Q252" i="21" s="1"/>
  <c r="O252" i="21" s="1"/>
  <c r="R252" i="21"/>
  <c r="P252" i="21"/>
  <c r="N252" i="21"/>
  <c r="M252" i="21"/>
  <c r="L252" i="21"/>
  <c r="W251" i="21"/>
  <c r="U251" i="21"/>
  <c r="X251" i="21" s="1"/>
  <c r="T251" i="21"/>
  <c r="S251" i="21"/>
  <c r="Q251" i="21" s="1"/>
  <c r="R251" i="21"/>
  <c r="N251" i="21" s="1"/>
  <c r="P251" i="21"/>
  <c r="O251" i="21"/>
  <c r="M251" i="21"/>
  <c r="X250" i="21"/>
  <c r="W250" i="21"/>
  <c r="U250" i="21"/>
  <c r="T250" i="21"/>
  <c r="S250" i="21"/>
  <c r="R250" i="21"/>
  <c r="Q250" i="21"/>
  <c r="O250" i="21" s="1"/>
  <c r="P250" i="21"/>
  <c r="N250" i="21"/>
  <c r="M250" i="21"/>
  <c r="L250" i="21"/>
  <c r="W249" i="21"/>
  <c r="U249" i="21"/>
  <c r="X249" i="21" s="1"/>
  <c r="T249" i="21"/>
  <c r="S249" i="21"/>
  <c r="R249" i="21"/>
  <c r="N249" i="21" s="1"/>
  <c r="P249" i="21"/>
  <c r="M249" i="21"/>
  <c r="W248" i="21"/>
  <c r="T248" i="21"/>
  <c r="S248" i="21"/>
  <c r="M248" i="21" s="1"/>
  <c r="R248" i="21"/>
  <c r="U248" i="21" s="1"/>
  <c r="X248" i="21" s="1"/>
  <c r="P248" i="21"/>
  <c r="N248" i="21"/>
  <c r="L248" i="21"/>
  <c r="X247" i="21"/>
  <c r="W247" i="21"/>
  <c r="U247" i="21"/>
  <c r="T247" i="21"/>
  <c r="S247" i="21"/>
  <c r="R247" i="21"/>
  <c r="N247" i="21" s="1"/>
  <c r="P247" i="21"/>
  <c r="M247" i="21"/>
  <c r="L247" i="21"/>
  <c r="W246" i="21"/>
  <c r="T246" i="21"/>
  <c r="Q246" i="21" s="1"/>
  <c r="O246" i="21" s="1"/>
  <c r="S246" i="21"/>
  <c r="M246" i="21" s="1"/>
  <c r="R246" i="21"/>
  <c r="U246" i="21" s="1"/>
  <c r="X246" i="21" s="1"/>
  <c r="P246" i="21"/>
  <c r="N246" i="21"/>
  <c r="L246" i="21"/>
  <c r="X245" i="21"/>
  <c r="W245" i="21"/>
  <c r="U245" i="21"/>
  <c r="T245" i="21"/>
  <c r="S245" i="21"/>
  <c r="R245" i="21"/>
  <c r="N245" i="21" s="1"/>
  <c r="P245" i="21"/>
  <c r="M245" i="21"/>
  <c r="L245" i="21"/>
  <c r="X244" i="21"/>
  <c r="W244" i="21"/>
  <c r="U244" i="21"/>
  <c r="T244" i="21"/>
  <c r="S244" i="21"/>
  <c r="R244" i="21"/>
  <c r="P244" i="21"/>
  <c r="M244" i="21"/>
  <c r="L244" i="21"/>
  <c r="W243" i="21"/>
  <c r="U243" i="21"/>
  <c r="X243" i="21" s="1"/>
  <c r="T243" i="21"/>
  <c r="S243" i="21"/>
  <c r="Q243" i="21" s="1"/>
  <c r="O243" i="21" s="1"/>
  <c r="R243" i="21"/>
  <c r="N243" i="21" s="1"/>
  <c r="P243" i="21"/>
  <c r="M243" i="21"/>
  <c r="L243" i="21"/>
  <c r="X242" i="21"/>
  <c r="W242" i="21"/>
  <c r="T242" i="21"/>
  <c r="Q242" i="21" s="1"/>
  <c r="O242" i="21" s="1"/>
  <c r="S242" i="21"/>
  <c r="M242" i="21" s="1"/>
  <c r="R242" i="21"/>
  <c r="U242" i="21" s="1"/>
  <c r="P242" i="21"/>
  <c r="N242" i="21"/>
  <c r="L242" i="21"/>
  <c r="X241" i="21"/>
  <c r="W241" i="21"/>
  <c r="U241" i="21"/>
  <c r="T241" i="21"/>
  <c r="S241" i="21"/>
  <c r="R241" i="21"/>
  <c r="N241" i="21" s="1"/>
  <c r="P241" i="21"/>
  <c r="M241" i="21"/>
  <c r="L241" i="21"/>
  <c r="W240" i="21"/>
  <c r="T240" i="21"/>
  <c r="S240" i="21"/>
  <c r="M240" i="21" s="1"/>
  <c r="R240" i="21"/>
  <c r="U240" i="21" s="1"/>
  <c r="X240" i="21" s="1"/>
  <c r="Q240" i="21"/>
  <c r="O240" i="21" s="1"/>
  <c r="P240" i="21"/>
  <c r="L240" i="21"/>
  <c r="W239" i="21"/>
  <c r="T239" i="21"/>
  <c r="S239" i="21"/>
  <c r="N239" i="21" s="1"/>
  <c r="R239" i="21"/>
  <c r="U239" i="21" s="1"/>
  <c r="X239" i="21" s="1"/>
  <c r="P239" i="21"/>
  <c r="M239" i="21"/>
  <c r="L239" i="21"/>
  <c r="X238" i="21"/>
  <c r="W238" i="21"/>
  <c r="T238" i="21"/>
  <c r="Q238" i="21" s="1"/>
  <c r="O238" i="21" s="1"/>
  <c r="S238" i="21"/>
  <c r="M238" i="21" s="1"/>
  <c r="R238" i="21"/>
  <c r="U238" i="21" s="1"/>
  <c r="P238" i="21"/>
  <c r="N238" i="21"/>
  <c r="L238" i="21"/>
  <c r="W237" i="21"/>
  <c r="U237" i="21"/>
  <c r="X237" i="21" s="1"/>
  <c r="T237" i="21"/>
  <c r="S237" i="21"/>
  <c r="N237" i="21" s="1"/>
  <c r="R237" i="21"/>
  <c r="P237" i="21"/>
  <c r="M237" i="21"/>
  <c r="L237" i="21"/>
  <c r="X236" i="21"/>
  <c r="W236" i="21"/>
  <c r="U236" i="21"/>
  <c r="T236" i="21"/>
  <c r="S236" i="21"/>
  <c r="Q236" i="21" s="1"/>
  <c r="O236" i="21" s="1"/>
  <c r="R236" i="21"/>
  <c r="P236" i="21"/>
  <c r="M236" i="21"/>
  <c r="L236" i="21"/>
  <c r="W235" i="21"/>
  <c r="U235" i="21"/>
  <c r="X235" i="21" s="1"/>
  <c r="T235" i="21"/>
  <c r="S235" i="21"/>
  <c r="N235" i="21" s="1"/>
  <c r="R235" i="21"/>
  <c r="P235" i="21"/>
  <c r="M235" i="21"/>
  <c r="L235" i="21"/>
  <c r="X234" i="21"/>
  <c r="W234" i="21"/>
  <c r="T234" i="21"/>
  <c r="Q234" i="21" s="1"/>
  <c r="O234" i="21" s="1"/>
  <c r="S234" i="21"/>
  <c r="M234" i="21" s="1"/>
  <c r="R234" i="21"/>
  <c r="U234" i="21" s="1"/>
  <c r="P234" i="21"/>
  <c r="N234" i="21"/>
  <c r="L234" i="21"/>
  <c r="X233" i="21"/>
  <c r="W233" i="21"/>
  <c r="U233" i="21"/>
  <c r="T233" i="21"/>
  <c r="S233" i="21"/>
  <c r="N233" i="21" s="1"/>
  <c r="R233" i="21"/>
  <c r="P233" i="21"/>
  <c r="M233" i="21"/>
  <c r="L233" i="21"/>
  <c r="X232" i="21"/>
  <c r="W232" i="21"/>
  <c r="U232" i="21"/>
  <c r="T232" i="21"/>
  <c r="S232" i="21"/>
  <c r="Q232" i="21" s="1"/>
  <c r="O232" i="21" s="1"/>
  <c r="R232" i="21"/>
  <c r="P232" i="21"/>
  <c r="M232" i="21"/>
  <c r="L232" i="21"/>
  <c r="W231" i="21"/>
  <c r="T231" i="21"/>
  <c r="S231" i="21"/>
  <c r="N231" i="21" s="1"/>
  <c r="R231" i="21"/>
  <c r="U231" i="21" s="1"/>
  <c r="X231" i="21" s="1"/>
  <c r="P231" i="21"/>
  <c r="M231" i="21"/>
  <c r="L231" i="21"/>
  <c r="X230" i="21"/>
  <c r="W230" i="21"/>
  <c r="U230" i="21"/>
  <c r="T230" i="21"/>
  <c r="S230" i="21"/>
  <c r="Q230" i="21" s="1"/>
  <c r="O230" i="21" s="1"/>
  <c r="R230" i="21"/>
  <c r="P230" i="21"/>
  <c r="N230" i="21"/>
  <c r="M230" i="21"/>
  <c r="L230" i="21"/>
  <c r="X229" i="21"/>
  <c r="W229" i="21"/>
  <c r="U229" i="21"/>
  <c r="T229" i="21"/>
  <c r="S229" i="21"/>
  <c r="N229" i="21" s="1"/>
  <c r="R229" i="21"/>
  <c r="L229" i="21" s="1"/>
  <c r="P229" i="21"/>
  <c r="M229" i="21"/>
  <c r="W228" i="21"/>
  <c r="T228" i="21"/>
  <c r="S228" i="21"/>
  <c r="M228" i="21" s="1"/>
  <c r="R228" i="21"/>
  <c r="U228" i="21" s="1"/>
  <c r="X228" i="21" s="1"/>
  <c r="P228" i="21"/>
  <c r="L228" i="21"/>
  <c r="X227" i="21"/>
  <c r="W227" i="21"/>
  <c r="U227" i="21"/>
  <c r="T227" i="21"/>
  <c r="S227" i="21"/>
  <c r="R227" i="21"/>
  <c r="R3" i="21" s="1"/>
  <c r="P227" i="21"/>
  <c r="M227" i="21"/>
  <c r="L227" i="21"/>
  <c r="X226" i="21"/>
  <c r="W226" i="21"/>
  <c r="U226" i="21"/>
  <c r="T226" i="21"/>
  <c r="Q226" i="21" s="1"/>
  <c r="O226" i="21" s="1"/>
  <c r="S226" i="21"/>
  <c r="N226" i="21" s="1"/>
  <c r="R226" i="21"/>
  <c r="P226" i="21"/>
  <c r="M226" i="21"/>
  <c r="L226" i="21"/>
  <c r="W225" i="21"/>
  <c r="U225" i="21"/>
  <c r="X225" i="21" s="1"/>
  <c r="T225" i="21"/>
  <c r="S225" i="21"/>
  <c r="Q225" i="21" s="1"/>
  <c r="R225" i="21"/>
  <c r="P225" i="21"/>
  <c r="O225" i="21"/>
  <c r="L225" i="21"/>
  <c r="X224" i="21"/>
  <c r="W224" i="21"/>
  <c r="T224" i="21"/>
  <c r="S224" i="21"/>
  <c r="M224" i="21" s="1"/>
  <c r="R224" i="21"/>
  <c r="Q224" i="21"/>
  <c r="P224" i="21"/>
  <c r="O224" i="21"/>
  <c r="W223" i="21"/>
  <c r="U223" i="21"/>
  <c r="X223" i="21" s="1"/>
  <c r="T223" i="21"/>
  <c r="S223" i="21"/>
  <c r="M223" i="21" s="1"/>
  <c r="R223" i="21"/>
  <c r="N223" i="21" s="1"/>
  <c r="P223" i="21"/>
  <c r="L223" i="21"/>
  <c r="X222" i="21"/>
  <c r="W222" i="21"/>
  <c r="U222" i="21"/>
  <c r="T222" i="21"/>
  <c r="S222" i="21"/>
  <c r="N222" i="21" s="1"/>
  <c r="R222" i="21"/>
  <c r="P222" i="21"/>
  <c r="M222" i="21"/>
  <c r="L222" i="21"/>
  <c r="X221" i="21"/>
  <c r="W221" i="21"/>
  <c r="T221" i="21"/>
  <c r="S221" i="21"/>
  <c r="R221" i="21"/>
  <c r="U221" i="21" s="1"/>
  <c r="P221" i="21"/>
  <c r="N221" i="21"/>
  <c r="X220" i="21"/>
  <c r="W220" i="21"/>
  <c r="U220" i="21"/>
  <c r="T220" i="21"/>
  <c r="Q220" i="21" s="1"/>
  <c r="S220" i="21"/>
  <c r="R220" i="21"/>
  <c r="N220" i="21" s="1"/>
  <c r="P220" i="21"/>
  <c r="O220" i="21"/>
  <c r="M220" i="21"/>
  <c r="L220" i="21"/>
  <c r="X219" i="21"/>
  <c r="W219" i="21"/>
  <c r="T219" i="21"/>
  <c r="S219" i="21"/>
  <c r="R219" i="21"/>
  <c r="U219" i="21" s="1"/>
  <c r="P219" i="21"/>
  <c r="X218" i="21"/>
  <c r="W218" i="21"/>
  <c r="U218" i="21"/>
  <c r="T218" i="21"/>
  <c r="S218" i="21"/>
  <c r="Q218" i="21" s="1"/>
  <c r="O218" i="21" s="1"/>
  <c r="R218" i="21"/>
  <c r="P218" i="21"/>
  <c r="N218" i="21"/>
  <c r="M218" i="21"/>
  <c r="L218" i="21"/>
  <c r="X217" i="21"/>
  <c r="W217" i="21"/>
  <c r="T217" i="21"/>
  <c r="S217" i="21"/>
  <c r="R217" i="21"/>
  <c r="P217" i="21"/>
  <c r="M217" i="21"/>
  <c r="W216" i="21"/>
  <c r="U216" i="21"/>
  <c r="X216" i="21" s="1"/>
  <c r="T216" i="21"/>
  <c r="S216" i="21"/>
  <c r="Q216" i="21" s="1"/>
  <c r="O216" i="21" s="1"/>
  <c r="R216" i="21"/>
  <c r="L216" i="21" s="1"/>
  <c r="P216" i="21"/>
  <c r="M216" i="21"/>
  <c r="X215" i="21"/>
  <c r="W215" i="21"/>
  <c r="U215" i="21"/>
  <c r="T215" i="21"/>
  <c r="S215" i="21"/>
  <c r="R215" i="21"/>
  <c r="Q215" i="21"/>
  <c r="O215" i="21" s="1"/>
  <c r="P215" i="21"/>
  <c r="N215" i="21"/>
  <c r="M215" i="21"/>
  <c r="L215" i="21"/>
  <c r="X214" i="21"/>
  <c r="W214" i="21"/>
  <c r="U214" i="21"/>
  <c r="T214" i="21"/>
  <c r="S214" i="21"/>
  <c r="Q214" i="21" s="1"/>
  <c r="O214" i="21" s="1"/>
  <c r="R214" i="21"/>
  <c r="L214" i="21" s="1"/>
  <c r="P214" i="21"/>
  <c r="M214" i="21"/>
  <c r="X213" i="21"/>
  <c r="W213" i="21"/>
  <c r="U213" i="21"/>
  <c r="T213" i="21"/>
  <c r="S213" i="21"/>
  <c r="M213" i="21" s="1"/>
  <c r="R213" i="21"/>
  <c r="Q213" i="21"/>
  <c r="O213" i="21" s="1"/>
  <c r="P213" i="21"/>
  <c r="N213" i="21"/>
  <c r="L213" i="21"/>
  <c r="X212" i="21"/>
  <c r="W212" i="21"/>
  <c r="U212" i="21"/>
  <c r="T212" i="21"/>
  <c r="S212" i="21"/>
  <c r="Q212" i="21" s="1"/>
  <c r="O212" i="21" s="1"/>
  <c r="R212" i="21"/>
  <c r="L212" i="21" s="1"/>
  <c r="P212" i="21"/>
  <c r="M212" i="21"/>
  <c r="X211" i="21"/>
  <c r="W211" i="21"/>
  <c r="U211" i="21"/>
  <c r="T211" i="21"/>
  <c r="S211" i="21"/>
  <c r="R211" i="21"/>
  <c r="Q211" i="21"/>
  <c r="O211" i="21" s="1"/>
  <c r="P211" i="21"/>
  <c r="N211" i="21"/>
  <c r="M211" i="21"/>
  <c r="L211" i="21"/>
  <c r="W210" i="21"/>
  <c r="U210" i="21"/>
  <c r="X210" i="21" s="1"/>
  <c r="T210" i="21"/>
  <c r="S210" i="21"/>
  <c r="Q210" i="21" s="1"/>
  <c r="O210" i="21" s="1"/>
  <c r="R210" i="21"/>
  <c r="L210" i="21" s="1"/>
  <c r="P210" i="21"/>
  <c r="M210" i="21"/>
  <c r="X209" i="21"/>
  <c r="W209" i="21"/>
  <c r="U209" i="21"/>
  <c r="T209" i="21"/>
  <c r="S209" i="21"/>
  <c r="R209" i="21"/>
  <c r="Q209" i="21"/>
  <c r="O209" i="21" s="1"/>
  <c r="P209" i="21"/>
  <c r="N209" i="21"/>
  <c r="M209" i="21"/>
  <c r="L209" i="21"/>
  <c r="W208" i="21"/>
  <c r="U208" i="21"/>
  <c r="X208" i="21" s="1"/>
  <c r="T208" i="21"/>
  <c r="S208" i="21"/>
  <c r="Q208" i="21" s="1"/>
  <c r="O208" i="21" s="1"/>
  <c r="R208" i="21"/>
  <c r="P208" i="21"/>
  <c r="M208" i="21"/>
  <c r="L208" i="21"/>
  <c r="X207" i="21"/>
  <c r="W207" i="21"/>
  <c r="U207" i="21"/>
  <c r="T207" i="21"/>
  <c r="S207" i="21"/>
  <c r="R207" i="21"/>
  <c r="Q207" i="21"/>
  <c r="O207" i="21" s="1"/>
  <c r="P207" i="21"/>
  <c r="N207" i="21"/>
  <c r="M207" i="21"/>
  <c r="L207" i="21"/>
  <c r="W206" i="21"/>
  <c r="U206" i="21"/>
  <c r="X206" i="21" s="1"/>
  <c r="T206" i="21"/>
  <c r="S206" i="21"/>
  <c r="Q206" i="21" s="1"/>
  <c r="O206" i="21" s="1"/>
  <c r="R206" i="21"/>
  <c r="L206" i="21" s="1"/>
  <c r="P206" i="21"/>
  <c r="M206" i="21"/>
  <c r="X205" i="21"/>
  <c r="W205" i="21"/>
  <c r="U205" i="21"/>
  <c r="T205" i="21"/>
  <c r="S205" i="21"/>
  <c r="R205" i="21"/>
  <c r="Q205" i="21"/>
  <c r="O205" i="21" s="1"/>
  <c r="P205" i="21"/>
  <c r="N205" i="21"/>
  <c r="M205" i="21"/>
  <c r="L205" i="21"/>
  <c r="W204" i="21"/>
  <c r="U204" i="21"/>
  <c r="X204" i="21" s="1"/>
  <c r="T204" i="21"/>
  <c r="S204" i="21"/>
  <c r="Q204" i="21" s="1"/>
  <c r="O204" i="21" s="1"/>
  <c r="R204" i="21"/>
  <c r="P204" i="21"/>
  <c r="M204" i="21"/>
  <c r="L204" i="21"/>
  <c r="X203" i="21"/>
  <c r="W203" i="21"/>
  <c r="U203" i="21"/>
  <c r="T203" i="21"/>
  <c r="S203" i="21"/>
  <c r="M203" i="21" s="1"/>
  <c r="R203" i="21"/>
  <c r="Q203" i="21"/>
  <c r="O203" i="21" s="1"/>
  <c r="P203" i="21"/>
  <c r="N203" i="21"/>
  <c r="L203" i="21"/>
  <c r="W202" i="21"/>
  <c r="U202" i="21"/>
  <c r="X202" i="21" s="1"/>
  <c r="T202" i="21"/>
  <c r="S202" i="21"/>
  <c r="Q202" i="21" s="1"/>
  <c r="O202" i="21" s="1"/>
  <c r="R202" i="21"/>
  <c r="P202" i="21"/>
  <c r="M202" i="21"/>
  <c r="L202" i="21"/>
  <c r="X201" i="21"/>
  <c r="W201" i="21"/>
  <c r="U201" i="21"/>
  <c r="T201" i="21"/>
  <c r="S201" i="21"/>
  <c r="R201" i="21"/>
  <c r="Q201" i="21"/>
  <c r="O201" i="21" s="1"/>
  <c r="P201" i="21"/>
  <c r="N201" i="21"/>
  <c r="M201" i="21"/>
  <c r="L201" i="21"/>
  <c r="W200" i="21"/>
  <c r="U200" i="21"/>
  <c r="X200" i="21" s="1"/>
  <c r="T200" i="21"/>
  <c r="S200" i="21"/>
  <c r="Q200" i="21" s="1"/>
  <c r="O200" i="21" s="1"/>
  <c r="R200" i="21"/>
  <c r="P200" i="21"/>
  <c r="M200" i="21"/>
  <c r="L200" i="21"/>
  <c r="X199" i="21"/>
  <c r="W199" i="21"/>
  <c r="U199" i="21"/>
  <c r="T199" i="21"/>
  <c r="S199" i="21"/>
  <c r="R199" i="21"/>
  <c r="Q199" i="21"/>
  <c r="O199" i="21" s="1"/>
  <c r="P199" i="21"/>
  <c r="N199" i="21"/>
  <c r="M199" i="21"/>
  <c r="L199" i="21"/>
  <c r="W198" i="21"/>
  <c r="U198" i="21"/>
  <c r="X198" i="21" s="1"/>
  <c r="T198" i="21"/>
  <c r="S198" i="21"/>
  <c r="Q198" i="21" s="1"/>
  <c r="O198" i="21" s="1"/>
  <c r="R198" i="21"/>
  <c r="P198" i="21"/>
  <c r="M198" i="21"/>
  <c r="L198" i="21"/>
  <c r="X197" i="21"/>
  <c r="W197" i="21"/>
  <c r="U197" i="21"/>
  <c r="T197" i="21"/>
  <c r="S197" i="21"/>
  <c r="M197" i="21" s="1"/>
  <c r="R197" i="21"/>
  <c r="Q197" i="21"/>
  <c r="O197" i="21" s="1"/>
  <c r="P197" i="21"/>
  <c r="N197" i="21"/>
  <c r="L197" i="21"/>
  <c r="W196" i="21"/>
  <c r="U196" i="21"/>
  <c r="X196" i="21" s="1"/>
  <c r="T196" i="21"/>
  <c r="S196" i="21"/>
  <c r="Q196" i="21" s="1"/>
  <c r="O196" i="21" s="1"/>
  <c r="R196" i="21"/>
  <c r="L196" i="21" s="1"/>
  <c r="P196" i="21"/>
  <c r="M196" i="21"/>
  <c r="X195" i="21"/>
  <c r="W195" i="21"/>
  <c r="U195" i="21"/>
  <c r="T195" i="21"/>
  <c r="S195" i="21"/>
  <c r="R195" i="21"/>
  <c r="Q195" i="21"/>
  <c r="O195" i="21" s="1"/>
  <c r="P195" i="21"/>
  <c r="N195" i="21"/>
  <c r="M195" i="21"/>
  <c r="L195" i="21"/>
  <c r="W194" i="21"/>
  <c r="U194" i="21"/>
  <c r="X194" i="21" s="1"/>
  <c r="T194" i="21"/>
  <c r="S194" i="21"/>
  <c r="Q194" i="21" s="1"/>
  <c r="O194" i="21" s="1"/>
  <c r="R194" i="21"/>
  <c r="P194" i="21"/>
  <c r="M194" i="21"/>
  <c r="L194" i="21"/>
  <c r="X193" i="21"/>
  <c r="W193" i="21"/>
  <c r="U193" i="21"/>
  <c r="T193" i="21"/>
  <c r="S193" i="21"/>
  <c r="R193" i="21"/>
  <c r="Q193" i="21"/>
  <c r="O193" i="21" s="1"/>
  <c r="P193" i="21"/>
  <c r="N193" i="21"/>
  <c r="M193" i="21"/>
  <c r="L193" i="21"/>
  <c r="W192" i="21"/>
  <c r="U192" i="21"/>
  <c r="X192" i="21" s="1"/>
  <c r="T192" i="21"/>
  <c r="S192" i="21"/>
  <c r="Q192" i="21" s="1"/>
  <c r="O192" i="21" s="1"/>
  <c r="R192" i="21"/>
  <c r="L192" i="21" s="1"/>
  <c r="P192" i="21"/>
  <c r="M192" i="21"/>
  <c r="X191" i="21"/>
  <c r="W191" i="21"/>
  <c r="U191" i="21"/>
  <c r="T191" i="21"/>
  <c r="S191" i="21"/>
  <c r="R191" i="21"/>
  <c r="Q191" i="21"/>
  <c r="O191" i="21" s="1"/>
  <c r="P191" i="21"/>
  <c r="N191" i="21"/>
  <c r="M191" i="21"/>
  <c r="L191" i="21"/>
  <c r="W190" i="21"/>
  <c r="U190" i="21"/>
  <c r="X190" i="21" s="1"/>
  <c r="T190" i="21"/>
  <c r="S190" i="21"/>
  <c r="Q190" i="21" s="1"/>
  <c r="O190" i="21" s="1"/>
  <c r="R190" i="21"/>
  <c r="L190" i="21" s="1"/>
  <c r="P190" i="21"/>
  <c r="M190" i="21"/>
  <c r="X189" i="21"/>
  <c r="W189" i="21"/>
  <c r="U189" i="21"/>
  <c r="T189" i="21"/>
  <c r="S189" i="21"/>
  <c r="M189" i="21" s="1"/>
  <c r="R189" i="21"/>
  <c r="Q189" i="21"/>
  <c r="O189" i="21" s="1"/>
  <c r="P189" i="21"/>
  <c r="N189" i="21"/>
  <c r="L189" i="21"/>
  <c r="W188" i="21"/>
  <c r="U188" i="21"/>
  <c r="X188" i="21" s="1"/>
  <c r="T188" i="21"/>
  <c r="S188" i="21"/>
  <c r="Q188" i="21" s="1"/>
  <c r="O188" i="21" s="1"/>
  <c r="R188" i="21"/>
  <c r="L188" i="21" s="1"/>
  <c r="P188" i="21"/>
  <c r="M188" i="21"/>
  <c r="X187" i="21"/>
  <c r="W187" i="21"/>
  <c r="U187" i="21"/>
  <c r="T187" i="21"/>
  <c r="S187" i="21"/>
  <c r="R187" i="21"/>
  <c r="Q187" i="21"/>
  <c r="O187" i="21" s="1"/>
  <c r="P187" i="21"/>
  <c r="N187" i="21"/>
  <c r="M187" i="21"/>
  <c r="L187" i="21"/>
  <c r="W186" i="21"/>
  <c r="U186" i="21"/>
  <c r="X186" i="21" s="1"/>
  <c r="T186" i="21"/>
  <c r="S186" i="21"/>
  <c r="Q186" i="21" s="1"/>
  <c r="O186" i="21" s="1"/>
  <c r="R186" i="21"/>
  <c r="L186" i="21" s="1"/>
  <c r="P186" i="21"/>
  <c r="M186" i="21"/>
  <c r="X185" i="21"/>
  <c r="W185" i="21"/>
  <c r="U185" i="21"/>
  <c r="T185" i="21"/>
  <c r="S185" i="21"/>
  <c r="R185" i="21"/>
  <c r="Q185" i="21"/>
  <c r="O185" i="21" s="1"/>
  <c r="P185" i="21"/>
  <c r="N185" i="21"/>
  <c r="M185" i="21"/>
  <c r="L185" i="21"/>
  <c r="W184" i="21"/>
  <c r="U184" i="21"/>
  <c r="X184" i="21" s="1"/>
  <c r="T184" i="21"/>
  <c r="S184" i="21"/>
  <c r="Q184" i="21" s="1"/>
  <c r="O184" i="21" s="1"/>
  <c r="R184" i="21"/>
  <c r="L184" i="21" s="1"/>
  <c r="P184" i="21"/>
  <c r="M184" i="21"/>
  <c r="X183" i="21"/>
  <c r="W183" i="21"/>
  <c r="U183" i="21"/>
  <c r="T183" i="21"/>
  <c r="S183" i="21"/>
  <c r="M183" i="21" s="1"/>
  <c r="R183" i="21"/>
  <c r="Q183" i="21"/>
  <c r="O183" i="21" s="1"/>
  <c r="P183" i="21"/>
  <c r="N183" i="21"/>
  <c r="L183" i="21"/>
  <c r="W182" i="21"/>
  <c r="U182" i="21"/>
  <c r="X182" i="21" s="1"/>
  <c r="T182" i="21"/>
  <c r="S182" i="21"/>
  <c r="Q182" i="21" s="1"/>
  <c r="O182" i="21" s="1"/>
  <c r="R182" i="21"/>
  <c r="L182" i="21" s="1"/>
  <c r="P182" i="21"/>
  <c r="M182" i="21"/>
  <c r="X181" i="21"/>
  <c r="W181" i="21"/>
  <c r="U181" i="21"/>
  <c r="T181" i="21"/>
  <c r="S181" i="21"/>
  <c r="M181" i="21" s="1"/>
  <c r="R181" i="21"/>
  <c r="Q181" i="21"/>
  <c r="O181" i="21" s="1"/>
  <c r="P181" i="21"/>
  <c r="N181" i="21"/>
  <c r="L181" i="21"/>
  <c r="W180" i="21"/>
  <c r="U180" i="21"/>
  <c r="X180" i="21" s="1"/>
  <c r="T180" i="21"/>
  <c r="S180" i="21"/>
  <c r="Q180" i="21" s="1"/>
  <c r="O180" i="21" s="1"/>
  <c r="R180" i="21"/>
  <c r="P180" i="21"/>
  <c r="M180" i="21"/>
  <c r="L180" i="21"/>
  <c r="X179" i="21"/>
  <c r="W179" i="21"/>
  <c r="U179" i="21"/>
  <c r="T179" i="21"/>
  <c r="S179" i="21"/>
  <c r="R179" i="21"/>
  <c r="Q179" i="21"/>
  <c r="O179" i="21" s="1"/>
  <c r="P179" i="21"/>
  <c r="N179" i="21"/>
  <c r="M179" i="21"/>
  <c r="L179" i="21"/>
  <c r="W178" i="21"/>
  <c r="U178" i="21"/>
  <c r="X178" i="21" s="1"/>
  <c r="T178" i="21"/>
  <c r="S178" i="21"/>
  <c r="Q178" i="21" s="1"/>
  <c r="O178" i="21" s="1"/>
  <c r="R178" i="21"/>
  <c r="L178" i="21" s="1"/>
  <c r="P178" i="21"/>
  <c r="M178" i="21"/>
  <c r="X177" i="21"/>
  <c r="W177" i="21"/>
  <c r="U177" i="21"/>
  <c r="T177" i="21"/>
  <c r="S177" i="21"/>
  <c r="R177" i="21"/>
  <c r="Q177" i="21"/>
  <c r="O177" i="21" s="1"/>
  <c r="P177" i="21"/>
  <c r="N177" i="21"/>
  <c r="M177" i="21"/>
  <c r="L177" i="21"/>
  <c r="W176" i="21"/>
  <c r="U176" i="21"/>
  <c r="X176" i="21" s="1"/>
  <c r="T176" i="21"/>
  <c r="S176" i="21"/>
  <c r="Q176" i="21" s="1"/>
  <c r="O176" i="21" s="1"/>
  <c r="R176" i="21"/>
  <c r="P176" i="21"/>
  <c r="M176" i="21"/>
  <c r="L176" i="21"/>
  <c r="X175" i="21"/>
  <c r="W175" i="21"/>
  <c r="U175" i="21"/>
  <c r="T175" i="21"/>
  <c r="S175" i="21"/>
  <c r="R175" i="21"/>
  <c r="Q175" i="21"/>
  <c r="O175" i="21" s="1"/>
  <c r="P175" i="21"/>
  <c r="N175" i="21"/>
  <c r="M175" i="21"/>
  <c r="L175" i="21"/>
  <c r="W174" i="21"/>
  <c r="U174" i="21"/>
  <c r="X174" i="21" s="1"/>
  <c r="T174" i="21"/>
  <c r="S174" i="21"/>
  <c r="Q174" i="21" s="1"/>
  <c r="O174" i="21" s="1"/>
  <c r="R174" i="21"/>
  <c r="P174" i="21"/>
  <c r="M174" i="21"/>
  <c r="L174" i="21"/>
  <c r="X173" i="21"/>
  <c r="W173" i="21"/>
  <c r="U173" i="21"/>
  <c r="T173" i="21"/>
  <c r="S173" i="21"/>
  <c r="M173" i="21" s="1"/>
  <c r="R173" i="21"/>
  <c r="Q173" i="21"/>
  <c r="O173" i="21" s="1"/>
  <c r="P173" i="21"/>
  <c r="N173" i="21"/>
  <c r="L173" i="21"/>
  <c r="W172" i="21"/>
  <c r="U172" i="21"/>
  <c r="X172" i="21" s="1"/>
  <c r="T172" i="21"/>
  <c r="S172" i="21"/>
  <c r="Q172" i="21" s="1"/>
  <c r="O172" i="21" s="1"/>
  <c r="R172" i="21"/>
  <c r="P172" i="21"/>
  <c r="M172" i="21"/>
  <c r="L172" i="21"/>
  <c r="X171" i="21"/>
  <c r="W171" i="21"/>
  <c r="U171" i="21"/>
  <c r="T171" i="21"/>
  <c r="S171" i="21"/>
  <c r="M171" i="21" s="1"/>
  <c r="R171" i="21"/>
  <c r="Q171" i="21"/>
  <c r="O171" i="21" s="1"/>
  <c r="P171" i="21"/>
  <c r="N171" i="21"/>
  <c r="L171" i="21"/>
  <c r="W170" i="21"/>
  <c r="U170" i="21"/>
  <c r="X170" i="21" s="1"/>
  <c r="T170" i="21"/>
  <c r="S170" i="21"/>
  <c r="Q170" i="21" s="1"/>
  <c r="O170" i="21" s="1"/>
  <c r="R170" i="21"/>
  <c r="L170" i="21" s="1"/>
  <c r="P170" i="21"/>
  <c r="M170" i="21"/>
  <c r="X169" i="21"/>
  <c r="W169" i="21"/>
  <c r="U169" i="21"/>
  <c r="T169" i="21"/>
  <c r="S169" i="21"/>
  <c r="R169" i="21"/>
  <c r="Q169" i="21"/>
  <c r="O169" i="21" s="1"/>
  <c r="P169" i="21"/>
  <c r="N169" i="21"/>
  <c r="M169" i="21"/>
  <c r="L169" i="21"/>
  <c r="W168" i="21"/>
  <c r="U168" i="21"/>
  <c r="X168" i="21" s="1"/>
  <c r="T168" i="21"/>
  <c r="S168" i="21"/>
  <c r="Q168" i="21" s="1"/>
  <c r="O168" i="21" s="1"/>
  <c r="R168" i="21"/>
  <c r="P168" i="21"/>
  <c r="M168" i="21"/>
  <c r="L168" i="21"/>
  <c r="X167" i="21"/>
  <c r="W167" i="21"/>
  <c r="U167" i="21"/>
  <c r="T167" i="21"/>
  <c r="S167" i="21"/>
  <c r="M167" i="21" s="1"/>
  <c r="R167" i="21"/>
  <c r="Q167" i="21"/>
  <c r="O167" i="21" s="1"/>
  <c r="P167" i="21"/>
  <c r="N167" i="21"/>
  <c r="L167" i="21"/>
  <c r="W166" i="21"/>
  <c r="U166" i="21"/>
  <c r="X166" i="21" s="1"/>
  <c r="T166" i="21"/>
  <c r="S166" i="21"/>
  <c r="Q166" i="21" s="1"/>
  <c r="O166" i="21" s="1"/>
  <c r="R166" i="21"/>
  <c r="L166" i="21" s="1"/>
  <c r="P166" i="21"/>
  <c r="M166" i="21"/>
  <c r="X165" i="21"/>
  <c r="W165" i="21"/>
  <c r="U165" i="21"/>
  <c r="T165" i="21"/>
  <c r="S165" i="21"/>
  <c r="M165" i="21" s="1"/>
  <c r="R165" i="21"/>
  <c r="Q165" i="21"/>
  <c r="O165" i="21" s="1"/>
  <c r="P165" i="21"/>
  <c r="N165" i="21"/>
  <c r="L165" i="21"/>
  <c r="W164" i="21"/>
  <c r="U164" i="21"/>
  <c r="X164" i="21" s="1"/>
  <c r="T164" i="21"/>
  <c r="S164" i="21"/>
  <c r="Q164" i="21" s="1"/>
  <c r="O164" i="21" s="1"/>
  <c r="R164" i="21"/>
  <c r="P164" i="21"/>
  <c r="M164" i="21"/>
  <c r="L164" i="21"/>
  <c r="X163" i="21"/>
  <c r="W163" i="21"/>
  <c r="U163" i="21"/>
  <c r="T163" i="21"/>
  <c r="S163" i="21"/>
  <c r="R163" i="21"/>
  <c r="Q163" i="21"/>
  <c r="O163" i="21" s="1"/>
  <c r="P163" i="21"/>
  <c r="N163" i="21"/>
  <c r="M163" i="21"/>
  <c r="L163" i="21"/>
  <c r="W162" i="21"/>
  <c r="U162" i="21"/>
  <c r="X162" i="21" s="1"/>
  <c r="T162" i="21"/>
  <c r="S162" i="21"/>
  <c r="Q162" i="21" s="1"/>
  <c r="O162" i="21" s="1"/>
  <c r="R162" i="21"/>
  <c r="P162" i="21"/>
  <c r="M162" i="21"/>
  <c r="L162" i="21"/>
  <c r="X161" i="21"/>
  <c r="W161" i="21"/>
  <c r="U161" i="21"/>
  <c r="T161" i="21"/>
  <c r="S161" i="21"/>
  <c r="R161" i="21"/>
  <c r="Q161" i="21"/>
  <c r="O161" i="21" s="1"/>
  <c r="P161" i="21"/>
  <c r="N161" i="21"/>
  <c r="M161" i="21"/>
  <c r="L161" i="21"/>
  <c r="W160" i="21"/>
  <c r="U160" i="21"/>
  <c r="X160" i="21" s="1"/>
  <c r="T160" i="21"/>
  <c r="S160" i="21"/>
  <c r="Q160" i="21" s="1"/>
  <c r="O160" i="21" s="1"/>
  <c r="R160" i="21"/>
  <c r="L160" i="21" s="1"/>
  <c r="P160" i="21"/>
  <c r="M160" i="21"/>
  <c r="X159" i="21"/>
  <c r="W159" i="21"/>
  <c r="U159" i="21"/>
  <c r="T159" i="21"/>
  <c r="S159" i="21"/>
  <c r="R159" i="21"/>
  <c r="Q159" i="21"/>
  <c r="O159" i="21" s="1"/>
  <c r="P159" i="21"/>
  <c r="N159" i="21"/>
  <c r="M159" i="21"/>
  <c r="L159" i="21"/>
  <c r="W158" i="21"/>
  <c r="U158" i="21"/>
  <c r="X158" i="21" s="1"/>
  <c r="T158" i="21"/>
  <c r="S158" i="21"/>
  <c r="Q158" i="21" s="1"/>
  <c r="O158" i="21" s="1"/>
  <c r="R158" i="21"/>
  <c r="L158" i="21" s="1"/>
  <c r="P158" i="21"/>
  <c r="M158" i="21"/>
  <c r="X157" i="21"/>
  <c r="W157" i="21"/>
  <c r="U157" i="21"/>
  <c r="T157" i="21"/>
  <c r="S157" i="21"/>
  <c r="M157" i="21" s="1"/>
  <c r="R157" i="21"/>
  <c r="Q157" i="21"/>
  <c r="O157" i="21" s="1"/>
  <c r="P157" i="21"/>
  <c r="N157" i="21"/>
  <c r="L157" i="21"/>
  <c r="W156" i="21"/>
  <c r="U156" i="21"/>
  <c r="X156" i="21" s="1"/>
  <c r="T156" i="21"/>
  <c r="S156" i="21"/>
  <c r="Q156" i="21" s="1"/>
  <c r="O156" i="21" s="1"/>
  <c r="R156" i="21"/>
  <c r="L156" i="21" s="1"/>
  <c r="P156" i="21"/>
  <c r="M156" i="21"/>
  <c r="X155" i="21"/>
  <c r="W155" i="21"/>
  <c r="U155" i="21"/>
  <c r="T155" i="21"/>
  <c r="S155" i="21"/>
  <c r="R155" i="21"/>
  <c r="Q155" i="21"/>
  <c r="O155" i="21" s="1"/>
  <c r="P155" i="21"/>
  <c r="N155" i="21"/>
  <c r="M155" i="21"/>
  <c r="L155" i="21"/>
  <c r="W154" i="21"/>
  <c r="U154" i="21"/>
  <c r="X154" i="21" s="1"/>
  <c r="T154" i="21"/>
  <c r="S154" i="21"/>
  <c r="Q154" i="21" s="1"/>
  <c r="O154" i="21" s="1"/>
  <c r="R154" i="21"/>
  <c r="L154" i="21" s="1"/>
  <c r="P154" i="21"/>
  <c r="M154" i="21"/>
  <c r="X153" i="21"/>
  <c r="W153" i="21"/>
  <c r="U153" i="21"/>
  <c r="T153" i="21"/>
  <c r="S153" i="21"/>
  <c r="M153" i="21" s="1"/>
  <c r="R153" i="21"/>
  <c r="Q153" i="21"/>
  <c r="O153" i="21" s="1"/>
  <c r="P153" i="21"/>
  <c r="N153" i="21"/>
  <c r="L153" i="21"/>
  <c r="W152" i="21"/>
  <c r="U152" i="21"/>
  <c r="X152" i="21" s="1"/>
  <c r="T152" i="21"/>
  <c r="S152" i="21"/>
  <c r="Q152" i="21" s="1"/>
  <c r="O152" i="21" s="1"/>
  <c r="R152" i="21"/>
  <c r="P152" i="21"/>
  <c r="M152" i="21"/>
  <c r="L152" i="21"/>
  <c r="X151" i="21"/>
  <c r="W151" i="21"/>
  <c r="U151" i="21"/>
  <c r="T151" i="21"/>
  <c r="S151" i="21"/>
  <c r="R151" i="21"/>
  <c r="Q151" i="21"/>
  <c r="O151" i="21" s="1"/>
  <c r="P151" i="21"/>
  <c r="N151" i="21"/>
  <c r="M151" i="21"/>
  <c r="L151" i="21"/>
  <c r="W150" i="21"/>
  <c r="U150" i="21"/>
  <c r="X150" i="21" s="1"/>
  <c r="T150" i="21"/>
  <c r="S150" i="21"/>
  <c r="Q150" i="21" s="1"/>
  <c r="O150" i="21" s="1"/>
  <c r="R150" i="21"/>
  <c r="L150" i="21" s="1"/>
  <c r="P150" i="21"/>
  <c r="M150" i="21"/>
  <c r="X149" i="21"/>
  <c r="W149" i="21"/>
  <c r="U149" i="21"/>
  <c r="T149" i="21"/>
  <c r="S149" i="21"/>
  <c r="M149" i="21" s="1"/>
  <c r="R149" i="21"/>
  <c r="Q149" i="21"/>
  <c r="O149" i="21" s="1"/>
  <c r="P149" i="21"/>
  <c r="N149" i="21"/>
  <c r="L149" i="21"/>
  <c r="W148" i="21"/>
  <c r="U148" i="21"/>
  <c r="X148" i="21" s="1"/>
  <c r="T148" i="21"/>
  <c r="S148" i="21"/>
  <c r="Q148" i="21" s="1"/>
  <c r="O148" i="21" s="1"/>
  <c r="R148" i="21"/>
  <c r="P148" i="21"/>
  <c r="M148" i="21"/>
  <c r="L148" i="21"/>
  <c r="X147" i="21"/>
  <c r="W147" i="21"/>
  <c r="U147" i="21"/>
  <c r="T147" i="21"/>
  <c r="S147" i="21"/>
  <c r="M147" i="21" s="1"/>
  <c r="R147" i="21"/>
  <c r="Q147" i="21"/>
  <c r="O147" i="21" s="1"/>
  <c r="P147" i="21"/>
  <c r="N147" i="21"/>
  <c r="L147" i="21"/>
  <c r="W146" i="21"/>
  <c r="U146" i="21"/>
  <c r="X146" i="21" s="1"/>
  <c r="T146" i="21"/>
  <c r="S146" i="21"/>
  <c r="Q146" i="21" s="1"/>
  <c r="O146" i="21" s="1"/>
  <c r="R146" i="21"/>
  <c r="P146" i="21"/>
  <c r="M146" i="21"/>
  <c r="L146" i="21"/>
  <c r="X145" i="21"/>
  <c r="W145" i="21"/>
  <c r="U145" i="21"/>
  <c r="T145" i="21"/>
  <c r="S145" i="21"/>
  <c r="M145" i="21" s="1"/>
  <c r="R145" i="21"/>
  <c r="Q145" i="21"/>
  <c r="O145" i="21" s="1"/>
  <c r="P145" i="21"/>
  <c r="N145" i="21"/>
  <c r="L145" i="21"/>
  <c r="W144" i="21"/>
  <c r="U144" i="21"/>
  <c r="X144" i="21" s="1"/>
  <c r="T144" i="21"/>
  <c r="S144" i="21"/>
  <c r="Q144" i="21" s="1"/>
  <c r="O144" i="21" s="1"/>
  <c r="R144" i="21"/>
  <c r="P144" i="21"/>
  <c r="M144" i="21"/>
  <c r="L144" i="21"/>
  <c r="X143" i="21"/>
  <c r="W143" i="21"/>
  <c r="U143" i="21"/>
  <c r="T143" i="21"/>
  <c r="S143" i="21"/>
  <c r="M143" i="21" s="1"/>
  <c r="R143" i="21"/>
  <c r="Q143" i="21"/>
  <c r="O143" i="21" s="1"/>
  <c r="P143" i="21"/>
  <c r="N143" i="21"/>
  <c r="L143" i="21"/>
  <c r="W142" i="21"/>
  <c r="U142" i="21"/>
  <c r="X142" i="21" s="1"/>
  <c r="T142" i="21"/>
  <c r="S142" i="21"/>
  <c r="Q142" i="21" s="1"/>
  <c r="O142" i="21" s="1"/>
  <c r="R142" i="21"/>
  <c r="P142" i="21"/>
  <c r="M142" i="21"/>
  <c r="L142" i="21"/>
  <c r="X141" i="21"/>
  <c r="W141" i="21"/>
  <c r="U141" i="21"/>
  <c r="T141" i="21"/>
  <c r="S141" i="21"/>
  <c r="R141" i="21"/>
  <c r="Q141" i="21"/>
  <c r="O141" i="21" s="1"/>
  <c r="P141" i="21"/>
  <c r="N141" i="21"/>
  <c r="M141" i="21"/>
  <c r="L141" i="21"/>
  <c r="W140" i="21"/>
  <c r="U140" i="21"/>
  <c r="X140" i="21" s="1"/>
  <c r="T140" i="21"/>
  <c r="S140" i="21"/>
  <c r="Q140" i="21" s="1"/>
  <c r="O140" i="21" s="1"/>
  <c r="R140" i="21"/>
  <c r="P140" i="21"/>
  <c r="M140" i="21"/>
  <c r="L140" i="21"/>
  <c r="X139" i="21"/>
  <c r="W139" i="21"/>
  <c r="U139" i="21"/>
  <c r="T139" i="21"/>
  <c r="S139" i="21"/>
  <c r="M139" i="21" s="1"/>
  <c r="R139" i="21"/>
  <c r="Q139" i="21"/>
  <c r="O139" i="21" s="1"/>
  <c r="P139" i="21"/>
  <c r="N139" i="21"/>
  <c r="L139" i="21"/>
  <c r="W138" i="21"/>
  <c r="U138" i="21"/>
  <c r="X138" i="21" s="1"/>
  <c r="T138" i="21"/>
  <c r="S138" i="21"/>
  <c r="Q138" i="21" s="1"/>
  <c r="O138" i="21" s="1"/>
  <c r="R138" i="21"/>
  <c r="P138" i="21"/>
  <c r="M138" i="21"/>
  <c r="L138" i="21"/>
  <c r="X137" i="21"/>
  <c r="W137" i="21"/>
  <c r="U137" i="21"/>
  <c r="T137" i="21"/>
  <c r="S137" i="21"/>
  <c r="R137" i="21"/>
  <c r="Q137" i="21"/>
  <c r="O137" i="21" s="1"/>
  <c r="P137" i="21"/>
  <c r="N137" i="21"/>
  <c r="M137" i="21"/>
  <c r="L137" i="21"/>
  <c r="W136" i="21"/>
  <c r="U136" i="21"/>
  <c r="X136" i="21" s="1"/>
  <c r="T136" i="21"/>
  <c r="S136" i="21"/>
  <c r="Q136" i="21" s="1"/>
  <c r="O136" i="21" s="1"/>
  <c r="R136" i="21"/>
  <c r="P136" i="21"/>
  <c r="M136" i="21"/>
  <c r="L136" i="21"/>
  <c r="X135" i="21"/>
  <c r="W135" i="21"/>
  <c r="U135" i="21"/>
  <c r="T135" i="21"/>
  <c r="S135" i="21"/>
  <c r="M135" i="21" s="1"/>
  <c r="R135" i="21"/>
  <c r="Q135" i="21"/>
  <c r="O135" i="21" s="1"/>
  <c r="P135" i="21"/>
  <c r="N135" i="21"/>
  <c r="L135" i="21"/>
  <c r="W134" i="21"/>
  <c r="U134" i="21"/>
  <c r="X134" i="21" s="1"/>
  <c r="T134" i="21"/>
  <c r="S134" i="21"/>
  <c r="Q134" i="21" s="1"/>
  <c r="O134" i="21" s="1"/>
  <c r="R134" i="21"/>
  <c r="P134" i="21"/>
  <c r="M134" i="21"/>
  <c r="L134" i="21"/>
  <c r="X133" i="21"/>
  <c r="W133" i="21"/>
  <c r="U133" i="21"/>
  <c r="T133" i="21"/>
  <c r="S133" i="21"/>
  <c r="R133" i="21"/>
  <c r="Q133" i="21"/>
  <c r="O133" i="21" s="1"/>
  <c r="P133" i="21"/>
  <c r="N133" i="21"/>
  <c r="M133" i="21"/>
  <c r="L133" i="21"/>
  <c r="W132" i="21"/>
  <c r="U132" i="21"/>
  <c r="X132" i="21" s="1"/>
  <c r="T132" i="21"/>
  <c r="S132" i="21"/>
  <c r="Q132" i="21" s="1"/>
  <c r="O132" i="21" s="1"/>
  <c r="R132" i="21"/>
  <c r="P132" i="21"/>
  <c r="M132" i="21"/>
  <c r="L132" i="21"/>
  <c r="X131" i="21"/>
  <c r="W131" i="21"/>
  <c r="U131" i="21"/>
  <c r="T131" i="21"/>
  <c r="S131" i="21"/>
  <c r="M131" i="21" s="1"/>
  <c r="R131" i="21"/>
  <c r="Q131" i="21"/>
  <c r="O131" i="21" s="1"/>
  <c r="P131" i="21"/>
  <c r="N131" i="21"/>
  <c r="L131" i="21"/>
  <c r="W130" i="21"/>
  <c r="U130" i="21"/>
  <c r="X130" i="21" s="1"/>
  <c r="T130" i="21"/>
  <c r="S130" i="21"/>
  <c r="Q130" i="21" s="1"/>
  <c r="O130" i="21" s="1"/>
  <c r="R130" i="21"/>
  <c r="P130" i="21"/>
  <c r="M130" i="21"/>
  <c r="L130" i="21"/>
  <c r="X129" i="21"/>
  <c r="W129" i="21"/>
  <c r="U129" i="21"/>
  <c r="T129" i="21"/>
  <c r="S129" i="21"/>
  <c r="R129" i="21"/>
  <c r="Q129" i="21"/>
  <c r="O129" i="21" s="1"/>
  <c r="P129" i="21"/>
  <c r="N129" i="21"/>
  <c r="M129" i="21"/>
  <c r="L129" i="21"/>
  <c r="W128" i="21"/>
  <c r="U128" i="21"/>
  <c r="X128" i="21" s="1"/>
  <c r="T128" i="21"/>
  <c r="S128" i="21"/>
  <c r="Q128" i="21" s="1"/>
  <c r="O128" i="21" s="1"/>
  <c r="R128" i="21"/>
  <c r="P128" i="21"/>
  <c r="M128" i="21"/>
  <c r="L128" i="21"/>
  <c r="X127" i="21"/>
  <c r="W127" i="21"/>
  <c r="U127" i="21"/>
  <c r="T127" i="21"/>
  <c r="S127" i="21"/>
  <c r="R127" i="21"/>
  <c r="Q127" i="21"/>
  <c r="O127" i="21" s="1"/>
  <c r="P127" i="21"/>
  <c r="N127" i="21"/>
  <c r="M127" i="21"/>
  <c r="L127" i="21"/>
  <c r="W126" i="21"/>
  <c r="U126" i="21"/>
  <c r="X126" i="21" s="1"/>
  <c r="T126" i="21"/>
  <c r="S126" i="21"/>
  <c r="Q126" i="21" s="1"/>
  <c r="O126" i="21" s="1"/>
  <c r="R126" i="21"/>
  <c r="L126" i="21" s="1"/>
  <c r="P126" i="21"/>
  <c r="M126" i="21"/>
  <c r="X125" i="21"/>
  <c r="W125" i="21"/>
  <c r="U125" i="21"/>
  <c r="T125" i="21"/>
  <c r="S125" i="21"/>
  <c r="R125" i="21"/>
  <c r="Q125" i="21"/>
  <c r="O125" i="21" s="1"/>
  <c r="P125" i="21"/>
  <c r="N125" i="21"/>
  <c r="M125" i="21"/>
  <c r="L125" i="21"/>
  <c r="W124" i="21"/>
  <c r="U124" i="21"/>
  <c r="X124" i="21" s="1"/>
  <c r="T124" i="21"/>
  <c r="S124" i="21"/>
  <c r="Q124" i="21" s="1"/>
  <c r="O124" i="21" s="1"/>
  <c r="R124" i="21"/>
  <c r="L124" i="21" s="1"/>
  <c r="P124" i="21"/>
  <c r="M124" i="21"/>
  <c r="X123" i="21"/>
  <c r="W123" i="21"/>
  <c r="U123" i="21"/>
  <c r="T123" i="21"/>
  <c r="S123" i="21"/>
  <c r="R123" i="21"/>
  <c r="Q123" i="21"/>
  <c r="O123" i="21" s="1"/>
  <c r="P123" i="21"/>
  <c r="N123" i="21"/>
  <c r="M123" i="21"/>
  <c r="L123" i="21"/>
  <c r="W122" i="21"/>
  <c r="U122" i="21"/>
  <c r="X122" i="21" s="1"/>
  <c r="T122" i="21"/>
  <c r="S122" i="21"/>
  <c r="Q122" i="21" s="1"/>
  <c r="O122" i="21" s="1"/>
  <c r="R122" i="21"/>
  <c r="L122" i="21" s="1"/>
  <c r="P122" i="21"/>
  <c r="M122" i="21"/>
  <c r="X121" i="21"/>
  <c r="W121" i="21"/>
  <c r="U121" i="21"/>
  <c r="T121" i="21"/>
  <c r="S121" i="21"/>
  <c r="R121" i="21"/>
  <c r="Q121" i="21"/>
  <c r="O121" i="21" s="1"/>
  <c r="P121" i="21"/>
  <c r="N121" i="21"/>
  <c r="M121" i="21"/>
  <c r="L121" i="21"/>
  <c r="W120" i="21"/>
  <c r="U120" i="21"/>
  <c r="X120" i="21" s="1"/>
  <c r="T120" i="21"/>
  <c r="S120" i="21"/>
  <c r="Q120" i="21" s="1"/>
  <c r="O120" i="21" s="1"/>
  <c r="R120" i="21"/>
  <c r="L120" i="21" s="1"/>
  <c r="P120" i="21"/>
  <c r="M120" i="21"/>
  <c r="X119" i="21"/>
  <c r="W119" i="21"/>
  <c r="U119" i="21"/>
  <c r="T119" i="21"/>
  <c r="S119" i="21"/>
  <c r="R119" i="21"/>
  <c r="Q119" i="21"/>
  <c r="O119" i="21" s="1"/>
  <c r="P119" i="21"/>
  <c r="N119" i="21"/>
  <c r="M119" i="21"/>
  <c r="L119" i="21"/>
  <c r="W118" i="21"/>
  <c r="U118" i="21"/>
  <c r="X118" i="21" s="1"/>
  <c r="T118" i="21"/>
  <c r="S118" i="21"/>
  <c r="Q118" i="21" s="1"/>
  <c r="O118" i="21" s="1"/>
  <c r="R118" i="21"/>
  <c r="L118" i="21" s="1"/>
  <c r="P118" i="21"/>
  <c r="M118" i="21"/>
  <c r="X117" i="21"/>
  <c r="W117" i="21"/>
  <c r="U117" i="21"/>
  <c r="T117" i="21"/>
  <c r="S117" i="21"/>
  <c r="R117" i="21"/>
  <c r="Q117" i="21"/>
  <c r="O117" i="21" s="1"/>
  <c r="P117" i="21"/>
  <c r="N117" i="21"/>
  <c r="M117" i="21"/>
  <c r="L117" i="21"/>
  <c r="W116" i="21"/>
  <c r="U116" i="21"/>
  <c r="X116" i="21" s="1"/>
  <c r="T116" i="21"/>
  <c r="S116" i="21"/>
  <c r="Q116" i="21" s="1"/>
  <c r="O116" i="21" s="1"/>
  <c r="R116" i="21"/>
  <c r="P116" i="21"/>
  <c r="M116" i="21"/>
  <c r="L116" i="21"/>
  <c r="X115" i="21"/>
  <c r="W115" i="21"/>
  <c r="U115" i="21"/>
  <c r="T115" i="21"/>
  <c r="S115" i="21"/>
  <c r="M115" i="21" s="1"/>
  <c r="R115" i="21"/>
  <c r="Q115" i="21"/>
  <c r="O115" i="21" s="1"/>
  <c r="P115" i="21"/>
  <c r="N115" i="21"/>
  <c r="L115" i="21"/>
  <c r="W114" i="21"/>
  <c r="U114" i="21"/>
  <c r="X114" i="21" s="1"/>
  <c r="T114" i="21"/>
  <c r="S114" i="21"/>
  <c r="Q114" i="21" s="1"/>
  <c r="O114" i="21" s="1"/>
  <c r="R114" i="21"/>
  <c r="L114" i="21" s="1"/>
  <c r="P114" i="21"/>
  <c r="M114" i="21"/>
  <c r="X113" i="21"/>
  <c r="W113" i="21"/>
  <c r="U113" i="21"/>
  <c r="T113" i="21"/>
  <c r="S113" i="21"/>
  <c r="M113" i="21" s="1"/>
  <c r="R113" i="21"/>
  <c r="Q113" i="21"/>
  <c r="O113" i="21" s="1"/>
  <c r="P113" i="21"/>
  <c r="N113" i="21"/>
  <c r="L113" i="21"/>
  <c r="W112" i="21"/>
  <c r="U112" i="21"/>
  <c r="X112" i="21" s="1"/>
  <c r="T112" i="21"/>
  <c r="S112" i="21"/>
  <c r="Q112" i="21" s="1"/>
  <c r="O112" i="21" s="1"/>
  <c r="R112" i="21"/>
  <c r="P112" i="21"/>
  <c r="M112" i="21"/>
  <c r="L112" i="21"/>
  <c r="X111" i="21"/>
  <c r="W111" i="21"/>
  <c r="U111" i="21"/>
  <c r="T111" i="21"/>
  <c r="S111" i="21"/>
  <c r="R111" i="21"/>
  <c r="Q111" i="21"/>
  <c r="O111" i="21" s="1"/>
  <c r="P111" i="21"/>
  <c r="N111" i="21"/>
  <c r="M111" i="21"/>
  <c r="L111" i="21"/>
  <c r="W110" i="21"/>
  <c r="U110" i="21"/>
  <c r="X110" i="21" s="1"/>
  <c r="T110" i="21"/>
  <c r="S110" i="21"/>
  <c r="Q110" i="21" s="1"/>
  <c r="O110" i="21" s="1"/>
  <c r="R110" i="21"/>
  <c r="P110" i="21"/>
  <c r="M110" i="21"/>
  <c r="L110" i="21"/>
  <c r="X109" i="21"/>
  <c r="W109" i="21"/>
  <c r="U109" i="21"/>
  <c r="T109" i="21"/>
  <c r="S109" i="21"/>
  <c r="R109" i="21"/>
  <c r="Q109" i="21"/>
  <c r="O109" i="21" s="1"/>
  <c r="P109" i="21"/>
  <c r="N109" i="21"/>
  <c r="M109" i="21"/>
  <c r="L109" i="21"/>
  <c r="W108" i="21"/>
  <c r="U108" i="21"/>
  <c r="X108" i="21" s="1"/>
  <c r="T108" i="21"/>
  <c r="S108" i="21"/>
  <c r="Q108" i="21" s="1"/>
  <c r="O108" i="21" s="1"/>
  <c r="R108" i="21"/>
  <c r="L108" i="21" s="1"/>
  <c r="P108" i="21"/>
  <c r="M108" i="21"/>
  <c r="X107" i="21"/>
  <c r="W107" i="21"/>
  <c r="U107" i="21"/>
  <c r="T107" i="21"/>
  <c r="S107" i="21"/>
  <c r="M107" i="21" s="1"/>
  <c r="R107" i="21"/>
  <c r="Q107" i="21"/>
  <c r="O107" i="21" s="1"/>
  <c r="P107" i="21"/>
  <c r="N107" i="21"/>
  <c r="L107" i="21"/>
  <c r="W106" i="21"/>
  <c r="U106" i="21"/>
  <c r="X106" i="21" s="1"/>
  <c r="T106" i="21"/>
  <c r="S106" i="21"/>
  <c r="Q106" i="21" s="1"/>
  <c r="O106" i="21" s="1"/>
  <c r="R106" i="21"/>
  <c r="P106" i="21"/>
  <c r="M106" i="21"/>
  <c r="L106" i="21"/>
  <c r="X105" i="21"/>
  <c r="W105" i="21"/>
  <c r="U105" i="21"/>
  <c r="T105" i="21"/>
  <c r="S105" i="21"/>
  <c r="M105" i="21" s="1"/>
  <c r="R105" i="21"/>
  <c r="Q105" i="21"/>
  <c r="O105" i="21" s="1"/>
  <c r="P105" i="21"/>
  <c r="N105" i="21"/>
  <c r="L105" i="21"/>
  <c r="W104" i="21"/>
  <c r="U104" i="21"/>
  <c r="X104" i="21" s="1"/>
  <c r="T104" i="21"/>
  <c r="S104" i="21"/>
  <c r="Q104" i="21" s="1"/>
  <c r="O104" i="21" s="1"/>
  <c r="R104" i="21"/>
  <c r="L104" i="21" s="1"/>
  <c r="P104" i="21"/>
  <c r="M104" i="21"/>
  <c r="X103" i="21"/>
  <c r="W103" i="21"/>
  <c r="U103" i="21"/>
  <c r="T103" i="21"/>
  <c r="S103" i="21"/>
  <c r="R103" i="21"/>
  <c r="Q103" i="21"/>
  <c r="O103" i="21" s="1"/>
  <c r="P103" i="21"/>
  <c r="N103" i="21"/>
  <c r="M103" i="21"/>
  <c r="L103" i="21"/>
  <c r="X102" i="21"/>
  <c r="W102" i="21"/>
  <c r="T102" i="21"/>
  <c r="Q102" i="21" s="1"/>
  <c r="O102" i="21" s="1"/>
  <c r="S102" i="21"/>
  <c r="N102" i="21" s="1"/>
  <c r="R102" i="21"/>
  <c r="P102" i="21"/>
  <c r="M102" i="21"/>
  <c r="L102" i="21"/>
  <c r="W101" i="21"/>
  <c r="U101" i="21"/>
  <c r="X101" i="21" s="1"/>
  <c r="T101" i="21"/>
  <c r="S101" i="21"/>
  <c r="N101" i="21" s="1"/>
  <c r="R101" i="21"/>
  <c r="P101" i="21"/>
  <c r="M101" i="21"/>
  <c r="L101" i="21"/>
  <c r="W100" i="21"/>
  <c r="T100" i="21"/>
  <c r="Q100" i="21" s="1"/>
  <c r="O100" i="21" s="1"/>
  <c r="S100" i="21"/>
  <c r="N100" i="21" s="1"/>
  <c r="R100" i="21"/>
  <c r="U100" i="21" s="1"/>
  <c r="X100" i="21" s="1"/>
  <c r="P100" i="21"/>
  <c r="L100" i="21"/>
  <c r="W99" i="21"/>
  <c r="U99" i="21"/>
  <c r="X99" i="21" s="1"/>
  <c r="T99" i="21"/>
  <c r="S99" i="21"/>
  <c r="N99" i="21" s="1"/>
  <c r="R99" i="21"/>
  <c r="L99" i="21" s="1"/>
  <c r="P99" i="21"/>
  <c r="M99" i="21"/>
  <c r="W98" i="21"/>
  <c r="T98" i="21"/>
  <c r="Q98" i="21" s="1"/>
  <c r="O98" i="21" s="1"/>
  <c r="S98" i="21"/>
  <c r="N98" i="21" s="1"/>
  <c r="R98" i="21"/>
  <c r="U98" i="21" s="1"/>
  <c r="X98" i="21" s="1"/>
  <c r="P98" i="21"/>
  <c r="L98" i="21"/>
  <c r="X97" i="21"/>
  <c r="W97" i="21"/>
  <c r="T97" i="21"/>
  <c r="Q97" i="21" s="1"/>
  <c r="O97" i="21" s="1"/>
  <c r="S97" i="21"/>
  <c r="R97" i="21"/>
  <c r="N97" i="21" s="1"/>
  <c r="P97" i="21"/>
  <c r="M97" i="21"/>
  <c r="L97" i="21"/>
  <c r="W96" i="21"/>
  <c r="U96" i="21"/>
  <c r="X96" i="21" s="1"/>
  <c r="T96" i="21"/>
  <c r="S96" i="21"/>
  <c r="R96" i="21"/>
  <c r="P96" i="21"/>
  <c r="M96" i="21"/>
  <c r="L96" i="21"/>
  <c r="X95" i="21"/>
  <c r="W95" i="21"/>
  <c r="T95" i="21"/>
  <c r="Q95" i="21" s="1"/>
  <c r="S95" i="21"/>
  <c r="R95" i="21"/>
  <c r="U95" i="21" s="1"/>
  <c r="P95" i="21"/>
  <c r="O95" i="21"/>
  <c r="M95" i="21"/>
  <c r="L95" i="21"/>
  <c r="W94" i="21"/>
  <c r="T94" i="21"/>
  <c r="S94" i="21"/>
  <c r="R94" i="21"/>
  <c r="U94" i="21" s="1"/>
  <c r="X94" i="21" s="1"/>
  <c r="P94" i="21"/>
  <c r="X93" i="21"/>
  <c r="W93" i="21"/>
  <c r="T93" i="21"/>
  <c r="Q93" i="21" s="1"/>
  <c r="O93" i="21" s="1"/>
  <c r="S93" i="21"/>
  <c r="R93" i="21"/>
  <c r="U93" i="21" s="1"/>
  <c r="P93" i="21"/>
  <c r="M93" i="21"/>
  <c r="L93" i="21"/>
  <c r="W92" i="21"/>
  <c r="U92" i="21"/>
  <c r="X92" i="21" s="1"/>
  <c r="T92" i="21"/>
  <c r="S92" i="21"/>
  <c r="R92" i="21"/>
  <c r="P92" i="21"/>
  <c r="M92" i="21"/>
  <c r="L92" i="21"/>
  <c r="W91" i="21"/>
  <c r="T91" i="21"/>
  <c r="Q91" i="21" s="1"/>
  <c r="O91" i="21" s="1"/>
  <c r="S91" i="21"/>
  <c r="R91" i="21"/>
  <c r="U91" i="21" s="1"/>
  <c r="X91" i="21" s="1"/>
  <c r="P91" i="21"/>
  <c r="M91" i="21"/>
  <c r="L91" i="21"/>
  <c r="W90" i="21"/>
  <c r="T90" i="21"/>
  <c r="S90" i="21"/>
  <c r="R90" i="21"/>
  <c r="U90" i="21" s="1"/>
  <c r="X90" i="21" s="1"/>
  <c r="P90" i="21"/>
  <c r="W89" i="21"/>
  <c r="T89" i="21"/>
  <c r="Q89" i="21" s="1"/>
  <c r="S89" i="21"/>
  <c r="R89" i="21"/>
  <c r="U89" i="21" s="1"/>
  <c r="X89" i="21" s="1"/>
  <c r="P89" i="21"/>
  <c r="O89" i="21"/>
  <c r="M89" i="21"/>
  <c r="L89" i="21"/>
  <c r="W88" i="21"/>
  <c r="T88" i="21"/>
  <c r="S88" i="21"/>
  <c r="R88" i="21"/>
  <c r="U88" i="21" s="1"/>
  <c r="X88" i="21" s="1"/>
  <c r="P88" i="21"/>
  <c r="X87" i="21"/>
  <c r="W87" i="21"/>
  <c r="U87" i="21"/>
  <c r="T87" i="21"/>
  <c r="Q87" i="21" s="1"/>
  <c r="O87" i="21" s="1"/>
  <c r="S87" i="21"/>
  <c r="R87" i="21"/>
  <c r="N87" i="21" s="1"/>
  <c r="P87" i="21"/>
  <c r="M87" i="21"/>
  <c r="L87" i="21"/>
  <c r="W86" i="21"/>
  <c r="U86" i="21"/>
  <c r="X86" i="21" s="1"/>
  <c r="T86" i="21"/>
  <c r="S86" i="21"/>
  <c r="R86" i="21"/>
  <c r="P86" i="21"/>
  <c r="M86" i="21"/>
  <c r="L86" i="21"/>
  <c r="X85" i="21"/>
  <c r="W85" i="21"/>
  <c r="U85" i="21"/>
  <c r="T85" i="21"/>
  <c r="Q85" i="21" s="1"/>
  <c r="O85" i="21" s="1"/>
  <c r="S85" i="21"/>
  <c r="R85" i="21"/>
  <c r="N85" i="21" s="1"/>
  <c r="P85" i="21"/>
  <c r="M85" i="21"/>
  <c r="L85" i="21"/>
  <c r="W84" i="21"/>
  <c r="U84" i="21"/>
  <c r="X84" i="21" s="1"/>
  <c r="T84" i="21"/>
  <c r="S84" i="21"/>
  <c r="R84" i="21"/>
  <c r="P84" i="21"/>
  <c r="M84" i="21"/>
  <c r="L84" i="21"/>
  <c r="X83" i="21"/>
  <c r="W83" i="21"/>
  <c r="U83" i="21"/>
  <c r="T83" i="21"/>
  <c r="Q83" i="21" s="1"/>
  <c r="S83" i="21"/>
  <c r="R83" i="21"/>
  <c r="N83" i="21" s="1"/>
  <c r="P83" i="21"/>
  <c r="O83" i="21"/>
  <c r="M83" i="21"/>
  <c r="L83" i="21"/>
  <c r="W82" i="21"/>
  <c r="T82" i="21"/>
  <c r="S82" i="21"/>
  <c r="R82" i="21"/>
  <c r="U82" i="21" s="1"/>
  <c r="X82" i="21" s="1"/>
  <c r="P82" i="21"/>
  <c r="X81" i="21"/>
  <c r="W81" i="21"/>
  <c r="T81" i="21"/>
  <c r="Q81" i="21" s="1"/>
  <c r="O81" i="21" s="1"/>
  <c r="S81" i="21"/>
  <c r="R81" i="21"/>
  <c r="U81" i="21" s="1"/>
  <c r="P81" i="21"/>
  <c r="M81" i="21"/>
  <c r="L81" i="21"/>
  <c r="W80" i="21"/>
  <c r="U80" i="21"/>
  <c r="X80" i="21" s="1"/>
  <c r="T80" i="21"/>
  <c r="S80" i="21"/>
  <c r="R80" i="21"/>
  <c r="P80" i="21"/>
  <c r="M80" i="21"/>
  <c r="L80" i="21"/>
  <c r="W79" i="21"/>
  <c r="T79" i="21"/>
  <c r="Q79" i="21" s="1"/>
  <c r="O79" i="21" s="1"/>
  <c r="S79" i="21"/>
  <c r="R79" i="21"/>
  <c r="U79" i="21" s="1"/>
  <c r="X79" i="21" s="1"/>
  <c r="P79" i="21"/>
  <c r="M79" i="21"/>
  <c r="L79" i="21"/>
  <c r="W78" i="21"/>
  <c r="U78" i="21"/>
  <c r="X78" i="21" s="1"/>
  <c r="T78" i="21"/>
  <c r="S78" i="21"/>
  <c r="R78" i="21"/>
  <c r="P78" i="21"/>
  <c r="M78" i="21"/>
  <c r="L78" i="21"/>
  <c r="X77" i="21"/>
  <c r="W77" i="21"/>
  <c r="T77" i="21"/>
  <c r="Q77" i="21" s="1"/>
  <c r="S77" i="21"/>
  <c r="R77" i="21"/>
  <c r="U77" i="21" s="1"/>
  <c r="P77" i="21"/>
  <c r="O77" i="21"/>
  <c r="M77" i="21"/>
  <c r="L77" i="21"/>
  <c r="W76" i="21"/>
  <c r="U76" i="21"/>
  <c r="X76" i="21" s="1"/>
  <c r="T76" i="21"/>
  <c r="S76" i="21"/>
  <c r="R76" i="21"/>
  <c r="P76" i="21"/>
  <c r="M76" i="21"/>
  <c r="L76" i="21"/>
  <c r="X75" i="21"/>
  <c r="W75" i="21"/>
  <c r="U75" i="21"/>
  <c r="T75" i="21"/>
  <c r="Q75" i="21" s="1"/>
  <c r="S75" i="21"/>
  <c r="R75" i="21"/>
  <c r="N75" i="21" s="1"/>
  <c r="P75" i="21"/>
  <c r="O75" i="21"/>
  <c r="M75" i="21"/>
  <c r="L75" i="21"/>
  <c r="W74" i="21"/>
  <c r="T74" i="21"/>
  <c r="S74" i="21"/>
  <c r="R74" i="21"/>
  <c r="U74" i="21" s="1"/>
  <c r="X74" i="21" s="1"/>
  <c r="P74" i="21"/>
  <c r="X73" i="21"/>
  <c r="W73" i="21"/>
  <c r="T73" i="21"/>
  <c r="Q73" i="21" s="1"/>
  <c r="S73" i="21"/>
  <c r="R73" i="21"/>
  <c r="U73" i="21" s="1"/>
  <c r="P73" i="21"/>
  <c r="O73" i="21"/>
  <c r="M73" i="21"/>
  <c r="L73" i="21"/>
  <c r="W72" i="21"/>
  <c r="T72" i="21"/>
  <c r="S72" i="21"/>
  <c r="R72" i="21"/>
  <c r="U72" i="21" s="1"/>
  <c r="X72" i="21" s="1"/>
  <c r="P72" i="21"/>
  <c r="X71" i="21"/>
  <c r="W71" i="21"/>
  <c r="T71" i="21"/>
  <c r="Q71" i="21" s="1"/>
  <c r="O71" i="21" s="1"/>
  <c r="S71" i="21"/>
  <c r="R71" i="21"/>
  <c r="U71" i="21" s="1"/>
  <c r="P71" i="21"/>
  <c r="M71" i="21"/>
  <c r="L71" i="21"/>
  <c r="W70" i="21"/>
  <c r="U70" i="21"/>
  <c r="X70" i="21" s="1"/>
  <c r="T70" i="21"/>
  <c r="S70" i="21"/>
  <c r="R70" i="21"/>
  <c r="P70" i="21"/>
  <c r="M70" i="21"/>
  <c r="L70" i="21"/>
  <c r="W69" i="21"/>
  <c r="T69" i="21"/>
  <c r="Q69" i="21" s="1"/>
  <c r="O69" i="21" s="1"/>
  <c r="S69" i="21"/>
  <c r="R69" i="21"/>
  <c r="U69" i="21" s="1"/>
  <c r="X69" i="21" s="1"/>
  <c r="P69" i="21"/>
  <c r="M69" i="21"/>
  <c r="L69" i="21"/>
  <c r="W68" i="21"/>
  <c r="T68" i="21"/>
  <c r="S68" i="21"/>
  <c r="R68" i="21"/>
  <c r="U68" i="21" s="1"/>
  <c r="X68" i="21" s="1"/>
  <c r="P68" i="21"/>
  <c r="W67" i="21"/>
  <c r="T67" i="21"/>
  <c r="Q67" i="21" s="1"/>
  <c r="S67" i="21"/>
  <c r="R67" i="21"/>
  <c r="U67" i="21" s="1"/>
  <c r="X67" i="21" s="1"/>
  <c r="P67" i="21"/>
  <c r="O67" i="21"/>
  <c r="M67" i="21"/>
  <c r="L67" i="21"/>
  <c r="W66" i="21"/>
  <c r="T66" i="21"/>
  <c r="S66" i="21"/>
  <c r="R66" i="21"/>
  <c r="U66" i="21" s="1"/>
  <c r="X66" i="21" s="1"/>
  <c r="P66" i="21"/>
  <c r="X65" i="21"/>
  <c r="W65" i="21"/>
  <c r="T65" i="21"/>
  <c r="Q65" i="21" s="1"/>
  <c r="S65" i="21"/>
  <c r="R65" i="21"/>
  <c r="U65" i="21" s="1"/>
  <c r="P65" i="21"/>
  <c r="O65" i="21"/>
  <c r="M65" i="21"/>
  <c r="L65" i="21"/>
  <c r="W64" i="21"/>
  <c r="U64" i="21"/>
  <c r="X64" i="21" s="1"/>
  <c r="T64" i="21"/>
  <c r="S64" i="21"/>
  <c r="R64" i="21"/>
  <c r="P64" i="21"/>
  <c r="M64" i="21"/>
  <c r="L64" i="21"/>
  <c r="X63" i="21"/>
  <c r="W63" i="21"/>
  <c r="U63" i="21"/>
  <c r="T63" i="21"/>
  <c r="Q63" i="21" s="1"/>
  <c r="S63" i="21"/>
  <c r="R63" i="21"/>
  <c r="N63" i="21" s="1"/>
  <c r="P63" i="21"/>
  <c r="O63" i="21"/>
  <c r="M63" i="21"/>
  <c r="L63" i="21"/>
  <c r="W62" i="21"/>
  <c r="U62" i="21"/>
  <c r="X62" i="21" s="1"/>
  <c r="T62" i="21"/>
  <c r="S62" i="21"/>
  <c r="R62" i="21"/>
  <c r="P62" i="21"/>
  <c r="M62" i="21"/>
  <c r="L62" i="21"/>
  <c r="X61" i="21"/>
  <c r="W61" i="21"/>
  <c r="T61" i="21"/>
  <c r="Q61" i="21" s="1"/>
  <c r="O61" i="21" s="1"/>
  <c r="S61" i="21"/>
  <c r="R61" i="21"/>
  <c r="U61" i="21" s="1"/>
  <c r="P61" i="21"/>
  <c r="M61" i="21"/>
  <c r="L61" i="21"/>
  <c r="W60" i="21"/>
  <c r="U60" i="21"/>
  <c r="X60" i="21" s="1"/>
  <c r="T60" i="21"/>
  <c r="S60" i="21"/>
  <c r="R60" i="21"/>
  <c r="P60" i="21"/>
  <c r="M60" i="21"/>
  <c r="L60" i="21"/>
  <c r="X59" i="21"/>
  <c r="W59" i="21"/>
  <c r="U59" i="21"/>
  <c r="T59" i="21"/>
  <c r="Q59" i="21" s="1"/>
  <c r="S59" i="21"/>
  <c r="R59" i="21"/>
  <c r="N59" i="21" s="1"/>
  <c r="P59" i="21"/>
  <c r="O59" i="21"/>
  <c r="M59" i="21"/>
  <c r="L59" i="21"/>
  <c r="W58" i="21"/>
  <c r="T58" i="21"/>
  <c r="S58" i="21"/>
  <c r="R58" i="21"/>
  <c r="U58" i="21" s="1"/>
  <c r="X58" i="21" s="1"/>
  <c r="P58" i="21"/>
  <c r="X57" i="21"/>
  <c r="W57" i="21"/>
  <c r="T57" i="21"/>
  <c r="Q57" i="21" s="1"/>
  <c r="O57" i="21" s="1"/>
  <c r="S57" i="21"/>
  <c r="R57" i="21"/>
  <c r="U57" i="21" s="1"/>
  <c r="P57" i="21"/>
  <c r="M57" i="21"/>
  <c r="L57" i="21"/>
  <c r="W56" i="21"/>
  <c r="U56" i="21"/>
  <c r="X56" i="21" s="1"/>
  <c r="T56" i="21"/>
  <c r="S56" i="21"/>
  <c r="R56" i="21"/>
  <c r="P56" i="21"/>
  <c r="M56" i="21"/>
  <c r="L56" i="21"/>
  <c r="W55" i="21"/>
  <c r="T55" i="21"/>
  <c r="Q55" i="21" s="1"/>
  <c r="O55" i="21" s="1"/>
  <c r="S55" i="21"/>
  <c r="R55" i="21"/>
  <c r="U55" i="21" s="1"/>
  <c r="X55" i="21" s="1"/>
  <c r="P55" i="21"/>
  <c r="M55" i="21"/>
  <c r="L55" i="21"/>
  <c r="W54" i="21"/>
  <c r="T54" i="21"/>
  <c r="S54" i="21"/>
  <c r="R54" i="21"/>
  <c r="U54" i="21" s="1"/>
  <c r="X54" i="21" s="1"/>
  <c r="P54" i="21"/>
  <c r="W53" i="21"/>
  <c r="T53" i="21"/>
  <c r="Q53" i="21" s="1"/>
  <c r="S53" i="21"/>
  <c r="R53" i="21"/>
  <c r="U53" i="21" s="1"/>
  <c r="X53" i="21" s="1"/>
  <c r="P53" i="21"/>
  <c r="O53" i="21"/>
  <c r="M53" i="21"/>
  <c r="L53" i="21"/>
  <c r="W52" i="21"/>
  <c r="U52" i="21"/>
  <c r="X52" i="21" s="1"/>
  <c r="T52" i="21"/>
  <c r="S52" i="21"/>
  <c r="R52" i="21"/>
  <c r="P52" i="21"/>
  <c r="M52" i="21"/>
  <c r="L52" i="21"/>
  <c r="X51" i="21"/>
  <c r="W51" i="21"/>
  <c r="U51" i="21"/>
  <c r="T51" i="21"/>
  <c r="Q51" i="21" s="1"/>
  <c r="O51" i="21" s="1"/>
  <c r="S51" i="21"/>
  <c r="R51" i="21"/>
  <c r="N51" i="21" s="1"/>
  <c r="P51" i="21"/>
  <c r="M51" i="21"/>
  <c r="L51" i="21"/>
  <c r="W50" i="21"/>
  <c r="U50" i="21"/>
  <c r="X50" i="21" s="1"/>
  <c r="T50" i="21"/>
  <c r="S50" i="21"/>
  <c r="R50" i="21"/>
  <c r="P50" i="21"/>
  <c r="M50" i="21"/>
  <c r="L50" i="21"/>
  <c r="X49" i="21"/>
  <c r="W49" i="21"/>
  <c r="U49" i="21"/>
  <c r="T49" i="21"/>
  <c r="Q49" i="21" s="1"/>
  <c r="O49" i="21" s="1"/>
  <c r="S49" i="21"/>
  <c r="R49" i="21"/>
  <c r="N49" i="21" s="1"/>
  <c r="P49" i="21"/>
  <c r="M49" i="21"/>
  <c r="L49" i="21"/>
  <c r="X48" i="21"/>
  <c r="W48" i="21"/>
  <c r="U48" i="21"/>
  <c r="T48" i="21"/>
  <c r="S48" i="21"/>
  <c r="R48" i="21"/>
  <c r="P48" i="21"/>
  <c r="M48" i="21"/>
  <c r="L48" i="21"/>
  <c r="X47" i="21"/>
  <c r="W47" i="21"/>
  <c r="U47" i="21"/>
  <c r="T47" i="21"/>
  <c r="Q47" i="21" s="1"/>
  <c r="O47" i="21" s="1"/>
  <c r="S47" i="21"/>
  <c r="R47" i="21"/>
  <c r="N47" i="21" s="1"/>
  <c r="P47" i="21"/>
  <c r="M47" i="21"/>
  <c r="L47" i="21"/>
  <c r="W46" i="21"/>
  <c r="T46" i="21"/>
  <c r="S46" i="21"/>
  <c r="R46" i="21"/>
  <c r="U46" i="21" s="1"/>
  <c r="X46" i="21" s="1"/>
  <c r="P46" i="21"/>
  <c r="W45" i="21"/>
  <c r="T45" i="21"/>
  <c r="Q45" i="21" s="1"/>
  <c r="S45" i="21"/>
  <c r="R45" i="21"/>
  <c r="U45" i="21" s="1"/>
  <c r="X45" i="21" s="1"/>
  <c r="P45" i="21"/>
  <c r="O45" i="21"/>
  <c r="M45" i="21"/>
  <c r="L45" i="21"/>
  <c r="X44" i="21"/>
  <c r="W44" i="21"/>
  <c r="U44" i="21"/>
  <c r="T44" i="21"/>
  <c r="S44" i="21"/>
  <c r="R44" i="21"/>
  <c r="P44" i="21"/>
  <c r="M44" i="21"/>
  <c r="L44" i="21"/>
  <c r="X43" i="21"/>
  <c r="W43" i="21"/>
  <c r="U43" i="21"/>
  <c r="T43" i="21"/>
  <c r="Q43" i="21" s="1"/>
  <c r="S43" i="21"/>
  <c r="R43" i="21"/>
  <c r="N43" i="21" s="1"/>
  <c r="P43" i="21"/>
  <c r="O43" i="21"/>
  <c r="M43" i="21"/>
  <c r="L43" i="21"/>
  <c r="X42" i="21"/>
  <c r="W42" i="21"/>
  <c r="U42" i="21"/>
  <c r="T42" i="21"/>
  <c r="S42" i="21"/>
  <c r="R42" i="21"/>
  <c r="P42" i="21"/>
  <c r="M42" i="21"/>
  <c r="L42" i="21"/>
  <c r="X41" i="21"/>
  <c r="W41" i="21"/>
  <c r="T41" i="21"/>
  <c r="Q41" i="21" s="1"/>
  <c r="O41" i="21" s="1"/>
  <c r="S41" i="21"/>
  <c r="R41" i="21"/>
  <c r="U41" i="21" s="1"/>
  <c r="P41" i="21"/>
  <c r="M41" i="21"/>
  <c r="L41" i="21"/>
  <c r="X40" i="21"/>
  <c r="W40" i="21"/>
  <c r="U40" i="21"/>
  <c r="T40" i="21"/>
  <c r="S40" i="21"/>
  <c r="R40" i="21"/>
  <c r="P40" i="21"/>
  <c r="M40" i="21"/>
  <c r="L40" i="21"/>
  <c r="X39" i="21"/>
  <c r="W39" i="21"/>
  <c r="U39" i="21"/>
  <c r="T39" i="21"/>
  <c r="Q39" i="21" s="1"/>
  <c r="S39" i="21"/>
  <c r="R39" i="21"/>
  <c r="N39" i="21" s="1"/>
  <c r="P39" i="21"/>
  <c r="O39" i="21"/>
  <c r="M39" i="21"/>
  <c r="L39" i="21"/>
  <c r="X38" i="21"/>
  <c r="W38" i="21"/>
  <c r="U38" i="21"/>
  <c r="T38" i="21"/>
  <c r="S38" i="21"/>
  <c r="R38" i="21"/>
  <c r="P38" i="21"/>
  <c r="M38" i="21"/>
  <c r="L38" i="21"/>
  <c r="X37" i="21"/>
  <c r="W37" i="21"/>
  <c r="U37" i="21"/>
  <c r="T37" i="21"/>
  <c r="Q37" i="21" s="1"/>
  <c r="S37" i="21"/>
  <c r="R37" i="21"/>
  <c r="N37" i="21" s="1"/>
  <c r="P37" i="21"/>
  <c r="O37" i="21"/>
  <c r="M37" i="21"/>
  <c r="L37" i="21"/>
  <c r="X36" i="21"/>
  <c r="W36" i="21"/>
  <c r="U36" i="21"/>
  <c r="T36" i="21"/>
  <c r="S36" i="21"/>
  <c r="R36" i="21"/>
  <c r="P36" i="21"/>
  <c r="M36" i="21"/>
  <c r="L36" i="21"/>
  <c r="W35" i="21"/>
  <c r="T35" i="21"/>
  <c r="Q35" i="21" s="1"/>
  <c r="O35" i="21" s="1"/>
  <c r="S35" i="21"/>
  <c r="R35" i="21"/>
  <c r="U35" i="21" s="1"/>
  <c r="X35" i="21" s="1"/>
  <c r="P35" i="21"/>
  <c r="M35" i="21"/>
  <c r="L35" i="21"/>
  <c r="X34" i="21"/>
  <c r="W34" i="21"/>
  <c r="T34" i="21"/>
  <c r="S34" i="21"/>
  <c r="R34" i="21"/>
  <c r="U34" i="21" s="1"/>
  <c r="P34" i="21"/>
  <c r="X33" i="21"/>
  <c r="W33" i="21"/>
  <c r="T33" i="21"/>
  <c r="Q33" i="21" s="1"/>
  <c r="O33" i="21" s="1"/>
  <c r="S33" i="21"/>
  <c r="R33" i="21"/>
  <c r="U33" i="21" s="1"/>
  <c r="P33" i="21"/>
  <c r="M33" i="21"/>
  <c r="L33" i="21"/>
  <c r="X32" i="21"/>
  <c r="W32" i="21"/>
  <c r="U32" i="21"/>
  <c r="T32" i="21"/>
  <c r="S32" i="21"/>
  <c r="R32" i="21"/>
  <c r="P32" i="21"/>
  <c r="M32" i="21"/>
  <c r="L32" i="21"/>
  <c r="X31" i="21"/>
  <c r="W31" i="21"/>
  <c r="U31" i="21"/>
  <c r="T31" i="21"/>
  <c r="Q31" i="21" s="1"/>
  <c r="O31" i="21" s="1"/>
  <c r="S31" i="21"/>
  <c r="R31" i="21"/>
  <c r="N31" i="21" s="1"/>
  <c r="P31" i="21"/>
  <c r="M31" i="21"/>
  <c r="L31" i="21"/>
  <c r="X30" i="21"/>
  <c r="W30" i="21"/>
  <c r="U30" i="21"/>
  <c r="T30" i="21"/>
  <c r="S30" i="21"/>
  <c r="R30" i="21"/>
  <c r="P30" i="21"/>
  <c r="M30" i="21"/>
  <c r="L30" i="21"/>
  <c r="X29" i="21"/>
  <c r="W29" i="21"/>
  <c r="T29" i="21"/>
  <c r="Q29" i="21" s="1"/>
  <c r="S29" i="21"/>
  <c r="R29" i="21"/>
  <c r="U29" i="21" s="1"/>
  <c r="P29" i="21"/>
  <c r="O29" i="21"/>
  <c r="M29" i="21"/>
  <c r="L29" i="21"/>
  <c r="W28" i="21"/>
  <c r="U28" i="21"/>
  <c r="X28" i="21" s="1"/>
  <c r="T28" i="21"/>
  <c r="S28" i="21"/>
  <c r="R28" i="21"/>
  <c r="P28" i="21"/>
  <c r="M28" i="21"/>
  <c r="L28" i="21"/>
  <c r="X27" i="21"/>
  <c r="W27" i="21"/>
  <c r="U27" i="21"/>
  <c r="T27" i="21"/>
  <c r="Q27" i="21" s="1"/>
  <c r="S27" i="21"/>
  <c r="R27" i="21"/>
  <c r="N27" i="21" s="1"/>
  <c r="P27" i="21"/>
  <c r="O27" i="21"/>
  <c r="M27" i="21"/>
  <c r="L27" i="21"/>
  <c r="W26" i="21"/>
  <c r="T26" i="21"/>
  <c r="S26" i="21"/>
  <c r="R26" i="21"/>
  <c r="U26" i="21" s="1"/>
  <c r="X26" i="21" s="1"/>
  <c r="P26" i="21"/>
  <c r="X25" i="21"/>
  <c r="W25" i="21"/>
  <c r="U25" i="21"/>
  <c r="T25" i="21"/>
  <c r="Q25" i="21" s="1"/>
  <c r="O25" i="21" s="1"/>
  <c r="S25" i="21"/>
  <c r="R25" i="21"/>
  <c r="Q3" i="21" s="1"/>
  <c r="P25" i="21"/>
  <c r="M25" i="21"/>
  <c r="L25" i="21"/>
  <c r="G25" i="21"/>
  <c r="X24" i="21"/>
  <c r="W24" i="21"/>
  <c r="T24" i="21"/>
  <c r="Q24" i="21" s="1"/>
  <c r="O24" i="21" s="1"/>
  <c r="S24" i="21"/>
  <c r="N24" i="21" s="1"/>
  <c r="R24" i="21"/>
  <c r="U24" i="21" s="1"/>
  <c r="P24" i="21"/>
  <c r="L24" i="21"/>
  <c r="W23" i="21"/>
  <c r="U23" i="21"/>
  <c r="X23" i="21" s="1"/>
  <c r="T23" i="21"/>
  <c r="S23" i="21"/>
  <c r="N23" i="21" s="1"/>
  <c r="R23" i="21"/>
  <c r="P23" i="21"/>
  <c r="M23" i="21"/>
  <c r="L23" i="21"/>
  <c r="X22" i="21"/>
  <c r="W22" i="21"/>
  <c r="U22" i="21"/>
  <c r="T22" i="21"/>
  <c r="Q22" i="21" s="1"/>
  <c r="O22" i="21" s="1"/>
  <c r="S22" i="21"/>
  <c r="N22" i="21" s="1"/>
  <c r="R22" i="21"/>
  <c r="P22" i="21"/>
  <c r="M22" i="21"/>
  <c r="L22" i="21"/>
  <c r="X21" i="21"/>
  <c r="W21" i="21"/>
  <c r="U21" i="21"/>
  <c r="T21" i="21"/>
  <c r="S21" i="21"/>
  <c r="N21" i="21" s="1"/>
  <c r="R21" i="21"/>
  <c r="P21" i="21"/>
  <c r="M21" i="21"/>
  <c r="L21" i="21"/>
  <c r="X20" i="21"/>
  <c r="W20" i="21"/>
  <c r="T20" i="21"/>
  <c r="S20" i="21"/>
  <c r="N20" i="21" s="1"/>
  <c r="R20" i="21"/>
  <c r="U20" i="21" s="1"/>
  <c r="Q20" i="21"/>
  <c r="O20" i="21" s="1"/>
  <c r="P20" i="21"/>
  <c r="L20" i="21"/>
  <c r="X19" i="21"/>
  <c r="W19" i="21"/>
  <c r="U19" i="21"/>
  <c r="T19" i="21"/>
  <c r="S19" i="21"/>
  <c r="R19" i="21"/>
  <c r="P19" i="21"/>
  <c r="M19" i="21"/>
  <c r="L19" i="21"/>
  <c r="X18" i="21"/>
  <c r="W18" i="21"/>
  <c r="U18" i="21"/>
  <c r="T18" i="21"/>
  <c r="S18" i="21"/>
  <c r="N18" i="21" s="1"/>
  <c r="R18" i="21"/>
  <c r="Q18" i="21"/>
  <c r="O18" i="21" s="1"/>
  <c r="P18" i="21"/>
  <c r="M18" i="21"/>
  <c r="L18" i="21"/>
  <c r="X17" i="21"/>
  <c r="W17" i="21"/>
  <c r="U17" i="21"/>
  <c r="T17" i="21"/>
  <c r="S17" i="21"/>
  <c r="R17" i="21"/>
  <c r="L17" i="21" s="1"/>
  <c r="P17" i="21"/>
  <c r="X16" i="21"/>
  <c r="W16" i="21"/>
  <c r="U16" i="21"/>
  <c r="T16" i="21"/>
  <c r="Q16" i="21" s="1"/>
  <c r="O16" i="21" s="1"/>
  <c r="S16" i="21"/>
  <c r="N16" i="21" s="1"/>
  <c r="R16" i="21"/>
  <c r="P16" i="21"/>
  <c r="M16" i="21"/>
  <c r="L16" i="21"/>
  <c r="X15" i="21"/>
  <c r="W15" i="21"/>
  <c r="U15" i="21"/>
  <c r="T15" i="21"/>
  <c r="S15" i="21"/>
  <c r="R15" i="21"/>
  <c r="L15" i="21" s="1"/>
  <c r="P15" i="21"/>
  <c r="M15" i="21"/>
  <c r="X14" i="21"/>
  <c r="W14" i="21"/>
  <c r="U14" i="21"/>
  <c r="T14" i="21"/>
  <c r="S14" i="21"/>
  <c r="N14" i="21" s="1"/>
  <c r="R14" i="21"/>
  <c r="Q14" i="21"/>
  <c r="P14" i="21"/>
  <c r="O14" i="21"/>
  <c r="M14" i="21"/>
  <c r="L14" i="21"/>
  <c r="X13" i="21"/>
  <c r="W13" i="21"/>
  <c r="U13" i="21"/>
  <c r="T13" i="21"/>
  <c r="S13" i="21"/>
  <c r="R13" i="21"/>
  <c r="P13" i="21"/>
  <c r="M13" i="21"/>
  <c r="L13" i="21"/>
  <c r="X12" i="21"/>
  <c r="W12" i="21"/>
  <c r="T12" i="21"/>
  <c r="S12" i="21"/>
  <c r="N12" i="21" s="1"/>
  <c r="R12" i="21"/>
  <c r="U12" i="21" s="1"/>
  <c r="Q12" i="21"/>
  <c r="O12" i="21" s="1"/>
  <c r="P12" i="21"/>
  <c r="L12" i="21"/>
  <c r="W11" i="21"/>
  <c r="U11" i="21"/>
  <c r="X11" i="21" s="1"/>
  <c r="T11" i="21"/>
  <c r="S11" i="21"/>
  <c r="R11" i="21"/>
  <c r="P11" i="21"/>
  <c r="M11" i="21"/>
  <c r="L11" i="21"/>
  <c r="W10" i="21"/>
  <c r="T10" i="21"/>
  <c r="Q10" i="21" s="1"/>
  <c r="O10" i="21" s="1"/>
  <c r="S10" i="21"/>
  <c r="N10" i="21" s="1"/>
  <c r="R10" i="21"/>
  <c r="U10" i="21" s="1"/>
  <c r="P10" i="21"/>
  <c r="L10" i="21"/>
  <c r="J7" i="21"/>
  <c r="J5" i="21"/>
  <c r="I5" i="21"/>
  <c r="G5" i="21"/>
  <c r="F5" i="21"/>
  <c r="E5" i="21"/>
  <c r="B5" i="21"/>
  <c r="J4" i="21"/>
  <c r="P4" i="2" s="1"/>
  <c r="I4" i="21"/>
  <c r="M4" i="2" s="1"/>
  <c r="G4" i="21"/>
  <c r="F4" i="21"/>
  <c r="E4" i="21"/>
  <c r="B4" i="21"/>
  <c r="J3" i="21"/>
  <c r="P3" i="2" s="1"/>
  <c r="I3" i="21"/>
  <c r="M3" i="2" s="1"/>
  <c r="G3" i="21"/>
  <c r="G2" i="21" s="1"/>
  <c r="F3" i="21"/>
  <c r="R1" i="21" s="1"/>
  <c r="E3" i="21"/>
  <c r="B3" i="21"/>
  <c r="F2" i="21"/>
  <c r="E2" i="21"/>
  <c r="C3" i="20"/>
  <c r="B3" i="20"/>
  <c r="A2" i="20"/>
  <c r="C3" i="19"/>
  <c r="B3" i="19"/>
  <c r="A2" i="19"/>
  <c r="C3" i="18"/>
  <c r="B3" i="18"/>
  <c r="A2" i="18"/>
  <c r="C3" i="17"/>
  <c r="B3" i="17"/>
  <c r="A2" i="17"/>
  <c r="C3" i="16"/>
  <c r="B3" i="16"/>
  <c r="A2" i="16"/>
  <c r="C3" i="15"/>
  <c r="B3" i="15"/>
  <c r="A2" i="15"/>
  <c r="C3" i="14"/>
  <c r="B3" i="14"/>
  <c r="A2" i="14"/>
  <c r="C3" i="13"/>
  <c r="B3" i="13"/>
  <c r="A2" i="13"/>
  <c r="C3" i="12"/>
  <c r="B3" i="12"/>
  <c r="A2" i="12"/>
  <c r="C3" i="11"/>
  <c r="B3" i="11"/>
  <c r="A2" i="11"/>
  <c r="C3" i="10"/>
  <c r="B3" i="10"/>
  <c r="A2" i="10"/>
  <c r="C3" i="9"/>
  <c r="B3" i="9"/>
  <c r="A2" i="9"/>
  <c r="C3" i="8"/>
  <c r="B3" i="8"/>
  <c r="A2" i="8"/>
  <c r="C3" i="7"/>
  <c r="B3" i="7"/>
  <c r="A2" i="7"/>
  <c r="C3" i="6"/>
  <c r="B3" i="6"/>
  <c r="A2" i="6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E15" i="4"/>
  <c r="D15" i="4"/>
  <c r="J15" i="4" s="1"/>
  <c r="C15" i="4"/>
  <c r="B15" i="4"/>
  <c r="A15" i="4"/>
  <c r="E14" i="4"/>
  <c r="D14" i="4"/>
  <c r="C14" i="4"/>
  <c r="B14" i="4"/>
  <c r="A14" i="4"/>
  <c r="J13" i="4"/>
  <c r="E13" i="4"/>
  <c r="D13" i="4"/>
  <c r="C13" i="4"/>
  <c r="B13" i="4"/>
  <c r="A13" i="4"/>
  <c r="E12" i="4"/>
  <c r="D12" i="4"/>
  <c r="J12" i="4" s="1"/>
  <c r="C12" i="4"/>
  <c r="B12" i="4"/>
  <c r="A12" i="4"/>
  <c r="E11" i="4"/>
  <c r="D11" i="4"/>
  <c r="J11" i="4" s="1"/>
  <c r="C11" i="4"/>
  <c r="B11" i="4"/>
  <c r="A11" i="4"/>
  <c r="E10" i="4"/>
  <c r="D10" i="4"/>
  <c r="C10" i="4"/>
  <c r="B10" i="4"/>
  <c r="A10" i="4"/>
  <c r="E9" i="4"/>
  <c r="D9" i="4"/>
  <c r="J9" i="4" s="1"/>
  <c r="C9" i="4"/>
  <c r="B9" i="4"/>
  <c r="A9" i="4"/>
  <c r="E8" i="4"/>
  <c r="D8" i="4"/>
  <c r="J8" i="4" s="1"/>
  <c r="C8" i="4"/>
  <c r="B8" i="4"/>
  <c r="A8" i="4"/>
  <c r="E7" i="4"/>
  <c r="D7" i="4"/>
  <c r="J7" i="4" s="1"/>
  <c r="C7" i="4"/>
  <c r="B7" i="4"/>
  <c r="A7" i="4"/>
  <c r="E6" i="4"/>
  <c r="D6" i="4"/>
  <c r="C6" i="4"/>
  <c r="B6" i="4"/>
  <c r="A6" i="4"/>
  <c r="E5" i="4"/>
  <c r="D5" i="4"/>
  <c r="J5" i="4" s="1"/>
  <c r="C5" i="4"/>
  <c r="B5" i="4"/>
  <c r="A5" i="4"/>
  <c r="E4" i="4"/>
  <c r="D4" i="4"/>
  <c r="J4" i="4" s="1"/>
  <c r="C4" i="4"/>
  <c r="B4" i="4"/>
  <c r="A4" i="4"/>
  <c r="J3" i="4"/>
  <c r="E3" i="4"/>
  <c r="D3" i="4"/>
  <c r="C3" i="4"/>
  <c r="B3" i="4"/>
  <c r="A3" i="4"/>
  <c r="E2" i="4"/>
  <c r="D2" i="4"/>
  <c r="C2" i="4"/>
  <c r="B2" i="4"/>
  <c r="A2" i="4"/>
  <c r="AC34" i="3"/>
  <c r="AB34" i="3"/>
  <c r="AA34" i="3"/>
  <c r="AM34" i="3" s="1"/>
  <c r="Z34" i="3"/>
  <c r="Y34" i="3"/>
  <c r="AC33" i="3"/>
  <c r="AB33" i="3"/>
  <c r="AA33" i="3"/>
  <c r="AM33" i="3" s="1"/>
  <c r="Z33" i="3"/>
  <c r="AL33" i="3" s="1"/>
  <c r="Y33" i="3"/>
  <c r="AC32" i="3"/>
  <c r="AB32" i="3"/>
  <c r="AA32" i="3"/>
  <c r="AM32" i="3" s="1"/>
  <c r="Z32" i="3"/>
  <c r="Y32" i="3"/>
  <c r="AC31" i="3"/>
  <c r="AB31" i="3"/>
  <c r="AA31" i="3"/>
  <c r="Z31" i="3"/>
  <c r="Y31" i="3"/>
  <c r="AC30" i="3"/>
  <c r="AB30" i="3"/>
  <c r="AA30" i="3"/>
  <c r="Z30" i="3"/>
  <c r="AL30" i="3" s="1"/>
  <c r="Y30" i="3"/>
  <c r="AC29" i="3"/>
  <c r="AB29" i="3"/>
  <c r="AA29" i="3"/>
  <c r="AM29" i="3" s="1"/>
  <c r="Z29" i="3"/>
  <c r="AL29" i="3" s="1"/>
  <c r="Y29" i="3"/>
  <c r="AC28" i="3"/>
  <c r="AB28" i="3"/>
  <c r="AA28" i="3"/>
  <c r="AM28" i="3" s="1"/>
  <c r="Z28" i="3"/>
  <c r="AL28" i="3" s="1"/>
  <c r="Y28" i="3"/>
  <c r="AC27" i="3"/>
  <c r="AB27" i="3"/>
  <c r="AA27" i="3"/>
  <c r="Z27" i="3"/>
  <c r="AL27" i="3" s="1"/>
  <c r="Y27" i="3"/>
  <c r="AC26" i="3"/>
  <c r="AB26" i="3"/>
  <c r="AA26" i="3"/>
  <c r="AM26" i="3" s="1"/>
  <c r="Z26" i="3"/>
  <c r="Y26" i="3"/>
  <c r="AC25" i="3"/>
  <c r="AB25" i="3"/>
  <c r="AA25" i="3"/>
  <c r="AM25" i="3" s="1"/>
  <c r="Z25" i="3"/>
  <c r="Y25" i="3"/>
  <c r="AC24" i="3"/>
  <c r="AB24" i="3"/>
  <c r="AA24" i="3"/>
  <c r="AM24" i="3" s="1"/>
  <c r="Z24" i="3"/>
  <c r="AL24" i="3" s="1"/>
  <c r="Y24" i="3"/>
  <c r="AC23" i="3"/>
  <c r="AB23" i="3"/>
  <c r="AA23" i="3"/>
  <c r="Z23" i="3"/>
  <c r="AL23" i="3" s="1"/>
  <c r="Y23" i="3"/>
  <c r="AC22" i="3"/>
  <c r="AB22" i="3"/>
  <c r="AA22" i="3"/>
  <c r="Z22" i="3"/>
  <c r="AL22" i="3" s="1"/>
  <c r="Y22" i="3"/>
  <c r="AC21" i="3"/>
  <c r="AB21" i="3"/>
  <c r="AA21" i="3"/>
  <c r="Z21" i="3"/>
  <c r="Y21" i="3"/>
  <c r="AC20" i="3"/>
  <c r="AB20" i="3"/>
  <c r="AA20" i="3"/>
  <c r="AM20" i="3" s="1"/>
  <c r="Z20" i="3"/>
  <c r="AL20" i="3" s="1"/>
  <c r="Y20" i="3"/>
  <c r="AC19" i="3"/>
  <c r="AB19" i="3"/>
  <c r="AA19" i="3"/>
  <c r="AM19" i="3" s="1"/>
  <c r="Z19" i="3"/>
  <c r="AL19" i="3" s="1"/>
  <c r="Y19" i="3"/>
  <c r="AC18" i="3"/>
  <c r="AB18" i="3"/>
  <c r="AA18" i="3"/>
  <c r="AM18" i="3" s="1"/>
  <c r="Z18" i="3"/>
  <c r="Y18" i="3"/>
  <c r="AC17" i="3"/>
  <c r="AB17" i="3"/>
  <c r="AA17" i="3"/>
  <c r="AM17" i="3" s="1"/>
  <c r="Z17" i="3"/>
  <c r="Y17" i="3"/>
  <c r="AC16" i="3"/>
  <c r="AB16" i="3"/>
  <c r="AA16" i="3"/>
  <c r="AM16" i="3" s="1"/>
  <c r="Z16" i="3"/>
  <c r="AL16" i="3" s="1"/>
  <c r="Y16" i="3"/>
  <c r="AC15" i="3"/>
  <c r="AB15" i="3"/>
  <c r="AA15" i="3"/>
  <c r="Z15" i="3"/>
  <c r="AL15" i="3" s="1"/>
  <c r="Y15" i="3"/>
  <c r="AC14" i="3"/>
  <c r="AB14" i="3"/>
  <c r="AA14" i="3"/>
  <c r="Z14" i="3"/>
  <c r="Y14" i="3"/>
  <c r="AC13" i="3"/>
  <c r="AB13" i="3"/>
  <c r="AA13" i="3"/>
  <c r="Z13" i="3"/>
  <c r="AL13" i="3" s="1"/>
  <c r="Y13" i="3"/>
  <c r="AC12" i="3"/>
  <c r="AB12" i="3"/>
  <c r="AA12" i="3"/>
  <c r="AM12" i="3" s="1"/>
  <c r="Z12" i="3"/>
  <c r="AL12" i="3" s="1"/>
  <c r="Y12" i="3"/>
  <c r="AC11" i="3"/>
  <c r="AB11" i="3"/>
  <c r="AA11" i="3"/>
  <c r="AM11" i="3" s="1"/>
  <c r="Z11" i="3"/>
  <c r="AL11" i="3" s="1"/>
  <c r="Y11" i="3"/>
  <c r="AC10" i="3"/>
  <c r="AB10" i="3"/>
  <c r="AA10" i="3"/>
  <c r="AM10" i="3" s="1"/>
  <c r="Z10" i="3"/>
  <c r="Y10" i="3"/>
  <c r="AC9" i="3"/>
  <c r="AB9" i="3"/>
  <c r="AA9" i="3"/>
  <c r="AM9" i="3" s="1"/>
  <c r="Z9" i="3"/>
  <c r="Y9" i="3"/>
  <c r="AC8" i="3"/>
  <c r="AB8" i="3"/>
  <c r="AA8" i="3"/>
  <c r="AM8" i="3" s="1"/>
  <c r="Z8" i="3"/>
  <c r="AL8" i="3" s="1"/>
  <c r="Y8" i="3"/>
  <c r="AC7" i="3"/>
  <c r="AB7" i="3"/>
  <c r="AA7" i="3"/>
  <c r="AM7" i="3" s="1"/>
  <c r="Z7" i="3"/>
  <c r="AL7" i="3" s="1"/>
  <c r="Y7" i="3"/>
  <c r="AC6" i="3"/>
  <c r="AB6" i="3"/>
  <c r="AA6" i="3"/>
  <c r="AM6" i="3" s="1"/>
  <c r="Z6" i="3"/>
  <c r="AL6" i="3" s="1"/>
  <c r="Y6" i="3"/>
  <c r="AC5" i="3"/>
  <c r="AB5" i="3"/>
  <c r="AA5" i="3"/>
  <c r="AM5" i="3" s="1"/>
  <c r="Z5" i="3"/>
  <c r="AL5" i="3" s="1"/>
  <c r="Y5" i="3"/>
  <c r="D2" i="3"/>
  <c r="T39" i="2"/>
  <c r="R39" i="2"/>
  <c r="P39" i="2"/>
  <c r="O39" i="2"/>
  <c r="N39" i="2"/>
  <c r="G39" i="2" a="1"/>
  <c r="G39" i="2" s="1"/>
  <c r="E39" i="2"/>
  <c r="D39" i="2"/>
  <c r="X39" i="2" s="1"/>
  <c r="C39" i="2"/>
  <c r="T38" i="2"/>
  <c r="R38" i="2"/>
  <c r="P38" i="2"/>
  <c r="O38" i="2"/>
  <c r="N38" i="2"/>
  <c r="G38" i="2" a="1"/>
  <c r="G38" i="2" s="1"/>
  <c r="E38" i="2"/>
  <c r="D38" i="2"/>
  <c r="C38" i="2"/>
  <c r="T37" i="2"/>
  <c r="R37" i="2"/>
  <c r="P37" i="2"/>
  <c r="O37" i="2"/>
  <c r="N37" i="2"/>
  <c r="G37" i="2" a="1"/>
  <c r="G37" i="2" s="1"/>
  <c r="E37" i="2"/>
  <c r="D37" i="2"/>
  <c r="C37" i="2"/>
  <c r="T36" i="2"/>
  <c r="R36" i="2"/>
  <c r="P36" i="2"/>
  <c r="O36" i="2"/>
  <c r="N36" i="2"/>
  <c r="G36" i="2" a="1"/>
  <c r="G36" i="2" s="1"/>
  <c r="E36" i="2"/>
  <c r="D36" i="2"/>
  <c r="C36" i="2"/>
  <c r="T35" i="2"/>
  <c r="R35" i="2"/>
  <c r="P35" i="2"/>
  <c r="O35" i="2"/>
  <c r="N35" i="2"/>
  <c r="G35" i="2" a="1"/>
  <c r="G35" i="2" s="1"/>
  <c r="E35" i="2"/>
  <c r="D35" i="2"/>
  <c r="C35" i="2"/>
  <c r="T34" i="2"/>
  <c r="R34" i="2"/>
  <c r="P34" i="2"/>
  <c r="O34" i="2"/>
  <c r="N34" i="2"/>
  <c r="G34" i="2" a="1"/>
  <c r="G34" i="2" s="1"/>
  <c r="E34" i="2"/>
  <c r="D34" i="2"/>
  <c r="C34" i="2"/>
  <c r="T33" i="2"/>
  <c r="R33" i="2"/>
  <c r="P33" i="2"/>
  <c r="O33" i="2"/>
  <c r="N33" i="2"/>
  <c r="G33" i="2" a="1"/>
  <c r="G33" i="2" s="1"/>
  <c r="E33" i="2"/>
  <c r="D33" i="2"/>
  <c r="F33" i="2" s="1" a="1"/>
  <c r="F33" i="2" s="1"/>
  <c r="C33" i="2"/>
  <c r="T32" i="2"/>
  <c r="R32" i="2"/>
  <c r="P32" i="2"/>
  <c r="O32" i="2"/>
  <c r="N32" i="2"/>
  <c r="G32" i="2" a="1"/>
  <c r="G32" i="2" s="1"/>
  <c r="E32" i="2"/>
  <c r="D32" i="2"/>
  <c r="C32" i="2"/>
  <c r="T31" i="2"/>
  <c r="R31" i="2"/>
  <c r="P31" i="2"/>
  <c r="O31" i="2"/>
  <c r="N31" i="2"/>
  <c r="G31" i="2" a="1"/>
  <c r="G31" i="2" s="1"/>
  <c r="F31" i="2" a="1"/>
  <c r="F31" i="2" s="1"/>
  <c r="E31" i="2"/>
  <c r="D31" i="2"/>
  <c r="C31" i="2"/>
  <c r="T30" i="2"/>
  <c r="R30" i="2"/>
  <c r="P30" i="2"/>
  <c r="O30" i="2"/>
  <c r="N30" i="2"/>
  <c r="G30" i="2" a="1"/>
  <c r="G30" i="2" s="1"/>
  <c r="E30" i="2"/>
  <c r="D30" i="2"/>
  <c r="C30" i="2"/>
  <c r="T29" i="2"/>
  <c r="R29" i="2"/>
  <c r="P29" i="2"/>
  <c r="O29" i="2"/>
  <c r="N29" i="2"/>
  <c r="G29" i="2" a="1"/>
  <c r="G29" i="2" s="1"/>
  <c r="E29" i="2"/>
  <c r="D29" i="2"/>
  <c r="C29" i="2"/>
  <c r="T28" i="2"/>
  <c r="R28" i="2"/>
  <c r="P28" i="2"/>
  <c r="O28" i="2"/>
  <c r="N28" i="2"/>
  <c r="G28" i="2" a="1"/>
  <c r="G28" i="2" s="1"/>
  <c r="E28" i="2"/>
  <c r="D28" i="2"/>
  <c r="C28" i="2"/>
  <c r="T27" i="2"/>
  <c r="R27" i="2"/>
  <c r="P27" i="2"/>
  <c r="O27" i="2"/>
  <c r="N27" i="2"/>
  <c r="G27" i="2" a="1"/>
  <c r="G27" i="2" s="1"/>
  <c r="E27" i="2"/>
  <c r="D27" i="2"/>
  <c r="C27" i="2"/>
  <c r="T26" i="2"/>
  <c r="R26" i="2"/>
  <c r="P26" i="2"/>
  <c r="O26" i="2"/>
  <c r="N26" i="2"/>
  <c r="G26" i="2" a="1"/>
  <c r="G26" i="2" s="1"/>
  <c r="E26" i="2"/>
  <c r="D26" i="2"/>
  <c r="F26" i="2" s="1" a="1"/>
  <c r="F26" i="2" s="1"/>
  <c r="C26" i="2"/>
  <c r="T25" i="2"/>
  <c r="R25" i="2"/>
  <c r="P25" i="2"/>
  <c r="O25" i="2"/>
  <c r="N25" i="2"/>
  <c r="G25" i="2" a="1"/>
  <c r="G25" i="2" s="1"/>
  <c r="E25" i="2"/>
  <c r="D25" i="2"/>
  <c r="C25" i="2"/>
  <c r="T24" i="2"/>
  <c r="R24" i="2"/>
  <c r="P24" i="2"/>
  <c r="O24" i="2"/>
  <c r="N24" i="2"/>
  <c r="G24" i="2" a="1"/>
  <c r="G24" i="2" s="1"/>
  <c r="E24" i="2"/>
  <c r="D24" i="2"/>
  <c r="C24" i="2"/>
  <c r="T23" i="2"/>
  <c r="R23" i="2"/>
  <c r="P23" i="2"/>
  <c r="O23" i="2"/>
  <c r="N23" i="2"/>
  <c r="G23" i="2" a="1"/>
  <c r="G23" i="2" s="1"/>
  <c r="E23" i="2"/>
  <c r="D23" i="2"/>
  <c r="C23" i="2"/>
  <c r="T22" i="2"/>
  <c r="R22" i="2"/>
  <c r="P22" i="2"/>
  <c r="O22" i="2"/>
  <c r="N22" i="2"/>
  <c r="G22" i="2" a="1"/>
  <c r="G22" i="2" s="1"/>
  <c r="E22" i="2"/>
  <c r="D22" i="2"/>
  <c r="C22" i="2"/>
  <c r="T21" i="2"/>
  <c r="R21" i="2"/>
  <c r="P21" i="2"/>
  <c r="O21" i="2"/>
  <c r="N21" i="2"/>
  <c r="G21" i="2" a="1"/>
  <c r="G21" i="2" s="1"/>
  <c r="E21" i="2"/>
  <c r="D21" i="2"/>
  <c r="C21" i="2"/>
  <c r="T20" i="2"/>
  <c r="R20" i="2"/>
  <c r="P20" i="2"/>
  <c r="O20" i="2"/>
  <c r="N20" i="2"/>
  <c r="G20" i="2" a="1"/>
  <c r="G20" i="2" s="1"/>
  <c r="E20" i="2"/>
  <c r="D20" i="2"/>
  <c r="C20" i="2"/>
  <c r="T19" i="2"/>
  <c r="R19" i="2"/>
  <c r="P19" i="2"/>
  <c r="O19" i="2"/>
  <c r="N19" i="2"/>
  <c r="G19" i="2" a="1"/>
  <c r="G19" i="2" s="1"/>
  <c r="E19" i="2"/>
  <c r="D19" i="2"/>
  <c r="C19" i="2"/>
  <c r="T18" i="2"/>
  <c r="R18" i="2"/>
  <c r="P18" i="2"/>
  <c r="O18" i="2"/>
  <c r="N18" i="2"/>
  <c r="G18" i="2" a="1"/>
  <c r="G18" i="2" s="1"/>
  <c r="E18" i="2"/>
  <c r="D18" i="2"/>
  <c r="C18" i="2"/>
  <c r="T17" i="2"/>
  <c r="R17" i="2"/>
  <c r="P17" i="2"/>
  <c r="O17" i="2"/>
  <c r="N17" i="2"/>
  <c r="G17" i="2" a="1"/>
  <c r="G17" i="2" s="1"/>
  <c r="E17" i="2"/>
  <c r="D17" i="2"/>
  <c r="C17" i="2"/>
  <c r="T16" i="2"/>
  <c r="R16" i="2"/>
  <c r="P16" i="2"/>
  <c r="O16" i="2"/>
  <c r="N16" i="2"/>
  <c r="G16" i="2" a="1"/>
  <c r="G16" i="2" s="1"/>
  <c r="E16" i="2"/>
  <c r="D16" i="2"/>
  <c r="C16" i="2"/>
  <c r="T15" i="2"/>
  <c r="R15" i="2"/>
  <c r="P15" i="2"/>
  <c r="O15" i="2"/>
  <c r="N15" i="2"/>
  <c r="G15" i="2" a="1"/>
  <c r="G15" i="2" s="1"/>
  <c r="E15" i="2"/>
  <c r="D15" i="2"/>
  <c r="C15" i="2"/>
  <c r="T14" i="2"/>
  <c r="R14" i="2"/>
  <c r="P14" i="2"/>
  <c r="O14" i="2"/>
  <c r="N14" i="2"/>
  <c r="G14" i="2" a="1"/>
  <c r="G14" i="2" s="1"/>
  <c r="E14" i="2"/>
  <c r="D14" i="2"/>
  <c r="C14" i="2"/>
  <c r="T13" i="2"/>
  <c r="R13" i="2"/>
  <c r="P13" i="2"/>
  <c r="O13" i="2"/>
  <c r="N13" i="2"/>
  <c r="G13" i="2" a="1"/>
  <c r="G13" i="2" s="1"/>
  <c r="E13" i="2"/>
  <c r="D13" i="2"/>
  <c r="C13" i="2"/>
  <c r="T12" i="2"/>
  <c r="R12" i="2"/>
  <c r="P12" i="2"/>
  <c r="O12" i="2"/>
  <c r="N12" i="2"/>
  <c r="G12" i="2" a="1"/>
  <c r="G12" i="2" s="1"/>
  <c r="E12" i="2"/>
  <c r="D12" i="2"/>
  <c r="C12" i="2"/>
  <c r="T11" i="2"/>
  <c r="R11" i="2"/>
  <c r="P11" i="2"/>
  <c r="O11" i="2"/>
  <c r="N11" i="2"/>
  <c r="G11" i="2" a="1"/>
  <c r="G11" i="2" s="1"/>
  <c r="E11" i="2"/>
  <c r="D11" i="2"/>
  <c r="C11" i="2"/>
  <c r="T10" i="2"/>
  <c r="R10" i="2"/>
  <c r="P10" i="2"/>
  <c r="O10" i="2"/>
  <c r="G10" i="2" a="1"/>
  <c r="G10" i="2" s="1"/>
  <c r="E10" i="2"/>
  <c r="D10" i="2"/>
  <c r="C10" i="2"/>
  <c r="AA7" i="2"/>
  <c r="C7" i="2"/>
  <c r="AA6" i="2"/>
  <c r="D6" i="2"/>
  <c r="C6" i="2"/>
  <c r="B6" i="2"/>
  <c r="AA5" i="2"/>
  <c r="E5" i="2"/>
  <c r="D5" i="2"/>
  <c r="AA4" i="2"/>
  <c r="U4" i="2"/>
  <c r="E4" i="2"/>
  <c r="D4" i="2"/>
  <c r="D2" i="2" s="1"/>
  <c r="C4" i="2"/>
  <c r="C2" i="2" s="1"/>
  <c r="B4" i="2"/>
  <c r="AB3" i="2"/>
  <c r="AA3" i="2"/>
  <c r="E3" i="2"/>
  <c r="D3" i="2"/>
  <c r="C3" i="2"/>
  <c r="C5" i="2" s="1"/>
  <c r="B3" i="2"/>
  <c r="AA2" i="2"/>
  <c r="E2" i="2"/>
  <c r="AB1" i="2"/>
  <c r="AA1" i="2"/>
  <c r="Z1" i="2"/>
  <c r="X1" i="2"/>
  <c r="S1" i="2"/>
  <c r="R1" i="2"/>
  <c r="P1" i="2"/>
  <c r="N1" i="2"/>
  <c r="M1" i="2"/>
  <c r="L1" i="2"/>
  <c r="E1" i="2"/>
  <c r="D1" i="2"/>
  <c r="C1" i="2"/>
  <c r="B1" i="2"/>
  <c r="W173" i="41"/>
  <c r="W172" i="41"/>
  <c r="W171" i="41"/>
  <c r="W170" i="41"/>
  <c r="W169" i="41"/>
  <c r="W168" i="41"/>
  <c r="W167" i="41"/>
  <c r="W166" i="41"/>
  <c r="W165" i="41"/>
  <c r="Y164" i="41"/>
  <c r="W164" i="41"/>
  <c r="W163" i="41"/>
  <c r="W162" i="41"/>
  <c r="W161" i="41"/>
  <c r="W160" i="41"/>
  <c r="W159" i="41"/>
  <c r="Y158" i="41"/>
  <c r="W158" i="41"/>
  <c r="W157" i="41"/>
  <c r="W156" i="41"/>
  <c r="W155" i="41"/>
  <c r="W154" i="41"/>
  <c r="W153" i="41"/>
  <c r="W152" i="41"/>
  <c r="W151" i="41"/>
  <c r="W150" i="41"/>
  <c r="W149" i="41"/>
  <c r="Y148" i="41"/>
  <c r="W148" i="41"/>
  <c r="W147" i="41"/>
  <c r="W146" i="41"/>
  <c r="W145" i="41"/>
  <c r="W144" i="41"/>
  <c r="W143" i="41"/>
  <c r="W142" i="41"/>
  <c r="W141" i="41"/>
  <c r="W140" i="41"/>
  <c r="W139" i="41"/>
  <c r="W138" i="41"/>
  <c r="W137" i="41"/>
  <c r="W136" i="41"/>
  <c r="W135" i="41"/>
  <c r="W134" i="41"/>
  <c r="W133" i="41"/>
  <c r="Y132" i="41"/>
  <c r="W132" i="41"/>
  <c r="W131" i="41"/>
  <c r="W130" i="41"/>
  <c r="W129" i="41"/>
  <c r="W128" i="41"/>
  <c r="W127" i="41"/>
  <c r="W126" i="41"/>
  <c r="W125" i="41"/>
  <c r="W124" i="41"/>
  <c r="W123" i="41"/>
  <c r="W122" i="41"/>
  <c r="W121" i="41"/>
  <c r="W120" i="41"/>
  <c r="W119" i="41"/>
  <c r="W118" i="41"/>
  <c r="W117" i="41"/>
  <c r="Y116" i="41"/>
  <c r="W116" i="41"/>
  <c r="W115" i="41"/>
  <c r="W114" i="41"/>
  <c r="W113" i="41"/>
  <c r="Y112" i="41"/>
  <c r="W112" i="41"/>
  <c r="W111" i="41"/>
  <c r="W110" i="41"/>
  <c r="W109" i="41"/>
  <c r="W108" i="41"/>
  <c r="W107" i="41"/>
  <c r="W106" i="41"/>
  <c r="Z105" i="41"/>
  <c r="W105" i="41"/>
  <c r="W104" i="41"/>
  <c r="W103" i="41"/>
  <c r="W102" i="41"/>
  <c r="W101" i="41"/>
  <c r="Y100" i="41"/>
  <c r="W100" i="41"/>
  <c r="W99" i="41"/>
  <c r="W98" i="41"/>
  <c r="W97" i="41"/>
  <c r="Y96" i="41"/>
  <c r="W96" i="41"/>
  <c r="W95" i="41"/>
  <c r="W94" i="41"/>
  <c r="W93" i="41"/>
  <c r="W92" i="41"/>
  <c r="W91" i="41"/>
  <c r="W90" i="41"/>
  <c r="W89" i="41"/>
  <c r="W88" i="41"/>
  <c r="W87" i="41"/>
  <c r="W86" i="41"/>
  <c r="W85" i="41"/>
  <c r="Y84" i="41"/>
  <c r="W84" i="41"/>
  <c r="W83" i="41"/>
  <c r="W82" i="41"/>
  <c r="W81" i="41"/>
  <c r="Y80" i="41"/>
  <c r="W80" i="41"/>
  <c r="W79" i="41"/>
  <c r="W78" i="41"/>
  <c r="W77" i="41"/>
  <c r="W76" i="41"/>
  <c r="W75" i="41"/>
  <c r="W74" i="41"/>
  <c r="W73" i="41"/>
  <c r="W72" i="41"/>
  <c r="W71" i="41"/>
  <c r="W70" i="41"/>
  <c r="W69" i="41"/>
  <c r="Y68" i="41"/>
  <c r="W68" i="41"/>
  <c r="W67" i="41"/>
  <c r="W66" i="41"/>
  <c r="W65" i="41"/>
  <c r="Y64" i="41"/>
  <c r="W64" i="41"/>
  <c r="W63" i="41"/>
  <c r="W62" i="41"/>
  <c r="W61" i="41"/>
  <c r="W60" i="41"/>
  <c r="W59" i="41"/>
  <c r="W58" i="41"/>
  <c r="W57" i="41"/>
  <c r="W56" i="41"/>
  <c r="W55" i="41"/>
  <c r="W54" i="41"/>
  <c r="W53" i="41"/>
  <c r="Y52" i="41"/>
  <c r="W52" i="41"/>
  <c r="W51" i="41"/>
  <c r="W50" i="41"/>
  <c r="W49" i="41"/>
  <c r="Y48" i="41"/>
  <c r="W48" i="41"/>
  <c r="W47" i="41"/>
  <c r="W46" i="41"/>
  <c r="W45" i="41"/>
  <c r="W44" i="41"/>
  <c r="W43" i="41"/>
  <c r="W42" i="41"/>
  <c r="W41" i="41"/>
  <c r="W40" i="41"/>
  <c r="W39" i="41"/>
  <c r="W38" i="41"/>
  <c r="W37" i="41"/>
  <c r="Y36" i="41"/>
  <c r="W36" i="41"/>
  <c r="W35" i="41"/>
  <c r="W34" i="41"/>
  <c r="W33" i="41"/>
  <c r="Y32" i="41"/>
  <c r="W32" i="41"/>
  <c r="W31" i="41"/>
  <c r="W30" i="41"/>
  <c r="W29" i="41"/>
  <c r="W28" i="41"/>
  <c r="W27" i="41"/>
  <c r="W26" i="41"/>
  <c r="W25" i="41"/>
  <c r="W24" i="41"/>
  <c r="W23" i="41"/>
  <c r="W22" i="41"/>
  <c r="W21" i="41"/>
  <c r="Y20" i="41"/>
  <c r="W20" i="41"/>
  <c r="W19" i="41"/>
  <c r="W18" i="41"/>
  <c r="W17" i="41"/>
  <c r="Y16" i="41"/>
  <c r="W16" i="41"/>
  <c r="W15" i="41"/>
  <c r="Y14" i="41"/>
  <c r="W14" i="41"/>
  <c r="W13" i="41"/>
  <c r="W12" i="41"/>
  <c r="W11" i="41"/>
  <c r="W10" i="41"/>
  <c r="W9" i="41"/>
  <c r="W8" i="41"/>
  <c r="W7" i="41"/>
  <c r="Z6" i="41"/>
  <c r="W6" i="41"/>
  <c r="T26" i="46" l="1"/>
  <c r="T7" i="46"/>
  <c r="S21" i="43"/>
  <c r="T11" i="44"/>
  <c r="S6" i="43"/>
  <c r="S28" i="43"/>
  <c r="S20" i="43"/>
  <c r="S12" i="43"/>
  <c r="S13" i="43"/>
  <c r="S35" i="43"/>
  <c r="S27" i="43"/>
  <c r="S19" i="43"/>
  <c r="S11" i="43"/>
  <c r="S34" i="43"/>
  <c r="S26" i="43"/>
  <c r="S18" i="43"/>
  <c r="S10" i="43"/>
  <c r="S33" i="43"/>
  <c r="S25" i="43"/>
  <c r="S17" i="43"/>
  <c r="S9" i="43"/>
  <c r="S32" i="43"/>
  <c r="S24" i="43"/>
  <c r="S16" i="43"/>
  <c r="S8" i="43"/>
  <c r="T7" i="43" s="1"/>
  <c r="S29" i="43"/>
  <c r="S31" i="43"/>
  <c r="S23" i="43"/>
  <c r="S15" i="43"/>
  <c r="S7" i="43"/>
  <c r="S30" i="43"/>
  <c r="S22" i="43"/>
  <c r="Y39" i="2" a="1"/>
  <c r="Y39" i="2" s="1"/>
  <c r="Y142" i="41"/>
  <c r="Y126" i="41"/>
  <c r="Y62" i="41"/>
  <c r="Y46" i="41"/>
  <c r="Y30" i="41"/>
  <c r="Y94" i="41"/>
  <c r="Y110" i="41"/>
  <c r="Y78" i="41"/>
  <c r="M422" i="52"/>
  <c r="M430" i="52"/>
  <c r="M446" i="52"/>
  <c r="M454" i="52"/>
  <c r="M462" i="52"/>
  <c r="M478" i="52"/>
  <c r="Z9" i="41"/>
  <c r="Z55" i="41"/>
  <c r="Z94" i="41"/>
  <c r="Z119" i="41"/>
  <c r="Z142" i="41"/>
  <c r="Z153" i="41"/>
  <c r="Z62" i="41"/>
  <c r="Z110" i="41"/>
  <c r="Z25" i="41"/>
  <c r="F36" i="2" s="1" a="1"/>
  <c r="F36" i="2" s="1"/>
  <c r="Z169" i="41"/>
  <c r="Z23" i="41"/>
  <c r="Z89" i="41"/>
  <c r="Z151" i="41"/>
  <c r="Z103" i="41"/>
  <c r="Z135" i="41"/>
  <c r="Z71" i="41"/>
  <c r="Z41" i="41"/>
  <c r="Z121" i="41"/>
  <c r="F15" i="2" s="1" a="1"/>
  <c r="F15" i="2" s="1"/>
  <c r="Z78" i="41"/>
  <c r="Z73" i="41"/>
  <c r="Z7" i="41"/>
  <c r="Z158" i="41"/>
  <c r="Z39" i="41"/>
  <c r="Z57" i="41"/>
  <c r="Z87" i="41"/>
  <c r="Z126" i="41"/>
  <c r="F29" i="2" s="1" a="1"/>
  <c r="F29" i="2" s="1"/>
  <c r="Z137" i="41"/>
  <c r="M233" i="52"/>
  <c r="M225" i="52"/>
  <c r="L14" i="52"/>
  <c r="M372" i="52"/>
  <c r="M74" i="52"/>
  <c r="M418" i="52"/>
  <c r="L428" i="52"/>
  <c r="M410" i="52"/>
  <c r="M474" i="52"/>
  <c r="L328" i="52"/>
  <c r="T3" i="37"/>
  <c r="L43" i="52"/>
  <c r="M80" i="52"/>
  <c r="M210" i="52"/>
  <c r="L213" i="52"/>
  <c r="L215" i="52"/>
  <c r="M319" i="52"/>
  <c r="T33" i="37"/>
  <c r="L97" i="52"/>
  <c r="M335" i="52"/>
  <c r="M378" i="52"/>
  <c r="M386" i="52"/>
  <c r="M394" i="52"/>
  <c r="M402" i="52"/>
  <c r="L434" i="52"/>
  <c r="L450" i="52"/>
  <c r="L466" i="52"/>
  <c r="M172" i="52"/>
  <c r="M275" i="52"/>
  <c r="M384" i="52"/>
  <c r="L440" i="52"/>
  <c r="L472" i="52"/>
  <c r="M390" i="52"/>
  <c r="M398" i="52"/>
  <c r="M370" i="52"/>
  <c r="L402" i="52"/>
  <c r="T21" i="37"/>
  <c r="M16" i="52"/>
  <c r="M27" i="52"/>
  <c r="L72" i="52"/>
  <c r="L133" i="52"/>
  <c r="L376" i="52"/>
  <c r="L392" i="52"/>
  <c r="L400" i="52"/>
  <c r="AE11" i="3"/>
  <c r="S16" i="2" s="1"/>
  <c r="AE13" i="3"/>
  <c r="S18" i="2" s="1"/>
  <c r="AE27" i="3"/>
  <c r="S32" i="2" s="1"/>
  <c r="M416" i="52"/>
  <c r="M426" i="52"/>
  <c r="M442" i="52"/>
  <c r="M450" i="52"/>
  <c r="M458" i="52"/>
  <c r="M466" i="52"/>
  <c r="M142" i="52"/>
  <c r="M203" i="52"/>
  <c r="M216" i="52"/>
  <c r="M232" i="52"/>
  <c r="L235" i="52"/>
  <c r="L237" i="52"/>
  <c r="M414" i="52"/>
  <c r="M448" i="52"/>
  <c r="M177" i="52"/>
  <c r="AM27" i="3"/>
  <c r="M106" i="52"/>
  <c r="M122" i="52"/>
  <c r="L125" i="52"/>
  <c r="L221" i="52"/>
  <c r="L234" i="52"/>
  <c r="L326" i="52"/>
  <c r="M388" i="52"/>
  <c r="L396" i="52"/>
  <c r="M406" i="52"/>
  <c r="L414" i="52"/>
  <c r="L424" i="52"/>
  <c r="L432" i="52"/>
  <c r="M452" i="52"/>
  <c r="L460" i="52"/>
  <c r="M470" i="52"/>
  <c r="AE26" i="3"/>
  <c r="S31" i="2" s="1"/>
  <c r="AD31" i="3"/>
  <c r="Q36" i="2" s="1"/>
  <c r="M41" i="52"/>
  <c r="L65" i="52"/>
  <c r="M83" i="52"/>
  <c r="M133" i="52"/>
  <c r="L141" i="52"/>
  <c r="M198" i="52"/>
  <c r="M206" i="52"/>
  <c r="M250" i="52"/>
  <c r="M404" i="52"/>
  <c r="L412" i="52"/>
  <c r="L422" i="52"/>
  <c r="L430" i="52"/>
  <c r="M468" i="52"/>
  <c r="M21" i="52"/>
  <c r="L60" i="52"/>
  <c r="M68" i="52"/>
  <c r="L261" i="52"/>
  <c r="M374" i="52"/>
  <c r="M420" i="52"/>
  <c r="M438" i="52"/>
  <c r="L446" i="52"/>
  <c r="L456" i="52"/>
  <c r="L464" i="52"/>
  <c r="M84" i="52"/>
  <c r="L283" i="52"/>
  <c r="L356" i="52"/>
  <c r="L364" i="52"/>
  <c r="M382" i="52"/>
  <c r="L408" i="52"/>
  <c r="L418" i="52"/>
  <c r="N3" i="2"/>
  <c r="M251" i="52"/>
  <c r="M354" i="52"/>
  <c r="L380" i="52"/>
  <c r="L398" i="52"/>
  <c r="M434" i="52"/>
  <c r="M436" i="52"/>
  <c r="L444" i="52"/>
  <c r="L454" i="52"/>
  <c r="L462" i="52"/>
  <c r="M90" i="52"/>
  <c r="M197" i="52"/>
  <c r="L51" i="52"/>
  <c r="L74" i="52"/>
  <c r="L117" i="52"/>
  <c r="L201" i="52"/>
  <c r="L223" i="52"/>
  <c r="M256" i="52"/>
  <c r="M323" i="52"/>
  <c r="L354" i="52"/>
  <c r="L372" i="52"/>
  <c r="L394" i="52"/>
  <c r="L404" i="52"/>
  <c r="L426" i="52"/>
  <c r="L436" i="52"/>
  <c r="L458" i="52"/>
  <c r="L468" i="52"/>
  <c r="AD21" i="3"/>
  <c r="Q26" i="2" s="1"/>
  <c r="AE31" i="3"/>
  <c r="AG31" i="3" s="1"/>
  <c r="L11" i="52"/>
  <c r="M110" i="52"/>
  <c r="M158" i="52"/>
  <c r="L204" i="52"/>
  <c r="L219" i="52"/>
  <c r="M306" i="52"/>
  <c r="L352" i="52"/>
  <c r="M380" i="52"/>
  <c r="M412" i="52"/>
  <c r="M444" i="52"/>
  <c r="M392" i="52"/>
  <c r="AE21" i="3"/>
  <c r="AG21" i="3" s="1"/>
  <c r="L37" i="52"/>
  <c r="M42" i="52"/>
  <c r="L78" i="52"/>
  <c r="L93" i="52"/>
  <c r="M181" i="52"/>
  <c r="P219" i="52"/>
  <c r="M219" i="52" s="1"/>
  <c r="M247" i="52"/>
  <c r="M283" i="52"/>
  <c r="L314" i="52"/>
  <c r="M332" i="52"/>
  <c r="L360" i="52"/>
  <c r="L388" i="52"/>
  <c r="M400" i="52"/>
  <c r="L410" i="52"/>
  <c r="L420" i="52"/>
  <c r="M432" i="52"/>
  <c r="L442" i="52"/>
  <c r="L452" i="52"/>
  <c r="M464" i="52"/>
  <c r="L474" i="52"/>
  <c r="M54" i="52"/>
  <c r="M191" i="52"/>
  <c r="M424" i="52"/>
  <c r="M37" i="52"/>
  <c r="M138" i="52"/>
  <c r="T28" i="37"/>
  <c r="L275" i="52"/>
  <c r="M456" i="52"/>
  <c r="AD14" i="3"/>
  <c r="Q19" i="2" s="1"/>
  <c r="T9" i="37"/>
  <c r="M126" i="52"/>
  <c r="L149" i="52"/>
  <c r="L218" i="52"/>
  <c r="L253" i="52"/>
  <c r="M255" i="52"/>
  <c r="M263" i="52"/>
  <c r="L307" i="52"/>
  <c r="M376" i="52"/>
  <c r="M408" i="52"/>
  <c r="M440" i="52"/>
  <c r="M472" i="52"/>
  <c r="L183" i="52"/>
  <c r="M303" i="52"/>
  <c r="AD8" i="3"/>
  <c r="AF8" i="3" s="1"/>
  <c r="AD11" i="3"/>
  <c r="Q16" i="2" s="1"/>
  <c r="AD32" i="3"/>
  <c r="Q37" i="2" s="1"/>
  <c r="L10" i="52"/>
  <c r="L17" i="52"/>
  <c r="M25" i="52"/>
  <c r="M48" i="52"/>
  <c r="M66" i="52"/>
  <c r="M101" i="52"/>
  <c r="L109" i="52"/>
  <c r="M154" i="52"/>
  <c r="M162" i="52"/>
  <c r="L165" i="52"/>
  <c r="L172" i="52"/>
  <c r="L193" i="52"/>
  <c r="L225" i="52"/>
  <c r="L248" i="52"/>
  <c r="L287" i="52"/>
  <c r="P307" i="52"/>
  <c r="M307" i="52" s="1"/>
  <c r="L312" i="52"/>
  <c r="L323" i="52"/>
  <c r="M396" i="52"/>
  <c r="L406" i="52"/>
  <c r="L416" i="52"/>
  <c r="M428" i="52"/>
  <c r="L438" i="52"/>
  <c r="L448" i="52"/>
  <c r="M460" i="52"/>
  <c r="L470" i="52"/>
  <c r="L87" i="52"/>
  <c r="M175" i="52"/>
  <c r="P248" i="52"/>
  <c r="M248" i="52" s="1"/>
  <c r="L293" i="52"/>
  <c r="M350" i="52"/>
  <c r="AE10" i="3"/>
  <c r="AG10" i="3" s="1"/>
  <c r="AD13" i="3"/>
  <c r="Q18" i="2" s="1"/>
  <c r="AD29" i="3"/>
  <c r="Q34" i="2" s="1"/>
  <c r="T16" i="37"/>
  <c r="M23" i="52"/>
  <c r="L45" i="52"/>
  <c r="P87" i="52"/>
  <c r="M87" i="52" s="1"/>
  <c r="M134" i="52"/>
  <c r="L137" i="52"/>
  <c r="L169" i="52"/>
  <c r="L171" i="52"/>
  <c r="M201" i="52"/>
  <c r="L206" i="52"/>
  <c r="M213" i="52"/>
  <c r="M235" i="52"/>
  <c r="P237" i="52"/>
  <c r="M237" i="52" s="1"/>
  <c r="L247" i="52"/>
  <c r="P293" i="52"/>
  <c r="M293" i="52" s="1"/>
  <c r="L318" i="52"/>
  <c r="T10" i="37"/>
  <c r="M47" i="52"/>
  <c r="M146" i="52"/>
  <c r="M182" i="52"/>
  <c r="L303" i="52"/>
  <c r="P2" i="2"/>
  <c r="M11" i="52"/>
  <c r="L19" i="52"/>
  <c r="L26" i="52"/>
  <c r="L31" i="52"/>
  <c r="M38" i="52"/>
  <c r="M50" i="52"/>
  <c r="L76" i="52"/>
  <c r="L83" i="52"/>
  <c r="M97" i="52"/>
  <c r="M102" i="52"/>
  <c r="L105" i="52"/>
  <c r="M117" i="52"/>
  <c r="M149" i="52"/>
  <c r="L157" i="52"/>
  <c r="L190" i="52"/>
  <c r="L199" i="52"/>
  <c r="L216" i="52"/>
  <c r="M218" i="52"/>
  <c r="L220" i="52"/>
  <c r="M227" i="52"/>
  <c r="M242" i="52"/>
  <c r="L245" i="52"/>
  <c r="L251" i="52"/>
  <c r="M253" i="52"/>
  <c r="L301" i="52"/>
  <c r="L313" i="52"/>
  <c r="P318" i="52"/>
  <c r="M318" i="52" s="1"/>
  <c r="L477" i="52"/>
  <c r="M114" i="52"/>
  <c r="T6" i="37"/>
  <c r="L52" i="52"/>
  <c r="L75" i="52"/>
  <c r="AL21" i="3"/>
  <c r="AL14" i="3"/>
  <c r="AM21" i="3"/>
  <c r="T18" i="37"/>
  <c r="M19" i="52"/>
  <c r="L58" i="52"/>
  <c r="P60" i="52"/>
  <c r="M60" i="52" s="1"/>
  <c r="M88" i="52"/>
  <c r="M130" i="52"/>
  <c r="P183" i="52"/>
  <c r="M183" i="52" s="1"/>
  <c r="L188" i="52"/>
  <c r="M190" i="52"/>
  <c r="P204" i="52"/>
  <c r="M204" i="52" s="1"/>
  <c r="M245" i="52"/>
  <c r="L269" i="52"/>
  <c r="P364" i="52"/>
  <c r="M364" i="52" s="1"/>
  <c r="M30" i="52"/>
  <c r="M94" i="52"/>
  <c r="AD19" i="3"/>
  <c r="Q24" i="2" s="1"/>
  <c r="T4" i="37"/>
  <c r="L22" i="52"/>
  <c r="P58" i="52"/>
  <c r="M58" i="52" s="1"/>
  <c r="L70" i="52"/>
  <c r="M86" i="52"/>
  <c r="L101" i="52"/>
  <c r="M118" i="52"/>
  <c r="L121" i="52"/>
  <c r="M150" i="52"/>
  <c r="L153" i="52"/>
  <c r="M165" i="52"/>
  <c r="M174" i="52"/>
  <c r="L177" i="52"/>
  <c r="P188" i="52"/>
  <c r="M188" i="52" s="1"/>
  <c r="L241" i="52"/>
  <c r="L250" i="52"/>
  <c r="L277" i="52"/>
  <c r="L297" i="52"/>
  <c r="M302" i="52"/>
  <c r="L336" i="52"/>
  <c r="M59" i="52"/>
  <c r="M2" i="2"/>
  <c r="AE18" i="3"/>
  <c r="AG18" i="3" s="1"/>
  <c r="AE19" i="3"/>
  <c r="S24" i="2" s="1"/>
  <c r="AD22" i="3"/>
  <c r="Q27" i="2" s="1"/>
  <c r="T34" i="37"/>
  <c r="L15" i="52"/>
  <c r="L47" i="52"/>
  <c r="M56" i="52"/>
  <c r="L61" i="52"/>
  <c r="M72" i="52"/>
  <c r="L82" i="52"/>
  <c r="L89" i="52"/>
  <c r="M193" i="52"/>
  <c r="L239" i="52"/>
  <c r="M277" i="52"/>
  <c r="M297" i="52"/>
  <c r="M336" i="52"/>
  <c r="L370" i="52"/>
  <c r="L374" i="52"/>
  <c r="L378" i="52"/>
  <c r="L382" i="52"/>
  <c r="L386" i="52"/>
  <c r="L390" i="52"/>
  <c r="L476" i="52"/>
  <c r="M132" i="52"/>
  <c r="L132" i="52"/>
  <c r="L281" i="52"/>
  <c r="P281" i="52"/>
  <c r="M281" i="52" s="1"/>
  <c r="M223" i="52"/>
  <c r="P360" i="52"/>
  <c r="M360" i="52" s="1"/>
  <c r="M476" i="52"/>
  <c r="AE8" i="3"/>
  <c r="S13" i="2" s="1"/>
  <c r="AM13" i="3"/>
  <c r="T25" i="37"/>
  <c r="M12" i="52"/>
  <c r="M63" i="52"/>
  <c r="M82" i="52"/>
  <c r="P144" i="52"/>
  <c r="M144" i="52" s="1"/>
  <c r="L144" i="52"/>
  <c r="M164" i="52"/>
  <c r="L164" i="52"/>
  <c r="M264" i="52"/>
  <c r="P279" i="52"/>
  <c r="M279" i="52" s="1"/>
  <c r="L279" i="52"/>
  <c r="M294" i="52"/>
  <c r="P299" i="52"/>
  <c r="M299" i="52" s="1"/>
  <c r="L299" i="52"/>
  <c r="L340" i="52"/>
  <c r="P340" i="52"/>
  <c r="M340" i="52" s="1"/>
  <c r="L348" i="52"/>
  <c r="P348" i="52"/>
  <c r="M348" i="52" s="1"/>
  <c r="M156" i="52"/>
  <c r="L156" i="52"/>
  <c r="P271" i="52"/>
  <c r="M271" i="52" s="1"/>
  <c r="L271" i="52"/>
  <c r="P291" i="52"/>
  <c r="M291" i="52" s="1"/>
  <c r="L291" i="52"/>
  <c r="P35" i="52"/>
  <c r="M35" i="52" s="1"/>
  <c r="L35" i="52"/>
  <c r="M96" i="52"/>
  <c r="L96" i="52"/>
  <c r="AE16" i="3"/>
  <c r="AG16" i="3" s="1"/>
  <c r="L33" i="52"/>
  <c r="P33" i="52"/>
  <c r="M33" i="52" s="1"/>
  <c r="P152" i="52"/>
  <c r="M152" i="52" s="1"/>
  <c r="L152" i="52"/>
  <c r="P259" i="52"/>
  <c r="M259" i="52" s="1"/>
  <c r="L259" i="52"/>
  <c r="AE6" i="3"/>
  <c r="AG6" i="3" s="1"/>
  <c r="AD16" i="3"/>
  <c r="AD24" i="3"/>
  <c r="AE29" i="3"/>
  <c r="AE32" i="3"/>
  <c r="S37" i="2" s="1"/>
  <c r="AE33" i="3"/>
  <c r="S38" i="2" s="1"/>
  <c r="P17" i="52"/>
  <c r="M17" i="52" s="1"/>
  <c r="L27" i="52"/>
  <c r="M36" i="52"/>
  <c r="M57" i="52"/>
  <c r="P104" i="52"/>
  <c r="M104" i="52" s="1"/>
  <c r="L104" i="52"/>
  <c r="L123" i="52"/>
  <c r="P123" i="52"/>
  <c r="M123" i="52" s="1"/>
  <c r="P215" i="52"/>
  <c r="M215" i="52" s="1"/>
  <c r="P262" i="52"/>
  <c r="M262" i="52" s="1"/>
  <c r="L262" i="52"/>
  <c r="P267" i="52"/>
  <c r="L267" i="52"/>
  <c r="M287" i="52"/>
  <c r="M314" i="52"/>
  <c r="M326" i="52"/>
  <c r="L79" i="52"/>
  <c r="P79" i="52"/>
  <c r="M79" i="52" s="1"/>
  <c r="P112" i="52"/>
  <c r="M112" i="52" s="1"/>
  <c r="L112" i="52"/>
  <c r="M140" i="52"/>
  <c r="L140" i="52"/>
  <c r="P254" i="52"/>
  <c r="M254" i="52" s="1"/>
  <c r="L254" i="52"/>
  <c r="M346" i="52"/>
  <c r="L346" i="52"/>
  <c r="AD6" i="3"/>
  <c r="AD30" i="3"/>
  <c r="Q35" i="2" s="1"/>
  <c r="AL31" i="3"/>
  <c r="AL32" i="3"/>
  <c r="T12" i="37"/>
  <c r="T30" i="37"/>
  <c r="M29" i="52"/>
  <c r="P55" i="52"/>
  <c r="M55" i="52" s="1"/>
  <c r="L55" i="52"/>
  <c r="P64" i="52"/>
  <c r="M64" i="52" s="1"/>
  <c r="L64" i="52"/>
  <c r="P128" i="52"/>
  <c r="M128" i="52" s="1"/>
  <c r="L128" i="52"/>
  <c r="M148" i="52"/>
  <c r="L148" i="52"/>
  <c r="L185" i="52"/>
  <c r="P185" i="52"/>
  <c r="M185" i="52" s="1"/>
  <c r="M228" i="52"/>
  <c r="L231" i="52"/>
  <c r="L257" i="52"/>
  <c r="P257" i="52"/>
  <c r="M257" i="52" s="1"/>
  <c r="P270" i="52"/>
  <c r="M270" i="52" s="1"/>
  <c r="L270" i="52"/>
  <c r="L285" i="52"/>
  <c r="P285" i="52"/>
  <c r="M285" i="52" s="1"/>
  <c r="P295" i="52"/>
  <c r="M295" i="52" s="1"/>
  <c r="L295" i="52"/>
  <c r="P322" i="52"/>
  <c r="M322" i="52" s="1"/>
  <c r="L322" i="52"/>
  <c r="L329" i="52"/>
  <c r="P329" i="52"/>
  <c r="M329" i="52" s="1"/>
  <c r="M108" i="52"/>
  <c r="L108" i="52"/>
  <c r="P120" i="52"/>
  <c r="M120" i="52" s="1"/>
  <c r="L120" i="52"/>
  <c r="M116" i="52"/>
  <c r="L116" i="52"/>
  <c r="P187" i="52"/>
  <c r="M187" i="52" s="1"/>
  <c r="L187" i="52"/>
  <c r="AM31" i="3"/>
  <c r="L23" i="52"/>
  <c r="P39" i="52"/>
  <c r="M39" i="52" s="1"/>
  <c r="L39" i="52"/>
  <c r="M100" i="52"/>
  <c r="L100" i="52"/>
  <c r="M124" i="52"/>
  <c r="L124" i="52"/>
  <c r="P136" i="52"/>
  <c r="M136" i="52" s="1"/>
  <c r="L136" i="52"/>
  <c r="L155" i="52"/>
  <c r="P155" i="52"/>
  <c r="M155" i="52" s="1"/>
  <c r="L209" i="52"/>
  <c r="P209" i="52"/>
  <c r="M209" i="52" s="1"/>
  <c r="P222" i="52"/>
  <c r="M222" i="52" s="1"/>
  <c r="L222" i="52"/>
  <c r="L265" i="52"/>
  <c r="P265" i="52"/>
  <c r="M265" i="52" s="1"/>
  <c r="P334" i="52"/>
  <c r="M334" i="52" s="1"/>
  <c r="L334" i="52"/>
  <c r="L344" i="52"/>
  <c r="P344" i="52"/>
  <c r="M344" i="52" s="1"/>
  <c r="L207" i="52"/>
  <c r="P207" i="52"/>
  <c r="M207" i="52" s="1"/>
  <c r="L139" i="52"/>
  <c r="P139" i="52"/>
  <c r="M139" i="52" s="1"/>
  <c r="AD34" i="3"/>
  <c r="AF34" i="3" s="1"/>
  <c r="AL34" i="3"/>
  <c r="T27" i="37"/>
  <c r="P18" i="52"/>
  <c r="M18" i="52" s="1"/>
  <c r="L18" i="52"/>
  <c r="L53" i="52"/>
  <c r="P53" i="52"/>
  <c r="M53" i="52" s="1"/>
  <c r="L86" i="52"/>
  <c r="L107" i="52"/>
  <c r="P107" i="52"/>
  <c r="M107" i="52" s="1"/>
  <c r="P160" i="52"/>
  <c r="M160" i="52" s="1"/>
  <c r="L160" i="52"/>
  <c r="M298" i="52"/>
  <c r="L310" i="52"/>
  <c r="P310" i="52"/>
  <c r="M310" i="52" s="1"/>
  <c r="P320" i="52"/>
  <c r="M320" i="52" s="1"/>
  <c r="L320" i="52"/>
  <c r="M330" i="52"/>
  <c r="L330" i="52"/>
  <c r="M342" i="52"/>
  <c r="L342" i="52"/>
  <c r="L13" i="52"/>
  <c r="M15" i="52"/>
  <c r="L32" i="52"/>
  <c r="M34" i="52"/>
  <c r="L49" i="52"/>
  <c r="M51" i="52"/>
  <c r="L95" i="52"/>
  <c r="L103" i="52"/>
  <c r="L111" i="52"/>
  <c r="L119" i="52"/>
  <c r="L127" i="52"/>
  <c r="L135" i="52"/>
  <c r="L143" i="52"/>
  <c r="L151" i="52"/>
  <c r="L159" i="52"/>
  <c r="L167" i="52"/>
  <c r="M171" i="52"/>
  <c r="M178" i="52"/>
  <c r="L182" i="52"/>
  <c r="M194" i="52"/>
  <c r="L198" i="52"/>
  <c r="M200" i="52"/>
  <c r="M221" i="52"/>
  <c r="L233" i="52"/>
  <c r="M258" i="52"/>
  <c r="M266" i="52"/>
  <c r="L321" i="52"/>
  <c r="M327" i="52"/>
  <c r="L333" i="52"/>
  <c r="L335" i="52"/>
  <c r="L368" i="52"/>
  <c r="L384" i="52"/>
  <c r="M13" i="52"/>
  <c r="M32" i="52"/>
  <c r="M49" i="52"/>
  <c r="M70" i="52"/>
  <c r="M78" i="52"/>
  <c r="M111" i="52"/>
  <c r="M127" i="52"/>
  <c r="M143" i="52"/>
  <c r="M159" i="52"/>
  <c r="M169" i="52"/>
  <c r="L174" i="52"/>
  <c r="M180" i="52"/>
  <c r="M184" i="52"/>
  <c r="M196" i="52"/>
  <c r="M325" i="52"/>
  <c r="M333" i="52"/>
  <c r="M368" i="52"/>
  <c r="T15" i="37"/>
  <c r="T19" i="37"/>
  <c r="T22" i="37"/>
  <c r="L16" i="52"/>
  <c r="M22" i="52"/>
  <c r="M26" i="52"/>
  <c r="L41" i="52"/>
  <c r="M43" i="52"/>
  <c r="P45" i="52"/>
  <c r="M45" i="52" s="1"/>
  <c r="L56" i="52"/>
  <c r="L62" i="52"/>
  <c r="L66" i="52"/>
  <c r="L68" i="52"/>
  <c r="M76" i="52"/>
  <c r="L85" i="52"/>
  <c r="L91" i="52"/>
  <c r="L106" i="52"/>
  <c r="L122" i="52"/>
  <c r="L138" i="52"/>
  <c r="L154" i="52"/>
  <c r="M168" i="52"/>
  <c r="L212" i="52"/>
  <c r="M224" i="52"/>
  <c r="L255" i="52"/>
  <c r="L263" i="52"/>
  <c r="L305" i="52"/>
  <c r="P313" i="52"/>
  <c r="M313" i="52" s="1"/>
  <c r="P352" i="52"/>
  <c r="M352" i="52" s="1"/>
  <c r="P356" i="52"/>
  <c r="M356" i="52" s="1"/>
  <c r="L81" i="52"/>
  <c r="L94" i="52"/>
  <c r="L98" i="52"/>
  <c r="L102" i="52"/>
  <c r="L110" i="52"/>
  <c r="L114" i="52"/>
  <c r="L118" i="52"/>
  <c r="L126" i="52"/>
  <c r="L130" i="52"/>
  <c r="L134" i="52"/>
  <c r="L142" i="52"/>
  <c r="L146" i="52"/>
  <c r="L150" i="52"/>
  <c r="L158" i="52"/>
  <c r="L162" i="52"/>
  <c r="L166" i="52"/>
  <c r="L179" i="52"/>
  <c r="L195" i="52"/>
  <c r="L230" i="52"/>
  <c r="M239" i="52"/>
  <c r="M241" i="52"/>
  <c r="M267" i="52"/>
  <c r="M305" i="52"/>
  <c r="M309" i="52"/>
  <c r="T7" i="37"/>
  <c r="T13" i="37"/>
  <c r="T31" i="37"/>
  <c r="M10" i="52"/>
  <c r="M14" i="52"/>
  <c r="L21" i="52"/>
  <c r="L25" i="52"/>
  <c r="L29" i="52"/>
  <c r="M31" i="52"/>
  <c r="L44" i="52"/>
  <c r="M46" i="52"/>
  <c r="L69" i="52"/>
  <c r="L73" i="52"/>
  <c r="L90" i="52"/>
  <c r="L181" i="52"/>
  <c r="L197" i="52"/>
  <c r="L203" i="52"/>
  <c r="L236" i="52"/>
  <c r="L244" i="52"/>
  <c r="M316" i="52"/>
  <c r="Y170" i="41"/>
  <c r="Y162" i="41"/>
  <c r="Y154" i="41"/>
  <c r="Y146" i="41"/>
  <c r="Y138" i="41"/>
  <c r="Y130" i="41"/>
  <c r="Y122" i="41"/>
  <c r="Y114" i="41"/>
  <c r="Y106" i="41"/>
  <c r="Y98" i="41"/>
  <c r="Y74" i="41"/>
  <c r="Y12" i="41"/>
  <c r="Z14" i="41"/>
  <c r="Z21" i="41"/>
  <c r="Y21" i="41"/>
  <c r="Y28" i="41"/>
  <c r="Z30" i="41"/>
  <c r="Z37" i="41"/>
  <c r="Y37" i="41"/>
  <c r="Y44" i="41"/>
  <c r="Z46" i="41"/>
  <c r="Z53" i="41"/>
  <c r="Y53" i="41"/>
  <c r="Y60" i="41"/>
  <c r="Z69" i="41"/>
  <c r="Y69" i="41"/>
  <c r="Y76" i="41"/>
  <c r="Z85" i="41"/>
  <c r="Y85" i="41"/>
  <c r="Y92" i="41"/>
  <c r="Z101" i="41"/>
  <c r="Y101" i="41"/>
  <c r="Y108" i="41"/>
  <c r="Z117" i="41"/>
  <c r="Y117" i="41"/>
  <c r="Y124" i="41"/>
  <c r="Z133" i="41"/>
  <c r="Y133" i="41"/>
  <c r="Y140" i="41"/>
  <c r="Z149" i="41"/>
  <c r="Y149" i="41"/>
  <c r="Y156" i="41"/>
  <c r="Z165" i="41"/>
  <c r="Y165" i="41"/>
  <c r="Y172" i="41"/>
  <c r="AM23" i="3"/>
  <c r="AE23" i="3"/>
  <c r="AL26" i="3"/>
  <c r="AD26" i="3"/>
  <c r="J14" i="4"/>
  <c r="Y35" i="41"/>
  <c r="Z60" i="41"/>
  <c r="Z76" i="41"/>
  <c r="F16" i="2" s="1" a="1"/>
  <c r="F16" i="2" s="1"/>
  <c r="Y83" i="41"/>
  <c r="Z92" i="41"/>
  <c r="Z108" i="41"/>
  <c r="Z124" i="41"/>
  <c r="F19" i="2" s="1" a="1"/>
  <c r="F19" i="2" s="1"/>
  <c r="Y131" i="41"/>
  <c r="Y147" i="41"/>
  <c r="Y163" i="41"/>
  <c r="J2" i="4"/>
  <c r="AL18" i="3"/>
  <c r="AD18" i="3"/>
  <c r="Z12" i="41"/>
  <c r="Y19" i="41"/>
  <c r="Z44" i="41"/>
  <c r="Y51" i="41"/>
  <c r="Y67" i="41"/>
  <c r="Y99" i="41"/>
  <c r="Y115" i="41"/>
  <c r="Z140" i="41"/>
  <c r="Z156" i="41"/>
  <c r="Z172" i="41"/>
  <c r="Z8" i="41"/>
  <c r="Y17" i="41"/>
  <c r="Z19" i="41"/>
  <c r="Z24" i="41"/>
  <c r="Y33" i="41"/>
  <c r="Z35" i="41"/>
  <c r="F30" i="2" s="1" a="1"/>
  <c r="F30" i="2" s="1"/>
  <c r="Z40" i="41"/>
  <c r="Y49" i="41"/>
  <c r="Z51" i="41"/>
  <c r="Z56" i="41"/>
  <c r="Y65" i="41"/>
  <c r="Z67" i="41"/>
  <c r="F32" i="2" s="1" a="1"/>
  <c r="F32" i="2" s="1"/>
  <c r="Z72" i="41"/>
  <c r="Y81" i="41"/>
  <c r="Z83" i="41"/>
  <c r="Z88" i="41"/>
  <c r="Y97" i="41"/>
  <c r="Z99" i="41"/>
  <c r="Z104" i="41"/>
  <c r="Y113" i="41"/>
  <c r="Z115" i="41"/>
  <c r="Z120" i="41"/>
  <c r="F37" i="2" s="1" a="1"/>
  <c r="F37" i="2" s="1"/>
  <c r="Y129" i="41"/>
  <c r="Z131" i="41"/>
  <c r="Z136" i="41"/>
  <c r="Y145" i="41"/>
  <c r="Z147" i="41"/>
  <c r="F18" i="2" s="1" a="1"/>
  <c r="F18" i="2" s="1"/>
  <c r="Z152" i="41"/>
  <c r="Y161" i="41"/>
  <c r="Z163" i="41"/>
  <c r="Z168" i="41"/>
  <c r="U6" i="2"/>
  <c r="U5" i="2"/>
  <c r="F11" i="2" a="1"/>
  <c r="F11" i="2" s="1"/>
  <c r="AL9" i="3"/>
  <c r="AD9" i="3"/>
  <c r="J6" i="4"/>
  <c r="Q62" i="21"/>
  <c r="O62" i="21" s="1"/>
  <c r="N62" i="21"/>
  <c r="Z28" i="41"/>
  <c r="Y6" i="41"/>
  <c r="Y8" i="41"/>
  <c r="Z15" i="41"/>
  <c r="Z17" i="41"/>
  <c r="Y22" i="41"/>
  <c r="Y24" i="41"/>
  <c r="Z31" i="41"/>
  <c r="Z33" i="41"/>
  <c r="Y38" i="41"/>
  <c r="Y40" i="41"/>
  <c r="Z47" i="41"/>
  <c r="F10" i="2" s="1" a="1"/>
  <c r="F10" i="2" s="1"/>
  <c r="Z49" i="41"/>
  <c r="Y54" i="41"/>
  <c r="Y56" i="41"/>
  <c r="Z63" i="41"/>
  <c r="Z65" i="41"/>
  <c r="Y70" i="41"/>
  <c r="Y72" i="41"/>
  <c r="Z79" i="41"/>
  <c r="Z81" i="41"/>
  <c r="Y86" i="41"/>
  <c r="Y88" i="41"/>
  <c r="Z95" i="41"/>
  <c r="Z97" i="41"/>
  <c r="F22" i="2" s="1" a="1"/>
  <c r="F22" i="2" s="1"/>
  <c r="Y102" i="41"/>
  <c r="Y104" i="41"/>
  <c r="Z111" i="41"/>
  <c r="Z113" i="41"/>
  <c r="Y118" i="41"/>
  <c r="Y120" i="41"/>
  <c r="Z127" i="41"/>
  <c r="Z129" i="41"/>
  <c r="Y134" i="41"/>
  <c r="Y136" i="41"/>
  <c r="Z143" i="41"/>
  <c r="Z145" i="41"/>
  <c r="Y150" i="41"/>
  <c r="Y152" i="41"/>
  <c r="Z159" i="41"/>
  <c r="Z161" i="41"/>
  <c r="Y166" i="41"/>
  <c r="Y168" i="41"/>
  <c r="AM14" i="3"/>
  <c r="AE14" i="3"/>
  <c r="Z54" i="41"/>
  <c r="AL10" i="3"/>
  <c r="AD10" i="3"/>
  <c r="Z22" i="41"/>
  <c r="Z29" i="41"/>
  <c r="Y29" i="41"/>
  <c r="Z38" i="41"/>
  <c r="Z45" i="41"/>
  <c r="Y45" i="41"/>
  <c r="Z61" i="41"/>
  <c r="Y61" i="41"/>
  <c r="Z77" i="41"/>
  <c r="Y77" i="41"/>
  <c r="Z86" i="41"/>
  <c r="Z93" i="41"/>
  <c r="Y93" i="41"/>
  <c r="Z102" i="41"/>
  <c r="Z118" i="41"/>
  <c r="Z36" i="41"/>
  <c r="Y107" i="41"/>
  <c r="F14" i="2" a="1"/>
  <c r="F14" i="2" s="1"/>
  <c r="AL17" i="3"/>
  <c r="AD17" i="3"/>
  <c r="AM22" i="3"/>
  <c r="AE22" i="3"/>
  <c r="Z13" i="41"/>
  <c r="Y13" i="41"/>
  <c r="Z70" i="41"/>
  <c r="Z109" i="41"/>
  <c r="Y109" i="41"/>
  <c r="Z125" i="41"/>
  <c r="F13" i="2" s="1" a="1"/>
  <c r="F13" i="2" s="1"/>
  <c r="Y125" i="41"/>
  <c r="Z134" i="41"/>
  <c r="Z141" i="41"/>
  <c r="Y141" i="41"/>
  <c r="Z150" i="41"/>
  <c r="Z157" i="41"/>
  <c r="Y157" i="41"/>
  <c r="Z166" i="41"/>
  <c r="Z173" i="41"/>
  <c r="Y173" i="41"/>
  <c r="Y11" i="41"/>
  <c r="Z20" i="41"/>
  <c r="Y27" i="41"/>
  <c r="Y43" i="41"/>
  <c r="Z52" i="41"/>
  <c r="Y59" i="41"/>
  <c r="Z68" i="41"/>
  <c r="Y75" i="41"/>
  <c r="Z84" i="41"/>
  <c r="Y91" i="41"/>
  <c r="Z100" i="41"/>
  <c r="Z116" i="41"/>
  <c r="F38" i="2" s="1" a="1"/>
  <c r="F38" i="2" s="1"/>
  <c r="Y123" i="41"/>
  <c r="Z132" i="41"/>
  <c r="F25" i="2" s="1" a="1"/>
  <c r="F25" i="2" s="1"/>
  <c r="Y139" i="41"/>
  <c r="Z148" i="41"/>
  <c r="Y155" i="41"/>
  <c r="Z164" i="41"/>
  <c r="Y171" i="41"/>
  <c r="Y9" i="41"/>
  <c r="Z11" i="41"/>
  <c r="Z16" i="41"/>
  <c r="Y25" i="41"/>
  <c r="Z27" i="41"/>
  <c r="Z32" i="41"/>
  <c r="Y41" i="41"/>
  <c r="Z43" i="41"/>
  <c r="Z48" i="41"/>
  <c r="Y57" i="41"/>
  <c r="Z59" i="41"/>
  <c r="Z64" i="41"/>
  <c r="Y73" i="41"/>
  <c r="Z75" i="41"/>
  <c r="F23" i="2" s="1" a="1"/>
  <c r="F23" i="2" s="1"/>
  <c r="Z80" i="41"/>
  <c r="Y89" i="41"/>
  <c r="Z91" i="41"/>
  <c r="Z96" i="41"/>
  <c r="Y105" i="41"/>
  <c r="Z107" i="41"/>
  <c r="Z112" i="41"/>
  <c r="F28" i="2" s="1" a="1"/>
  <c r="F28" i="2" s="1"/>
  <c r="Y121" i="41"/>
  <c r="Z123" i="41"/>
  <c r="F24" i="2" s="1" a="1"/>
  <c r="F24" i="2" s="1"/>
  <c r="Z128" i="41"/>
  <c r="F21" i="2" s="1" a="1"/>
  <c r="F21" i="2" s="1"/>
  <c r="Y137" i="41"/>
  <c r="Z139" i="41"/>
  <c r="Z144" i="41"/>
  <c r="F20" i="2" s="1" a="1"/>
  <c r="F20" i="2" s="1"/>
  <c r="Y153" i="41"/>
  <c r="Z155" i="41"/>
  <c r="Z160" i="41"/>
  <c r="Y169" i="41"/>
  <c r="Z171" i="41"/>
  <c r="F17" i="2" a="1"/>
  <c r="F17" i="2" s="1"/>
  <c r="AM15" i="3"/>
  <c r="AE15" i="3"/>
  <c r="AL25" i="3"/>
  <c r="AD25" i="3"/>
  <c r="AE24" i="3"/>
  <c r="AD27" i="3"/>
  <c r="F12" i="2" a="1"/>
  <c r="F12" i="2" s="1"/>
  <c r="J10" i="4"/>
  <c r="Y18" i="41"/>
  <c r="Y26" i="41"/>
  <c r="Y34" i="41"/>
  <c r="Y42" i="41"/>
  <c r="Y50" i="41"/>
  <c r="Y58" i="41"/>
  <c r="Y66" i="41"/>
  <c r="Y82" i="41"/>
  <c r="Y90" i="41"/>
  <c r="AD5" i="3"/>
  <c r="AD7" i="3"/>
  <c r="AE9" i="3"/>
  <c r="AD12" i="3"/>
  <c r="AE17" i="3"/>
  <c r="AD20" i="3"/>
  <c r="AE25" i="3"/>
  <c r="AD28" i="3"/>
  <c r="Y7" i="41"/>
  <c r="Z10" i="41"/>
  <c r="Y15" i="41"/>
  <c r="Z18" i="41"/>
  <c r="Y23" i="41"/>
  <c r="Z26" i="41"/>
  <c r="Y31" i="41"/>
  <c r="Z34" i="41"/>
  <c r="Y39" i="41"/>
  <c r="Z42" i="41"/>
  <c r="F27" i="2" s="1" a="1"/>
  <c r="F27" i="2" s="1"/>
  <c r="Y47" i="41"/>
  <c r="Z50" i="41"/>
  <c r="Y55" i="41"/>
  <c r="Z58" i="41"/>
  <c r="Y63" i="41"/>
  <c r="Z66" i="41"/>
  <c r="Y71" i="41"/>
  <c r="Z74" i="41"/>
  <c r="Y79" i="41"/>
  <c r="Z82" i="41"/>
  <c r="Y87" i="41"/>
  <c r="Z90" i="41"/>
  <c r="Y95" i="41"/>
  <c r="Z98" i="41"/>
  <c r="Y103" i="41"/>
  <c r="Z106" i="41"/>
  <c r="Y111" i="41"/>
  <c r="Z114" i="41"/>
  <c r="F34" i="2" s="1" a="1"/>
  <c r="F34" i="2" s="1"/>
  <c r="Y119" i="41"/>
  <c r="Z122" i="41"/>
  <c r="F35" i="2" s="1" a="1"/>
  <c r="F35" i="2" s="1"/>
  <c r="Y127" i="41"/>
  <c r="Z130" i="41"/>
  <c r="Y135" i="41"/>
  <c r="Z138" i="41"/>
  <c r="Y143" i="41"/>
  <c r="Z146" i="41"/>
  <c r="Y151" i="41"/>
  <c r="Z154" i="41"/>
  <c r="Y159" i="41"/>
  <c r="Z162" i="41"/>
  <c r="Y167" i="41"/>
  <c r="Z170" i="41"/>
  <c r="F39" i="2" s="1" a="1"/>
  <c r="F39" i="2" s="1"/>
  <c r="AE5" i="3"/>
  <c r="AE7" i="3"/>
  <c r="AE12" i="3"/>
  <c r="AD15" i="3"/>
  <c r="AE20" i="3"/>
  <c r="AD23" i="3"/>
  <c r="AE28" i="3"/>
  <c r="AM30" i="3"/>
  <c r="AE30" i="3"/>
  <c r="Y10" i="41"/>
  <c r="Q244" i="21"/>
  <c r="O244" i="21" s="1"/>
  <c r="N244" i="21"/>
  <c r="AE34" i="3"/>
  <c r="AD33" i="3"/>
  <c r="N17" i="21"/>
  <c r="Q17" i="21"/>
  <c r="O17" i="21" s="1"/>
  <c r="M17" i="21"/>
  <c r="B2" i="21"/>
  <c r="Q1" i="21"/>
  <c r="Q52" i="21"/>
  <c r="O52" i="21" s="1"/>
  <c r="N52" i="21"/>
  <c r="X10" i="21"/>
  <c r="Q36" i="21"/>
  <c r="O36" i="21" s="1"/>
  <c r="N36" i="21"/>
  <c r="Q42" i="21"/>
  <c r="O42" i="21" s="1"/>
  <c r="N42" i="21"/>
  <c r="Q54" i="21"/>
  <c r="O54" i="21" s="1"/>
  <c r="N54" i="21"/>
  <c r="M54" i="21"/>
  <c r="Q56" i="21"/>
  <c r="O56" i="21" s="1"/>
  <c r="N56" i="21"/>
  <c r="Q60" i="21"/>
  <c r="O60" i="21" s="1"/>
  <c r="N60" i="21"/>
  <c r="Q68" i="21"/>
  <c r="O68" i="21" s="1"/>
  <c r="N68" i="21"/>
  <c r="M68" i="21"/>
  <c r="Q70" i="21"/>
  <c r="O70" i="21" s="1"/>
  <c r="N70" i="21"/>
  <c r="Q80" i="21"/>
  <c r="O80" i="21" s="1"/>
  <c r="N80" i="21"/>
  <c r="Q84" i="21"/>
  <c r="O84" i="21" s="1"/>
  <c r="N84" i="21"/>
  <c r="Q90" i="21"/>
  <c r="O90" i="21" s="1"/>
  <c r="N90" i="21"/>
  <c r="M90" i="21"/>
  <c r="Q92" i="21"/>
  <c r="O92" i="21" s="1"/>
  <c r="N92" i="21"/>
  <c r="N276" i="21"/>
  <c r="Q276" i="21"/>
  <c r="O276" i="21" s="1"/>
  <c r="M351" i="21"/>
  <c r="Q351" i="21"/>
  <c r="O351" i="21" s="1"/>
  <c r="N351" i="21"/>
  <c r="N11" i="21"/>
  <c r="Q11" i="21"/>
  <c r="O11" i="21" s="1"/>
  <c r="Q26" i="21"/>
  <c r="O26" i="21" s="1"/>
  <c r="N26" i="21"/>
  <c r="I2" i="21" s="1"/>
  <c r="M26" i="21"/>
  <c r="Q66" i="21"/>
  <c r="O66" i="21" s="1"/>
  <c r="N66" i="21"/>
  <c r="M66" i="21"/>
  <c r="Q86" i="21"/>
  <c r="O86" i="21" s="1"/>
  <c r="N86" i="21"/>
  <c r="Q88" i="21"/>
  <c r="O88" i="21" s="1"/>
  <c r="N88" i="21"/>
  <c r="M88" i="21"/>
  <c r="N13" i="21"/>
  <c r="Q13" i="21"/>
  <c r="O13" i="21" s="1"/>
  <c r="J2" i="21" s="1"/>
  <c r="Q28" i="21"/>
  <c r="O28" i="21" s="1"/>
  <c r="N28" i="21"/>
  <c r="Q38" i="21"/>
  <c r="O38" i="21" s="1"/>
  <c r="N38" i="21"/>
  <c r="Q44" i="21"/>
  <c r="O44" i="21" s="1"/>
  <c r="N44" i="21"/>
  <c r="Q46" i="21"/>
  <c r="O46" i="21" s="1"/>
  <c r="N46" i="21"/>
  <c r="M46" i="21"/>
  <c r="Q64" i="21"/>
  <c r="O64" i="21" s="1"/>
  <c r="N64" i="21"/>
  <c r="N217" i="21"/>
  <c r="U217" i="21"/>
  <c r="L217" i="21"/>
  <c r="N280" i="21"/>
  <c r="Q280" i="21"/>
  <c r="O280" i="21" s="1"/>
  <c r="U309" i="21"/>
  <c r="X309" i="21" s="1"/>
  <c r="L309" i="21"/>
  <c r="N376" i="21"/>
  <c r="Q376" i="21"/>
  <c r="O376" i="21" s="1"/>
  <c r="Q30" i="21"/>
  <c r="O30" i="21" s="1"/>
  <c r="N30" i="21"/>
  <c r="Q48" i="21"/>
  <c r="O48" i="21" s="1"/>
  <c r="N48" i="21"/>
  <c r="Q219" i="21"/>
  <c r="O219" i="21" s="1"/>
  <c r="N219" i="21"/>
  <c r="M219" i="21"/>
  <c r="U224" i="21"/>
  <c r="N224" i="21"/>
  <c r="L224" i="21"/>
  <c r="O282" i="21"/>
  <c r="N19" i="21"/>
  <c r="Q19" i="21"/>
  <c r="O19" i="21" s="1"/>
  <c r="Q74" i="21"/>
  <c r="O74" i="21" s="1"/>
  <c r="N74" i="21"/>
  <c r="M74" i="21"/>
  <c r="H5" i="21"/>
  <c r="N15" i="21"/>
  <c r="Q15" i="21"/>
  <c r="O15" i="21" s="1"/>
  <c r="Q40" i="21"/>
  <c r="O40" i="21" s="1"/>
  <c r="N40" i="21"/>
  <c r="Q76" i="21"/>
  <c r="O76" i="21" s="1"/>
  <c r="N76" i="21"/>
  <c r="Q316" i="21"/>
  <c r="O316" i="21" s="1"/>
  <c r="N316" i="21"/>
  <c r="M316" i="21"/>
  <c r="Q32" i="21"/>
  <c r="O32" i="21" s="1"/>
  <c r="N32" i="21"/>
  <c r="Q34" i="21"/>
  <c r="O34" i="21" s="1"/>
  <c r="N34" i="21"/>
  <c r="M34" i="21"/>
  <c r="Q50" i="21"/>
  <c r="O50" i="21" s="1"/>
  <c r="N50" i="21"/>
  <c r="Q58" i="21"/>
  <c r="O58" i="21" s="1"/>
  <c r="N58" i="21"/>
  <c r="M58" i="21"/>
  <c r="Q72" i="21"/>
  <c r="O72" i="21" s="1"/>
  <c r="N72" i="21"/>
  <c r="M72" i="21"/>
  <c r="Q78" i="21"/>
  <c r="O78" i="21" s="1"/>
  <c r="N78" i="21"/>
  <c r="Q82" i="21"/>
  <c r="O82" i="21" s="1"/>
  <c r="N82" i="21"/>
  <c r="M82" i="21"/>
  <c r="Q94" i="21"/>
  <c r="O94" i="21" s="1"/>
  <c r="N94" i="21"/>
  <c r="M94" i="21"/>
  <c r="Q96" i="21"/>
  <c r="O96" i="21" s="1"/>
  <c r="N96" i="21"/>
  <c r="H4" i="21"/>
  <c r="N25" i="21"/>
  <c r="M3" i="21" s="1"/>
  <c r="X3" i="2" s="1"/>
  <c r="N29" i="21"/>
  <c r="N33" i="21"/>
  <c r="N35" i="21"/>
  <c r="N41" i="21"/>
  <c r="N45" i="21"/>
  <c r="N53" i="21"/>
  <c r="N55" i="21"/>
  <c r="N57" i="21"/>
  <c r="N61" i="21"/>
  <c r="N65" i="21"/>
  <c r="N67" i="21"/>
  <c r="N69" i="21"/>
  <c r="N71" i="21"/>
  <c r="N73" i="21"/>
  <c r="N77" i="21"/>
  <c r="N79" i="21"/>
  <c r="N81" i="21"/>
  <c r="N89" i="21"/>
  <c r="N91" i="21"/>
  <c r="N93" i="21"/>
  <c r="N95" i="21"/>
  <c r="Q221" i="21"/>
  <c r="O221" i="21" s="1"/>
  <c r="N225" i="21"/>
  <c r="N228" i="21"/>
  <c r="N232" i="21"/>
  <c r="N236" i="21"/>
  <c r="N268" i="21"/>
  <c r="M268" i="21"/>
  <c r="Q293" i="21"/>
  <c r="O293" i="21" s="1"/>
  <c r="Q297" i="21"/>
  <c r="O297" i="21" s="1"/>
  <c r="U317" i="21"/>
  <c r="X317" i="21" s="1"/>
  <c r="L317" i="21"/>
  <c r="M320" i="21"/>
  <c r="Q348" i="21"/>
  <c r="O348" i="21" s="1"/>
  <c r="N348" i="21"/>
  <c r="M348" i="21"/>
  <c r="N355" i="21"/>
  <c r="Q355" i="21"/>
  <c r="O355" i="21" s="1"/>
  <c r="M366" i="21"/>
  <c r="Q366" i="21"/>
  <c r="O366" i="21" s="1"/>
  <c r="N513" i="21"/>
  <c r="Q513" i="21"/>
  <c r="O513" i="21" s="1"/>
  <c r="M10" i="21"/>
  <c r="M12" i="21"/>
  <c r="M20" i="21"/>
  <c r="Q21" i="21"/>
  <c r="O21" i="21" s="1"/>
  <c r="Q23" i="21"/>
  <c r="O23" i="21" s="1"/>
  <c r="N3" i="21" s="1"/>
  <c r="Z3" i="2" s="1"/>
  <c r="M24" i="21"/>
  <c r="L26" i="21"/>
  <c r="L7" i="21" s="1"/>
  <c r="L34" i="21"/>
  <c r="L46" i="21"/>
  <c r="L54" i="21"/>
  <c r="L58" i="21"/>
  <c r="L66" i="21"/>
  <c r="L68" i="21"/>
  <c r="L72" i="21"/>
  <c r="L74" i="21"/>
  <c r="L82" i="21"/>
  <c r="L88" i="21"/>
  <c r="L90" i="21"/>
  <c r="L94" i="21"/>
  <c r="U3" i="2" s="1"/>
  <c r="M98" i="21"/>
  <c r="Q99" i="21"/>
  <c r="O99" i="21" s="1"/>
  <c r="M100" i="21"/>
  <c r="Q101" i="21"/>
  <c r="O101" i="21" s="1"/>
  <c r="N104" i="21"/>
  <c r="N106" i="21"/>
  <c r="N108" i="21"/>
  <c r="N110" i="21"/>
  <c r="N112" i="21"/>
  <c r="N114" i="21"/>
  <c r="N116" i="21"/>
  <c r="N118" i="21"/>
  <c r="N120" i="21"/>
  <c r="N122" i="21"/>
  <c r="N124" i="21"/>
  <c r="N126" i="21"/>
  <c r="N128" i="21"/>
  <c r="N130" i="21"/>
  <c r="N132" i="21"/>
  <c r="N134" i="21"/>
  <c r="N136" i="21"/>
  <c r="N138" i="21"/>
  <c r="N140" i="21"/>
  <c r="N142" i="21"/>
  <c r="N144" i="21"/>
  <c r="N146" i="21"/>
  <c r="N148" i="21"/>
  <c r="N150" i="21"/>
  <c r="N152" i="21"/>
  <c r="N154" i="21"/>
  <c r="N156" i="21"/>
  <c r="N158" i="21"/>
  <c r="N160" i="21"/>
  <c r="N162" i="21"/>
  <c r="N164" i="21"/>
  <c r="N166" i="21"/>
  <c r="N168" i="21"/>
  <c r="N170" i="21"/>
  <c r="N172" i="21"/>
  <c r="N174" i="21"/>
  <c r="N176" i="21"/>
  <c r="N178" i="21"/>
  <c r="N180" i="21"/>
  <c r="N182" i="21"/>
  <c r="N184" i="21"/>
  <c r="N186" i="21"/>
  <c r="N188" i="21"/>
  <c r="N190" i="21"/>
  <c r="N192" i="21"/>
  <c r="N194" i="21"/>
  <c r="N196" i="21"/>
  <c r="N198" i="21"/>
  <c r="N200" i="21"/>
  <c r="N202" i="21"/>
  <c r="N204" i="21"/>
  <c r="N206" i="21"/>
  <c r="N208" i="21"/>
  <c r="N210" i="21"/>
  <c r="N212" i="21"/>
  <c r="N214" i="21"/>
  <c r="N216" i="21"/>
  <c r="Q217" i="21"/>
  <c r="O217" i="21" s="1"/>
  <c r="N4" i="21" s="1"/>
  <c r="L221" i="21"/>
  <c r="Q222" i="21"/>
  <c r="O222" i="21" s="1"/>
  <c r="N227" i="21"/>
  <c r="Q228" i="21"/>
  <c r="O228" i="21" s="1"/>
  <c r="L249" i="21"/>
  <c r="Q259" i="21"/>
  <c r="O259" i="21" s="1"/>
  <c r="Q260" i="21"/>
  <c r="O260" i="21" s="1"/>
  <c r="Q263" i="21"/>
  <c r="O263" i="21" s="1"/>
  <c r="N270" i="21"/>
  <c r="M270" i="21"/>
  <c r="Q271" i="21"/>
  <c r="O271" i="21" s="1"/>
  <c r="Q272" i="21"/>
  <c r="O272" i="21" s="1"/>
  <c r="Q289" i="21"/>
  <c r="O289" i="21" s="1"/>
  <c r="Q290" i="21"/>
  <c r="O290" i="21" s="1"/>
  <c r="U298" i="21"/>
  <c r="X298" i="21" s="1"/>
  <c r="M301" i="21"/>
  <c r="N301" i="21"/>
  <c r="Q306" i="21"/>
  <c r="O306" i="21" s="1"/>
  <c r="N306" i="21"/>
  <c r="M306" i="21"/>
  <c r="M309" i="21"/>
  <c r="Q309" i="21"/>
  <c r="O309" i="21" s="1"/>
  <c r="N309" i="21"/>
  <c r="Q324" i="21"/>
  <c r="O324" i="21" s="1"/>
  <c r="N324" i="21"/>
  <c r="O331" i="21"/>
  <c r="Q335" i="21"/>
  <c r="O335" i="21" s="1"/>
  <c r="N335" i="21"/>
  <c r="N339" i="21"/>
  <c r="Q512" i="21"/>
  <c r="O512" i="21" s="1"/>
  <c r="N512" i="21"/>
  <c r="F7" i="21"/>
  <c r="L219" i="21"/>
  <c r="M221" i="21"/>
  <c r="Q241" i="21"/>
  <c r="O241" i="21" s="1"/>
  <c r="Q245" i="21"/>
  <c r="O245" i="21" s="1"/>
  <c r="U253" i="21"/>
  <c r="X253" i="21" s="1"/>
  <c r="Q255" i="21"/>
  <c r="O255" i="21" s="1"/>
  <c r="N264" i="21"/>
  <c r="M264" i="21"/>
  <c r="Q265" i="21"/>
  <c r="O265" i="21" s="1"/>
  <c r="Q277" i="21"/>
  <c r="O277" i="21" s="1"/>
  <c r="Q281" i="21"/>
  <c r="O281" i="21" s="1"/>
  <c r="Q300" i="21"/>
  <c r="O300" i="21" s="1"/>
  <c r="N300" i="21"/>
  <c r="U321" i="21"/>
  <c r="X321" i="21" s="1"/>
  <c r="L321" i="21"/>
  <c r="U325" i="21"/>
  <c r="X325" i="21" s="1"/>
  <c r="L325" i="21"/>
  <c r="N341" i="21"/>
  <c r="Q359" i="21"/>
  <c r="O359" i="21" s="1"/>
  <c r="N359" i="21"/>
  <c r="M359" i="21"/>
  <c r="N360" i="21"/>
  <c r="Q360" i="21"/>
  <c r="O360" i="21" s="1"/>
  <c r="N282" i="21"/>
  <c r="M282" i="21"/>
  <c r="Q314" i="21"/>
  <c r="O314" i="21" s="1"/>
  <c r="N314" i="21"/>
  <c r="N381" i="21"/>
  <c r="Q381" i="21"/>
  <c r="O381" i="21" s="1"/>
  <c r="N386" i="21"/>
  <c r="L386" i="21"/>
  <c r="N392" i="21"/>
  <c r="M392" i="21"/>
  <c r="Q392" i="21"/>
  <c r="O392" i="21" s="1"/>
  <c r="Q532" i="21"/>
  <c r="O532" i="21" s="1"/>
  <c r="N532" i="21"/>
  <c r="Q564" i="21"/>
  <c r="O564" i="21" s="1"/>
  <c r="N564" i="21"/>
  <c r="Q596" i="21"/>
  <c r="O596" i="21" s="1"/>
  <c r="N596" i="21"/>
  <c r="Q628" i="21"/>
  <c r="O628" i="21" s="1"/>
  <c r="N628" i="21"/>
  <c r="Q660" i="21"/>
  <c r="O660" i="21" s="1"/>
  <c r="N660" i="21"/>
  <c r="Q692" i="21"/>
  <c r="O692" i="21" s="1"/>
  <c r="N692" i="21"/>
  <c r="Q247" i="21"/>
  <c r="O247" i="21" s="1"/>
  <c r="Q248" i="21"/>
  <c r="O248" i="21" s="1"/>
  <c r="Q257" i="21"/>
  <c r="O257" i="21" s="1"/>
  <c r="N284" i="21"/>
  <c r="M284" i="21"/>
  <c r="Q285" i="21"/>
  <c r="O285" i="21" s="1"/>
  <c r="L298" i="21"/>
  <c r="Q332" i="21"/>
  <c r="O332" i="21" s="1"/>
  <c r="N332" i="21"/>
  <c r="Q337" i="21"/>
  <c r="O337" i="21" s="1"/>
  <c r="U342" i="21"/>
  <c r="X342" i="21" s="1"/>
  <c r="L342" i="21"/>
  <c r="U345" i="21"/>
  <c r="X345" i="21" s="1"/>
  <c r="L345" i="21"/>
  <c r="U353" i="21"/>
  <c r="L353" i="21"/>
  <c r="N353" i="21"/>
  <c r="Q362" i="21"/>
  <c r="O362" i="21" s="1"/>
  <c r="N362" i="21"/>
  <c r="N366" i="21"/>
  <c r="N368" i="21"/>
  <c r="Q368" i="21"/>
  <c r="O368" i="21" s="1"/>
  <c r="M368" i="21"/>
  <c r="N286" i="21"/>
  <c r="M286" i="21"/>
  <c r="Q342" i="21"/>
  <c r="O342" i="21" s="1"/>
  <c r="N342" i="21"/>
  <c r="M342" i="21"/>
  <c r="Q346" i="21"/>
  <c r="O346" i="21" s="1"/>
  <c r="N346" i="21"/>
  <c r="U349" i="21"/>
  <c r="L349" i="21"/>
  <c r="N349" i="21"/>
  <c r="Q391" i="21"/>
  <c r="O391" i="21" s="1"/>
  <c r="N391" i="21"/>
  <c r="N397" i="21"/>
  <c r="Q397" i="21"/>
  <c r="O397" i="21" s="1"/>
  <c r="M397" i="21"/>
  <c r="Q223" i="21"/>
  <c r="O223" i="21" s="1"/>
  <c r="M225" i="21"/>
  <c r="N240" i="21"/>
  <c r="Q249" i="21"/>
  <c r="O249" i="21" s="1"/>
  <c r="L251" i="21"/>
  <c r="N254" i="21"/>
  <c r="Q267" i="21"/>
  <c r="O267" i="21" s="1"/>
  <c r="N274" i="21"/>
  <c r="M274" i="21"/>
  <c r="Q275" i="21"/>
  <c r="O275" i="21" s="1"/>
  <c r="Q279" i="21"/>
  <c r="O279" i="21" s="1"/>
  <c r="N292" i="21"/>
  <c r="M292" i="21"/>
  <c r="N325" i="21"/>
  <c r="Q352" i="21"/>
  <c r="O352" i="21" s="1"/>
  <c r="N352" i="21"/>
  <c r="M352" i="21"/>
  <c r="Q367" i="21"/>
  <c r="O367" i="21" s="1"/>
  <c r="N367" i="21"/>
  <c r="M367" i="21"/>
  <c r="Q507" i="21"/>
  <c r="O507" i="21" s="1"/>
  <c r="Q523" i="21"/>
  <c r="O523" i="21" s="1"/>
  <c r="Q528" i="21"/>
  <c r="O528" i="21" s="1"/>
  <c r="N528" i="21"/>
  <c r="Q560" i="21"/>
  <c r="O560" i="21" s="1"/>
  <c r="N560" i="21"/>
  <c r="Q592" i="21"/>
  <c r="O592" i="21" s="1"/>
  <c r="N592" i="21"/>
  <c r="Q624" i="21"/>
  <c r="O624" i="21" s="1"/>
  <c r="N624" i="21"/>
  <c r="Q656" i="21"/>
  <c r="O656" i="21" s="1"/>
  <c r="N656" i="21"/>
  <c r="Q688" i="21"/>
  <c r="O688" i="21" s="1"/>
  <c r="N688" i="21"/>
  <c r="Q720" i="21"/>
  <c r="O720" i="21" s="1"/>
  <c r="N720" i="21"/>
  <c r="Q725" i="21"/>
  <c r="O725" i="21" s="1"/>
  <c r="N725" i="21"/>
  <c r="Q227" i="21"/>
  <c r="O227" i="21" s="1"/>
  <c r="Q229" i="21"/>
  <c r="O229" i="21" s="1"/>
  <c r="Q231" i="21"/>
  <c r="O231" i="21" s="1"/>
  <c r="Q233" i="21"/>
  <c r="O233" i="21" s="1"/>
  <c r="Q235" i="21"/>
  <c r="O235" i="21" s="1"/>
  <c r="Q237" i="21"/>
  <c r="O237" i="21" s="1"/>
  <c r="Q239" i="21"/>
  <c r="O239" i="21" s="1"/>
  <c r="Q302" i="21"/>
  <c r="O302" i="21" s="1"/>
  <c r="L306" i="21"/>
  <c r="Q312" i="21"/>
  <c r="O312" i="21" s="1"/>
  <c r="Q313" i="21"/>
  <c r="O313" i="21" s="1"/>
  <c r="N317" i="21"/>
  <c r="U319" i="21"/>
  <c r="X319" i="21" s="1"/>
  <c r="L319" i="21"/>
  <c r="N321" i="21"/>
  <c r="Q340" i="21"/>
  <c r="O340" i="21" s="1"/>
  <c r="U343" i="21"/>
  <c r="X343" i="21" s="1"/>
  <c r="L343" i="21"/>
  <c r="N345" i="21"/>
  <c r="L348" i="21"/>
  <c r="L352" i="21"/>
  <c r="N370" i="21"/>
  <c r="N383" i="21"/>
  <c r="Q386" i="21"/>
  <c r="O386" i="21" s="1"/>
  <c r="N387" i="21"/>
  <c r="M387" i="21"/>
  <c r="N399" i="21"/>
  <c r="Q403" i="21"/>
  <c r="O403" i="21" s="1"/>
  <c r="N404" i="21"/>
  <c r="N407" i="21"/>
  <c r="Q411" i="21"/>
  <c r="O411" i="21" s="1"/>
  <c r="N412" i="21"/>
  <c r="N415" i="21"/>
  <c r="Q419" i="21"/>
  <c r="O419" i="21" s="1"/>
  <c r="N420" i="21"/>
  <c r="N423" i="21"/>
  <c r="Q427" i="21"/>
  <c r="O427" i="21" s="1"/>
  <c r="N428" i="21"/>
  <c r="N431" i="21"/>
  <c r="Q435" i="21"/>
  <c r="O435" i="21" s="1"/>
  <c r="N436" i="21"/>
  <c r="N439" i="21"/>
  <c r="Q443" i="21"/>
  <c r="O443" i="21" s="1"/>
  <c r="N444" i="21"/>
  <c r="N447" i="21"/>
  <c r="Q451" i="21"/>
  <c r="O451" i="21" s="1"/>
  <c r="N452" i="21"/>
  <c r="N455" i="21"/>
  <c r="Q459" i="21"/>
  <c r="O459" i="21" s="1"/>
  <c r="N460" i="21"/>
  <c r="N463" i="21"/>
  <c r="Q467" i="21"/>
  <c r="O467" i="21" s="1"/>
  <c r="N468" i="21"/>
  <c r="N471" i="21"/>
  <c r="Q475" i="21"/>
  <c r="O475" i="21" s="1"/>
  <c r="N476" i="21"/>
  <c r="N479" i="21"/>
  <c r="Q483" i="21"/>
  <c r="O483" i="21" s="1"/>
  <c r="N484" i="21"/>
  <c r="N487" i="21"/>
  <c r="Q491" i="21"/>
  <c r="O491" i="21" s="1"/>
  <c r="N492" i="21"/>
  <c r="N495" i="21"/>
  <c r="Q499" i="21"/>
  <c r="O499" i="21" s="1"/>
  <c r="N500" i="21"/>
  <c r="Q511" i="21"/>
  <c r="O511" i="21" s="1"/>
  <c r="Q531" i="21"/>
  <c r="O531" i="21" s="1"/>
  <c r="Q536" i="21"/>
  <c r="O536" i="21" s="1"/>
  <c r="N536" i="21"/>
  <c r="N537" i="21"/>
  <c r="Q568" i="21"/>
  <c r="O568" i="21" s="1"/>
  <c r="N568" i="21"/>
  <c r="N569" i="21"/>
  <c r="Q600" i="21"/>
  <c r="O600" i="21" s="1"/>
  <c r="N600" i="21"/>
  <c r="Q632" i="21"/>
  <c r="O632" i="21" s="1"/>
  <c r="N632" i="21"/>
  <c r="Q664" i="21"/>
  <c r="O664" i="21" s="1"/>
  <c r="N664" i="21"/>
  <c r="Q696" i="21"/>
  <c r="O696" i="21" s="1"/>
  <c r="N696" i="21"/>
  <c r="U313" i="21"/>
  <c r="X313" i="21" s="1"/>
  <c r="L313" i="21"/>
  <c r="Q329" i="21"/>
  <c r="O329" i="21" s="1"/>
  <c r="Q374" i="21"/>
  <c r="O374" i="21" s="1"/>
  <c r="Q389" i="21"/>
  <c r="O389" i="21" s="1"/>
  <c r="Q505" i="21"/>
  <c r="O505" i="21" s="1"/>
  <c r="Q516" i="21"/>
  <c r="O516" i="21" s="1"/>
  <c r="N516" i="21"/>
  <c r="Q521" i="21"/>
  <c r="O521" i="21" s="1"/>
  <c r="Q535" i="21"/>
  <c r="O535" i="21" s="1"/>
  <c r="Q540" i="21"/>
  <c r="O540" i="21" s="1"/>
  <c r="N540" i="21"/>
  <c r="Q572" i="21"/>
  <c r="O572" i="21" s="1"/>
  <c r="N572" i="21"/>
  <c r="Q604" i="21"/>
  <c r="O604" i="21" s="1"/>
  <c r="N604" i="21"/>
  <c r="Q636" i="21"/>
  <c r="O636" i="21" s="1"/>
  <c r="N636" i="21"/>
  <c r="Q668" i="21"/>
  <c r="O668" i="21" s="1"/>
  <c r="N668" i="21"/>
  <c r="Q700" i="21"/>
  <c r="O700" i="21" s="1"/>
  <c r="N700" i="21"/>
  <c r="Q326" i="21"/>
  <c r="O326" i="21" s="1"/>
  <c r="U329" i="21"/>
  <c r="X329" i="21" s="1"/>
  <c r="L329" i="21"/>
  <c r="Q336" i="21"/>
  <c r="O336" i="21" s="1"/>
  <c r="Q350" i="21"/>
  <c r="O350" i="21" s="1"/>
  <c r="Q354" i="21"/>
  <c r="O354" i="21" s="1"/>
  <c r="Q394" i="21"/>
  <c r="O394" i="21" s="1"/>
  <c r="Q395" i="21"/>
  <c r="O395" i="21" s="1"/>
  <c r="Q400" i="21"/>
  <c r="O400" i="21" s="1"/>
  <c r="Q408" i="21"/>
  <c r="O408" i="21" s="1"/>
  <c r="Q416" i="21"/>
  <c r="O416" i="21" s="1"/>
  <c r="Q424" i="21"/>
  <c r="O424" i="21" s="1"/>
  <c r="Q432" i="21"/>
  <c r="O432" i="21" s="1"/>
  <c r="Q440" i="21"/>
  <c r="O440" i="21" s="1"/>
  <c r="Q515" i="21"/>
  <c r="O515" i="21" s="1"/>
  <c r="Q539" i="21"/>
  <c r="O539" i="21" s="1"/>
  <c r="Q544" i="21"/>
  <c r="O544" i="21" s="1"/>
  <c r="N544" i="21"/>
  <c r="Q576" i="21"/>
  <c r="O576" i="21" s="1"/>
  <c r="N576" i="21"/>
  <c r="Q608" i="21"/>
  <c r="O608" i="21" s="1"/>
  <c r="N608" i="21"/>
  <c r="Q640" i="21"/>
  <c r="O640" i="21" s="1"/>
  <c r="N640" i="21"/>
  <c r="Q672" i="21"/>
  <c r="O672" i="21" s="1"/>
  <c r="N672" i="21"/>
  <c r="Q704" i="21"/>
  <c r="O704" i="21" s="1"/>
  <c r="N704" i="21"/>
  <c r="Q334" i="21"/>
  <c r="O334" i="21" s="1"/>
  <c r="Q344" i="21"/>
  <c r="O344" i="21" s="1"/>
  <c r="U351" i="21"/>
  <c r="L351" i="21"/>
  <c r="Q378" i="21"/>
  <c r="O378" i="21" s="1"/>
  <c r="Q504" i="21"/>
  <c r="O504" i="21" s="1"/>
  <c r="N504" i="21"/>
  <c r="Q520" i="21"/>
  <c r="O520" i="21" s="1"/>
  <c r="N520" i="21"/>
  <c r="Q548" i="21"/>
  <c r="O548" i="21" s="1"/>
  <c r="N548" i="21"/>
  <c r="Q580" i="21"/>
  <c r="O580" i="21" s="1"/>
  <c r="N580" i="21"/>
  <c r="Q612" i="21"/>
  <c r="O612" i="21" s="1"/>
  <c r="N612" i="21"/>
  <c r="Q644" i="21"/>
  <c r="O644" i="21" s="1"/>
  <c r="N644" i="21"/>
  <c r="Q676" i="21"/>
  <c r="O676" i="21" s="1"/>
  <c r="N676" i="21"/>
  <c r="Q708" i="21"/>
  <c r="O708" i="21" s="1"/>
  <c r="N708" i="21"/>
  <c r="N379" i="21"/>
  <c r="M2" i="21" s="1"/>
  <c r="X2" i="2" s="1"/>
  <c r="M379" i="21"/>
  <c r="N384" i="21"/>
  <c r="M384" i="21"/>
  <c r="N448" i="21"/>
  <c r="N456" i="21"/>
  <c r="N464" i="21"/>
  <c r="N472" i="21"/>
  <c r="N480" i="21"/>
  <c r="N488" i="21"/>
  <c r="N496" i="21"/>
  <c r="Q552" i="21"/>
  <c r="O552" i="21" s="1"/>
  <c r="N552" i="21"/>
  <c r="N553" i="21"/>
  <c r="Q584" i="21"/>
  <c r="O584" i="21" s="1"/>
  <c r="N584" i="21"/>
  <c r="N585" i="21"/>
  <c r="Q616" i="21"/>
  <c r="O616" i="21" s="1"/>
  <c r="N616" i="21"/>
  <c r="Q648" i="21"/>
  <c r="O648" i="21" s="1"/>
  <c r="N648" i="21"/>
  <c r="Q680" i="21"/>
  <c r="O680" i="21" s="1"/>
  <c r="N680" i="21"/>
  <c r="Q712" i="21"/>
  <c r="O712" i="21" s="1"/>
  <c r="N712" i="21"/>
  <c r="Q298" i="21"/>
  <c r="O298" i="21" s="1"/>
  <c r="U301" i="21"/>
  <c r="X301" i="21" s="1"/>
  <c r="L301" i="21"/>
  <c r="Q308" i="21"/>
  <c r="O308" i="21" s="1"/>
  <c r="N310" i="21"/>
  <c r="N313" i="21"/>
  <c r="N328" i="21"/>
  <c r="Q330" i="21"/>
  <c r="O330" i="21" s="1"/>
  <c r="N338" i="21"/>
  <c r="N371" i="21"/>
  <c r="M371" i="21"/>
  <c r="Q375" i="21"/>
  <c r="O375" i="21" s="1"/>
  <c r="N401" i="21"/>
  <c r="N409" i="21"/>
  <c r="N417" i="21"/>
  <c r="N425" i="21"/>
  <c r="N433" i="21"/>
  <c r="N441" i="21"/>
  <c r="N449" i="21"/>
  <c r="N457" i="21"/>
  <c r="N465" i="21"/>
  <c r="N473" i="21"/>
  <c r="N481" i="21"/>
  <c r="N489" i="21"/>
  <c r="N497" i="21"/>
  <c r="Q508" i="21"/>
  <c r="O508" i="21" s="1"/>
  <c r="N508" i="21"/>
  <c r="N509" i="21"/>
  <c r="Q524" i="21"/>
  <c r="O524" i="21" s="1"/>
  <c r="N524" i="21"/>
  <c r="N525" i="21"/>
  <c r="Q556" i="21"/>
  <c r="O556" i="21" s="1"/>
  <c r="N556" i="21"/>
  <c r="N557" i="21"/>
  <c r="Q588" i="21"/>
  <c r="O588" i="21" s="1"/>
  <c r="N588" i="21"/>
  <c r="N589" i="21"/>
  <c r="Q620" i="21"/>
  <c r="O620" i="21" s="1"/>
  <c r="N620" i="21"/>
  <c r="Q652" i="21"/>
  <c r="O652" i="21" s="1"/>
  <c r="N652" i="21"/>
  <c r="Q684" i="21"/>
  <c r="O684" i="21" s="1"/>
  <c r="N684" i="21"/>
  <c r="Q716" i="21"/>
  <c r="O716" i="21" s="1"/>
  <c r="N716" i="21"/>
  <c r="Q755" i="21"/>
  <c r="O755" i="21" s="1"/>
  <c r="N755" i="21"/>
  <c r="Q759" i="21"/>
  <c r="O759" i="21" s="1"/>
  <c r="N759" i="21"/>
  <c r="Q763" i="21"/>
  <c r="O763" i="21" s="1"/>
  <c r="N763" i="21"/>
  <c r="Q767" i="21"/>
  <c r="O767" i="21" s="1"/>
  <c r="N767" i="21"/>
  <c r="Q771" i="21"/>
  <c r="O771" i="21" s="1"/>
  <c r="N771" i="21"/>
  <c r="Q775" i="21"/>
  <c r="O775" i="21" s="1"/>
  <c r="N775" i="21"/>
  <c r="Q779" i="21"/>
  <c r="O779" i="21" s="1"/>
  <c r="N779" i="21"/>
  <c r="Q783" i="21"/>
  <c r="O783" i="21" s="1"/>
  <c r="N783" i="21"/>
  <c r="Q787" i="21"/>
  <c r="O787" i="21" s="1"/>
  <c r="N787" i="21"/>
  <c r="Q791" i="21"/>
  <c r="O791" i="21" s="1"/>
  <c r="N791" i="21"/>
  <c r="Q795" i="21"/>
  <c r="O795" i="21" s="1"/>
  <c r="N795" i="21"/>
  <c r="Q799" i="21"/>
  <c r="O799" i="21" s="1"/>
  <c r="N799" i="21"/>
  <c r="Q803" i="21"/>
  <c r="O803" i="21" s="1"/>
  <c r="N803" i="21"/>
  <c r="Q807" i="21"/>
  <c r="O807" i="21" s="1"/>
  <c r="N807" i="21"/>
  <c r="Q811" i="21"/>
  <c r="O811" i="21" s="1"/>
  <c r="N811" i="21"/>
  <c r="Q815" i="21"/>
  <c r="O815" i="21" s="1"/>
  <c r="N815" i="21"/>
  <c r="Q819" i="21"/>
  <c r="O819" i="21" s="1"/>
  <c r="N819" i="21"/>
  <c r="Q823" i="21"/>
  <c r="O823" i="21" s="1"/>
  <c r="N823" i="21"/>
  <c r="Q827" i="21"/>
  <c r="O827" i="21" s="1"/>
  <c r="N827" i="21"/>
  <c r="Q831" i="21"/>
  <c r="O831" i="21" s="1"/>
  <c r="N831" i="21"/>
  <c r="Q835" i="21"/>
  <c r="O835" i="21" s="1"/>
  <c r="N835" i="21"/>
  <c r="L252" i="52"/>
  <c r="P252" i="52"/>
  <c r="M252" i="52" s="1"/>
  <c r="N724" i="21"/>
  <c r="Q806" i="21"/>
  <c r="O806" i="21" s="1"/>
  <c r="Q810" i="21"/>
  <c r="O810" i="21" s="1"/>
  <c r="Q814" i="21"/>
  <c r="O814" i="21" s="1"/>
  <c r="Q826" i="21"/>
  <c r="O826" i="21" s="1"/>
  <c r="Q830" i="21"/>
  <c r="O830" i="21" s="1"/>
  <c r="Q723" i="21"/>
  <c r="O723" i="21" s="1"/>
  <c r="Q741" i="21"/>
  <c r="O741" i="21" s="1"/>
  <c r="Q743" i="21"/>
  <c r="O743" i="21" s="1"/>
  <c r="Q851" i="21"/>
  <c r="O851" i="21" s="1"/>
  <c r="Q883" i="21"/>
  <c r="O883" i="21" s="1"/>
  <c r="Q915" i="21"/>
  <c r="O915" i="21" s="1"/>
  <c r="Q947" i="21"/>
  <c r="O947" i="21" s="1"/>
  <c r="N735" i="21"/>
  <c r="N751" i="21"/>
  <c r="Q731" i="21"/>
  <c r="O731" i="21" s="1"/>
  <c r="Q745" i="21"/>
  <c r="O745" i="21" s="1"/>
  <c r="Q747" i="21"/>
  <c r="O747" i="21" s="1"/>
  <c r="Q843" i="21"/>
  <c r="O843" i="21" s="1"/>
  <c r="Q875" i="21"/>
  <c r="O875" i="21" s="1"/>
  <c r="Q907" i="21"/>
  <c r="O907" i="21" s="1"/>
  <c r="Q939" i="21"/>
  <c r="O939" i="21" s="1"/>
  <c r="Q971" i="21"/>
  <c r="O971" i="21" s="1"/>
  <c r="N839" i="21"/>
  <c r="N843" i="21"/>
  <c r="N847" i="21"/>
  <c r="N851" i="21"/>
  <c r="N855" i="21"/>
  <c r="N859" i="21"/>
  <c r="N863" i="21"/>
  <c r="N867" i="21"/>
  <c r="N871" i="21"/>
  <c r="N875" i="21"/>
  <c r="N879" i="21"/>
  <c r="N883" i="21"/>
  <c r="N887" i="21"/>
  <c r="N891" i="21"/>
  <c r="N895" i="21"/>
  <c r="N899" i="21"/>
  <c r="N903" i="21"/>
  <c r="N907" i="21"/>
  <c r="N911" i="21"/>
  <c r="N915" i="21"/>
  <c r="N919" i="21"/>
  <c r="N923" i="21"/>
  <c r="N927" i="21"/>
  <c r="N931" i="21"/>
  <c r="N935" i="21"/>
  <c r="N939" i="21"/>
  <c r="N943" i="21"/>
  <c r="N947" i="21"/>
  <c r="N951" i="21"/>
  <c r="N955" i="21"/>
  <c r="N959" i="21"/>
  <c r="N963" i="21"/>
  <c r="N967" i="21"/>
  <c r="N971" i="21"/>
  <c r="N975" i="21"/>
  <c r="N979" i="21"/>
  <c r="E30" i="22"/>
  <c r="E31" i="22"/>
  <c r="E25" i="22"/>
  <c r="E30" i="26"/>
  <c r="E24" i="26"/>
  <c r="E30" i="23"/>
  <c r="E25" i="24"/>
  <c r="E31" i="28"/>
  <c r="E25" i="28"/>
  <c r="E24" i="25"/>
  <c r="E24" i="24"/>
  <c r="E30" i="27"/>
  <c r="E24" i="27"/>
  <c r="E31" i="27"/>
  <c r="E24" i="28"/>
  <c r="E25" i="30"/>
  <c r="E25" i="29"/>
  <c r="E24" i="31"/>
  <c r="E30" i="31"/>
  <c r="Y22" i="37"/>
  <c r="E31" i="32"/>
  <c r="Y3" i="37"/>
  <c r="E31" i="34"/>
  <c r="E25" i="34"/>
  <c r="E25" i="33"/>
  <c r="U16" i="43"/>
  <c r="T20" i="44"/>
  <c r="T24" i="37"/>
  <c r="Y28" i="37"/>
  <c r="U32" i="43"/>
  <c r="U33" i="45"/>
  <c r="E30" i="36"/>
  <c r="Y23" i="37"/>
  <c r="U11" i="43"/>
  <c r="V11" i="43" s="1"/>
  <c r="Y4" i="37"/>
  <c r="Y11" i="37"/>
  <c r="T14" i="46"/>
  <c r="E31" i="36"/>
  <c r="Y16" i="37"/>
  <c r="Y24" i="37"/>
  <c r="T33" i="44"/>
  <c r="Y29" i="37"/>
  <c r="W153" i="40"/>
  <c r="W149" i="40"/>
  <c r="W145" i="40"/>
  <c r="W141" i="40"/>
  <c r="W137" i="40"/>
  <c r="W133" i="40"/>
  <c r="W129" i="40"/>
  <c r="W125" i="40"/>
  <c r="W121" i="40"/>
  <c r="W117" i="40"/>
  <c r="W113" i="40"/>
  <c r="W109" i="40"/>
  <c r="W105" i="40"/>
  <c r="W101" i="40"/>
  <c r="W97" i="40"/>
  <c r="W93" i="40"/>
  <c r="W89" i="40"/>
  <c r="W85" i="40"/>
  <c r="W81" i="40"/>
  <c r="W77" i="40"/>
  <c r="W73" i="40"/>
  <c r="W69" i="40"/>
  <c r="W65" i="40"/>
  <c r="W61" i="40"/>
  <c r="W57" i="40"/>
  <c r="W53" i="40"/>
  <c r="W49" i="40"/>
  <c r="W45" i="40"/>
  <c r="W41" i="40"/>
  <c r="W37" i="40"/>
  <c r="W33" i="40"/>
  <c r="W29" i="40"/>
  <c r="X86" i="40" s="1"/>
  <c r="W25" i="40"/>
  <c r="X10" i="40" s="1"/>
  <c r="W21" i="40"/>
  <c r="W151" i="40"/>
  <c r="W147" i="40"/>
  <c r="W143" i="40"/>
  <c r="W139" i="40"/>
  <c r="W135" i="40"/>
  <c r="W131" i="40"/>
  <c r="W127" i="40"/>
  <c r="W123" i="40"/>
  <c r="W119" i="40"/>
  <c r="W115" i="40"/>
  <c r="W111" i="40"/>
  <c r="W107" i="40"/>
  <c r="W103" i="40"/>
  <c r="W99" i="40"/>
  <c r="W95" i="40"/>
  <c r="W91" i="40"/>
  <c r="W87" i="40"/>
  <c r="W83" i="40"/>
  <c r="W79" i="40"/>
  <c r="W75" i="40"/>
  <c r="W71" i="40"/>
  <c r="W67" i="40"/>
  <c r="W63" i="40"/>
  <c r="W59" i="40"/>
  <c r="W55" i="40"/>
  <c r="W51" i="40"/>
  <c r="W47" i="40"/>
  <c r="W43" i="40"/>
  <c r="W39" i="40"/>
  <c r="W35" i="40"/>
  <c r="W31" i="40"/>
  <c r="W27" i="40"/>
  <c r="W23" i="40"/>
  <c r="W19" i="40"/>
  <c r="W15" i="40"/>
  <c r="X34" i="40" s="1"/>
  <c r="W11" i="40"/>
  <c r="X50" i="40" s="1"/>
  <c r="W7" i="40"/>
  <c r="T19" i="44"/>
  <c r="T13" i="44"/>
  <c r="W92" i="40"/>
  <c r="W108" i="40"/>
  <c r="W124" i="40"/>
  <c r="W140" i="40"/>
  <c r="T27" i="44"/>
  <c r="T9" i="44"/>
  <c r="T5" i="44"/>
  <c r="T6" i="44"/>
  <c r="T22" i="44"/>
  <c r="W98" i="40"/>
  <c r="W114" i="40"/>
  <c r="X114" i="40" s="1"/>
  <c r="W130" i="40"/>
  <c r="W146" i="40"/>
  <c r="T7" i="44"/>
  <c r="T15" i="44"/>
  <c r="T35" i="44"/>
  <c r="T9" i="46"/>
  <c r="X66" i="40"/>
  <c r="T29" i="44"/>
  <c r="T10" i="46"/>
  <c r="T28" i="46"/>
  <c r="W62" i="40"/>
  <c r="W78" i="40"/>
  <c r="W94" i="40"/>
  <c r="W110" i="40"/>
  <c r="W126" i="40"/>
  <c r="W142" i="40"/>
  <c r="X142" i="40" s="1"/>
  <c r="T32" i="43"/>
  <c r="T23" i="44"/>
  <c r="T33" i="46"/>
  <c r="T31" i="44"/>
  <c r="R14" i="44"/>
  <c r="R21" i="44"/>
  <c r="R17" i="46"/>
  <c r="R24" i="46"/>
  <c r="R31" i="46"/>
  <c r="L36" i="52"/>
  <c r="M40" i="52"/>
  <c r="L20" i="52"/>
  <c r="L24" i="52"/>
  <c r="L28" i="52"/>
  <c r="L99" i="52"/>
  <c r="P99" i="52"/>
  <c r="M99" i="52" s="1"/>
  <c r="L115" i="52"/>
  <c r="P115" i="52"/>
  <c r="M115" i="52" s="1"/>
  <c r="L131" i="52"/>
  <c r="P131" i="52"/>
  <c r="M131" i="52" s="1"/>
  <c r="L147" i="52"/>
  <c r="P147" i="52"/>
  <c r="M147" i="52" s="1"/>
  <c r="L163" i="52"/>
  <c r="P163" i="52"/>
  <c r="M163" i="52" s="1"/>
  <c r="M20" i="52"/>
  <c r="M24" i="52"/>
  <c r="M28" i="52"/>
  <c r="P113" i="52"/>
  <c r="M113" i="52" s="1"/>
  <c r="L113" i="52"/>
  <c r="P129" i="52"/>
  <c r="M129" i="52" s="1"/>
  <c r="L129" i="52"/>
  <c r="P145" i="52"/>
  <c r="M145" i="52" s="1"/>
  <c r="L145" i="52"/>
  <c r="P161" i="52"/>
  <c r="M161" i="52" s="1"/>
  <c r="L161" i="52"/>
  <c r="L176" i="52"/>
  <c r="P176" i="52"/>
  <c r="M176" i="52" s="1"/>
  <c r="L229" i="52"/>
  <c r="P229" i="52"/>
  <c r="M229" i="52" s="1"/>
  <c r="R34" i="44"/>
  <c r="R26" i="44"/>
  <c r="R18" i="44"/>
  <c r="R10" i="44"/>
  <c r="S31" i="44" s="1"/>
  <c r="R32" i="44"/>
  <c r="R24" i="44"/>
  <c r="R16" i="44"/>
  <c r="R8" i="44"/>
  <c r="S33" i="44" s="1"/>
  <c r="R12" i="44"/>
  <c r="R30" i="44"/>
  <c r="R8" i="46"/>
  <c r="S9" i="46" s="1"/>
  <c r="R15" i="46"/>
  <c r="T18" i="46"/>
  <c r="L12" i="52"/>
  <c r="L48" i="52"/>
  <c r="M52" i="52"/>
  <c r="M62" i="52"/>
  <c r="P202" i="52"/>
  <c r="M202" i="52" s="1"/>
  <c r="L202" i="52"/>
  <c r="P77" i="52"/>
  <c r="M77" i="52" s="1"/>
  <c r="L77" i="52"/>
  <c r="P170" i="52"/>
  <c r="M170" i="52" s="1"/>
  <c r="L170" i="52"/>
  <c r="T16" i="46"/>
  <c r="L40" i="52"/>
  <c r="M44" i="52"/>
  <c r="L71" i="52"/>
  <c r="P71" i="52"/>
  <c r="M71" i="52" s="1"/>
  <c r="P92" i="52"/>
  <c r="M92" i="52" s="1"/>
  <c r="L92" i="52"/>
  <c r="R11" i="46"/>
  <c r="R19" i="46"/>
  <c r="R27" i="46"/>
  <c r="R35" i="46"/>
  <c r="L84" i="52"/>
  <c r="L191" i="52"/>
  <c r="P214" i="52"/>
  <c r="M214" i="52" s="1"/>
  <c r="L214" i="52"/>
  <c r="L240" i="52"/>
  <c r="P240" i="52"/>
  <c r="M240" i="52" s="1"/>
  <c r="L289" i="52"/>
  <c r="P289" i="52"/>
  <c r="M289" i="52" s="1"/>
  <c r="M311" i="52"/>
  <c r="L311" i="52"/>
  <c r="P315" i="52"/>
  <c r="M315" i="52" s="1"/>
  <c r="L315" i="52"/>
  <c r="L59" i="52"/>
  <c r="M65" i="52"/>
  <c r="M89" i="52"/>
  <c r="M98" i="52"/>
  <c r="L189" i="52"/>
  <c r="P189" i="52"/>
  <c r="M189" i="52" s="1"/>
  <c r="L208" i="52"/>
  <c r="P208" i="52"/>
  <c r="M208" i="52" s="1"/>
  <c r="M243" i="52"/>
  <c r="L243" i="52"/>
  <c r="L30" i="52"/>
  <c r="L34" i="52"/>
  <c r="L38" i="52"/>
  <c r="L42" i="52"/>
  <c r="L46" i="52"/>
  <c r="L50" i="52"/>
  <c r="L54" i="52"/>
  <c r="L88" i="52"/>
  <c r="M179" i="52"/>
  <c r="L260" i="52"/>
  <c r="P260" i="52"/>
  <c r="M260" i="52" s="1"/>
  <c r="L268" i="52"/>
  <c r="P268" i="52"/>
  <c r="M268" i="52" s="1"/>
  <c r="L280" i="52"/>
  <c r="P280" i="52"/>
  <c r="M280" i="52" s="1"/>
  <c r="P282" i="52"/>
  <c r="M282" i="52" s="1"/>
  <c r="L282" i="52"/>
  <c r="L67" i="52"/>
  <c r="M73" i="52"/>
  <c r="M81" i="52"/>
  <c r="P91" i="52"/>
  <c r="M91" i="52" s="1"/>
  <c r="P103" i="52"/>
  <c r="M103" i="52" s="1"/>
  <c r="P119" i="52"/>
  <c r="M119" i="52" s="1"/>
  <c r="P135" i="52"/>
  <c r="M135" i="52" s="1"/>
  <c r="P151" i="52"/>
  <c r="M151" i="52" s="1"/>
  <c r="P167" i="52"/>
  <c r="M167" i="52" s="1"/>
  <c r="L175" i="52"/>
  <c r="P199" i="52"/>
  <c r="M199" i="52" s="1"/>
  <c r="M211" i="52"/>
  <c r="L211" i="52"/>
  <c r="P220" i="52"/>
  <c r="M220" i="52" s="1"/>
  <c r="L249" i="52"/>
  <c r="P249" i="52"/>
  <c r="M249" i="52" s="1"/>
  <c r="L296" i="52"/>
  <c r="P296" i="52"/>
  <c r="M296" i="52" s="1"/>
  <c r="L300" i="52"/>
  <c r="P300" i="52"/>
  <c r="M300" i="52" s="1"/>
  <c r="P328" i="52"/>
  <c r="M328" i="52" s="1"/>
  <c r="L57" i="52"/>
  <c r="M61" i="52"/>
  <c r="P67" i="52"/>
  <c r="M67" i="52" s="1"/>
  <c r="L80" i="52"/>
  <c r="M93" i="52"/>
  <c r="M105" i="52"/>
  <c r="M121" i="52"/>
  <c r="M137" i="52"/>
  <c r="M153" i="52"/>
  <c r="M166" i="52"/>
  <c r="P186" i="52"/>
  <c r="M186" i="52" s="1"/>
  <c r="L186" i="52"/>
  <c r="L192" i="52"/>
  <c r="P192" i="52"/>
  <c r="M192" i="52" s="1"/>
  <c r="P226" i="52"/>
  <c r="M226" i="52" s="1"/>
  <c r="L226" i="52"/>
  <c r="R13" i="46"/>
  <c r="R21" i="46"/>
  <c r="L173" i="52"/>
  <c r="P173" i="52"/>
  <c r="M173" i="52" s="1"/>
  <c r="L205" i="52"/>
  <c r="P205" i="52"/>
  <c r="M205" i="52" s="1"/>
  <c r="L217" i="52"/>
  <c r="P217" i="52"/>
  <c r="M217" i="52" s="1"/>
  <c r="P246" i="52"/>
  <c r="M246" i="52" s="1"/>
  <c r="L246" i="52"/>
  <c r="L273" i="52"/>
  <c r="P273" i="52"/>
  <c r="M273" i="52" s="1"/>
  <c r="L63" i="52"/>
  <c r="M69" i="52"/>
  <c r="P75" i="52"/>
  <c r="M75" i="52" s="1"/>
  <c r="M85" i="52"/>
  <c r="P95" i="52"/>
  <c r="M95" i="52" s="1"/>
  <c r="M109" i="52"/>
  <c r="M125" i="52"/>
  <c r="M141" i="52"/>
  <c r="M157" i="52"/>
  <c r="M195" i="52"/>
  <c r="M231" i="52"/>
  <c r="P321" i="52"/>
  <c r="M321" i="52" s="1"/>
  <c r="P358" i="52"/>
  <c r="M358" i="52" s="1"/>
  <c r="L358" i="52"/>
  <c r="L178" i="52"/>
  <c r="L194" i="52"/>
  <c r="L210" i="52"/>
  <c r="L227" i="52"/>
  <c r="L228" i="52"/>
  <c r="M234" i="52"/>
  <c r="L242" i="52"/>
  <c r="L304" i="52"/>
  <c r="P304" i="52"/>
  <c r="M304" i="52" s="1"/>
  <c r="L327" i="52"/>
  <c r="L284" i="52"/>
  <c r="P284" i="52"/>
  <c r="M284" i="52" s="1"/>
  <c r="P286" i="52"/>
  <c r="M286" i="52" s="1"/>
  <c r="L286" i="52"/>
  <c r="L308" i="52"/>
  <c r="P308" i="52"/>
  <c r="M308" i="52" s="1"/>
  <c r="P338" i="52"/>
  <c r="M338" i="52" s="1"/>
  <c r="L338" i="52"/>
  <c r="P351" i="52"/>
  <c r="M351" i="52" s="1"/>
  <c r="L351" i="52"/>
  <c r="L353" i="52"/>
  <c r="P353" i="52"/>
  <c r="M353" i="52" s="1"/>
  <c r="P355" i="52"/>
  <c r="M355" i="52" s="1"/>
  <c r="L355" i="52"/>
  <c r="P366" i="52"/>
  <c r="M366" i="52" s="1"/>
  <c r="L366" i="52"/>
  <c r="L168" i="52"/>
  <c r="L184" i="52"/>
  <c r="L200" i="52"/>
  <c r="L224" i="52"/>
  <c r="M230" i="52"/>
  <c r="P236" i="52"/>
  <c r="M236" i="52" s="1"/>
  <c r="L238" i="52"/>
  <c r="L256" i="52"/>
  <c r="L258" i="52"/>
  <c r="L264" i="52"/>
  <c r="L266" i="52"/>
  <c r="L272" i="52"/>
  <c r="P272" i="52"/>
  <c r="M272" i="52" s="1"/>
  <c r="P274" i="52"/>
  <c r="M274" i="52" s="1"/>
  <c r="L274" i="52"/>
  <c r="L288" i="52"/>
  <c r="P288" i="52"/>
  <c r="M288" i="52" s="1"/>
  <c r="P290" i="52"/>
  <c r="M290" i="52" s="1"/>
  <c r="L290" i="52"/>
  <c r="P301" i="52"/>
  <c r="M301" i="52" s="1"/>
  <c r="P312" i="52"/>
  <c r="M312" i="52" s="1"/>
  <c r="P331" i="52"/>
  <c r="M331" i="52" s="1"/>
  <c r="L331" i="52"/>
  <c r="L345" i="52"/>
  <c r="P345" i="52"/>
  <c r="M345" i="52" s="1"/>
  <c r="P347" i="52"/>
  <c r="M347" i="52" s="1"/>
  <c r="L347" i="52"/>
  <c r="L349" i="52"/>
  <c r="P349" i="52"/>
  <c r="M349" i="52" s="1"/>
  <c r="P362" i="52"/>
  <c r="M362" i="52" s="1"/>
  <c r="L362" i="52"/>
  <c r="L180" i="52"/>
  <c r="L196" i="52"/>
  <c r="P212" i="52"/>
  <c r="M212" i="52" s="1"/>
  <c r="L232" i="52"/>
  <c r="M238" i="52"/>
  <c r="P244" i="52"/>
  <c r="M244" i="52" s="1"/>
  <c r="P261" i="52"/>
  <c r="M261" i="52" s="1"/>
  <c r="P269" i="52"/>
  <c r="M269" i="52" s="1"/>
  <c r="L276" i="52"/>
  <c r="P276" i="52"/>
  <c r="M276" i="52" s="1"/>
  <c r="P278" i="52"/>
  <c r="M278" i="52" s="1"/>
  <c r="L278" i="52"/>
  <c r="L292" i="52"/>
  <c r="P292" i="52"/>
  <c r="M292" i="52" s="1"/>
  <c r="L324" i="52"/>
  <c r="P324" i="52"/>
  <c r="M324" i="52" s="1"/>
  <c r="L294" i="52"/>
  <c r="L298" i="52"/>
  <c r="L302" i="52"/>
  <c r="L306" i="52"/>
  <c r="L316" i="52"/>
  <c r="L317" i="52"/>
  <c r="L350" i="52"/>
  <c r="L357" i="52"/>
  <c r="P357" i="52"/>
  <c r="M357" i="52" s="1"/>
  <c r="P359" i="52"/>
  <c r="M359" i="52" s="1"/>
  <c r="L359" i="52"/>
  <c r="P317" i="52"/>
  <c r="M317" i="52" s="1"/>
  <c r="L319" i="52"/>
  <c r="L332" i="52"/>
  <c r="L361" i="52"/>
  <c r="P361" i="52"/>
  <c r="M361" i="52" s="1"/>
  <c r="P363" i="52"/>
  <c r="M363" i="52" s="1"/>
  <c r="L363" i="52"/>
  <c r="L337" i="52"/>
  <c r="P337" i="52"/>
  <c r="M337" i="52" s="1"/>
  <c r="L365" i="52"/>
  <c r="P365" i="52"/>
  <c r="M365" i="52" s="1"/>
  <c r="P367" i="52"/>
  <c r="M367" i="52" s="1"/>
  <c r="L367" i="52"/>
  <c r="P339" i="52"/>
  <c r="M339" i="52" s="1"/>
  <c r="L339" i="52"/>
  <c r="L369" i="52"/>
  <c r="P369" i="52"/>
  <c r="M369" i="52" s="1"/>
  <c r="P371" i="52"/>
  <c r="M371" i="52" s="1"/>
  <c r="L371" i="52"/>
  <c r="L373" i="52"/>
  <c r="P373" i="52"/>
  <c r="M373" i="52" s="1"/>
  <c r="P375" i="52"/>
  <c r="M375" i="52" s="1"/>
  <c r="L375" i="52"/>
  <c r="L377" i="52"/>
  <c r="P377" i="52"/>
  <c r="M377" i="52" s="1"/>
  <c r="P379" i="52"/>
  <c r="M379" i="52" s="1"/>
  <c r="L379" i="52"/>
  <c r="L381" i="52"/>
  <c r="P381" i="52"/>
  <c r="M381" i="52" s="1"/>
  <c r="P383" i="52"/>
  <c r="M383" i="52" s="1"/>
  <c r="L383" i="52"/>
  <c r="L385" i="52"/>
  <c r="P385" i="52"/>
  <c r="M385" i="52" s="1"/>
  <c r="P387" i="52"/>
  <c r="M387" i="52" s="1"/>
  <c r="L387" i="52"/>
  <c r="L389" i="52"/>
  <c r="P389" i="52"/>
  <c r="M389" i="52" s="1"/>
  <c r="P391" i="52"/>
  <c r="M391" i="52" s="1"/>
  <c r="L391" i="52"/>
  <c r="L393" i="52"/>
  <c r="P393" i="52"/>
  <c r="M393" i="52" s="1"/>
  <c r="P395" i="52"/>
  <c r="M395" i="52" s="1"/>
  <c r="L395" i="52"/>
  <c r="L397" i="52"/>
  <c r="P397" i="52"/>
  <c r="M397" i="52" s="1"/>
  <c r="P399" i="52"/>
  <c r="M399" i="52" s="1"/>
  <c r="L399" i="52"/>
  <c r="L401" i="52"/>
  <c r="P401" i="52"/>
  <c r="M401" i="52" s="1"/>
  <c r="P403" i="52"/>
  <c r="M403" i="52" s="1"/>
  <c r="L403" i="52"/>
  <c r="L405" i="52"/>
  <c r="P405" i="52"/>
  <c r="M405" i="52" s="1"/>
  <c r="P407" i="52"/>
  <c r="M407" i="52" s="1"/>
  <c r="L407" i="52"/>
  <c r="L409" i="52"/>
  <c r="P409" i="52"/>
  <c r="M409" i="52" s="1"/>
  <c r="P411" i="52"/>
  <c r="M411" i="52" s="1"/>
  <c r="L411" i="52"/>
  <c r="L413" i="52"/>
  <c r="P413" i="52"/>
  <c r="M413" i="52" s="1"/>
  <c r="P415" i="52"/>
  <c r="M415" i="52" s="1"/>
  <c r="L415" i="52"/>
  <c r="L417" i="52"/>
  <c r="P417" i="52"/>
  <c r="M417" i="52" s="1"/>
  <c r="P419" i="52"/>
  <c r="M419" i="52" s="1"/>
  <c r="L419" i="52"/>
  <c r="L421" i="52"/>
  <c r="P421" i="52"/>
  <c r="M421" i="52" s="1"/>
  <c r="P423" i="52"/>
  <c r="M423" i="52" s="1"/>
  <c r="L423" i="52"/>
  <c r="L425" i="52"/>
  <c r="P425" i="52"/>
  <c r="M425" i="52" s="1"/>
  <c r="P427" i="52"/>
  <c r="M427" i="52" s="1"/>
  <c r="L427" i="52"/>
  <c r="L429" i="52"/>
  <c r="P429" i="52"/>
  <c r="M429" i="52" s="1"/>
  <c r="P431" i="52"/>
  <c r="M431" i="52" s="1"/>
  <c r="L431" i="52"/>
  <c r="L433" i="52"/>
  <c r="P433" i="52"/>
  <c r="M433" i="52" s="1"/>
  <c r="P435" i="52"/>
  <c r="M435" i="52" s="1"/>
  <c r="L435" i="52"/>
  <c r="L437" i="52"/>
  <c r="P437" i="52"/>
  <c r="M437" i="52" s="1"/>
  <c r="P439" i="52"/>
  <c r="M439" i="52" s="1"/>
  <c r="L439" i="52"/>
  <c r="L441" i="52"/>
  <c r="P441" i="52"/>
  <c r="M441" i="52" s="1"/>
  <c r="P443" i="52"/>
  <c r="M443" i="52" s="1"/>
  <c r="L443" i="52"/>
  <c r="L445" i="52"/>
  <c r="P445" i="52"/>
  <c r="M445" i="52" s="1"/>
  <c r="P447" i="52"/>
  <c r="M447" i="52" s="1"/>
  <c r="L447" i="52"/>
  <c r="L449" i="52"/>
  <c r="P449" i="52"/>
  <c r="M449" i="52" s="1"/>
  <c r="P451" i="52"/>
  <c r="M451" i="52" s="1"/>
  <c r="L451" i="52"/>
  <c r="L453" i="52"/>
  <c r="P453" i="52"/>
  <c r="M453" i="52" s="1"/>
  <c r="P455" i="52"/>
  <c r="M455" i="52" s="1"/>
  <c r="L455" i="52"/>
  <c r="L457" i="52"/>
  <c r="P457" i="52"/>
  <c r="M457" i="52" s="1"/>
  <c r="P459" i="52"/>
  <c r="M459" i="52" s="1"/>
  <c r="L459" i="52"/>
  <c r="L461" i="52"/>
  <c r="P461" i="52"/>
  <c r="M461" i="52" s="1"/>
  <c r="P463" i="52"/>
  <c r="M463" i="52" s="1"/>
  <c r="L463" i="52"/>
  <c r="L465" i="52"/>
  <c r="P465" i="52"/>
  <c r="M465" i="52" s="1"/>
  <c r="P467" i="52"/>
  <c r="M467" i="52" s="1"/>
  <c r="L467" i="52"/>
  <c r="L469" i="52"/>
  <c r="P469" i="52"/>
  <c r="M469" i="52" s="1"/>
  <c r="P471" i="52"/>
  <c r="M471" i="52" s="1"/>
  <c r="L471" i="52"/>
  <c r="L473" i="52"/>
  <c r="P473" i="52"/>
  <c r="M473" i="52" s="1"/>
  <c r="P475" i="52"/>
  <c r="M475" i="52" s="1"/>
  <c r="L475" i="52"/>
  <c r="L309" i="52"/>
  <c r="L325" i="52"/>
  <c r="L341" i="52"/>
  <c r="P341" i="52"/>
  <c r="M341" i="52" s="1"/>
  <c r="P343" i="52"/>
  <c r="M343" i="52" s="1"/>
  <c r="L343" i="52"/>
  <c r="P477" i="52"/>
  <c r="M477" i="52" s="1"/>
  <c r="L478" i="52"/>
  <c r="T33" i="45" l="1"/>
  <c r="U7" i="43"/>
  <c r="V7" i="43"/>
  <c r="S4" i="43"/>
  <c r="S36" i="2"/>
  <c r="AF21" i="3"/>
  <c r="Q13" i="2"/>
  <c r="AG11" i="3"/>
  <c r="Z4" i="41"/>
  <c r="AF29" i="3"/>
  <c r="AG26" i="3"/>
  <c r="S11" i="2"/>
  <c r="AG13" i="3"/>
  <c r="AF19" i="3"/>
  <c r="S26" i="2"/>
  <c r="S21" i="2"/>
  <c r="AG27" i="3"/>
  <c r="AG19" i="3"/>
  <c r="AF31" i="3"/>
  <c r="AG8" i="3"/>
  <c r="AF11" i="3"/>
  <c r="AF14" i="3"/>
  <c r="AF32" i="3"/>
  <c r="S15" i="2"/>
  <c r="AG32" i="3"/>
  <c r="Q39" i="2"/>
  <c r="AF30" i="3"/>
  <c r="X28" i="37"/>
  <c r="AF22" i="3"/>
  <c r="X38" i="37"/>
  <c r="X12" i="37"/>
  <c r="S23" i="2"/>
  <c r="AF13" i="3"/>
  <c r="X44" i="37"/>
  <c r="X23" i="37"/>
  <c r="X13" i="37"/>
  <c r="AG33" i="3"/>
  <c r="X37" i="37"/>
  <c r="X36" i="37"/>
  <c r="X29" i="37"/>
  <c r="X5" i="37"/>
  <c r="K2" i="52"/>
  <c r="AB3" i="52" s="1"/>
  <c r="AB5" i="52" s="1"/>
  <c r="AB6" i="52" s="1"/>
  <c r="AB7" i="52" s="1"/>
  <c r="AB8" i="52" s="1"/>
  <c r="X26" i="37"/>
  <c r="X42" i="37"/>
  <c r="X8" i="37"/>
  <c r="X17" i="37"/>
  <c r="AG29" i="3"/>
  <c r="S34" i="2"/>
  <c r="X30" i="37"/>
  <c r="X11" i="37"/>
  <c r="X25" i="37"/>
  <c r="X19" i="37"/>
  <c r="Q29" i="2"/>
  <c r="AF24" i="3"/>
  <c r="N2" i="52"/>
  <c r="X32" i="37"/>
  <c r="X10" i="37"/>
  <c r="X3" i="37"/>
  <c r="AF6" i="3"/>
  <c r="Q11" i="2"/>
  <c r="AF16" i="3"/>
  <c r="Q21" i="2"/>
  <c r="X16" i="37"/>
  <c r="X40" i="37"/>
  <c r="X6" i="37"/>
  <c r="X33" i="37"/>
  <c r="X35" i="37"/>
  <c r="X46" i="37"/>
  <c r="X41" i="37"/>
  <c r="X27" i="37"/>
  <c r="M2" i="52"/>
  <c r="J2" i="52"/>
  <c r="T18" i="44"/>
  <c r="S18" i="44"/>
  <c r="X67" i="40"/>
  <c r="X125" i="40"/>
  <c r="U30" i="45"/>
  <c r="V30" i="45" s="1"/>
  <c r="T30" i="45"/>
  <c r="U32" i="45"/>
  <c r="V32" i="45" s="1"/>
  <c r="T32" i="45"/>
  <c r="X54" i="40"/>
  <c r="S33" i="2"/>
  <c r="AG28" i="3"/>
  <c r="AG5" i="3"/>
  <c r="S10" i="2"/>
  <c r="AF20" i="3"/>
  <c r="Q25" i="2"/>
  <c r="AF5" i="3"/>
  <c r="Q10" i="2"/>
  <c r="AF25" i="3"/>
  <c r="Q30" i="2"/>
  <c r="U2" i="2"/>
  <c r="S30" i="44"/>
  <c r="T30" i="44"/>
  <c r="S22" i="44"/>
  <c r="X131" i="40"/>
  <c r="T29" i="45"/>
  <c r="U29" i="45"/>
  <c r="V29" i="45" s="1"/>
  <c r="T35" i="46"/>
  <c r="S35" i="46"/>
  <c r="S26" i="46"/>
  <c r="T12" i="44"/>
  <c r="S12" i="44"/>
  <c r="T26" i="44"/>
  <c r="S26" i="44"/>
  <c r="S32" i="46"/>
  <c r="S21" i="44"/>
  <c r="T21" i="44"/>
  <c r="R36" i="44"/>
  <c r="V3" i="44" s="1"/>
  <c r="X126" i="40"/>
  <c r="U28" i="43"/>
  <c r="V28" i="43" s="1"/>
  <c r="T28" i="43"/>
  <c r="T4" i="5"/>
  <c r="T23" i="43"/>
  <c r="U23" i="43"/>
  <c r="V23" i="43" s="1"/>
  <c r="X98" i="40"/>
  <c r="X106" i="40"/>
  <c r="X74" i="40"/>
  <c r="X122" i="40"/>
  <c r="X58" i="40"/>
  <c r="X138" i="40"/>
  <c r="X42" i="40"/>
  <c r="X26" i="40"/>
  <c r="X16" i="40"/>
  <c r="X7" i="40"/>
  <c r="X90" i="40"/>
  <c r="X39" i="40"/>
  <c r="X71" i="40"/>
  <c r="X103" i="40"/>
  <c r="X135" i="40"/>
  <c r="X33" i="40"/>
  <c r="X65" i="40"/>
  <c r="X97" i="40"/>
  <c r="X129" i="40"/>
  <c r="X22" i="40"/>
  <c r="X24" i="37"/>
  <c r="X72" i="40"/>
  <c r="X4" i="37"/>
  <c r="X20" i="37"/>
  <c r="X45" i="37"/>
  <c r="T31" i="45"/>
  <c r="U31" i="45"/>
  <c r="T9" i="45"/>
  <c r="U9" i="45"/>
  <c r="V9" i="45" s="1"/>
  <c r="T10" i="45"/>
  <c r="U10" i="45"/>
  <c r="V10" i="45" s="1"/>
  <c r="T11" i="43"/>
  <c r="X28" i="40"/>
  <c r="X40" i="40"/>
  <c r="T16" i="43"/>
  <c r="X21" i="37"/>
  <c r="X116" i="40"/>
  <c r="R4" i="21"/>
  <c r="AB4" i="2" s="1"/>
  <c r="Q38" i="2"/>
  <c r="AF33" i="3"/>
  <c r="AG34" i="3"/>
  <c r="S39" i="2"/>
  <c r="Q28" i="2"/>
  <c r="AF23" i="3"/>
  <c r="AG17" i="3"/>
  <c r="S22" i="2"/>
  <c r="AF27" i="3"/>
  <c r="Q32" i="2"/>
  <c r="AF9" i="3"/>
  <c r="Q14" i="2"/>
  <c r="U33" i="43"/>
  <c r="V33" i="43" s="1"/>
  <c r="T33" i="43"/>
  <c r="X29" i="40"/>
  <c r="S27" i="46"/>
  <c r="T27" i="46"/>
  <c r="S23" i="44"/>
  <c r="T34" i="44"/>
  <c r="S34" i="44"/>
  <c r="S18" i="46"/>
  <c r="S29" i="44"/>
  <c r="T14" i="44"/>
  <c r="S14" i="44"/>
  <c r="X110" i="40"/>
  <c r="S10" i="46"/>
  <c r="T30" i="43"/>
  <c r="U30" i="43"/>
  <c r="V30" i="43" s="1"/>
  <c r="U25" i="43"/>
  <c r="V25" i="43" s="1"/>
  <c r="T25" i="43"/>
  <c r="S15" i="44"/>
  <c r="S35" i="44"/>
  <c r="X11" i="40"/>
  <c r="X43" i="40"/>
  <c r="X75" i="40"/>
  <c r="X107" i="40"/>
  <c r="X139" i="40"/>
  <c r="X37" i="40"/>
  <c r="X69" i="40"/>
  <c r="X101" i="40"/>
  <c r="X133" i="40"/>
  <c r="X13" i="40"/>
  <c r="X44" i="40"/>
  <c r="X39" i="37"/>
  <c r="U23" i="45"/>
  <c r="V23" i="45" s="1"/>
  <c r="T23" i="45"/>
  <c r="T11" i="45"/>
  <c r="U11" i="45"/>
  <c r="U18" i="45"/>
  <c r="V18" i="45" s="1"/>
  <c r="T18" i="45"/>
  <c r="X18" i="37"/>
  <c r="X17" i="40"/>
  <c r="X31" i="37"/>
  <c r="X132" i="40"/>
  <c r="X14" i="37"/>
  <c r="X52" i="40"/>
  <c r="X22" i="37"/>
  <c r="AG20" i="3"/>
  <c r="S25" i="2"/>
  <c r="S29" i="2"/>
  <c r="AG24" i="3"/>
  <c r="T7" i="45"/>
  <c r="U7" i="45"/>
  <c r="V7" i="45" s="1"/>
  <c r="Q4" i="21"/>
  <c r="T21" i="46"/>
  <c r="S21" i="46"/>
  <c r="T19" i="46"/>
  <c r="S19" i="46"/>
  <c r="S34" i="46"/>
  <c r="S29" i="46"/>
  <c r="T8" i="44"/>
  <c r="S9" i="44"/>
  <c r="S8" i="44"/>
  <c r="S27" i="44"/>
  <c r="S17" i="44"/>
  <c r="X94" i="40"/>
  <c r="T21" i="43"/>
  <c r="U21" i="43"/>
  <c r="X18" i="40"/>
  <c r="S28" i="44"/>
  <c r="S13" i="44"/>
  <c r="X15" i="40"/>
  <c r="X47" i="40"/>
  <c r="X79" i="40"/>
  <c r="X111" i="40"/>
  <c r="X143" i="40"/>
  <c r="X41" i="40"/>
  <c r="X73" i="40"/>
  <c r="X105" i="40"/>
  <c r="X137" i="40"/>
  <c r="X32" i="40"/>
  <c r="T21" i="45"/>
  <c r="U21" i="45"/>
  <c r="U25" i="45"/>
  <c r="V25" i="45" s="1"/>
  <c r="T25" i="45"/>
  <c r="U20" i="45"/>
  <c r="V20" i="45" s="1"/>
  <c r="T20" i="45"/>
  <c r="U26" i="45"/>
  <c r="V26" i="45" s="1"/>
  <c r="T26" i="45"/>
  <c r="X120" i="40"/>
  <c r="X8" i="40"/>
  <c r="X112" i="40"/>
  <c r="M7" i="21"/>
  <c r="AF12" i="3"/>
  <c r="Q17" i="2"/>
  <c r="S20" i="46"/>
  <c r="S16" i="46"/>
  <c r="U15" i="43"/>
  <c r="V15" i="43" s="1"/>
  <c r="T15" i="43"/>
  <c r="X36" i="40"/>
  <c r="T13" i="46"/>
  <c r="S13" i="46"/>
  <c r="T11" i="46"/>
  <c r="S11" i="46"/>
  <c r="S23" i="46"/>
  <c r="S22" i="46"/>
  <c r="S16" i="44"/>
  <c r="T16" i="44"/>
  <c r="V16" i="43" s="1"/>
  <c r="S25" i="44"/>
  <c r="T24" i="43"/>
  <c r="U24" i="43"/>
  <c r="X78" i="40"/>
  <c r="T12" i="43"/>
  <c r="U12" i="43"/>
  <c r="U9" i="43"/>
  <c r="V9" i="43" s="1"/>
  <c r="T9" i="43"/>
  <c r="U29" i="43"/>
  <c r="V29" i="43" s="1"/>
  <c r="T29" i="43"/>
  <c r="X9" i="40"/>
  <c r="S7" i="44"/>
  <c r="X140" i="40"/>
  <c r="S19" i="44"/>
  <c r="X19" i="40"/>
  <c r="X51" i="40"/>
  <c r="X83" i="40"/>
  <c r="X115" i="40"/>
  <c r="X147" i="40"/>
  <c r="X45" i="40"/>
  <c r="X77" i="40"/>
  <c r="X109" i="40"/>
  <c r="X141" i="40"/>
  <c r="X148" i="40"/>
  <c r="X20" i="40"/>
  <c r="X43" i="37"/>
  <c r="X34" i="37"/>
  <c r="U28" i="45"/>
  <c r="V28" i="45" s="1"/>
  <c r="T28" i="45"/>
  <c r="T27" i="45"/>
  <c r="U27" i="45"/>
  <c r="U22" i="45"/>
  <c r="V22" i="45" s="1"/>
  <c r="T22" i="45"/>
  <c r="T34" i="45"/>
  <c r="U34" i="45"/>
  <c r="V34" i="45" s="1"/>
  <c r="X102" i="40"/>
  <c r="X15" i="37"/>
  <c r="X76" i="40"/>
  <c r="X9" i="37"/>
  <c r="X150" i="40"/>
  <c r="Q20" i="2"/>
  <c r="AF15" i="3"/>
  <c r="AG9" i="3"/>
  <c r="S14" i="2"/>
  <c r="AG22" i="3"/>
  <c r="S27" i="2"/>
  <c r="Q31" i="2"/>
  <c r="AF26" i="3"/>
  <c r="X99" i="40"/>
  <c r="X93" i="40"/>
  <c r="X12" i="40"/>
  <c r="X68" i="40"/>
  <c r="S24" i="44"/>
  <c r="T24" i="44"/>
  <c r="T31" i="46"/>
  <c r="S31" i="46"/>
  <c r="X30" i="40"/>
  <c r="T19" i="43"/>
  <c r="U19" i="43"/>
  <c r="V19" i="43" s="1"/>
  <c r="X62" i="40"/>
  <c r="U10" i="43"/>
  <c r="T10" i="43"/>
  <c r="T17" i="43"/>
  <c r="U17" i="43"/>
  <c r="V17" i="43" s="1"/>
  <c r="U27" i="43"/>
  <c r="V27" i="43" s="1"/>
  <c r="T27" i="43"/>
  <c r="U14" i="43"/>
  <c r="V14" i="43" s="1"/>
  <c r="T14" i="43"/>
  <c r="X124" i="40"/>
  <c r="X23" i="40"/>
  <c r="X55" i="40"/>
  <c r="X87" i="40"/>
  <c r="X119" i="40"/>
  <c r="X151" i="40"/>
  <c r="X49" i="40"/>
  <c r="X81" i="40"/>
  <c r="X113" i="40"/>
  <c r="X145" i="40"/>
  <c r="X128" i="40"/>
  <c r="R36" i="46"/>
  <c r="V3" i="46" s="1"/>
  <c r="S14" i="46"/>
  <c r="U6" i="45"/>
  <c r="S36" i="45"/>
  <c r="W3" i="45" s="1"/>
  <c r="T6" i="45"/>
  <c r="U15" i="45"/>
  <c r="T15" i="45"/>
  <c r="U8" i="45"/>
  <c r="T8" i="45"/>
  <c r="X70" i="40"/>
  <c r="X136" i="40"/>
  <c r="X152" i="40"/>
  <c r="X64" i="40"/>
  <c r="X7" i="37"/>
  <c r="X46" i="40"/>
  <c r="X80" i="40"/>
  <c r="H3" i="21"/>
  <c r="H2" i="21"/>
  <c r="N2" i="21"/>
  <c r="Z2" i="2" s="1"/>
  <c r="AG12" i="3"/>
  <c r="S17" i="2"/>
  <c r="AF28" i="3"/>
  <c r="Q33" i="2"/>
  <c r="Q15" i="2"/>
  <c r="AF10" i="3"/>
  <c r="S6" i="46"/>
  <c r="U26" i="43"/>
  <c r="V26" i="43" s="1"/>
  <c r="T26" i="43"/>
  <c r="X35" i="40"/>
  <c r="X61" i="40"/>
  <c r="X6" i="40"/>
  <c r="V33" i="45"/>
  <c r="T15" i="46"/>
  <c r="S15" i="46"/>
  <c r="T32" i="44"/>
  <c r="V32" i="43" s="1"/>
  <c r="S32" i="44"/>
  <c r="S24" i="46"/>
  <c r="T24" i="46"/>
  <c r="T8" i="43"/>
  <c r="U8" i="43"/>
  <c r="V8" i="43" s="1"/>
  <c r="S28" i="46"/>
  <c r="U13" i="43"/>
  <c r="V13" i="43" s="1"/>
  <c r="T13" i="43"/>
  <c r="I4" i="5"/>
  <c r="T22" i="43"/>
  <c r="U22" i="43"/>
  <c r="V22" i="43" s="1"/>
  <c r="U35" i="43"/>
  <c r="V35" i="43" s="1"/>
  <c r="T35" i="43"/>
  <c r="X146" i="40"/>
  <c r="S6" i="44"/>
  <c r="X108" i="40"/>
  <c r="S11" i="44"/>
  <c r="X27" i="40"/>
  <c r="X59" i="40"/>
  <c r="X91" i="40"/>
  <c r="X123" i="40"/>
  <c r="X21" i="40"/>
  <c r="X53" i="40"/>
  <c r="X85" i="40"/>
  <c r="X117" i="40"/>
  <c r="X149" i="40"/>
  <c r="X60" i="40"/>
  <c r="X144" i="40"/>
  <c r="T35" i="45"/>
  <c r="U35" i="45"/>
  <c r="V35" i="45" s="1"/>
  <c r="U17" i="45"/>
  <c r="T17" i="45"/>
  <c r="T12" i="45"/>
  <c r="U12" i="45"/>
  <c r="V12" i="45" s="1"/>
  <c r="U16" i="45"/>
  <c r="V16" i="45" s="1"/>
  <c r="T16" i="45"/>
  <c r="X56" i="40"/>
  <c r="X118" i="40"/>
  <c r="X134" i="40"/>
  <c r="S20" i="44"/>
  <c r="X24" i="40"/>
  <c r="X96" i="40"/>
  <c r="U1" i="2"/>
  <c r="U7" i="2" s="1"/>
  <c r="M4" i="21"/>
  <c r="X4" i="2" s="1"/>
  <c r="S35" i="2"/>
  <c r="AG30" i="3"/>
  <c r="AG25" i="3"/>
  <c r="S30" i="2"/>
  <c r="AF7" i="3"/>
  <c r="Q12" i="2"/>
  <c r="AG15" i="3"/>
  <c r="S20" i="2"/>
  <c r="AF17" i="3"/>
  <c r="Q22" i="2"/>
  <c r="AG14" i="3"/>
  <c r="S19" i="2"/>
  <c r="Y4" i="41"/>
  <c r="Q23" i="2"/>
  <c r="AF18" i="3"/>
  <c r="S28" i="2"/>
  <c r="AG23" i="3"/>
  <c r="S8" i="46"/>
  <c r="S30" i="46"/>
  <c r="T8" i="46"/>
  <c r="S25" i="46"/>
  <c r="S7" i="46"/>
  <c r="S12" i="46"/>
  <c r="T10" i="44"/>
  <c r="T36" i="44" s="1"/>
  <c r="S10" i="44"/>
  <c r="T17" i="46"/>
  <c r="S17" i="46"/>
  <c r="S33" i="46"/>
  <c r="T6" i="43"/>
  <c r="S36" i="43"/>
  <c r="X3" i="43" s="1"/>
  <c r="U6" i="43"/>
  <c r="U34" i="43"/>
  <c r="T34" i="43"/>
  <c r="Z4" i="5"/>
  <c r="U31" i="43"/>
  <c r="V31" i="43" s="1"/>
  <c r="T31" i="43"/>
  <c r="X82" i="40"/>
  <c r="X130" i="40"/>
  <c r="U18" i="43"/>
  <c r="V18" i="43" s="1"/>
  <c r="T18" i="43"/>
  <c r="X92" i="40"/>
  <c r="U20" i="43"/>
  <c r="V20" i="43" s="1"/>
  <c r="T20" i="43"/>
  <c r="X31" i="40"/>
  <c r="X63" i="40"/>
  <c r="X95" i="40"/>
  <c r="X127" i="40"/>
  <c r="X25" i="40"/>
  <c r="X57" i="40"/>
  <c r="X89" i="40"/>
  <c r="X121" i="40"/>
  <c r="X153" i="40"/>
  <c r="X48" i="40"/>
  <c r="X88" i="40"/>
  <c r="X104" i="40"/>
  <c r="T13" i="45"/>
  <c r="U13" i="45"/>
  <c r="V13" i="45" s="1"/>
  <c r="T19" i="45"/>
  <c r="U19" i="45"/>
  <c r="V19" i="45" s="1"/>
  <c r="U14" i="45"/>
  <c r="V14" i="45" s="1"/>
  <c r="T14" i="45"/>
  <c r="U24" i="45"/>
  <c r="V24" i="45" s="1"/>
  <c r="T24" i="45"/>
  <c r="X84" i="40"/>
  <c r="X100" i="40"/>
  <c r="X14" i="40"/>
  <c r="X38" i="40"/>
  <c r="K4" i="21"/>
  <c r="R4" i="2" s="1"/>
  <c r="L4" i="21"/>
  <c r="S4" i="2" s="1"/>
  <c r="L4" i="2"/>
  <c r="K5" i="21"/>
  <c r="L5" i="21"/>
  <c r="AG7" i="3"/>
  <c r="S12" i="2"/>
  <c r="V15" i="45" l="1"/>
  <c r="V27" i="45"/>
  <c r="B4" i="15"/>
  <c r="H34" i="2"/>
  <c r="H28" i="2"/>
  <c r="V34" i="43"/>
  <c r="F11" i="4"/>
  <c r="V12" i="43"/>
  <c r="H17" i="2"/>
  <c r="G5" i="4"/>
  <c r="B4" i="18"/>
  <c r="F14" i="4"/>
  <c r="C4" i="9"/>
  <c r="C5" i="9" s="1"/>
  <c r="J4" i="5"/>
  <c r="B4" i="10"/>
  <c r="F6" i="4"/>
  <c r="H18" i="2"/>
  <c r="B4" i="6"/>
  <c r="B4" i="5"/>
  <c r="F2" i="4"/>
  <c r="H10" i="2"/>
  <c r="B4" i="9"/>
  <c r="H4" i="5"/>
  <c r="F5" i="4"/>
  <c r="H16" i="2"/>
  <c r="P17" i="25"/>
  <c r="P13" i="25"/>
  <c r="P9" i="25"/>
  <c r="P5" i="25"/>
  <c r="O17" i="25"/>
  <c r="O13" i="25"/>
  <c r="O9" i="25"/>
  <c r="O5" i="25"/>
  <c r="N17" i="25"/>
  <c r="N13" i="25"/>
  <c r="N9" i="25"/>
  <c r="N5" i="25"/>
  <c r="M17" i="25"/>
  <c r="M13" i="25"/>
  <c r="M9" i="25"/>
  <c r="M5" i="25"/>
  <c r="T17" i="25"/>
  <c r="T13" i="25"/>
  <c r="T9" i="25"/>
  <c r="T5" i="25"/>
  <c r="S17" i="25"/>
  <c r="S13" i="25"/>
  <c r="S9" i="25"/>
  <c r="S5" i="25"/>
  <c r="Q17" i="25"/>
  <c r="Q13" i="25"/>
  <c r="Q9" i="25"/>
  <c r="Q5" i="25"/>
  <c r="J10" i="25"/>
  <c r="J9" i="25"/>
  <c r="J12" i="25"/>
  <c r="R11" i="25"/>
  <c r="H17" i="25"/>
  <c r="H13" i="25"/>
  <c r="H9" i="25"/>
  <c r="H5" i="25"/>
  <c r="G17" i="25"/>
  <c r="G13" i="25"/>
  <c r="G9" i="25"/>
  <c r="G5" i="25"/>
  <c r="F17" i="25"/>
  <c r="F13" i="25"/>
  <c r="F9" i="25"/>
  <c r="F5" i="25"/>
  <c r="E17" i="25"/>
  <c r="E13" i="25"/>
  <c r="E9" i="25"/>
  <c r="E5" i="25"/>
  <c r="L17" i="25"/>
  <c r="L13" i="25"/>
  <c r="L9" i="25"/>
  <c r="L5" i="25"/>
  <c r="K17" i="25"/>
  <c r="K13" i="25"/>
  <c r="K9" i="25"/>
  <c r="K5" i="25"/>
  <c r="I17" i="25"/>
  <c r="I13" i="25"/>
  <c r="I9" i="25"/>
  <c r="I5" i="25"/>
  <c r="J6" i="25"/>
  <c r="J5" i="25"/>
  <c r="J8" i="25"/>
  <c r="R7" i="25"/>
  <c r="P20" i="25"/>
  <c r="P16" i="25"/>
  <c r="P12" i="25"/>
  <c r="P8" i="25"/>
  <c r="O20" i="25"/>
  <c r="O16" i="25"/>
  <c r="O12" i="25"/>
  <c r="O8" i="25"/>
  <c r="N20" i="25"/>
  <c r="N16" i="25"/>
  <c r="N12" i="25"/>
  <c r="N8" i="25"/>
  <c r="M20" i="25"/>
  <c r="M16" i="25"/>
  <c r="M12" i="25"/>
  <c r="M8" i="25"/>
  <c r="T20" i="25"/>
  <c r="T16" i="25"/>
  <c r="T12" i="25"/>
  <c r="T8" i="25"/>
  <c r="S20" i="25"/>
  <c r="S16" i="25"/>
  <c r="S12" i="25"/>
  <c r="S8" i="25"/>
  <c r="Q20" i="25"/>
  <c r="Q16" i="25"/>
  <c r="Q12" i="25"/>
  <c r="Q8" i="25"/>
  <c r="R18" i="25"/>
  <c r="R17" i="25"/>
  <c r="R20" i="25"/>
  <c r="J19" i="25"/>
  <c r="H20" i="25"/>
  <c r="H16" i="25"/>
  <c r="H12" i="25"/>
  <c r="H8" i="25"/>
  <c r="G20" i="25"/>
  <c r="G16" i="25"/>
  <c r="G12" i="25"/>
  <c r="G8" i="25"/>
  <c r="F20" i="25"/>
  <c r="F16" i="25"/>
  <c r="F12" i="25"/>
  <c r="F8" i="25"/>
  <c r="E20" i="25"/>
  <c r="E16" i="25"/>
  <c r="E12" i="25"/>
  <c r="E8" i="25"/>
  <c r="L20" i="25"/>
  <c r="L16" i="25"/>
  <c r="L12" i="25"/>
  <c r="L8" i="25"/>
  <c r="K20" i="25"/>
  <c r="K16" i="25"/>
  <c r="K12" i="25"/>
  <c r="K8" i="25"/>
  <c r="I20" i="25"/>
  <c r="I16" i="25"/>
  <c r="I12" i="25"/>
  <c r="I8" i="25"/>
  <c r="R14" i="25"/>
  <c r="R13" i="25"/>
  <c r="R16" i="25"/>
  <c r="J15" i="25"/>
  <c r="P19" i="25"/>
  <c r="P15" i="25"/>
  <c r="P11" i="25"/>
  <c r="P7" i="25"/>
  <c r="O19" i="25"/>
  <c r="O15" i="25"/>
  <c r="O11" i="25"/>
  <c r="O7" i="25"/>
  <c r="N19" i="25"/>
  <c r="N15" i="25"/>
  <c r="N11" i="25"/>
  <c r="N7" i="25"/>
  <c r="M19" i="25"/>
  <c r="M15" i="25"/>
  <c r="M11" i="25"/>
  <c r="M7" i="25"/>
  <c r="T19" i="25"/>
  <c r="T15" i="25"/>
  <c r="T11" i="25"/>
  <c r="T7" i="25"/>
  <c r="S19" i="25"/>
  <c r="S15" i="25"/>
  <c r="S11" i="25"/>
  <c r="S7" i="25"/>
  <c r="Q19" i="25"/>
  <c r="Q15" i="25"/>
  <c r="Q11" i="25"/>
  <c r="Q7" i="25"/>
  <c r="R10" i="25"/>
  <c r="R9" i="25"/>
  <c r="R12" i="25"/>
  <c r="J11" i="25"/>
  <c r="H19" i="25"/>
  <c r="H15" i="25"/>
  <c r="H11" i="25"/>
  <c r="H7" i="25"/>
  <c r="G19" i="25"/>
  <c r="G15" i="25"/>
  <c r="G11" i="25"/>
  <c r="G7" i="25"/>
  <c r="F19" i="25"/>
  <c r="F15" i="25"/>
  <c r="F11" i="25"/>
  <c r="F7" i="25"/>
  <c r="E19" i="25"/>
  <c r="E15" i="25"/>
  <c r="E11" i="25"/>
  <c r="E7" i="25"/>
  <c r="L19" i="25"/>
  <c r="L15" i="25"/>
  <c r="L11" i="25"/>
  <c r="L7" i="25"/>
  <c r="K19" i="25"/>
  <c r="K15" i="25"/>
  <c r="K11" i="25"/>
  <c r="K7" i="25"/>
  <c r="I19" i="25"/>
  <c r="I15" i="25"/>
  <c r="I11" i="25"/>
  <c r="I7" i="25"/>
  <c r="R6" i="25"/>
  <c r="R5" i="25"/>
  <c r="R8" i="25"/>
  <c r="J7" i="25"/>
  <c r="P18" i="25"/>
  <c r="P14" i="25"/>
  <c r="P10" i="25"/>
  <c r="P6" i="25"/>
  <c r="O18" i="25"/>
  <c r="O14" i="25"/>
  <c r="O10" i="25"/>
  <c r="O6" i="25"/>
  <c r="N18" i="25"/>
  <c r="N14" i="25"/>
  <c r="N10" i="25"/>
  <c r="N6" i="25"/>
  <c r="M18" i="25"/>
  <c r="M14" i="25"/>
  <c r="M10" i="25"/>
  <c r="M6" i="25"/>
  <c r="T18" i="25"/>
  <c r="T14" i="25"/>
  <c r="T10" i="25"/>
  <c r="T6" i="25"/>
  <c r="S18" i="25"/>
  <c r="S14" i="25"/>
  <c r="S10" i="25"/>
  <c r="S6" i="25"/>
  <c r="Q18" i="25"/>
  <c r="Q14" i="25"/>
  <c r="Q10" i="25"/>
  <c r="Q6" i="25"/>
  <c r="J18" i="25"/>
  <c r="J17" i="25"/>
  <c r="J20" i="25"/>
  <c r="R19" i="25"/>
  <c r="H18" i="25"/>
  <c r="H14" i="25"/>
  <c r="H10" i="25"/>
  <c r="H6" i="25"/>
  <c r="G18" i="25"/>
  <c r="G14" i="25"/>
  <c r="G10" i="25"/>
  <c r="G6" i="25"/>
  <c r="F18" i="25"/>
  <c r="F14" i="25"/>
  <c r="F10" i="25"/>
  <c r="F6" i="25"/>
  <c r="E18" i="25"/>
  <c r="E14" i="25"/>
  <c r="E10" i="25"/>
  <c r="E6" i="25"/>
  <c r="L18" i="25"/>
  <c r="L14" i="25"/>
  <c r="L10" i="25"/>
  <c r="L6" i="25"/>
  <c r="K18" i="25"/>
  <c r="K14" i="25"/>
  <c r="K10" i="25"/>
  <c r="K6" i="25"/>
  <c r="I18" i="25"/>
  <c r="I14" i="25"/>
  <c r="I10" i="25"/>
  <c r="I6" i="25"/>
  <c r="J14" i="25"/>
  <c r="J13" i="25"/>
  <c r="J16" i="25"/>
  <c r="R15" i="25"/>
  <c r="B4" i="16"/>
  <c r="F12" i="4"/>
  <c r="V4" i="5"/>
  <c r="H30" i="2"/>
  <c r="R20" i="34"/>
  <c r="J20" i="34"/>
  <c r="R19" i="34"/>
  <c r="J19" i="34"/>
  <c r="R18" i="34"/>
  <c r="J18" i="34"/>
  <c r="R17" i="34"/>
  <c r="J17" i="34"/>
  <c r="R16" i="34"/>
  <c r="J16" i="34"/>
  <c r="R15" i="34"/>
  <c r="J15" i="34"/>
  <c r="R14" i="34"/>
  <c r="J14" i="34"/>
  <c r="R13" i="34"/>
  <c r="J13" i="34"/>
  <c r="R12" i="34"/>
  <c r="J12" i="34"/>
  <c r="R11" i="34"/>
  <c r="J11" i="34"/>
  <c r="R10" i="34"/>
  <c r="J10" i="34"/>
  <c r="R9" i="34"/>
  <c r="J9" i="34"/>
  <c r="R8" i="34"/>
  <c r="J8" i="34"/>
  <c r="R7" i="34"/>
  <c r="J7" i="34"/>
  <c r="R6" i="34"/>
  <c r="J6" i="34"/>
  <c r="R5" i="34"/>
  <c r="J5" i="34"/>
  <c r="P20" i="34"/>
  <c r="H20" i="34"/>
  <c r="P19" i="34"/>
  <c r="H19" i="34"/>
  <c r="O20" i="34"/>
  <c r="G20" i="34"/>
  <c r="O19" i="34"/>
  <c r="G19" i="34"/>
  <c r="O18" i="34"/>
  <c r="G18" i="34"/>
  <c r="O17" i="34"/>
  <c r="G17" i="34"/>
  <c r="O16" i="34"/>
  <c r="G16" i="34"/>
  <c r="O15" i="34"/>
  <c r="G15" i="34"/>
  <c r="O14" i="34"/>
  <c r="G14" i="34"/>
  <c r="O13" i="34"/>
  <c r="G13" i="34"/>
  <c r="O12" i="34"/>
  <c r="G12" i="34"/>
  <c r="O11" i="34"/>
  <c r="G11" i="34"/>
  <c r="O10" i="34"/>
  <c r="G10" i="34"/>
  <c r="O9" i="34"/>
  <c r="G9" i="34"/>
  <c r="O8" i="34"/>
  <c r="G8" i="34"/>
  <c r="O7" i="34"/>
  <c r="G7" i="34"/>
  <c r="O6" i="34"/>
  <c r="G6" i="34"/>
  <c r="O5" i="34"/>
  <c r="G5" i="34"/>
  <c r="N20" i="34"/>
  <c r="F20" i="34"/>
  <c r="N19" i="34"/>
  <c r="F19" i="34"/>
  <c r="N18" i="34"/>
  <c r="F18" i="34"/>
  <c r="N17" i="34"/>
  <c r="F17" i="34"/>
  <c r="N16" i="34"/>
  <c r="F16" i="34"/>
  <c r="N15" i="34"/>
  <c r="F15" i="34"/>
  <c r="N14" i="34"/>
  <c r="F14" i="34"/>
  <c r="N13" i="34"/>
  <c r="F13" i="34"/>
  <c r="N12" i="34"/>
  <c r="F12" i="34"/>
  <c r="N11" i="34"/>
  <c r="F11" i="34"/>
  <c r="N10" i="34"/>
  <c r="F10" i="34"/>
  <c r="N9" i="34"/>
  <c r="F9" i="34"/>
  <c r="N8" i="34"/>
  <c r="F8" i="34"/>
  <c r="N7" i="34"/>
  <c r="F7" i="34"/>
  <c r="N6" i="34"/>
  <c r="F6" i="34"/>
  <c r="N5" i="34"/>
  <c r="F5" i="34"/>
  <c r="S20" i="34"/>
  <c r="K20" i="34"/>
  <c r="S19" i="34"/>
  <c r="K19" i="34"/>
  <c r="S18" i="34"/>
  <c r="K18" i="34"/>
  <c r="S17" i="34"/>
  <c r="K17" i="34"/>
  <c r="S16" i="34"/>
  <c r="K16" i="34"/>
  <c r="S15" i="34"/>
  <c r="K15" i="34"/>
  <c r="S14" i="34"/>
  <c r="K14" i="34"/>
  <c r="S13" i="34"/>
  <c r="K13" i="34"/>
  <c r="S12" i="34"/>
  <c r="K12" i="34"/>
  <c r="S11" i="34"/>
  <c r="K11" i="34"/>
  <c r="S10" i="34"/>
  <c r="K10" i="34"/>
  <c r="S9" i="34"/>
  <c r="K9" i="34"/>
  <c r="S8" i="34"/>
  <c r="K8" i="34"/>
  <c r="S7" i="34"/>
  <c r="K7" i="34"/>
  <c r="S6" i="34"/>
  <c r="K6" i="34"/>
  <c r="S5" i="34"/>
  <c r="K5" i="34"/>
  <c r="M20" i="34"/>
  <c r="I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L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E6" i="34"/>
  <c r="E5" i="34"/>
  <c r="I20" i="34"/>
  <c r="T18" i="34"/>
  <c r="T17" i="34"/>
  <c r="T16" i="34"/>
  <c r="T15" i="34"/>
  <c r="T14" i="34"/>
  <c r="T13" i="34"/>
  <c r="T12" i="34"/>
  <c r="T11" i="34"/>
  <c r="T10" i="34"/>
  <c r="T9" i="34"/>
  <c r="T8" i="34"/>
  <c r="T7" i="34"/>
  <c r="T6" i="34"/>
  <c r="T5" i="34"/>
  <c r="E20" i="34"/>
  <c r="Q18" i="34"/>
  <c r="Q17" i="34"/>
  <c r="Q16" i="34"/>
  <c r="Q15" i="34"/>
  <c r="Q14" i="34"/>
  <c r="Q13" i="34"/>
  <c r="Q12" i="34"/>
  <c r="Q11" i="34"/>
  <c r="Q10" i="34"/>
  <c r="Q9" i="34"/>
  <c r="Q8" i="34"/>
  <c r="Q7" i="34"/>
  <c r="Q6" i="34"/>
  <c r="Q5" i="34"/>
  <c r="T19" i="34"/>
  <c r="P18" i="34"/>
  <c r="P17" i="34"/>
  <c r="P16" i="34"/>
  <c r="P15" i="34"/>
  <c r="P14" i="34"/>
  <c r="P13" i="34"/>
  <c r="P12" i="34"/>
  <c r="P11" i="34"/>
  <c r="P10" i="34"/>
  <c r="P9" i="34"/>
  <c r="P8" i="34"/>
  <c r="P7" i="34"/>
  <c r="P6" i="34"/>
  <c r="P5" i="34"/>
  <c r="Q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Q20" i="34"/>
  <c r="L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L13" i="34"/>
  <c r="L5" i="34"/>
  <c r="T20" i="34"/>
  <c r="L12" i="34"/>
  <c r="M19" i="34"/>
  <c r="L11" i="34"/>
  <c r="L18" i="34"/>
  <c r="L10" i="34"/>
  <c r="L17" i="34"/>
  <c r="L9" i="34"/>
  <c r="L16" i="34"/>
  <c r="L8" i="34"/>
  <c r="L14" i="34"/>
  <c r="L6" i="34"/>
  <c r="L7" i="34"/>
  <c r="L15" i="34"/>
  <c r="C4" i="18"/>
  <c r="AC4" i="5"/>
  <c r="G14" i="4"/>
  <c r="H35" i="2"/>
  <c r="B4" i="13"/>
  <c r="P4" i="5"/>
  <c r="F9" i="4"/>
  <c r="H24" i="2"/>
  <c r="O20" i="24"/>
  <c r="G20" i="24"/>
  <c r="O19" i="24"/>
  <c r="G19" i="24"/>
  <c r="O18" i="24"/>
  <c r="G18" i="24"/>
  <c r="O17" i="24"/>
  <c r="G17" i="24"/>
  <c r="O16" i="24"/>
  <c r="G16" i="24"/>
  <c r="O15" i="24"/>
  <c r="G15" i="24"/>
  <c r="O14" i="24"/>
  <c r="G14" i="24"/>
  <c r="O13" i="24"/>
  <c r="G13" i="24"/>
  <c r="O12" i="24"/>
  <c r="G12" i="24"/>
  <c r="O11" i="24"/>
  <c r="G11" i="24"/>
  <c r="O10" i="24"/>
  <c r="G10" i="24"/>
  <c r="O9" i="24"/>
  <c r="G9" i="24"/>
  <c r="O8" i="24"/>
  <c r="G8" i="24"/>
  <c r="O7" i="24"/>
  <c r="G7" i="24"/>
  <c r="O6" i="24"/>
  <c r="G6" i="24"/>
  <c r="O5" i="24"/>
  <c r="G5" i="24"/>
  <c r="N20" i="24"/>
  <c r="F20" i="24"/>
  <c r="N19" i="24"/>
  <c r="F19" i="24"/>
  <c r="N18" i="24"/>
  <c r="F18" i="24"/>
  <c r="N17" i="24"/>
  <c r="F17" i="24"/>
  <c r="N16" i="24"/>
  <c r="F16" i="24"/>
  <c r="N15" i="24"/>
  <c r="F15" i="24"/>
  <c r="N14" i="24"/>
  <c r="F14" i="24"/>
  <c r="N13" i="24"/>
  <c r="F13" i="24"/>
  <c r="N12" i="24"/>
  <c r="F12" i="24"/>
  <c r="N11" i="24"/>
  <c r="F11" i="24"/>
  <c r="N10" i="24"/>
  <c r="F10" i="24"/>
  <c r="N9" i="24"/>
  <c r="F9" i="24"/>
  <c r="N8" i="24"/>
  <c r="F8" i="24"/>
  <c r="N7" i="24"/>
  <c r="F7" i="24"/>
  <c r="N6" i="24"/>
  <c r="F6" i="24"/>
  <c r="N5" i="24"/>
  <c r="F5" i="24"/>
  <c r="M20" i="24"/>
  <c r="E20" i="24"/>
  <c r="M19" i="24"/>
  <c r="E19" i="24"/>
  <c r="M18" i="24"/>
  <c r="E18" i="24"/>
  <c r="M17" i="24"/>
  <c r="E17" i="24"/>
  <c r="M16" i="24"/>
  <c r="E16" i="24"/>
  <c r="M15" i="24"/>
  <c r="E15" i="24"/>
  <c r="M14" i="24"/>
  <c r="E14" i="24"/>
  <c r="M13" i="24"/>
  <c r="E13" i="24"/>
  <c r="M12" i="24"/>
  <c r="E12" i="24"/>
  <c r="M11" i="24"/>
  <c r="E11" i="24"/>
  <c r="M10" i="24"/>
  <c r="E10" i="24"/>
  <c r="M9" i="24"/>
  <c r="E9" i="24"/>
  <c r="M8" i="24"/>
  <c r="E8" i="24"/>
  <c r="M7" i="24"/>
  <c r="E7" i="24"/>
  <c r="M6" i="24"/>
  <c r="E6" i="24"/>
  <c r="M5" i="24"/>
  <c r="E5" i="24"/>
  <c r="T20" i="24"/>
  <c r="L20" i="24"/>
  <c r="T19" i="24"/>
  <c r="L19" i="24"/>
  <c r="T18" i="24"/>
  <c r="L18" i="24"/>
  <c r="T17" i="24"/>
  <c r="L17" i="24"/>
  <c r="T16" i="24"/>
  <c r="L16" i="24"/>
  <c r="T15" i="24"/>
  <c r="L15" i="24"/>
  <c r="T14" i="24"/>
  <c r="L14" i="24"/>
  <c r="T13" i="24"/>
  <c r="L13" i="24"/>
  <c r="T12" i="24"/>
  <c r="L12" i="24"/>
  <c r="T11" i="24"/>
  <c r="L11" i="24"/>
  <c r="T10" i="24"/>
  <c r="L10" i="24"/>
  <c r="T9" i="24"/>
  <c r="L9" i="24"/>
  <c r="T8" i="24"/>
  <c r="L8" i="24"/>
  <c r="T7" i="24"/>
  <c r="L7" i="24"/>
  <c r="T6" i="24"/>
  <c r="L6" i="24"/>
  <c r="T5" i="24"/>
  <c r="L5" i="24"/>
  <c r="S20" i="24"/>
  <c r="K20" i="24"/>
  <c r="S19" i="24"/>
  <c r="K19" i="24"/>
  <c r="S18" i="24"/>
  <c r="K18" i="24"/>
  <c r="S17" i="24"/>
  <c r="K17" i="24"/>
  <c r="S16" i="24"/>
  <c r="K16" i="24"/>
  <c r="S15" i="24"/>
  <c r="K15" i="24"/>
  <c r="S14" i="24"/>
  <c r="K14" i="24"/>
  <c r="S13" i="24"/>
  <c r="K13" i="24"/>
  <c r="S12" i="24"/>
  <c r="K12" i="24"/>
  <c r="S11" i="24"/>
  <c r="K11" i="24"/>
  <c r="S10" i="24"/>
  <c r="K10" i="24"/>
  <c r="S9" i="24"/>
  <c r="K9" i="24"/>
  <c r="S8" i="24"/>
  <c r="K8" i="24"/>
  <c r="S7" i="24"/>
  <c r="K7" i="24"/>
  <c r="S6" i="24"/>
  <c r="K6" i="24"/>
  <c r="S5" i="24"/>
  <c r="K5" i="24"/>
  <c r="R20" i="24"/>
  <c r="J20" i="24"/>
  <c r="R19" i="24"/>
  <c r="J19" i="24"/>
  <c r="R18" i="24"/>
  <c r="J18" i="24"/>
  <c r="R17" i="24"/>
  <c r="J17" i="24"/>
  <c r="R16" i="24"/>
  <c r="J16" i="24"/>
  <c r="R15" i="24"/>
  <c r="J15" i="24"/>
  <c r="R14" i="24"/>
  <c r="J14" i="24"/>
  <c r="R13" i="24"/>
  <c r="J13" i="24"/>
  <c r="R12" i="24"/>
  <c r="J12" i="24"/>
  <c r="R11" i="24"/>
  <c r="J11" i="24"/>
  <c r="R10" i="24"/>
  <c r="J10" i="24"/>
  <c r="R9" i="24"/>
  <c r="J9" i="24"/>
  <c r="R8" i="24"/>
  <c r="J8" i="24"/>
  <c r="R7" i="24"/>
  <c r="J7" i="24"/>
  <c r="R6" i="24"/>
  <c r="J6" i="24"/>
  <c r="R5" i="24"/>
  <c r="J5" i="24"/>
  <c r="P20" i="24"/>
  <c r="H20" i="24"/>
  <c r="P19" i="24"/>
  <c r="H19" i="24"/>
  <c r="P18" i="24"/>
  <c r="H18" i="24"/>
  <c r="P17" i="24"/>
  <c r="H17" i="24"/>
  <c r="P16" i="24"/>
  <c r="H16" i="24"/>
  <c r="P15" i="24"/>
  <c r="H15" i="24"/>
  <c r="P14" i="24"/>
  <c r="H14" i="24"/>
  <c r="P13" i="24"/>
  <c r="H13" i="24"/>
  <c r="P12" i="24"/>
  <c r="H12" i="24"/>
  <c r="P11" i="24"/>
  <c r="H11" i="24"/>
  <c r="P10" i="24"/>
  <c r="H10" i="24"/>
  <c r="P9" i="24"/>
  <c r="H9" i="24"/>
  <c r="P8" i="24"/>
  <c r="H8" i="24"/>
  <c r="P7" i="24"/>
  <c r="H7" i="24"/>
  <c r="P6" i="24"/>
  <c r="H6" i="24"/>
  <c r="P5" i="24"/>
  <c r="H5" i="24"/>
  <c r="Q17" i="24"/>
  <c r="Q13" i="24"/>
  <c r="Q9" i="24"/>
  <c r="Q5" i="24"/>
  <c r="I17" i="24"/>
  <c r="I13" i="24"/>
  <c r="I9" i="24"/>
  <c r="I5" i="24"/>
  <c r="Q20" i="24"/>
  <c r="Q16" i="24"/>
  <c r="Q12" i="24"/>
  <c r="Q8" i="24"/>
  <c r="I20" i="24"/>
  <c r="I16" i="24"/>
  <c r="I12" i="24"/>
  <c r="I8" i="24"/>
  <c r="Q19" i="24"/>
  <c r="Q15" i="24"/>
  <c r="Q11" i="24"/>
  <c r="Q7" i="24"/>
  <c r="I19" i="24"/>
  <c r="I15" i="24"/>
  <c r="I11" i="24"/>
  <c r="I7" i="24"/>
  <c r="I18" i="24"/>
  <c r="I14" i="24"/>
  <c r="I10" i="24"/>
  <c r="I6" i="24"/>
  <c r="Q18" i="24"/>
  <c r="Q14" i="24"/>
  <c r="Q10" i="24"/>
  <c r="Q6" i="24"/>
  <c r="G4" i="5"/>
  <c r="C4" i="8"/>
  <c r="H15" i="2"/>
  <c r="G4" i="4"/>
  <c r="B4" i="20"/>
  <c r="AD4" i="5"/>
  <c r="H38" i="2"/>
  <c r="S20" i="35"/>
  <c r="K20" i="35"/>
  <c r="S19" i="35"/>
  <c r="K19" i="35"/>
  <c r="S18" i="35"/>
  <c r="K18" i="35"/>
  <c r="S17" i="35"/>
  <c r="K17" i="35"/>
  <c r="S16" i="35"/>
  <c r="K16" i="35"/>
  <c r="S15" i="35"/>
  <c r="K15" i="35"/>
  <c r="S14" i="35"/>
  <c r="K14" i="35"/>
  <c r="S13" i="35"/>
  <c r="K13" i="35"/>
  <c r="S12" i="35"/>
  <c r="K12" i="35"/>
  <c r="S11" i="35"/>
  <c r="K11" i="35"/>
  <c r="S10" i="35"/>
  <c r="K10" i="35"/>
  <c r="S9" i="35"/>
  <c r="K9" i="35"/>
  <c r="S8" i="35"/>
  <c r="K8" i="35"/>
  <c r="S7" i="35"/>
  <c r="K7" i="35"/>
  <c r="S6" i="35"/>
  <c r="K6" i="35"/>
  <c r="S5" i="35"/>
  <c r="K5" i="35"/>
  <c r="R20" i="35"/>
  <c r="J20" i="35"/>
  <c r="R19" i="35"/>
  <c r="J19" i="35"/>
  <c r="R18" i="35"/>
  <c r="J18" i="35"/>
  <c r="R17" i="35"/>
  <c r="J17" i="35"/>
  <c r="R16" i="35"/>
  <c r="J16" i="35"/>
  <c r="Q20" i="35"/>
  <c r="I20" i="35"/>
  <c r="Q19" i="35"/>
  <c r="I19" i="35"/>
  <c r="Q18" i="35"/>
  <c r="I18" i="35"/>
  <c r="Q17" i="35"/>
  <c r="I17" i="35"/>
  <c r="Q16" i="35"/>
  <c r="I16" i="35"/>
  <c r="Q15" i="35"/>
  <c r="I15" i="35"/>
  <c r="Q14" i="35"/>
  <c r="I14" i="35"/>
  <c r="Q13" i="35"/>
  <c r="I13" i="35"/>
  <c r="Q12" i="35"/>
  <c r="I12" i="35"/>
  <c r="Q11" i="35"/>
  <c r="I11" i="35"/>
  <c r="Q10" i="35"/>
  <c r="I10" i="35"/>
  <c r="Q9" i="35"/>
  <c r="I9" i="35"/>
  <c r="Q8" i="35"/>
  <c r="I8" i="35"/>
  <c r="Q7" i="35"/>
  <c r="I7" i="35"/>
  <c r="Q6" i="35"/>
  <c r="I6" i="35"/>
  <c r="Q5" i="35"/>
  <c r="I5" i="35"/>
  <c r="P20" i="35"/>
  <c r="H20" i="35"/>
  <c r="P19" i="35"/>
  <c r="H19" i="35"/>
  <c r="P18" i="35"/>
  <c r="H18" i="35"/>
  <c r="P17" i="35"/>
  <c r="H17" i="35"/>
  <c r="P16" i="35"/>
  <c r="H16" i="35"/>
  <c r="P15" i="35"/>
  <c r="H15" i="35"/>
  <c r="P14" i="35"/>
  <c r="H14" i="35"/>
  <c r="P13" i="35"/>
  <c r="H13" i="35"/>
  <c r="P12" i="35"/>
  <c r="H12" i="35"/>
  <c r="P11" i="35"/>
  <c r="H11" i="35"/>
  <c r="P10" i="35"/>
  <c r="H10" i="35"/>
  <c r="P9" i="35"/>
  <c r="H9" i="35"/>
  <c r="P8" i="35"/>
  <c r="H8" i="35"/>
  <c r="P7" i="35"/>
  <c r="H7" i="35"/>
  <c r="P6" i="35"/>
  <c r="H6" i="35"/>
  <c r="P5" i="35"/>
  <c r="H5" i="35"/>
  <c r="O20" i="35"/>
  <c r="G20" i="35"/>
  <c r="O19" i="35"/>
  <c r="G19" i="35"/>
  <c r="O18" i="35"/>
  <c r="G18" i="35"/>
  <c r="O17" i="35"/>
  <c r="G17" i="35"/>
  <c r="O16" i="35"/>
  <c r="G16" i="35"/>
  <c r="O15" i="35"/>
  <c r="G15" i="35"/>
  <c r="O14" i="35"/>
  <c r="G14" i="35"/>
  <c r="O13" i="35"/>
  <c r="G13" i="35"/>
  <c r="O12" i="35"/>
  <c r="G12" i="35"/>
  <c r="O11" i="35"/>
  <c r="G11" i="35"/>
  <c r="O10" i="35"/>
  <c r="G10" i="35"/>
  <c r="O9" i="35"/>
  <c r="G9" i="35"/>
  <c r="O8" i="35"/>
  <c r="G8" i="35"/>
  <c r="O7" i="35"/>
  <c r="G7" i="35"/>
  <c r="O6" i="35"/>
  <c r="G6" i="35"/>
  <c r="O5" i="35"/>
  <c r="G5" i="35"/>
  <c r="N20" i="35"/>
  <c r="F20" i="35"/>
  <c r="N19" i="35"/>
  <c r="F19" i="35"/>
  <c r="N18" i="35"/>
  <c r="F18" i="35"/>
  <c r="N17" i="35"/>
  <c r="F17" i="35"/>
  <c r="N16" i="35"/>
  <c r="F16" i="35"/>
  <c r="N15" i="35"/>
  <c r="F15" i="35"/>
  <c r="N14" i="35"/>
  <c r="F14" i="35"/>
  <c r="N13" i="35"/>
  <c r="F13" i="35"/>
  <c r="N12" i="35"/>
  <c r="F12" i="35"/>
  <c r="N11" i="35"/>
  <c r="F11" i="35"/>
  <c r="N10" i="35"/>
  <c r="F10" i="35"/>
  <c r="N9" i="35"/>
  <c r="F9" i="35"/>
  <c r="N8" i="35"/>
  <c r="F8" i="35"/>
  <c r="N7" i="35"/>
  <c r="F7" i="35"/>
  <c r="N6" i="35"/>
  <c r="F6" i="35"/>
  <c r="N5" i="35"/>
  <c r="F5" i="35"/>
  <c r="T20" i="35"/>
  <c r="L20" i="35"/>
  <c r="T19" i="35"/>
  <c r="L19" i="35"/>
  <c r="T18" i="35"/>
  <c r="L18" i="35"/>
  <c r="T17" i="35"/>
  <c r="L17" i="35"/>
  <c r="T16" i="35"/>
  <c r="L16" i="35"/>
  <c r="T15" i="35"/>
  <c r="L15" i="35"/>
  <c r="T14" i="35"/>
  <c r="L14" i="35"/>
  <c r="T13" i="35"/>
  <c r="L13" i="35"/>
  <c r="T12" i="35"/>
  <c r="L12" i="35"/>
  <c r="T11" i="35"/>
  <c r="L11" i="35"/>
  <c r="T10" i="35"/>
  <c r="L10" i="35"/>
  <c r="T9" i="35"/>
  <c r="L9" i="35"/>
  <c r="T8" i="35"/>
  <c r="L8" i="35"/>
  <c r="T7" i="35"/>
  <c r="L7" i="35"/>
  <c r="T6" i="35"/>
  <c r="L6" i="35"/>
  <c r="T5" i="35"/>
  <c r="L5" i="35"/>
  <c r="M18" i="35"/>
  <c r="J15" i="35"/>
  <c r="J13" i="35"/>
  <c r="J11" i="35"/>
  <c r="J9" i="35"/>
  <c r="J7" i="35"/>
  <c r="J5" i="35"/>
  <c r="E18" i="35"/>
  <c r="E15" i="35"/>
  <c r="E13" i="35"/>
  <c r="E11" i="35"/>
  <c r="E9" i="35"/>
  <c r="E7" i="35"/>
  <c r="E5" i="35"/>
  <c r="M17" i="35"/>
  <c r="R14" i="35"/>
  <c r="R12" i="35"/>
  <c r="R10" i="35"/>
  <c r="R8" i="35"/>
  <c r="R6" i="35"/>
  <c r="E17" i="35"/>
  <c r="M14" i="35"/>
  <c r="M12" i="35"/>
  <c r="M10" i="35"/>
  <c r="M8" i="35"/>
  <c r="M6" i="35"/>
  <c r="M20" i="35"/>
  <c r="M16" i="35"/>
  <c r="J14" i="35"/>
  <c r="J12" i="35"/>
  <c r="J10" i="35"/>
  <c r="J8" i="35"/>
  <c r="J6" i="35"/>
  <c r="E20" i="35"/>
  <c r="E16" i="35"/>
  <c r="E14" i="35"/>
  <c r="E12" i="35"/>
  <c r="E10" i="35"/>
  <c r="E8" i="35"/>
  <c r="E6" i="35"/>
  <c r="E19" i="35"/>
  <c r="M15" i="35"/>
  <c r="M13" i="35"/>
  <c r="M11" i="35"/>
  <c r="M9" i="35"/>
  <c r="M7" i="35"/>
  <c r="M5" i="35"/>
  <c r="R13" i="35"/>
  <c r="R11" i="35"/>
  <c r="R9" i="35"/>
  <c r="R7" i="35"/>
  <c r="R5" i="35"/>
  <c r="R15" i="35"/>
  <c r="M19" i="35"/>
  <c r="C4" i="19"/>
  <c r="G15" i="4"/>
  <c r="AE4" i="5"/>
  <c r="H37" i="2"/>
  <c r="Q20" i="27"/>
  <c r="I20" i="27"/>
  <c r="Q19" i="27"/>
  <c r="P20" i="27"/>
  <c r="H20" i="27"/>
  <c r="P19" i="27"/>
  <c r="H19" i="27"/>
  <c r="P18" i="27"/>
  <c r="H18" i="27"/>
  <c r="P17" i="27"/>
  <c r="H17" i="27"/>
  <c r="P16" i="27"/>
  <c r="H16" i="27"/>
  <c r="P15" i="27"/>
  <c r="H15" i="27"/>
  <c r="P14" i="27"/>
  <c r="H14" i="27"/>
  <c r="P13" i="27"/>
  <c r="H13" i="27"/>
  <c r="P12" i="27"/>
  <c r="H12" i="27"/>
  <c r="P11" i="27"/>
  <c r="H11" i="27"/>
  <c r="P10" i="27"/>
  <c r="H10" i="27"/>
  <c r="P9" i="27"/>
  <c r="H9" i="27"/>
  <c r="P8" i="27"/>
  <c r="H8" i="27"/>
  <c r="P7" i="27"/>
  <c r="H7" i="27"/>
  <c r="P6" i="27"/>
  <c r="H6" i="27"/>
  <c r="P5" i="27"/>
  <c r="H5" i="27"/>
  <c r="O20" i="27"/>
  <c r="G20" i="27"/>
  <c r="O19" i="27"/>
  <c r="G19" i="27"/>
  <c r="O18" i="27"/>
  <c r="G18" i="27"/>
  <c r="O17" i="27"/>
  <c r="G17" i="27"/>
  <c r="O16" i="27"/>
  <c r="G16" i="27"/>
  <c r="O15" i="27"/>
  <c r="G15" i="27"/>
  <c r="O14" i="27"/>
  <c r="G14" i="27"/>
  <c r="O13" i="27"/>
  <c r="G13" i="27"/>
  <c r="O12" i="27"/>
  <c r="G12" i="27"/>
  <c r="O11" i="27"/>
  <c r="G11" i="27"/>
  <c r="O10" i="27"/>
  <c r="G10" i="27"/>
  <c r="O9" i="27"/>
  <c r="G9" i="27"/>
  <c r="O8" i="27"/>
  <c r="G8" i="27"/>
  <c r="O7" i="27"/>
  <c r="G7" i="27"/>
  <c r="O6" i="27"/>
  <c r="G6" i="27"/>
  <c r="O5" i="27"/>
  <c r="G5" i="27"/>
  <c r="N20" i="27"/>
  <c r="F20" i="27"/>
  <c r="N19" i="27"/>
  <c r="F19" i="27"/>
  <c r="N18" i="27"/>
  <c r="F18" i="27"/>
  <c r="N17" i="27"/>
  <c r="F17" i="27"/>
  <c r="N16" i="27"/>
  <c r="F16" i="27"/>
  <c r="N15" i="27"/>
  <c r="F15" i="27"/>
  <c r="N14" i="27"/>
  <c r="F14" i="27"/>
  <c r="N13" i="27"/>
  <c r="F13" i="27"/>
  <c r="N12" i="27"/>
  <c r="F12" i="27"/>
  <c r="N11" i="27"/>
  <c r="F11" i="27"/>
  <c r="N10" i="27"/>
  <c r="F10" i="27"/>
  <c r="N9" i="27"/>
  <c r="F9" i="27"/>
  <c r="N8" i="27"/>
  <c r="F8" i="27"/>
  <c r="N7" i="27"/>
  <c r="F7" i="27"/>
  <c r="N6" i="27"/>
  <c r="F6" i="27"/>
  <c r="N5" i="27"/>
  <c r="F5" i="27"/>
  <c r="M20" i="27"/>
  <c r="E20" i="27"/>
  <c r="M19" i="27"/>
  <c r="E19" i="27"/>
  <c r="M18" i="27"/>
  <c r="E18" i="27"/>
  <c r="M17" i="27"/>
  <c r="E17" i="27"/>
  <c r="M16" i="27"/>
  <c r="E16" i="27"/>
  <c r="M15" i="27"/>
  <c r="E15" i="27"/>
  <c r="M14" i="27"/>
  <c r="E14" i="27"/>
  <c r="M13" i="27"/>
  <c r="E13" i="27"/>
  <c r="M12" i="27"/>
  <c r="E12" i="27"/>
  <c r="M11" i="27"/>
  <c r="E11" i="27"/>
  <c r="M10" i="27"/>
  <c r="E10" i="27"/>
  <c r="M9" i="27"/>
  <c r="E9" i="27"/>
  <c r="M8" i="27"/>
  <c r="E8" i="27"/>
  <c r="M7" i="27"/>
  <c r="E7" i="27"/>
  <c r="M6" i="27"/>
  <c r="E6" i="27"/>
  <c r="M5" i="27"/>
  <c r="E5" i="27"/>
  <c r="T20" i="27"/>
  <c r="L20" i="27"/>
  <c r="T19" i="27"/>
  <c r="L19" i="27"/>
  <c r="T18" i="27"/>
  <c r="L18" i="27"/>
  <c r="T17" i="27"/>
  <c r="L17" i="27"/>
  <c r="T16" i="27"/>
  <c r="L16" i="27"/>
  <c r="T15" i="27"/>
  <c r="L15" i="27"/>
  <c r="T14" i="27"/>
  <c r="L14" i="27"/>
  <c r="T13" i="27"/>
  <c r="L13" i="27"/>
  <c r="T12" i="27"/>
  <c r="L12" i="27"/>
  <c r="T11" i="27"/>
  <c r="L11" i="27"/>
  <c r="T10" i="27"/>
  <c r="L10" i="27"/>
  <c r="T9" i="27"/>
  <c r="L9" i="27"/>
  <c r="T8" i="27"/>
  <c r="L8" i="27"/>
  <c r="T7" i="27"/>
  <c r="L7" i="27"/>
  <c r="T6" i="27"/>
  <c r="L6" i="27"/>
  <c r="T5" i="27"/>
  <c r="L5" i="27"/>
  <c r="R20" i="27"/>
  <c r="J20" i="27"/>
  <c r="R19" i="27"/>
  <c r="J19" i="27"/>
  <c r="R18" i="27"/>
  <c r="J18" i="27"/>
  <c r="R17" i="27"/>
  <c r="J17" i="27"/>
  <c r="R16" i="27"/>
  <c r="J16" i="27"/>
  <c r="R15" i="27"/>
  <c r="J15" i="27"/>
  <c r="R14" i="27"/>
  <c r="J14" i="27"/>
  <c r="R13" i="27"/>
  <c r="J13" i="27"/>
  <c r="R12" i="27"/>
  <c r="J12" i="27"/>
  <c r="R11" i="27"/>
  <c r="J11" i="27"/>
  <c r="R10" i="27"/>
  <c r="J10" i="27"/>
  <c r="R9" i="27"/>
  <c r="J9" i="27"/>
  <c r="R8" i="27"/>
  <c r="J8" i="27"/>
  <c r="R7" i="27"/>
  <c r="J7" i="27"/>
  <c r="R6" i="27"/>
  <c r="J6" i="27"/>
  <c r="R5" i="27"/>
  <c r="J5" i="27"/>
  <c r="I19" i="27"/>
  <c r="I17" i="27"/>
  <c r="I15" i="27"/>
  <c r="I13" i="27"/>
  <c r="I11" i="27"/>
  <c r="I9" i="27"/>
  <c r="I7" i="27"/>
  <c r="I5" i="27"/>
  <c r="S18" i="27"/>
  <c r="S16" i="27"/>
  <c r="S14" i="27"/>
  <c r="S12" i="27"/>
  <c r="S10" i="27"/>
  <c r="S8" i="27"/>
  <c r="S6" i="27"/>
  <c r="Q18" i="27"/>
  <c r="Q16" i="27"/>
  <c r="Q14" i="27"/>
  <c r="Q12" i="27"/>
  <c r="Q10" i="27"/>
  <c r="Q8" i="27"/>
  <c r="Q6" i="27"/>
  <c r="K18" i="27"/>
  <c r="K16" i="27"/>
  <c r="K14" i="27"/>
  <c r="K12" i="27"/>
  <c r="K10" i="27"/>
  <c r="K8" i="27"/>
  <c r="K6" i="27"/>
  <c r="S20" i="27"/>
  <c r="I18" i="27"/>
  <c r="I16" i="27"/>
  <c r="I14" i="27"/>
  <c r="I12" i="27"/>
  <c r="I10" i="27"/>
  <c r="I8" i="27"/>
  <c r="I6" i="27"/>
  <c r="K20" i="27"/>
  <c r="S17" i="27"/>
  <c r="S15" i="27"/>
  <c r="S13" i="27"/>
  <c r="S11" i="27"/>
  <c r="S9" i="27"/>
  <c r="S7" i="27"/>
  <c r="S5" i="27"/>
  <c r="K19" i="27"/>
  <c r="K17" i="27"/>
  <c r="K15" i="27"/>
  <c r="K13" i="27"/>
  <c r="K11" i="27"/>
  <c r="K9" i="27"/>
  <c r="K7" i="27"/>
  <c r="K5" i="27"/>
  <c r="Q17" i="27"/>
  <c r="Q15" i="27"/>
  <c r="Q13" i="27"/>
  <c r="Q11" i="27"/>
  <c r="Q9" i="27"/>
  <c r="Q7" i="27"/>
  <c r="S19" i="27"/>
  <c r="Q5" i="27"/>
  <c r="C4" i="11"/>
  <c r="G7" i="4"/>
  <c r="M4" i="5"/>
  <c r="H21" i="2"/>
  <c r="B4" i="19"/>
  <c r="AB4" i="5"/>
  <c r="F15" i="4"/>
  <c r="H36" i="2"/>
  <c r="T20" i="36"/>
  <c r="L20" i="36"/>
  <c r="T19" i="36"/>
  <c r="L19" i="36"/>
  <c r="T18" i="36"/>
  <c r="L18" i="36"/>
  <c r="T17" i="36"/>
  <c r="L17" i="36"/>
  <c r="T16" i="36"/>
  <c r="L16" i="36"/>
  <c r="T15" i="36"/>
  <c r="L15" i="36"/>
  <c r="T14" i="36"/>
  <c r="L14" i="36"/>
  <c r="T13" i="36"/>
  <c r="L13" i="36"/>
  <c r="T12" i="36"/>
  <c r="L12" i="36"/>
  <c r="T11" i="36"/>
  <c r="L11" i="36"/>
  <c r="T10" i="36"/>
  <c r="L10" i="36"/>
  <c r="T9" i="36"/>
  <c r="L9" i="36"/>
  <c r="T8" i="36"/>
  <c r="L8" i="36"/>
  <c r="T7" i="36"/>
  <c r="L7" i="36"/>
  <c r="S20" i="36"/>
  <c r="K20" i="36"/>
  <c r="S19" i="36"/>
  <c r="K19" i="36"/>
  <c r="S18" i="36"/>
  <c r="K18" i="36"/>
  <c r="S17" i="36"/>
  <c r="K17" i="36"/>
  <c r="S16" i="36"/>
  <c r="K16" i="36"/>
  <c r="S15" i="36"/>
  <c r="K15" i="36"/>
  <c r="S14" i="36"/>
  <c r="K14" i="36"/>
  <c r="S13" i="36"/>
  <c r="K13" i="36"/>
  <c r="S12" i="36"/>
  <c r="K12" i="36"/>
  <c r="S11" i="36"/>
  <c r="K11" i="36"/>
  <c r="S10" i="36"/>
  <c r="K10" i="36"/>
  <c r="P20" i="36"/>
  <c r="H20" i="36"/>
  <c r="P19" i="36"/>
  <c r="H19" i="36"/>
  <c r="P18" i="36"/>
  <c r="H18" i="36"/>
  <c r="P17" i="36"/>
  <c r="H17" i="36"/>
  <c r="P16" i="36"/>
  <c r="H16" i="36"/>
  <c r="P15" i="36"/>
  <c r="H15" i="36"/>
  <c r="P14" i="36"/>
  <c r="H14" i="36"/>
  <c r="P13" i="36"/>
  <c r="H13" i="36"/>
  <c r="P12" i="36"/>
  <c r="H12" i="36"/>
  <c r="P11" i="36"/>
  <c r="H11" i="36"/>
  <c r="P10" i="36"/>
  <c r="H10" i="36"/>
  <c r="P9" i="36"/>
  <c r="H9" i="36"/>
  <c r="P8" i="36"/>
  <c r="H8" i="36"/>
  <c r="P7" i="36"/>
  <c r="H7" i="36"/>
  <c r="P6" i="36"/>
  <c r="H6" i="36"/>
  <c r="P5" i="36"/>
  <c r="H5" i="36"/>
  <c r="J20" i="36"/>
  <c r="N19" i="36"/>
  <c r="Q18" i="36"/>
  <c r="E18" i="36"/>
  <c r="G17" i="36"/>
  <c r="J16" i="36"/>
  <c r="N15" i="36"/>
  <c r="Q14" i="36"/>
  <c r="E14" i="36"/>
  <c r="G13" i="36"/>
  <c r="J12" i="36"/>
  <c r="N11" i="36"/>
  <c r="Q10" i="36"/>
  <c r="E10" i="36"/>
  <c r="J9" i="36"/>
  <c r="O8" i="36"/>
  <c r="E8" i="36"/>
  <c r="J7" i="36"/>
  <c r="Q6" i="36"/>
  <c r="G6" i="36"/>
  <c r="N5" i="36"/>
  <c r="E5" i="36"/>
  <c r="I20" i="36"/>
  <c r="M19" i="36"/>
  <c r="O18" i="36"/>
  <c r="R17" i="36"/>
  <c r="F17" i="36"/>
  <c r="I16" i="36"/>
  <c r="M15" i="36"/>
  <c r="O14" i="36"/>
  <c r="R13" i="36"/>
  <c r="F13" i="36"/>
  <c r="I12" i="36"/>
  <c r="M11" i="36"/>
  <c r="O10" i="36"/>
  <c r="S9" i="36"/>
  <c r="I9" i="36"/>
  <c r="N8" i="36"/>
  <c r="S7" i="36"/>
  <c r="I7" i="36"/>
  <c r="O6" i="36"/>
  <c r="F6" i="36"/>
  <c r="M5" i="36"/>
  <c r="G20" i="36"/>
  <c r="J19" i="36"/>
  <c r="N18" i="36"/>
  <c r="Q17" i="36"/>
  <c r="E17" i="36"/>
  <c r="G16" i="36"/>
  <c r="J15" i="36"/>
  <c r="N14" i="36"/>
  <c r="Q13" i="36"/>
  <c r="E13" i="36"/>
  <c r="G12" i="36"/>
  <c r="J11" i="36"/>
  <c r="N10" i="36"/>
  <c r="R9" i="36"/>
  <c r="G9" i="36"/>
  <c r="M8" i="36"/>
  <c r="R7" i="36"/>
  <c r="G7" i="36"/>
  <c r="N6" i="36"/>
  <c r="E6" i="36"/>
  <c r="L5" i="36"/>
  <c r="R20" i="36"/>
  <c r="F20" i="36"/>
  <c r="I19" i="36"/>
  <c r="M18" i="36"/>
  <c r="O17" i="36"/>
  <c r="R16" i="36"/>
  <c r="F16" i="36"/>
  <c r="I15" i="36"/>
  <c r="M14" i="36"/>
  <c r="O13" i="36"/>
  <c r="R12" i="36"/>
  <c r="F12" i="36"/>
  <c r="I11" i="36"/>
  <c r="M10" i="36"/>
  <c r="Q9" i="36"/>
  <c r="F9" i="36"/>
  <c r="K8" i="36"/>
  <c r="Q7" i="36"/>
  <c r="F7" i="36"/>
  <c r="M6" i="36"/>
  <c r="T5" i="36"/>
  <c r="K5" i="36"/>
  <c r="Q20" i="36"/>
  <c r="E20" i="36"/>
  <c r="G19" i="36"/>
  <c r="J18" i="36"/>
  <c r="N17" i="36"/>
  <c r="Q16" i="36"/>
  <c r="E16" i="36"/>
  <c r="G15" i="36"/>
  <c r="J14" i="36"/>
  <c r="N13" i="36"/>
  <c r="Q12" i="36"/>
  <c r="E12" i="36"/>
  <c r="G11" i="36"/>
  <c r="J10" i="36"/>
  <c r="O9" i="36"/>
  <c r="E9" i="36"/>
  <c r="J8" i="36"/>
  <c r="O7" i="36"/>
  <c r="E7" i="36"/>
  <c r="L6" i="36"/>
  <c r="S5" i="36"/>
  <c r="J5" i="36"/>
  <c r="O20" i="36"/>
  <c r="R19" i="36"/>
  <c r="F19" i="36"/>
  <c r="I18" i="36"/>
  <c r="M17" i="36"/>
  <c r="O16" i="36"/>
  <c r="R15" i="36"/>
  <c r="F15" i="36"/>
  <c r="I14" i="36"/>
  <c r="M13" i="36"/>
  <c r="O12" i="36"/>
  <c r="R11" i="36"/>
  <c r="F11" i="36"/>
  <c r="I10" i="36"/>
  <c r="N9" i="36"/>
  <c r="S8" i="36"/>
  <c r="I8" i="36"/>
  <c r="N7" i="36"/>
  <c r="T6" i="36"/>
  <c r="K6" i="36"/>
  <c r="R5" i="36"/>
  <c r="I5" i="36"/>
  <c r="M20" i="36"/>
  <c r="O19" i="36"/>
  <c r="R18" i="36"/>
  <c r="F18" i="36"/>
  <c r="I17" i="36"/>
  <c r="M16" i="36"/>
  <c r="O15" i="36"/>
  <c r="R14" i="36"/>
  <c r="F14" i="36"/>
  <c r="I13" i="36"/>
  <c r="M12" i="36"/>
  <c r="O11" i="36"/>
  <c r="R10" i="36"/>
  <c r="F10" i="36"/>
  <c r="K9" i="36"/>
  <c r="Q8" i="36"/>
  <c r="F8" i="36"/>
  <c r="K7" i="36"/>
  <c r="R6" i="36"/>
  <c r="I6" i="36"/>
  <c r="O5" i="36"/>
  <c r="F5" i="36"/>
  <c r="Q19" i="36"/>
  <c r="J13" i="36"/>
  <c r="M7" i="36"/>
  <c r="E19" i="36"/>
  <c r="N12" i="36"/>
  <c r="S6" i="36"/>
  <c r="G18" i="36"/>
  <c r="Q11" i="36"/>
  <c r="J6" i="36"/>
  <c r="J17" i="36"/>
  <c r="E11" i="36"/>
  <c r="Q5" i="36"/>
  <c r="N16" i="36"/>
  <c r="G10" i="36"/>
  <c r="G5" i="36"/>
  <c r="Q15" i="36"/>
  <c r="M9" i="36"/>
  <c r="N20" i="36"/>
  <c r="G14" i="36"/>
  <c r="G8" i="36"/>
  <c r="E15" i="36"/>
  <c r="R8" i="36"/>
  <c r="C4" i="20"/>
  <c r="H39" i="2"/>
  <c r="B4" i="17"/>
  <c r="X4" i="5"/>
  <c r="F13" i="4"/>
  <c r="H32" i="2"/>
  <c r="O20" i="26"/>
  <c r="G20" i="26"/>
  <c r="O19" i="26"/>
  <c r="G19" i="26"/>
  <c r="O18" i="26"/>
  <c r="G18" i="26"/>
  <c r="O17" i="26"/>
  <c r="G17" i="26"/>
  <c r="O16" i="26"/>
  <c r="G16" i="26"/>
  <c r="O15" i="26"/>
  <c r="G15" i="26"/>
  <c r="O14" i="26"/>
  <c r="G14" i="26"/>
  <c r="O13" i="26"/>
  <c r="N20" i="26"/>
  <c r="F20" i="26"/>
  <c r="N19" i="26"/>
  <c r="F19" i="26"/>
  <c r="N18" i="26"/>
  <c r="F18" i="26"/>
  <c r="N17" i="26"/>
  <c r="F17" i="26"/>
  <c r="N16" i="26"/>
  <c r="F16" i="26"/>
  <c r="N15" i="26"/>
  <c r="F15" i="26"/>
  <c r="N14" i="26"/>
  <c r="F14" i="26"/>
  <c r="N13" i="26"/>
  <c r="M20" i="26"/>
  <c r="E20" i="26"/>
  <c r="M19" i="26"/>
  <c r="E19" i="26"/>
  <c r="M18" i="26"/>
  <c r="E18" i="26"/>
  <c r="M17" i="26"/>
  <c r="E17" i="26"/>
  <c r="M16" i="26"/>
  <c r="E16" i="26"/>
  <c r="M15" i="26"/>
  <c r="E15" i="26"/>
  <c r="M14" i="26"/>
  <c r="E14" i="26"/>
  <c r="T20" i="26"/>
  <c r="L20" i="26"/>
  <c r="T19" i="26"/>
  <c r="L19" i="26"/>
  <c r="T18" i="26"/>
  <c r="L18" i="26"/>
  <c r="T17" i="26"/>
  <c r="L17" i="26"/>
  <c r="T16" i="26"/>
  <c r="L16" i="26"/>
  <c r="T15" i="26"/>
  <c r="L15" i="26"/>
  <c r="T14" i="26"/>
  <c r="L14" i="26"/>
  <c r="T13" i="26"/>
  <c r="L13" i="26"/>
  <c r="S20" i="26"/>
  <c r="K20" i="26"/>
  <c r="S19" i="26"/>
  <c r="K19" i="26"/>
  <c r="S18" i="26"/>
  <c r="K18" i="26"/>
  <c r="S17" i="26"/>
  <c r="K17" i="26"/>
  <c r="S16" i="26"/>
  <c r="K16" i="26"/>
  <c r="S15" i="26"/>
  <c r="K15" i="26"/>
  <c r="S14" i="26"/>
  <c r="K14" i="26"/>
  <c r="Q20" i="26"/>
  <c r="I20" i="26"/>
  <c r="Q19" i="26"/>
  <c r="I19" i="26"/>
  <c r="Q18" i="26"/>
  <c r="I18" i="26"/>
  <c r="Q17" i="26"/>
  <c r="I17" i="26"/>
  <c r="Q16" i="26"/>
  <c r="I16" i="26"/>
  <c r="Q15" i="26"/>
  <c r="J19" i="26"/>
  <c r="J17" i="26"/>
  <c r="J15" i="26"/>
  <c r="H14" i="26"/>
  <c r="I13" i="26"/>
  <c r="Q12" i="26"/>
  <c r="I12" i="26"/>
  <c r="Q11" i="26"/>
  <c r="I11" i="26"/>
  <c r="Q10" i="26"/>
  <c r="I10" i="26"/>
  <c r="Q9" i="26"/>
  <c r="I9" i="26"/>
  <c r="Q8" i="26"/>
  <c r="I8" i="26"/>
  <c r="Q7" i="26"/>
  <c r="I7" i="26"/>
  <c r="Q6" i="26"/>
  <c r="I6" i="26"/>
  <c r="Q5" i="26"/>
  <c r="I5" i="26"/>
  <c r="H19" i="26"/>
  <c r="H17" i="26"/>
  <c r="I15" i="26"/>
  <c r="S13" i="26"/>
  <c r="H13" i="26"/>
  <c r="P12" i="26"/>
  <c r="H12" i="26"/>
  <c r="P11" i="26"/>
  <c r="H11" i="26"/>
  <c r="P10" i="26"/>
  <c r="H10" i="26"/>
  <c r="P9" i="26"/>
  <c r="H9" i="26"/>
  <c r="P8" i="26"/>
  <c r="H8" i="26"/>
  <c r="P7" i="26"/>
  <c r="H7" i="26"/>
  <c r="P6" i="26"/>
  <c r="H6" i="26"/>
  <c r="P5" i="26"/>
  <c r="H5" i="26"/>
  <c r="R20" i="26"/>
  <c r="R18" i="26"/>
  <c r="R16" i="26"/>
  <c r="H15" i="26"/>
  <c r="R13" i="26"/>
  <c r="G13" i="26"/>
  <c r="O12" i="26"/>
  <c r="G12" i="26"/>
  <c r="O11" i="26"/>
  <c r="G11" i="26"/>
  <c r="O10" i="26"/>
  <c r="G10" i="26"/>
  <c r="O9" i="26"/>
  <c r="G9" i="26"/>
  <c r="O8" i="26"/>
  <c r="G8" i="26"/>
  <c r="O7" i="26"/>
  <c r="G7" i="26"/>
  <c r="O6" i="26"/>
  <c r="G6" i="26"/>
  <c r="O5" i="26"/>
  <c r="G5" i="26"/>
  <c r="P20" i="26"/>
  <c r="P18" i="26"/>
  <c r="P16" i="26"/>
  <c r="R14" i="26"/>
  <c r="Q13" i="26"/>
  <c r="F13" i="26"/>
  <c r="N12" i="26"/>
  <c r="F12" i="26"/>
  <c r="N11" i="26"/>
  <c r="F11" i="26"/>
  <c r="N10" i="26"/>
  <c r="F10" i="26"/>
  <c r="N9" i="26"/>
  <c r="F9" i="26"/>
  <c r="N8" i="26"/>
  <c r="F8" i="26"/>
  <c r="N7" i="26"/>
  <c r="F7" i="26"/>
  <c r="N6" i="26"/>
  <c r="F6" i="26"/>
  <c r="N5" i="26"/>
  <c r="F5" i="26"/>
  <c r="J20" i="26"/>
  <c r="J18" i="26"/>
  <c r="J16" i="26"/>
  <c r="Q14" i="26"/>
  <c r="P13" i="26"/>
  <c r="E13" i="26"/>
  <c r="M12" i="26"/>
  <c r="E12" i="26"/>
  <c r="M11" i="26"/>
  <c r="E11" i="26"/>
  <c r="M10" i="26"/>
  <c r="E10" i="26"/>
  <c r="M9" i="26"/>
  <c r="E9" i="26"/>
  <c r="M8" i="26"/>
  <c r="E8" i="26"/>
  <c r="M7" i="26"/>
  <c r="E7" i="26"/>
  <c r="M6" i="26"/>
  <c r="E6" i="26"/>
  <c r="M5" i="26"/>
  <c r="E5" i="26"/>
  <c r="H20" i="26"/>
  <c r="H18" i="26"/>
  <c r="H16" i="26"/>
  <c r="P14" i="26"/>
  <c r="M13" i="26"/>
  <c r="T12" i="26"/>
  <c r="L12" i="26"/>
  <c r="T11" i="26"/>
  <c r="L11" i="26"/>
  <c r="T10" i="26"/>
  <c r="L10" i="26"/>
  <c r="T9" i="26"/>
  <c r="L9" i="26"/>
  <c r="T8" i="26"/>
  <c r="L8" i="26"/>
  <c r="T7" i="26"/>
  <c r="L7" i="26"/>
  <c r="T6" i="26"/>
  <c r="L6" i="26"/>
  <c r="T5" i="26"/>
  <c r="L5" i="26"/>
  <c r="P19" i="26"/>
  <c r="P17" i="26"/>
  <c r="P15" i="26"/>
  <c r="I14" i="26"/>
  <c r="J13" i="26"/>
  <c r="R12" i="26"/>
  <c r="J12" i="26"/>
  <c r="R11" i="26"/>
  <c r="J11" i="26"/>
  <c r="R10" i="26"/>
  <c r="J10" i="26"/>
  <c r="R9" i="26"/>
  <c r="J9" i="26"/>
  <c r="R8" i="26"/>
  <c r="J8" i="26"/>
  <c r="R7" i="26"/>
  <c r="J7" i="26"/>
  <c r="R6" i="26"/>
  <c r="J6" i="26"/>
  <c r="R5" i="26"/>
  <c r="J5" i="26"/>
  <c r="K12" i="26"/>
  <c r="K8" i="26"/>
  <c r="S11" i="26"/>
  <c r="S7" i="26"/>
  <c r="R19" i="26"/>
  <c r="K11" i="26"/>
  <c r="K7" i="26"/>
  <c r="R17" i="26"/>
  <c r="S10" i="26"/>
  <c r="S6" i="26"/>
  <c r="R15" i="26"/>
  <c r="K10" i="26"/>
  <c r="K6" i="26"/>
  <c r="J14" i="26"/>
  <c r="S9" i="26"/>
  <c r="S5" i="26"/>
  <c r="S12" i="26"/>
  <c r="S8" i="26"/>
  <c r="K13" i="26"/>
  <c r="K9" i="26"/>
  <c r="K5" i="26"/>
  <c r="K4" i="5"/>
  <c r="C4" i="10"/>
  <c r="G6" i="4"/>
  <c r="H19" i="2"/>
  <c r="L4" i="5"/>
  <c r="B4" i="11"/>
  <c r="F7" i="4"/>
  <c r="H20" i="2"/>
  <c r="N20" i="31"/>
  <c r="F20" i="31"/>
  <c r="N19" i="31"/>
  <c r="F19" i="31"/>
  <c r="N18" i="31"/>
  <c r="F18" i="31"/>
  <c r="N17" i="31"/>
  <c r="F17" i="31"/>
  <c r="N16" i="31"/>
  <c r="F16" i="31"/>
  <c r="N15" i="31"/>
  <c r="F15" i="31"/>
  <c r="N14" i="31"/>
  <c r="F14" i="31"/>
  <c r="N13" i="31"/>
  <c r="F13" i="31"/>
  <c r="N12" i="31"/>
  <c r="F12" i="31"/>
  <c r="N11" i="31"/>
  <c r="F11" i="31"/>
  <c r="N10" i="31"/>
  <c r="F10" i="31"/>
  <c r="N9" i="31"/>
  <c r="F9" i="31"/>
  <c r="N8" i="31"/>
  <c r="F8" i="31"/>
  <c r="N7" i="31"/>
  <c r="F7" i="31"/>
  <c r="N6" i="31"/>
  <c r="F6" i="31"/>
  <c r="N5" i="31"/>
  <c r="F5" i="31"/>
  <c r="M20" i="31"/>
  <c r="E20" i="31"/>
  <c r="M19" i="31"/>
  <c r="E19" i="31"/>
  <c r="M18" i="31"/>
  <c r="E18" i="31"/>
  <c r="M17" i="31"/>
  <c r="E17" i="31"/>
  <c r="M16" i="31"/>
  <c r="E16" i="31"/>
  <c r="M15" i="31"/>
  <c r="E15" i="31"/>
  <c r="M14" i="31"/>
  <c r="E14" i="31"/>
  <c r="M13" i="31"/>
  <c r="E13" i="31"/>
  <c r="M12" i="31"/>
  <c r="E12" i="31"/>
  <c r="M11" i="31"/>
  <c r="E11" i="31"/>
  <c r="M10" i="31"/>
  <c r="E10" i="31"/>
  <c r="M9" i="31"/>
  <c r="E9" i="31"/>
  <c r="M8" i="31"/>
  <c r="E8" i="31"/>
  <c r="M7" i="31"/>
  <c r="E7" i="31"/>
  <c r="M6" i="31"/>
  <c r="E6" i="31"/>
  <c r="M5" i="31"/>
  <c r="E5" i="31"/>
  <c r="T20" i="31"/>
  <c r="L20" i="31"/>
  <c r="T19" i="31"/>
  <c r="L19" i="31"/>
  <c r="T18" i="31"/>
  <c r="L18" i="31"/>
  <c r="T17" i="31"/>
  <c r="L17" i="31"/>
  <c r="T16" i="31"/>
  <c r="L16" i="31"/>
  <c r="T15" i="31"/>
  <c r="L15" i="31"/>
  <c r="T14" i="31"/>
  <c r="L14" i="31"/>
  <c r="T13" i="31"/>
  <c r="L13" i="31"/>
  <c r="T12" i="31"/>
  <c r="L12" i="31"/>
  <c r="T11" i="31"/>
  <c r="L11" i="31"/>
  <c r="T10" i="31"/>
  <c r="L10" i="31"/>
  <c r="T9" i="31"/>
  <c r="L9" i="31"/>
  <c r="T8" i="31"/>
  <c r="L8" i="31"/>
  <c r="T7" i="31"/>
  <c r="L7" i="31"/>
  <c r="T6" i="31"/>
  <c r="L6" i="31"/>
  <c r="T5" i="31"/>
  <c r="L5" i="31"/>
  <c r="S20" i="31"/>
  <c r="K20" i="31"/>
  <c r="S19" i="31"/>
  <c r="K19" i="31"/>
  <c r="S18" i="31"/>
  <c r="K18" i="31"/>
  <c r="S17" i="31"/>
  <c r="K17" i="31"/>
  <c r="S16" i="31"/>
  <c r="K16" i="31"/>
  <c r="S15" i="31"/>
  <c r="R20" i="31"/>
  <c r="J20" i="31"/>
  <c r="R19" i="31"/>
  <c r="J19" i="31"/>
  <c r="R18" i="31"/>
  <c r="J18" i="31"/>
  <c r="R17" i="31"/>
  <c r="J17" i="31"/>
  <c r="R16" i="31"/>
  <c r="J16" i="31"/>
  <c r="R15" i="31"/>
  <c r="J15" i="31"/>
  <c r="R14" i="31"/>
  <c r="J14" i="31"/>
  <c r="R13" i="31"/>
  <c r="J13" i="31"/>
  <c r="R12" i="31"/>
  <c r="J12" i="31"/>
  <c r="R11" i="31"/>
  <c r="J11" i="31"/>
  <c r="R10" i="31"/>
  <c r="J10" i="31"/>
  <c r="R9" i="31"/>
  <c r="J9" i="31"/>
  <c r="R8" i="31"/>
  <c r="J8" i="31"/>
  <c r="R7" i="31"/>
  <c r="J7" i="31"/>
  <c r="R6" i="31"/>
  <c r="J6" i="31"/>
  <c r="R5" i="31"/>
  <c r="J5" i="31"/>
  <c r="Q20" i="31"/>
  <c r="I20" i="31"/>
  <c r="Q19" i="31"/>
  <c r="O20" i="31"/>
  <c r="G20" i="31"/>
  <c r="O19" i="31"/>
  <c r="G19" i="31"/>
  <c r="O18" i="31"/>
  <c r="G18" i="31"/>
  <c r="O17" i="31"/>
  <c r="G17" i="31"/>
  <c r="O16" i="31"/>
  <c r="G16" i="31"/>
  <c r="O15" i="31"/>
  <c r="G15" i="31"/>
  <c r="O14" i="31"/>
  <c r="G14" i="31"/>
  <c r="O13" i="31"/>
  <c r="G13" i="31"/>
  <c r="O12" i="31"/>
  <c r="G12" i="31"/>
  <c r="O11" i="31"/>
  <c r="G11" i="31"/>
  <c r="O10" i="31"/>
  <c r="G10" i="31"/>
  <c r="O9" i="31"/>
  <c r="G9" i="31"/>
  <c r="O8" i="31"/>
  <c r="G8" i="31"/>
  <c r="O7" i="31"/>
  <c r="G7" i="31"/>
  <c r="O6" i="31"/>
  <c r="G6" i="31"/>
  <c r="O5" i="31"/>
  <c r="G5" i="31"/>
  <c r="H20" i="31"/>
  <c r="Q17" i="31"/>
  <c r="Q15" i="31"/>
  <c r="K14" i="31"/>
  <c r="H13" i="31"/>
  <c r="Q11" i="31"/>
  <c r="K10" i="31"/>
  <c r="H9" i="31"/>
  <c r="Q7" i="31"/>
  <c r="K6" i="31"/>
  <c r="H5" i="31"/>
  <c r="P19" i="31"/>
  <c r="P17" i="31"/>
  <c r="P15" i="31"/>
  <c r="I14" i="31"/>
  <c r="S12" i="31"/>
  <c r="P11" i="31"/>
  <c r="I10" i="31"/>
  <c r="S8" i="31"/>
  <c r="P7" i="31"/>
  <c r="I6" i="31"/>
  <c r="I19" i="31"/>
  <c r="I17" i="31"/>
  <c r="K15" i="31"/>
  <c r="H14" i="31"/>
  <c r="Q12" i="31"/>
  <c r="K11" i="31"/>
  <c r="H10" i="31"/>
  <c r="Q8" i="31"/>
  <c r="K7" i="31"/>
  <c r="H6" i="31"/>
  <c r="H19" i="31"/>
  <c r="H17" i="31"/>
  <c r="I15" i="31"/>
  <c r="S13" i="31"/>
  <c r="P12" i="31"/>
  <c r="I11" i="31"/>
  <c r="S9" i="31"/>
  <c r="P8" i="31"/>
  <c r="I7" i="31"/>
  <c r="S5" i="31"/>
  <c r="Q18" i="31"/>
  <c r="Q16" i="31"/>
  <c r="H15" i="31"/>
  <c r="Q13" i="31"/>
  <c r="K12" i="31"/>
  <c r="H11" i="31"/>
  <c r="Q9" i="31"/>
  <c r="K8" i="31"/>
  <c r="H7" i="31"/>
  <c r="Q5" i="31"/>
  <c r="P18" i="31"/>
  <c r="P16" i="31"/>
  <c r="S14" i="31"/>
  <c r="P13" i="31"/>
  <c r="I12" i="31"/>
  <c r="S10" i="31"/>
  <c r="P9" i="31"/>
  <c r="I8" i="31"/>
  <c r="S6" i="31"/>
  <c r="P5" i="31"/>
  <c r="P20" i="31"/>
  <c r="H18" i="31"/>
  <c r="H16" i="31"/>
  <c r="P14" i="31"/>
  <c r="I13" i="31"/>
  <c r="S11" i="31"/>
  <c r="P10" i="31"/>
  <c r="I9" i="31"/>
  <c r="S7" i="31"/>
  <c r="P6" i="31"/>
  <c r="I5" i="31"/>
  <c r="H8" i="31"/>
  <c r="I18" i="31"/>
  <c r="Q6" i="31"/>
  <c r="I16" i="31"/>
  <c r="K5" i="31"/>
  <c r="Q14" i="31"/>
  <c r="K13" i="31"/>
  <c r="H12" i="31"/>
  <c r="K9" i="31"/>
  <c r="Q10" i="31"/>
  <c r="C4" i="15"/>
  <c r="U4" i="5"/>
  <c r="G11" i="4"/>
  <c r="H29" i="2"/>
  <c r="D4" i="5"/>
  <c r="B4" i="7"/>
  <c r="F3" i="4"/>
  <c r="H12" i="2"/>
  <c r="M20" i="32"/>
  <c r="E20" i="32"/>
  <c r="M19" i="32"/>
  <c r="E19" i="32"/>
  <c r="M18" i="32"/>
  <c r="T20" i="32"/>
  <c r="L20" i="32"/>
  <c r="T19" i="32"/>
  <c r="L19" i="32"/>
  <c r="T18" i="32"/>
  <c r="L18" i="32"/>
  <c r="T17" i="32"/>
  <c r="L17" i="32"/>
  <c r="T16" i="32"/>
  <c r="L16" i="32"/>
  <c r="T15" i="32"/>
  <c r="L15" i="32"/>
  <c r="T14" i="32"/>
  <c r="L14" i="32"/>
  <c r="T13" i="32"/>
  <c r="L13" i="32"/>
  <c r="T12" i="32"/>
  <c r="L12" i="32"/>
  <c r="T11" i="32"/>
  <c r="L11" i="32"/>
  <c r="T10" i="32"/>
  <c r="P20" i="32"/>
  <c r="F20" i="32"/>
  <c r="J19" i="32"/>
  <c r="P18" i="32"/>
  <c r="F18" i="32"/>
  <c r="M17" i="32"/>
  <c r="S16" i="32"/>
  <c r="J16" i="32"/>
  <c r="Q15" i="32"/>
  <c r="H15" i="32"/>
  <c r="O14" i="32"/>
  <c r="F14" i="32"/>
  <c r="M13" i="32"/>
  <c r="S12" i="32"/>
  <c r="J12" i="32"/>
  <c r="Q11" i="32"/>
  <c r="H11" i="32"/>
  <c r="O10" i="32"/>
  <c r="G10" i="32"/>
  <c r="O9" i="32"/>
  <c r="G9" i="32"/>
  <c r="O8" i="32"/>
  <c r="G8" i="32"/>
  <c r="O7" i="32"/>
  <c r="G7" i="32"/>
  <c r="O6" i="32"/>
  <c r="G6" i="32"/>
  <c r="O5" i="32"/>
  <c r="G5" i="32"/>
  <c r="O20" i="32"/>
  <c r="S19" i="32"/>
  <c r="I19" i="32"/>
  <c r="O18" i="32"/>
  <c r="E18" i="32"/>
  <c r="K17" i="32"/>
  <c r="R16" i="32"/>
  <c r="I16" i="32"/>
  <c r="P15" i="32"/>
  <c r="G15" i="32"/>
  <c r="N14" i="32"/>
  <c r="E14" i="32"/>
  <c r="K13" i="32"/>
  <c r="R12" i="32"/>
  <c r="I12" i="32"/>
  <c r="P11" i="32"/>
  <c r="G11" i="32"/>
  <c r="N10" i="32"/>
  <c r="F10" i="32"/>
  <c r="N9" i="32"/>
  <c r="F9" i="32"/>
  <c r="N8" i="32"/>
  <c r="F8" i="32"/>
  <c r="N7" i="32"/>
  <c r="F7" i="32"/>
  <c r="N6" i="32"/>
  <c r="F6" i="32"/>
  <c r="N5" i="32"/>
  <c r="F5" i="32"/>
  <c r="N20" i="32"/>
  <c r="R19" i="32"/>
  <c r="H19" i="32"/>
  <c r="N18" i="32"/>
  <c r="S17" i="32"/>
  <c r="J17" i="32"/>
  <c r="Q16" i="32"/>
  <c r="H16" i="32"/>
  <c r="O15" i="32"/>
  <c r="F15" i="32"/>
  <c r="M14" i="32"/>
  <c r="S13" i="32"/>
  <c r="J13" i="32"/>
  <c r="Q12" i="32"/>
  <c r="H12" i="32"/>
  <c r="O11" i="32"/>
  <c r="F11" i="32"/>
  <c r="M10" i="32"/>
  <c r="E10" i="32"/>
  <c r="M9" i="32"/>
  <c r="E9" i="32"/>
  <c r="M8" i="32"/>
  <c r="E8" i="32"/>
  <c r="M7" i="32"/>
  <c r="E7" i="32"/>
  <c r="M6" i="32"/>
  <c r="E6" i="32"/>
  <c r="M5" i="32"/>
  <c r="E5" i="32"/>
  <c r="K20" i="32"/>
  <c r="Q19" i="32"/>
  <c r="G19" i="32"/>
  <c r="K18" i="32"/>
  <c r="R17" i="32"/>
  <c r="I17" i="32"/>
  <c r="P16" i="32"/>
  <c r="G16" i="32"/>
  <c r="N15" i="32"/>
  <c r="E15" i="32"/>
  <c r="K14" i="32"/>
  <c r="R13" i="32"/>
  <c r="I13" i="32"/>
  <c r="P12" i="32"/>
  <c r="G12" i="32"/>
  <c r="N11" i="32"/>
  <c r="E11" i="32"/>
  <c r="L10" i="32"/>
  <c r="T9" i="32"/>
  <c r="L9" i="32"/>
  <c r="T8" i="32"/>
  <c r="L8" i="32"/>
  <c r="T7" i="32"/>
  <c r="L7" i="32"/>
  <c r="T6" i="32"/>
  <c r="L6" i="32"/>
  <c r="T5" i="32"/>
  <c r="L5" i="32"/>
  <c r="J20" i="32"/>
  <c r="P19" i="32"/>
  <c r="F19" i="32"/>
  <c r="J18" i="32"/>
  <c r="Q17" i="32"/>
  <c r="H17" i="32"/>
  <c r="O16" i="32"/>
  <c r="F16" i="32"/>
  <c r="M15" i="32"/>
  <c r="S14" i="32"/>
  <c r="J14" i="32"/>
  <c r="Q13" i="32"/>
  <c r="H13" i="32"/>
  <c r="O12" i="32"/>
  <c r="F12" i="32"/>
  <c r="M11" i="32"/>
  <c r="S10" i="32"/>
  <c r="K10" i="32"/>
  <c r="S9" i="32"/>
  <c r="K9" i="32"/>
  <c r="S8" i="32"/>
  <c r="K8" i="32"/>
  <c r="S7" i="32"/>
  <c r="K7" i="32"/>
  <c r="S6" i="32"/>
  <c r="K6" i="32"/>
  <c r="S5" i="32"/>
  <c r="K5" i="32"/>
  <c r="S20" i="32"/>
  <c r="I20" i="32"/>
  <c r="O19" i="32"/>
  <c r="S18" i="32"/>
  <c r="I18" i="32"/>
  <c r="P17" i="32"/>
  <c r="G17" i="32"/>
  <c r="N16" i="32"/>
  <c r="E16" i="32"/>
  <c r="K15" i="32"/>
  <c r="R14" i="32"/>
  <c r="I14" i="32"/>
  <c r="P13" i="32"/>
  <c r="G13" i="32"/>
  <c r="N12" i="32"/>
  <c r="E12" i="32"/>
  <c r="K11" i="32"/>
  <c r="R10" i="32"/>
  <c r="J10" i="32"/>
  <c r="R9" i="32"/>
  <c r="J9" i="32"/>
  <c r="R8" i="32"/>
  <c r="J8" i="32"/>
  <c r="R7" i="32"/>
  <c r="J7" i="32"/>
  <c r="R6" i="32"/>
  <c r="J6" i="32"/>
  <c r="R5" i="32"/>
  <c r="J5" i="32"/>
  <c r="Q20" i="32"/>
  <c r="G20" i="32"/>
  <c r="K19" i="32"/>
  <c r="Q18" i="32"/>
  <c r="G18" i="32"/>
  <c r="N17" i="32"/>
  <c r="E17" i="32"/>
  <c r="K16" i="32"/>
  <c r="R15" i="32"/>
  <c r="I15" i="32"/>
  <c r="P14" i="32"/>
  <c r="G14" i="32"/>
  <c r="N13" i="32"/>
  <c r="E13" i="32"/>
  <c r="K12" i="32"/>
  <c r="R11" i="32"/>
  <c r="I11" i="32"/>
  <c r="P10" i="32"/>
  <c r="H10" i="32"/>
  <c r="P9" i="32"/>
  <c r="H9" i="32"/>
  <c r="P8" i="32"/>
  <c r="H8" i="32"/>
  <c r="P7" i="32"/>
  <c r="H7" i="32"/>
  <c r="P6" i="32"/>
  <c r="H6" i="32"/>
  <c r="P5" i="32"/>
  <c r="H5" i="32"/>
  <c r="H18" i="32"/>
  <c r="O13" i="32"/>
  <c r="I9" i="32"/>
  <c r="I5" i="32"/>
  <c r="O17" i="32"/>
  <c r="F13" i="32"/>
  <c r="Q8" i="32"/>
  <c r="F17" i="32"/>
  <c r="M12" i="32"/>
  <c r="I8" i="32"/>
  <c r="M16" i="32"/>
  <c r="S11" i="32"/>
  <c r="Q7" i="32"/>
  <c r="R20" i="32"/>
  <c r="S15" i="32"/>
  <c r="J11" i="32"/>
  <c r="I7" i="32"/>
  <c r="H20" i="32"/>
  <c r="J15" i="32"/>
  <c r="Q10" i="32"/>
  <c r="Q6" i="32"/>
  <c r="R18" i="32"/>
  <c r="H14" i="32"/>
  <c r="Q9" i="32"/>
  <c r="Q5" i="32"/>
  <c r="N19" i="32"/>
  <c r="Q14" i="32"/>
  <c r="I10" i="32"/>
  <c r="I6" i="32"/>
  <c r="C4" i="16"/>
  <c r="G12" i="4"/>
  <c r="H31" i="2"/>
  <c r="W4" i="5"/>
  <c r="S20" i="29"/>
  <c r="K20" i="29"/>
  <c r="S19" i="29"/>
  <c r="K19" i="29"/>
  <c r="S18" i="29"/>
  <c r="K18" i="29"/>
  <c r="S17" i="29"/>
  <c r="K17" i="29"/>
  <c r="S16" i="29"/>
  <c r="K16" i="29"/>
  <c r="S15" i="29"/>
  <c r="K15" i="29"/>
  <c r="S14" i="29"/>
  <c r="K14" i="29"/>
  <c r="S13" i="29"/>
  <c r="K13" i="29"/>
  <c r="S12" i="29"/>
  <c r="K12" i="29"/>
  <c r="S11" i="29"/>
  <c r="K11" i="29"/>
  <c r="S10" i="29"/>
  <c r="K10" i="29"/>
  <c r="S9" i="29"/>
  <c r="K9" i="29"/>
  <c r="S8" i="29"/>
  <c r="K8" i="29"/>
  <c r="S7" i="29"/>
  <c r="K7" i="29"/>
  <c r="S6" i="29"/>
  <c r="K6" i="29"/>
  <c r="S5" i="29"/>
  <c r="K5" i="29"/>
  <c r="R20" i="29"/>
  <c r="J20" i="29"/>
  <c r="R19" i="29"/>
  <c r="J19" i="29"/>
  <c r="R18" i="29"/>
  <c r="J18" i="29"/>
  <c r="R17" i="29"/>
  <c r="J17" i="29"/>
  <c r="R16" i="29"/>
  <c r="J16" i="29"/>
  <c r="R15" i="29"/>
  <c r="J15" i="29"/>
  <c r="R14" i="29"/>
  <c r="J14" i="29"/>
  <c r="R13" i="29"/>
  <c r="J13" i="29"/>
  <c r="R12" i="29"/>
  <c r="J12" i="29"/>
  <c r="R11" i="29"/>
  <c r="J11" i="29"/>
  <c r="R10" i="29"/>
  <c r="J10" i="29"/>
  <c r="R9" i="29"/>
  <c r="J9" i="29"/>
  <c r="R8" i="29"/>
  <c r="J8" i="29"/>
  <c r="R7" i="29"/>
  <c r="J7" i="29"/>
  <c r="R6" i="29"/>
  <c r="J6" i="29"/>
  <c r="R5" i="29"/>
  <c r="J5" i="29"/>
  <c r="Q20" i="29"/>
  <c r="I20" i="29"/>
  <c r="Q19" i="29"/>
  <c r="I19" i="29"/>
  <c r="Q18" i="29"/>
  <c r="I18" i="29"/>
  <c r="Q17" i="29"/>
  <c r="I17" i="29"/>
  <c r="Q16" i="29"/>
  <c r="I16" i="29"/>
  <c r="Q15" i="29"/>
  <c r="I15" i="29"/>
  <c r="Q14" i="29"/>
  <c r="I14" i="29"/>
  <c r="Q13" i="29"/>
  <c r="I13" i="29"/>
  <c r="Q12" i="29"/>
  <c r="I12" i="29"/>
  <c r="Q11" i="29"/>
  <c r="I11" i="29"/>
  <c r="Q10" i="29"/>
  <c r="I10" i="29"/>
  <c r="Q9" i="29"/>
  <c r="I9" i="29"/>
  <c r="Q8" i="29"/>
  <c r="I8" i="29"/>
  <c r="Q7" i="29"/>
  <c r="I7" i="29"/>
  <c r="Q6" i="29"/>
  <c r="I6" i="29"/>
  <c r="Q5" i="29"/>
  <c r="I5" i="29"/>
  <c r="P20" i="29"/>
  <c r="H20" i="29"/>
  <c r="P19" i="29"/>
  <c r="H19" i="29"/>
  <c r="P18" i="29"/>
  <c r="H18" i="29"/>
  <c r="P17" i="29"/>
  <c r="H17" i="29"/>
  <c r="P16" i="29"/>
  <c r="H16" i="29"/>
  <c r="P15" i="29"/>
  <c r="H15" i="29"/>
  <c r="P14" i="29"/>
  <c r="H14" i="29"/>
  <c r="P13" i="29"/>
  <c r="H13" i="29"/>
  <c r="P12" i="29"/>
  <c r="H12" i="29"/>
  <c r="P11" i="29"/>
  <c r="H11" i="29"/>
  <c r="P10" i="29"/>
  <c r="H10" i="29"/>
  <c r="P9" i="29"/>
  <c r="H9" i="29"/>
  <c r="P8" i="29"/>
  <c r="H8" i="29"/>
  <c r="P7" i="29"/>
  <c r="H7" i="29"/>
  <c r="P6" i="29"/>
  <c r="H6" i="29"/>
  <c r="P5" i="29"/>
  <c r="H5" i="29"/>
  <c r="O20" i="29"/>
  <c r="G20" i="29"/>
  <c r="O19" i="29"/>
  <c r="G19" i="29"/>
  <c r="O18" i="29"/>
  <c r="G18" i="29"/>
  <c r="O17" i="29"/>
  <c r="G17" i="29"/>
  <c r="O16" i="29"/>
  <c r="G16" i="29"/>
  <c r="O15" i="29"/>
  <c r="G15" i="29"/>
  <c r="O14" i="29"/>
  <c r="G14" i="29"/>
  <c r="O13" i="29"/>
  <c r="G13" i="29"/>
  <c r="O12" i="29"/>
  <c r="G12" i="29"/>
  <c r="O11" i="29"/>
  <c r="G11" i="29"/>
  <c r="O10" i="29"/>
  <c r="G10" i="29"/>
  <c r="O9" i="29"/>
  <c r="G9" i="29"/>
  <c r="O8" i="29"/>
  <c r="G8" i="29"/>
  <c r="O7" i="29"/>
  <c r="G7" i="29"/>
  <c r="O6" i="29"/>
  <c r="G6" i="29"/>
  <c r="O5" i="29"/>
  <c r="G5" i="29"/>
  <c r="N20" i="29"/>
  <c r="F20" i="29"/>
  <c r="N19" i="29"/>
  <c r="F19" i="29"/>
  <c r="N18" i="29"/>
  <c r="F18" i="29"/>
  <c r="N17" i="29"/>
  <c r="F17" i="29"/>
  <c r="N16" i="29"/>
  <c r="F16" i="29"/>
  <c r="N15" i="29"/>
  <c r="F15" i="29"/>
  <c r="N14" i="29"/>
  <c r="F14" i="29"/>
  <c r="N13" i="29"/>
  <c r="F13" i="29"/>
  <c r="N12" i="29"/>
  <c r="F12" i="29"/>
  <c r="N11" i="29"/>
  <c r="F11" i="29"/>
  <c r="N10" i="29"/>
  <c r="F10" i="29"/>
  <c r="N9" i="29"/>
  <c r="F9" i="29"/>
  <c r="N8" i="29"/>
  <c r="F8" i="29"/>
  <c r="N7" i="29"/>
  <c r="F7" i="29"/>
  <c r="N6" i="29"/>
  <c r="F6" i="29"/>
  <c r="N5" i="29"/>
  <c r="F5" i="29"/>
  <c r="T20" i="29"/>
  <c r="L20" i="29"/>
  <c r="T19" i="29"/>
  <c r="L19" i="29"/>
  <c r="T18" i="29"/>
  <c r="L18" i="29"/>
  <c r="T17" i="29"/>
  <c r="L17" i="29"/>
  <c r="T16" i="29"/>
  <c r="L16" i="29"/>
  <c r="T15" i="29"/>
  <c r="L15" i="29"/>
  <c r="T14" i="29"/>
  <c r="L14" i="29"/>
  <c r="T13" i="29"/>
  <c r="L13" i="29"/>
  <c r="T12" i="29"/>
  <c r="L12" i="29"/>
  <c r="T11" i="29"/>
  <c r="L11" i="29"/>
  <c r="T10" i="29"/>
  <c r="L10" i="29"/>
  <c r="T9" i="29"/>
  <c r="L9" i="29"/>
  <c r="T8" i="29"/>
  <c r="L8" i="29"/>
  <c r="T7" i="29"/>
  <c r="L7" i="29"/>
  <c r="T6" i="29"/>
  <c r="L6" i="29"/>
  <c r="T5" i="29"/>
  <c r="L5" i="29"/>
  <c r="M17" i="29"/>
  <c r="M13" i="29"/>
  <c r="M9" i="29"/>
  <c r="M5" i="29"/>
  <c r="E17" i="29"/>
  <c r="E13" i="29"/>
  <c r="E9" i="29"/>
  <c r="E5" i="29"/>
  <c r="M20" i="29"/>
  <c r="M16" i="29"/>
  <c r="M12" i="29"/>
  <c r="M8" i="29"/>
  <c r="E20" i="29"/>
  <c r="E16" i="29"/>
  <c r="E12" i="29"/>
  <c r="E8" i="29"/>
  <c r="M19" i="29"/>
  <c r="M15" i="29"/>
  <c r="M11" i="29"/>
  <c r="M7" i="29"/>
  <c r="E19" i="29"/>
  <c r="E15" i="29"/>
  <c r="E11" i="29"/>
  <c r="E7" i="29"/>
  <c r="E18" i="29"/>
  <c r="E14" i="29"/>
  <c r="E10" i="29"/>
  <c r="E6" i="29"/>
  <c r="M18" i="29"/>
  <c r="M14" i="29"/>
  <c r="M10" i="29"/>
  <c r="M6" i="29"/>
  <c r="C4" i="13"/>
  <c r="Q4" i="5"/>
  <c r="G9" i="4"/>
  <c r="H25" i="2"/>
  <c r="V24" i="43"/>
  <c r="Z19" i="5"/>
  <c r="Z15" i="5"/>
  <c r="Z11" i="5"/>
  <c r="Z7" i="5"/>
  <c r="Z20" i="5"/>
  <c r="Z16" i="5"/>
  <c r="Z12" i="5"/>
  <c r="Z8" i="5"/>
  <c r="Z18" i="5"/>
  <c r="Z5" i="5"/>
  <c r="Z17" i="5"/>
  <c r="Z10" i="5"/>
  <c r="Z14" i="5"/>
  <c r="Z13" i="5"/>
  <c r="Z9" i="5"/>
  <c r="Z6" i="5"/>
  <c r="B4" i="12"/>
  <c r="F8" i="4"/>
  <c r="N4" i="5"/>
  <c r="H22" i="2"/>
  <c r="B18" i="18"/>
  <c r="B15" i="18"/>
  <c r="B9" i="18"/>
  <c r="B6" i="18"/>
  <c r="B8" i="18"/>
  <c r="B5" i="18"/>
  <c r="B13" i="18"/>
  <c r="B7" i="18"/>
  <c r="B10" i="18"/>
  <c r="B11" i="18"/>
  <c r="B20" i="18"/>
  <c r="B14" i="18"/>
  <c r="B17" i="18"/>
  <c r="B16" i="18"/>
  <c r="B19" i="18"/>
  <c r="B12" i="18"/>
  <c r="U36" i="43"/>
  <c r="V6" i="43"/>
  <c r="V17" i="45"/>
  <c r="R20" i="28"/>
  <c r="J20" i="28"/>
  <c r="R19" i="28"/>
  <c r="J19" i="28"/>
  <c r="R18" i="28"/>
  <c r="J18" i="28"/>
  <c r="R17" i="28"/>
  <c r="J17" i="28"/>
  <c r="R16" i="28"/>
  <c r="J16" i="28"/>
  <c r="R15" i="28"/>
  <c r="J15" i="28"/>
  <c r="R14" i="28"/>
  <c r="J14" i="28"/>
  <c r="R13" i="28"/>
  <c r="J13" i="28"/>
  <c r="R12" i="28"/>
  <c r="J12" i="28"/>
  <c r="R11" i="28"/>
  <c r="J11" i="28"/>
  <c r="R10" i="28"/>
  <c r="J10" i="28"/>
  <c r="R9" i="28"/>
  <c r="J9" i="28"/>
  <c r="R8" i="28"/>
  <c r="J8" i="28"/>
  <c r="R7" i="28"/>
  <c r="J7" i="28"/>
  <c r="R6" i="28"/>
  <c r="J6" i="28"/>
  <c r="R5" i="28"/>
  <c r="J5" i="28"/>
  <c r="Q20" i="28"/>
  <c r="I20" i="28"/>
  <c r="Q19" i="28"/>
  <c r="I19" i="28"/>
  <c r="Q18" i="28"/>
  <c r="I18" i="28"/>
  <c r="Q17" i="28"/>
  <c r="I17" i="28"/>
  <c r="Q16" i="28"/>
  <c r="I16" i="28"/>
  <c r="Q15" i="28"/>
  <c r="I15" i="28"/>
  <c r="Q14" i="28"/>
  <c r="I14" i="28"/>
  <c r="Q13" i="28"/>
  <c r="I13" i="28"/>
  <c r="Q12" i="28"/>
  <c r="I12" i="28"/>
  <c r="Q11" i="28"/>
  <c r="I11" i="28"/>
  <c r="Q10" i="28"/>
  <c r="I10" i="28"/>
  <c r="Q9" i="28"/>
  <c r="I9" i="28"/>
  <c r="Q8" i="28"/>
  <c r="I8" i="28"/>
  <c r="Q7" i="28"/>
  <c r="I7" i="28"/>
  <c r="Q6" i="28"/>
  <c r="I6" i="28"/>
  <c r="Q5" i="28"/>
  <c r="I5" i="28"/>
  <c r="P20" i="28"/>
  <c r="H20" i="28"/>
  <c r="P19" i="28"/>
  <c r="H19" i="28"/>
  <c r="P18" i="28"/>
  <c r="H18" i="28"/>
  <c r="P17" i="28"/>
  <c r="H17" i="28"/>
  <c r="P16" i="28"/>
  <c r="H16" i="28"/>
  <c r="P15" i="28"/>
  <c r="H15" i="28"/>
  <c r="P14" i="28"/>
  <c r="H14" i="28"/>
  <c r="P13" i="28"/>
  <c r="H13" i="28"/>
  <c r="P12" i="28"/>
  <c r="H12" i="28"/>
  <c r="P11" i="28"/>
  <c r="H11" i="28"/>
  <c r="P10" i="28"/>
  <c r="H10" i="28"/>
  <c r="P9" i="28"/>
  <c r="H9" i="28"/>
  <c r="P8" i="28"/>
  <c r="H8" i="28"/>
  <c r="P7" i="28"/>
  <c r="H7" i="28"/>
  <c r="P6" i="28"/>
  <c r="H6" i="28"/>
  <c r="P5" i="28"/>
  <c r="H5" i="28"/>
  <c r="O20" i="28"/>
  <c r="G20" i="28"/>
  <c r="O19" i="28"/>
  <c r="G19" i="28"/>
  <c r="O18" i="28"/>
  <c r="G18" i="28"/>
  <c r="O17" i="28"/>
  <c r="G17" i="28"/>
  <c r="O16" i="28"/>
  <c r="G16" i="28"/>
  <c r="O15" i="28"/>
  <c r="G15" i="28"/>
  <c r="O14" i="28"/>
  <c r="G14" i="28"/>
  <c r="O13" i="28"/>
  <c r="G13" i="28"/>
  <c r="O12" i="28"/>
  <c r="G12" i="28"/>
  <c r="O11" i="28"/>
  <c r="G11" i="28"/>
  <c r="O10" i="28"/>
  <c r="G10" i="28"/>
  <c r="O9" i="28"/>
  <c r="G9" i="28"/>
  <c r="O8" i="28"/>
  <c r="G8" i="28"/>
  <c r="O7" i="28"/>
  <c r="G7" i="28"/>
  <c r="O6" i="28"/>
  <c r="G6" i="28"/>
  <c r="O5" i="28"/>
  <c r="G5" i="28"/>
  <c r="N20" i="28"/>
  <c r="F20" i="28"/>
  <c r="N19" i="28"/>
  <c r="F19" i="28"/>
  <c r="N18" i="28"/>
  <c r="F18" i="28"/>
  <c r="N17" i="28"/>
  <c r="F17" i="28"/>
  <c r="N16" i="28"/>
  <c r="F16" i="28"/>
  <c r="N15" i="28"/>
  <c r="F15" i="28"/>
  <c r="N14" i="28"/>
  <c r="F14" i="28"/>
  <c r="N13" i="28"/>
  <c r="F13" i="28"/>
  <c r="N12" i="28"/>
  <c r="F12" i="28"/>
  <c r="N11" i="28"/>
  <c r="F11" i="28"/>
  <c r="N10" i="28"/>
  <c r="F10" i="28"/>
  <c r="N9" i="28"/>
  <c r="F9" i="28"/>
  <c r="N8" i="28"/>
  <c r="F8" i="28"/>
  <c r="N7" i="28"/>
  <c r="F7" i="28"/>
  <c r="N6" i="28"/>
  <c r="F6" i="28"/>
  <c r="N5" i="28"/>
  <c r="F5" i="28"/>
  <c r="M20" i="28"/>
  <c r="E20" i="28"/>
  <c r="M19" i="28"/>
  <c r="E19" i="28"/>
  <c r="M18" i="28"/>
  <c r="E18" i="28"/>
  <c r="M17" i="28"/>
  <c r="E17" i="28"/>
  <c r="M16" i="28"/>
  <c r="E16" i="28"/>
  <c r="M15" i="28"/>
  <c r="E15" i="28"/>
  <c r="M14" i="28"/>
  <c r="E14" i="28"/>
  <c r="M13" i="28"/>
  <c r="E13" i="28"/>
  <c r="M12" i="28"/>
  <c r="E12" i="28"/>
  <c r="M11" i="28"/>
  <c r="E11" i="28"/>
  <c r="M10" i="28"/>
  <c r="E10" i="28"/>
  <c r="M9" i="28"/>
  <c r="E9" i="28"/>
  <c r="M8" i="28"/>
  <c r="E8" i="28"/>
  <c r="M7" i="28"/>
  <c r="E7" i="28"/>
  <c r="M6" i="28"/>
  <c r="E6" i="28"/>
  <c r="M5" i="28"/>
  <c r="E5" i="28"/>
  <c r="S20" i="28"/>
  <c r="K20" i="28"/>
  <c r="S19" i="28"/>
  <c r="K19" i="28"/>
  <c r="S18" i="28"/>
  <c r="K18" i="28"/>
  <c r="S17" i="28"/>
  <c r="K17" i="28"/>
  <c r="S16" i="28"/>
  <c r="K16" i="28"/>
  <c r="S15" i="28"/>
  <c r="K15" i="28"/>
  <c r="S14" i="28"/>
  <c r="K14" i="28"/>
  <c r="S13" i="28"/>
  <c r="K13" i="28"/>
  <c r="S12" i="28"/>
  <c r="K12" i="28"/>
  <c r="S11" i="28"/>
  <c r="K11" i="28"/>
  <c r="S10" i="28"/>
  <c r="K10" i="28"/>
  <c r="S9" i="28"/>
  <c r="K9" i="28"/>
  <c r="S8" i="28"/>
  <c r="K8" i="28"/>
  <c r="S7" i="28"/>
  <c r="K7" i="28"/>
  <c r="S6" i="28"/>
  <c r="K6" i="28"/>
  <c r="S5" i="28"/>
  <c r="K5" i="28"/>
  <c r="L20" i="28"/>
  <c r="L16" i="28"/>
  <c r="L12" i="28"/>
  <c r="L8" i="28"/>
  <c r="T19" i="28"/>
  <c r="T15" i="28"/>
  <c r="T11" i="28"/>
  <c r="T7" i="28"/>
  <c r="L19" i="28"/>
  <c r="L15" i="28"/>
  <c r="L11" i="28"/>
  <c r="L7" i="28"/>
  <c r="T18" i="28"/>
  <c r="T14" i="28"/>
  <c r="T10" i="28"/>
  <c r="T6" i="28"/>
  <c r="L18" i="28"/>
  <c r="L14" i="28"/>
  <c r="L10" i="28"/>
  <c r="L6" i="28"/>
  <c r="T17" i="28"/>
  <c r="T13" i="28"/>
  <c r="T9" i="28"/>
  <c r="T5" i="28"/>
  <c r="T20" i="28"/>
  <c r="T16" i="28"/>
  <c r="T12" i="28"/>
  <c r="T8" i="28"/>
  <c r="L17" i="28"/>
  <c r="L13" i="28"/>
  <c r="L9" i="28"/>
  <c r="L5" i="28"/>
  <c r="C4" i="12"/>
  <c r="G8" i="4"/>
  <c r="O4" i="5"/>
  <c r="H23" i="2"/>
  <c r="U36" i="45"/>
  <c r="V6" i="45"/>
  <c r="M20" i="22"/>
  <c r="E20" i="22"/>
  <c r="M19" i="22"/>
  <c r="E19" i="22"/>
  <c r="M18" i="22"/>
  <c r="E18" i="22"/>
  <c r="M17" i="22"/>
  <c r="E17" i="22"/>
  <c r="T20" i="22"/>
  <c r="L20" i="22"/>
  <c r="T19" i="22"/>
  <c r="L19" i="22"/>
  <c r="T18" i="22"/>
  <c r="L18" i="22"/>
  <c r="T17" i="22"/>
  <c r="L17" i="22"/>
  <c r="T16" i="22"/>
  <c r="L16" i="22"/>
  <c r="T15" i="22"/>
  <c r="L15" i="22"/>
  <c r="T14" i="22"/>
  <c r="L14" i="22"/>
  <c r="T13" i="22"/>
  <c r="S20" i="22"/>
  <c r="K20" i="22"/>
  <c r="S19" i="22"/>
  <c r="K19" i="22"/>
  <c r="S18" i="22"/>
  <c r="K18" i="22"/>
  <c r="S17" i="22"/>
  <c r="K17" i="22"/>
  <c r="S16" i="22"/>
  <c r="K16" i="22"/>
  <c r="S15" i="22"/>
  <c r="R20" i="22"/>
  <c r="J20" i="22"/>
  <c r="R19" i="22"/>
  <c r="J19" i="22"/>
  <c r="R18" i="22"/>
  <c r="J18" i="22"/>
  <c r="R17" i="22"/>
  <c r="J17" i="22"/>
  <c r="R16" i="22"/>
  <c r="J16" i="22"/>
  <c r="R15" i="22"/>
  <c r="J15" i="22"/>
  <c r="R14" i="22"/>
  <c r="J14" i="22"/>
  <c r="R13" i="22"/>
  <c r="Q20" i="22"/>
  <c r="I20" i="22"/>
  <c r="Q19" i="22"/>
  <c r="I19" i="22"/>
  <c r="Q18" i="22"/>
  <c r="I18" i="22"/>
  <c r="Q17" i="22"/>
  <c r="I17" i="22"/>
  <c r="Q16" i="22"/>
  <c r="I16" i="22"/>
  <c r="Q15" i="22"/>
  <c r="I15" i="22"/>
  <c r="P20" i="22"/>
  <c r="H20" i="22"/>
  <c r="P19" i="22"/>
  <c r="H19" i="22"/>
  <c r="P18" i="22"/>
  <c r="H18" i="22"/>
  <c r="P17" i="22"/>
  <c r="H17" i="22"/>
  <c r="N20" i="22"/>
  <c r="F20" i="22"/>
  <c r="N19" i="22"/>
  <c r="F19" i="22"/>
  <c r="N18" i="22"/>
  <c r="F18" i="22"/>
  <c r="N17" i="22"/>
  <c r="F17" i="22"/>
  <c r="N16" i="22"/>
  <c r="F16" i="22"/>
  <c r="N15" i="22"/>
  <c r="F15" i="22"/>
  <c r="N14" i="22"/>
  <c r="F14" i="22"/>
  <c r="O19" i="22"/>
  <c r="M16" i="22"/>
  <c r="H15" i="22"/>
  <c r="K14" i="22"/>
  <c r="O13" i="22"/>
  <c r="G13" i="22"/>
  <c r="O12" i="22"/>
  <c r="G12" i="22"/>
  <c r="O11" i="22"/>
  <c r="G11" i="22"/>
  <c r="O10" i="22"/>
  <c r="G10" i="22"/>
  <c r="O9" i="22"/>
  <c r="G9" i="22"/>
  <c r="O8" i="22"/>
  <c r="G8" i="22"/>
  <c r="O7" i="22"/>
  <c r="G7" i="22"/>
  <c r="O6" i="22"/>
  <c r="G6" i="22"/>
  <c r="O5" i="22"/>
  <c r="G5" i="22"/>
  <c r="G19" i="22"/>
  <c r="H16" i="22"/>
  <c r="G15" i="22"/>
  <c r="I14" i="22"/>
  <c r="N13" i="22"/>
  <c r="F13" i="22"/>
  <c r="N12" i="22"/>
  <c r="F12" i="22"/>
  <c r="N11" i="22"/>
  <c r="F11" i="22"/>
  <c r="N10" i="22"/>
  <c r="F10" i="22"/>
  <c r="N9" i="22"/>
  <c r="F9" i="22"/>
  <c r="N8" i="22"/>
  <c r="F8" i="22"/>
  <c r="N7" i="22"/>
  <c r="F7" i="22"/>
  <c r="N6" i="22"/>
  <c r="F6" i="22"/>
  <c r="N5" i="22"/>
  <c r="F5" i="22"/>
  <c r="O18" i="22"/>
  <c r="G16" i="22"/>
  <c r="E15" i="22"/>
  <c r="H14" i="22"/>
  <c r="M13" i="22"/>
  <c r="E13" i="22"/>
  <c r="M12" i="22"/>
  <c r="E12" i="22"/>
  <c r="M11" i="22"/>
  <c r="E11" i="22"/>
  <c r="M10" i="22"/>
  <c r="E10" i="22"/>
  <c r="M9" i="22"/>
  <c r="E9" i="22"/>
  <c r="M8" i="22"/>
  <c r="E8" i="22"/>
  <c r="M7" i="22"/>
  <c r="E7" i="22"/>
  <c r="M6" i="22"/>
  <c r="E6" i="22"/>
  <c r="M5" i="22"/>
  <c r="E5" i="22"/>
  <c r="G18" i="22"/>
  <c r="E16" i="22"/>
  <c r="S14" i="22"/>
  <c r="G14" i="22"/>
  <c r="L13" i="22"/>
  <c r="T12" i="22"/>
  <c r="L12" i="22"/>
  <c r="T11" i="22"/>
  <c r="L11" i="22"/>
  <c r="T10" i="22"/>
  <c r="L10" i="22"/>
  <c r="T9" i="22"/>
  <c r="L9" i="22"/>
  <c r="T8" i="22"/>
  <c r="L8" i="22"/>
  <c r="T7" i="22"/>
  <c r="L7" i="22"/>
  <c r="T6" i="22"/>
  <c r="L6" i="22"/>
  <c r="T5" i="22"/>
  <c r="L5" i="22"/>
  <c r="O17" i="22"/>
  <c r="P15" i="22"/>
  <c r="Q14" i="22"/>
  <c r="E14" i="22"/>
  <c r="K13" i="22"/>
  <c r="S12" i="22"/>
  <c r="K12" i="22"/>
  <c r="S11" i="22"/>
  <c r="K11" i="22"/>
  <c r="S10" i="22"/>
  <c r="K10" i="22"/>
  <c r="S9" i="22"/>
  <c r="K9" i="22"/>
  <c r="S8" i="22"/>
  <c r="K8" i="22"/>
  <c r="S7" i="22"/>
  <c r="K7" i="22"/>
  <c r="S6" i="22"/>
  <c r="K6" i="22"/>
  <c r="S5" i="22"/>
  <c r="K5" i="22"/>
  <c r="G17" i="22"/>
  <c r="O15" i="22"/>
  <c r="P14" i="22"/>
  <c r="S13" i="22"/>
  <c r="J13" i="22"/>
  <c r="R12" i="22"/>
  <c r="J12" i="22"/>
  <c r="R11" i="22"/>
  <c r="J11" i="22"/>
  <c r="R10" i="22"/>
  <c r="J10" i="22"/>
  <c r="R9" i="22"/>
  <c r="J9" i="22"/>
  <c r="R8" i="22"/>
  <c r="J8" i="22"/>
  <c r="R7" i="22"/>
  <c r="J7" i="22"/>
  <c r="R6" i="22"/>
  <c r="J6" i="22"/>
  <c r="R5" i="22"/>
  <c r="J5" i="22"/>
  <c r="G20" i="22"/>
  <c r="O16" i="22"/>
  <c r="K15" i="22"/>
  <c r="M14" i="22"/>
  <c r="P13" i="22"/>
  <c r="H13" i="22"/>
  <c r="P12" i="22"/>
  <c r="H12" i="22"/>
  <c r="P11" i="22"/>
  <c r="H11" i="22"/>
  <c r="P10" i="22"/>
  <c r="H10" i="22"/>
  <c r="P9" i="22"/>
  <c r="H9" i="22"/>
  <c r="P8" i="22"/>
  <c r="H8" i="22"/>
  <c r="P7" i="22"/>
  <c r="H7" i="22"/>
  <c r="P6" i="22"/>
  <c r="H6" i="22"/>
  <c r="P5" i="22"/>
  <c r="H5" i="22"/>
  <c r="O20" i="22"/>
  <c r="Q11" i="22"/>
  <c r="Q7" i="22"/>
  <c r="P16" i="22"/>
  <c r="I11" i="22"/>
  <c r="I7" i="22"/>
  <c r="M15" i="22"/>
  <c r="Q10" i="22"/>
  <c r="Q6" i="22"/>
  <c r="O14" i="22"/>
  <c r="I10" i="22"/>
  <c r="I6" i="22"/>
  <c r="Q13" i="22"/>
  <c r="Q9" i="22"/>
  <c r="Q5" i="22"/>
  <c r="I13" i="22"/>
  <c r="I9" i="22"/>
  <c r="I5" i="22"/>
  <c r="Q12" i="22"/>
  <c r="Q8" i="22"/>
  <c r="I8" i="22"/>
  <c r="I12" i="22"/>
  <c r="C4" i="5"/>
  <c r="C4" i="6"/>
  <c r="G2" i="4"/>
  <c r="H11" i="2"/>
  <c r="C11" i="9"/>
  <c r="C18" i="9"/>
  <c r="Q20" i="33"/>
  <c r="I20" i="33"/>
  <c r="Q19" i="33"/>
  <c r="I19" i="33"/>
  <c r="Q18" i="33"/>
  <c r="I18" i="33"/>
  <c r="Q17" i="33"/>
  <c r="I17" i="33"/>
  <c r="Q16" i="33"/>
  <c r="I16" i="33"/>
  <c r="Q15" i="33"/>
  <c r="I15" i="33"/>
  <c r="Q14" i="33"/>
  <c r="I14" i="33"/>
  <c r="Q13" i="33"/>
  <c r="I13" i="33"/>
  <c r="Q12" i="33"/>
  <c r="I12" i="33"/>
  <c r="Q11" i="33"/>
  <c r="I11" i="33"/>
  <c r="Q10" i="33"/>
  <c r="I10" i="33"/>
  <c r="Q9" i="33"/>
  <c r="I9" i="33"/>
  <c r="Q8" i="33"/>
  <c r="I8" i="33"/>
  <c r="N20" i="33"/>
  <c r="F20" i="33"/>
  <c r="N19" i="33"/>
  <c r="F19" i="33"/>
  <c r="N18" i="33"/>
  <c r="F18" i="33"/>
  <c r="N17" i="33"/>
  <c r="F17" i="33"/>
  <c r="N16" i="33"/>
  <c r="F16" i="33"/>
  <c r="N15" i="33"/>
  <c r="F15" i="33"/>
  <c r="N14" i="33"/>
  <c r="F14" i="33"/>
  <c r="N13" i="33"/>
  <c r="F13" i="33"/>
  <c r="N12" i="33"/>
  <c r="F12" i="33"/>
  <c r="N11" i="33"/>
  <c r="F11" i="33"/>
  <c r="N10" i="33"/>
  <c r="F10" i="33"/>
  <c r="N9" i="33"/>
  <c r="F9" i="33"/>
  <c r="N8" i="33"/>
  <c r="F8" i="33"/>
  <c r="N7" i="33"/>
  <c r="F7" i="33"/>
  <c r="N6" i="33"/>
  <c r="F6" i="33"/>
  <c r="N5" i="33"/>
  <c r="F5" i="33"/>
  <c r="M20" i="33"/>
  <c r="E20" i="33"/>
  <c r="M19" i="33"/>
  <c r="E19" i="33"/>
  <c r="M18" i="33"/>
  <c r="E18" i="33"/>
  <c r="M17" i="33"/>
  <c r="E17" i="33"/>
  <c r="M16" i="33"/>
  <c r="E16" i="33"/>
  <c r="M15" i="33"/>
  <c r="E15" i="33"/>
  <c r="M14" i="33"/>
  <c r="E14" i="33"/>
  <c r="M13" i="33"/>
  <c r="E13" i="33"/>
  <c r="M12" i="33"/>
  <c r="E12" i="33"/>
  <c r="M11" i="33"/>
  <c r="E11" i="33"/>
  <c r="M10" i="33"/>
  <c r="E10" i="33"/>
  <c r="M9" i="33"/>
  <c r="E9" i="33"/>
  <c r="M8" i="33"/>
  <c r="E8" i="33"/>
  <c r="M7" i="33"/>
  <c r="E7" i="33"/>
  <c r="M6" i="33"/>
  <c r="E6" i="33"/>
  <c r="M5" i="33"/>
  <c r="E5" i="33"/>
  <c r="R20" i="33"/>
  <c r="J20" i="33"/>
  <c r="R19" i="33"/>
  <c r="J19" i="33"/>
  <c r="R18" i="33"/>
  <c r="J18" i="33"/>
  <c r="R17" i="33"/>
  <c r="J17" i="33"/>
  <c r="R16" i="33"/>
  <c r="J16" i="33"/>
  <c r="R15" i="33"/>
  <c r="J15" i="33"/>
  <c r="R14" i="33"/>
  <c r="J14" i="33"/>
  <c r="R13" i="33"/>
  <c r="J13" i="33"/>
  <c r="R12" i="33"/>
  <c r="J12" i="33"/>
  <c r="R11" i="33"/>
  <c r="J11" i="33"/>
  <c r="R10" i="33"/>
  <c r="J10" i="33"/>
  <c r="R9" i="33"/>
  <c r="J9" i="33"/>
  <c r="R8" i="33"/>
  <c r="J8" i="33"/>
  <c r="R7" i="33"/>
  <c r="J7" i="33"/>
  <c r="R6" i="33"/>
  <c r="J6" i="33"/>
  <c r="R5" i="33"/>
  <c r="J5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K7" i="33"/>
  <c r="O6" i="33"/>
  <c r="Q5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I7" i="33"/>
  <c r="L6" i="33"/>
  <c r="P5" i="33"/>
  <c r="T20" i="33"/>
  <c r="T19" i="33"/>
  <c r="T18" i="33"/>
  <c r="T17" i="33"/>
  <c r="T16" i="33"/>
  <c r="T15" i="33"/>
  <c r="T14" i="33"/>
  <c r="T13" i="33"/>
  <c r="T12" i="33"/>
  <c r="T11" i="33"/>
  <c r="T10" i="33"/>
  <c r="T9" i="33"/>
  <c r="T8" i="33"/>
  <c r="T7" i="33"/>
  <c r="H7" i="33"/>
  <c r="K6" i="33"/>
  <c r="O5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G7" i="33"/>
  <c r="I6" i="33"/>
  <c r="L5" i="33"/>
  <c r="P20" i="33"/>
  <c r="P19" i="33"/>
  <c r="P18" i="33"/>
  <c r="P17" i="33"/>
  <c r="P16" i="33"/>
  <c r="P15" i="33"/>
  <c r="P14" i="33"/>
  <c r="P13" i="33"/>
  <c r="P12" i="33"/>
  <c r="P11" i="33"/>
  <c r="P10" i="33"/>
  <c r="P9" i="33"/>
  <c r="P8" i="33"/>
  <c r="Q7" i="33"/>
  <c r="T6" i="33"/>
  <c r="H6" i="33"/>
  <c r="K5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P7" i="33"/>
  <c r="S6" i="33"/>
  <c r="G6" i="33"/>
  <c r="I5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L7" i="33"/>
  <c r="P6" i="33"/>
  <c r="S5" i="33"/>
  <c r="G5" i="33"/>
  <c r="L18" i="33"/>
  <c r="L10" i="33"/>
  <c r="L17" i="33"/>
  <c r="L9" i="33"/>
  <c r="L16" i="33"/>
  <c r="L8" i="33"/>
  <c r="L15" i="33"/>
  <c r="O7" i="33"/>
  <c r="L14" i="33"/>
  <c r="Q6" i="33"/>
  <c r="L13" i="33"/>
  <c r="T5" i="33"/>
  <c r="L19" i="33"/>
  <c r="L11" i="33"/>
  <c r="L20" i="33"/>
  <c r="L12" i="33"/>
  <c r="H5" i="33"/>
  <c r="C4" i="17"/>
  <c r="AA4" i="5"/>
  <c r="Y4" i="5"/>
  <c r="G13" i="4"/>
  <c r="H33" i="2"/>
  <c r="W13" i="43"/>
  <c r="L2" i="21"/>
  <c r="K2" i="21"/>
  <c r="Q2" i="21" s="1"/>
  <c r="Q5" i="21" s="1"/>
  <c r="Q6" i="21" s="1"/>
  <c r="Q7" i="21" s="1"/>
  <c r="V10" i="43"/>
  <c r="T20" i="5"/>
  <c r="T16" i="5"/>
  <c r="T12" i="5"/>
  <c r="T8" i="5"/>
  <c r="T17" i="5"/>
  <c r="T13" i="5"/>
  <c r="T9" i="5"/>
  <c r="T5" i="5"/>
  <c r="T6" i="5"/>
  <c r="T18" i="5"/>
  <c r="T11" i="5"/>
  <c r="T10" i="5"/>
  <c r="T14" i="5"/>
  <c r="T15" i="5"/>
  <c r="T7" i="5"/>
  <c r="T19" i="5"/>
  <c r="V31" i="45"/>
  <c r="I18" i="5"/>
  <c r="I14" i="5"/>
  <c r="I10" i="5"/>
  <c r="I6" i="5"/>
  <c r="I19" i="5"/>
  <c r="I15" i="5"/>
  <c r="I11" i="5"/>
  <c r="I7" i="5"/>
  <c r="I20" i="5"/>
  <c r="I16" i="5"/>
  <c r="I12" i="5"/>
  <c r="I8" i="5"/>
  <c r="I5" i="5"/>
  <c r="I17" i="5"/>
  <c r="I9" i="5"/>
  <c r="I13" i="5"/>
  <c r="K3" i="21"/>
  <c r="L3" i="21"/>
  <c r="S3" i="2" s="1"/>
  <c r="L3" i="2"/>
  <c r="L2" i="2" s="1"/>
  <c r="B18" i="15"/>
  <c r="B14" i="15"/>
  <c r="B10" i="15"/>
  <c r="B6" i="15"/>
  <c r="B5" i="15"/>
  <c r="B20" i="15"/>
  <c r="B16" i="15"/>
  <c r="B12" i="15"/>
  <c r="B8" i="15"/>
  <c r="B15" i="15"/>
  <c r="B19" i="15"/>
  <c r="B11" i="15"/>
  <c r="B7" i="15"/>
  <c r="B9" i="15"/>
  <c r="B13" i="15"/>
  <c r="B17" i="15"/>
  <c r="V21" i="45"/>
  <c r="V21" i="43"/>
  <c r="V11" i="45"/>
  <c r="T20" i="30"/>
  <c r="L20" i="30"/>
  <c r="T19" i="30"/>
  <c r="L19" i="30"/>
  <c r="T18" i="30"/>
  <c r="L18" i="30"/>
  <c r="T17" i="30"/>
  <c r="L17" i="30"/>
  <c r="T16" i="30"/>
  <c r="L16" i="30"/>
  <c r="T15" i="30"/>
  <c r="L15" i="30"/>
  <c r="T14" i="30"/>
  <c r="L14" i="30"/>
  <c r="T13" i="30"/>
  <c r="L13" i="30"/>
  <c r="T12" i="30"/>
  <c r="L12" i="30"/>
  <c r="T11" i="30"/>
  <c r="L11" i="30"/>
  <c r="T10" i="30"/>
  <c r="L10" i="30"/>
  <c r="S20" i="30"/>
  <c r="K20" i="30"/>
  <c r="S19" i="30"/>
  <c r="K19" i="30"/>
  <c r="S18" i="30"/>
  <c r="K18" i="30"/>
  <c r="S17" i="30"/>
  <c r="K17" i="30"/>
  <c r="S16" i="30"/>
  <c r="K16" i="30"/>
  <c r="S15" i="30"/>
  <c r="K15" i="30"/>
  <c r="S14" i="30"/>
  <c r="K14" i="30"/>
  <c r="S13" i="30"/>
  <c r="K13" i="30"/>
  <c r="S12" i="30"/>
  <c r="K12" i="30"/>
  <c r="S11" i="30"/>
  <c r="K11" i="30"/>
  <c r="S10" i="30"/>
  <c r="K10" i="30"/>
  <c r="Q20" i="30"/>
  <c r="I20" i="30"/>
  <c r="Q19" i="30"/>
  <c r="I19" i="30"/>
  <c r="Q18" i="30"/>
  <c r="I18" i="30"/>
  <c r="Q17" i="30"/>
  <c r="I17" i="30"/>
  <c r="Q16" i="30"/>
  <c r="I16" i="30"/>
  <c r="Q15" i="30"/>
  <c r="I15" i="30"/>
  <c r="Q14" i="30"/>
  <c r="I14" i="30"/>
  <c r="Q13" i="30"/>
  <c r="I13" i="30"/>
  <c r="Q12" i="30"/>
  <c r="I12" i="30"/>
  <c r="Q11" i="30"/>
  <c r="I11" i="30"/>
  <c r="Q10" i="30"/>
  <c r="N20" i="30"/>
  <c r="F20" i="30"/>
  <c r="N19" i="30"/>
  <c r="F19" i="30"/>
  <c r="N18" i="30"/>
  <c r="F18" i="30"/>
  <c r="N17" i="30"/>
  <c r="F17" i="30"/>
  <c r="N16" i="30"/>
  <c r="F16" i="30"/>
  <c r="N15" i="30"/>
  <c r="F15" i="30"/>
  <c r="N14" i="30"/>
  <c r="F14" i="30"/>
  <c r="N13" i="30"/>
  <c r="F13" i="30"/>
  <c r="N12" i="30"/>
  <c r="F12" i="30"/>
  <c r="N11" i="30"/>
  <c r="F11" i="30"/>
  <c r="N10" i="30"/>
  <c r="F10" i="30"/>
  <c r="P20" i="30"/>
  <c r="P19" i="30"/>
  <c r="P18" i="30"/>
  <c r="P17" i="30"/>
  <c r="P16" i="30"/>
  <c r="P15" i="30"/>
  <c r="P14" i="30"/>
  <c r="P13" i="30"/>
  <c r="P12" i="30"/>
  <c r="P11" i="30"/>
  <c r="P10" i="30"/>
  <c r="T9" i="30"/>
  <c r="L9" i="30"/>
  <c r="T8" i="30"/>
  <c r="L8" i="30"/>
  <c r="T7" i="30"/>
  <c r="L7" i="30"/>
  <c r="T6" i="30"/>
  <c r="L6" i="30"/>
  <c r="T5" i="30"/>
  <c r="L5" i="30"/>
  <c r="O20" i="30"/>
  <c r="O19" i="30"/>
  <c r="O18" i="30"/>
  <c r="O17" i="30"/>
  <c r="O16" i="30"/>
  <c r="O15" i="30"/>
  <c r="O14" i="30"/>
  <c r="O13" i="30"/>
  <c r="O12" i="30"/>
  <c r="O11" i="30"/>
  <c r="O10" i="30"/>
  <c r="S9" i="30"/>
  <c r="K9" i="30"/>
  <c r="S8" i="30"/>
  <c r="K8" i="30"/>
  <c r="S7" i="30"/>
  <c r="K7" i="30"/>
  <c r="S6" i="30"/>
  <c r="K6" i="30"/>
  <c r="S5" i="30"/>
  <c r="K5" i="30"/>
  <c r="M20" i="30"/>
  <c r="M19" i="30"/>
  <c r="M18" i="30"/>
  <c r="M17" i="30"/>
  <c r="M16" i="30"/>
  <c r="M15" i="30"/>
  <c r="M14" i="30"/>
  <c r="M13" i="30"/>
  <c r="M12" i="30"/>
  <c r="M11" i="30"/>
  <c r="M10" i="30"/>
  <c r="R9" i="30"/>
  <c r="J9" i="30"/>
  <c r="R8" i="30"/>
  <c r="J8" i="30"/>
  <c r="R7" i="30"/>
  <c r="J7" i="30"/>
  <c r="R6" i="30"/>
  <c r="J6" i="30"/>
  <c r="R5" i="30"/>
  <c r="J5" i="30"/>
  <c r="J20" i="30"/>
  <c r="J19" i="30"/>
  <c r="J18" i="30"/>
  <c r="J17" i="30"/>
  <c r="J16" i="30"/>
  <c r="J15" i="30"/>
  <c r="J14" i="30"/>
  <c r="J13" i="30"/>
  <c r="J12" i="30"/>
  <c r="J11" i="30"/>
  <c r="J10" i="30"/>
  <c r="Q9" i="30"/>
  <c r="I9" i="30"/>
  <c r="Q8" i="30"/>
  <c r="I8" i="30"/>
  <c r="Q7" i="30"/>
  <c r="I7" i="30"/>
  <c r="Q6" i="30"/>
  <c r="I6" i="30"/>
  <c r="Q5" i="30"/>
  <c r="I5" i="30"/>
  <c r="H20" i="30"/>
  <c r="H19" i="30"/>
  <c r="H18" i="30"/>
  <c r="H17" i="30"/>
  <c r="H16" i="30"/>
  <c r="H15" i="30"/>
  <c r="H14" i="30"/>
  <c r="H13" i="30"/>
  <c r="H12" i="30"/>
  <c r="H11" i="30"/>
  <c r="I10" i="30"/>
  <c r="P9" i="30"/>
  <c r="H9" i="30"/>
  <c r="P8" i="30"/>
  <c r="H8" i="30"/>
  <c r="P7" i="30"/>
  <c r="H7" i="30"/>
  <c r="P6" i="30"/>
  <c r="H6" i="30"/>
  <c r="P5" i="30"/>
  <c r="H5" i="30"/>
  <c r="G20" i="30"/>
  <c r="G19" i="30"/>
  <c r="G18" i="30"/>
  <c r="G17" i="30"/>
  <c r="G16" i="30"/>
  <c r="G15" i="30"/>
  <c r="G14" i="30"/>
  <c r="G13" i="30"/>
  <c r="G12" i="30"/>
  <c r="G11" i="30"/>
  <c r="H10" i="30"/>
  <c r="O9" i="30"/>
  <c r="G9" i="30"/>
  <c r="O8" i="30"/>
  <c r="G8" i="30"/>
  <c r="O7" i="30"/>
  <c r="G7" i="30"/>
  <c r="O6" i="30"/>
  <c r="G6" i="30"/>
  <c r="O5" i="30"/>
  <c r="G5" i="30"/>
  <c r="R20" i="30"/>
  <c r="R19" i="30"/>
  <c r="R18" i="30"/>
  <c r="R17" i="30"/>
  <c r="R16" i="30"/>
  <c r="R15" i="30"/>
  <c r="R14" i="30"/>
  <c r="R13" i="30"/>
  <c r="R12" i="30"/>
  <c r="R11" i="30"/>
  <c r="R10" i="30"/>
  <c r="E10" i="30"/>
  <c r="M9" i="30"/>
  <c r="E9" i="30"/>
  <c r="M8" i="30"/>
  <c r="E8" i="30"/>
  <c r="M7" i="30"/>
  <c r="E7" i="30"/>
  <c r="M6" i="30"/>
  <c r="E6" i="30"/>
  <c r="M5" i="30"/>
  <c r="E5" i="30"/>
  <c r="E19" i="30"/>
  <c r="E11" i="30"/>
  <c r="N6" i="30"/>
  <c r="E18" i="30"/>
  <c r="G10" i="30"/>
  <c r="F6" i="30"/>
  <c r="E17" i="30"/>
  <c r="N9" i="30"/>
  <c r="N5" i="30"/>
  <c r="E16" i="30"/>
  <c r="F9" i="30"/>
  <c r="F5" i="30"/>
  <c r="E15" i="30"/>
  <c r="N8" i="30"/>
  <c r="E14" i="30"/>
  <c r="F8" i="30"/>
  <c r="E20" i="30"/>
  <c r="E12" i="30"/>
  <c r="F7" i="30"/>
  <c r="E13" i="30"/>
  <c r="N7" i="30"/>
  <c r="S4" i="5"/>
  <c r="C4" i="14"/>
  <c r="G10" i="4"/>
  <c r="H27" i="2"/>
  <c r="R4" i="5"/>
  <c r="F10" i="4"/>
  <c r="B4" i="14"/>
  <c r="H26" i="2"/>
  <c r="T36" i="46"/>
  <c r="N20" i="23"/>
  <c r="F20" i="23"/>
  <c r="N19" i="23"/>
  <c r="F19" i="23"/>
  <c r="N18" i="23"/>
  <c r="F18" i="23"/>
  <c r="N17" i="23"/>
  <c r="F17" i="23"/>
  <c r="N16" i="23"/>
  <c r="F16" i="23"/>
  <c r="N15" i="23"/>
  <c r="F15" i="23"/>
  <c r="N14" i="23"/>
  <c r="F14" i="23"/>
  <c r="N13" i="23"/>
  <c r="F13" i="23"/>
  <c r="N12" i="23"/>
  <c r="F12" i="23"/>
  <c r="N11" i="23"/>
  <c r="F11" i="23"/>
  <c r="N10" i="23"/>
  <c r="F10" i="23"/>
  <c r="N9" i="23"/>
  <c r="F9" i="23"/>
  <c r="N8" i="23"/>
  <c r="F8" i="23"/>
  <c r="N7" i="23"/>
  <c r="F7" i="23"/>
  <c r="N6" i="23"/>
  <c r="F6" i="23"/>
  <c r="N5" i="23"/>
  <c r="F5" i="23"/>
  <c r="M20" i="23"/>
  <c r="E20" i="23"/>
  <c r="M19" i="23"/>
  <c r="E19" i="23"/>
  <c r="M18" i="23"/>
  <c r="E18" i="23"/>
  <c r="M17" i="23"/>
  <c r="E17" i="23"/>
  <c r="M16" i="23"/>
  <c r="E16" i="23"/>
  <c r="M15" i="23"/>
  <c r="E15" i="23"/>
  <c r="M14" i="23"/>
  <c r="E14" i="23"/>
  <c r="M13" i="23"/>
  <c r="E13" i="23"/>
  <c r="M12" i="23"/>
  <c r="E12" i="23"/>
  <c r="M11" i="23"/>
  <c r="E11" i="23"/>
  <c r="M10" i="23"/>
  <c r="E10" i="23"/>
  <c r="M9" i="23"/>
  <c r="E9" i="23"/>
  <c r="M8" i="23"/>
  <c r="E8" i="23"/>
  <c r="M7" i="23"/>
  <c r="E7" i="23"/>
  <c r="M6" i="23"/>
  <c r="E6" i="23"/>
  <c r="M5" i="23"/>
  <c r="E5" i="23"/>
  <c r="T20" i="23"/>
  <c r="L20" i="23"/>
  <c r="T19" i="23"/>
  <c r="L19" i="23"/>
  <c r="T18" i="23"/>
  <c r="L18" i="23"/>
  <c r="T17" i="23"/>
  <c r="L17" i="23"/>
  <c r="T16" i="23"/>
  <c r="L16" i="23"/>
  <c r="T15" i="23"/>
  <c r="L15" i="23"/>
  <c r="T14" i="23"/>
  <c r="L14" i="23"/>
  <c r="T13" i="23"/>
  <c r="L13" i="23"/>
  <c r="T12" i="23"/>
  <c r="L12" i="23"/>
  <c r="T11" i="23"/>
  <c r="L11" i="23"/>
  <c r="T10" i="23"/>
  <c r="L10" i="23"/>
  <c r="T9" i="23"/>
  <c r="L9" i="23"/>
  <c r="T8" i="23"/>
  <c r="L8" i="23"/>
  <c r="T7" i="23"/>
  <c r="L7" i="23"/>
  <c r="T6" i="23"/>
  <c r="L6" i="23"/>
  <c r="T5" i="23"/>
  <c r="L5" i="23"/>
  <c r="S20" i="23"/>
  <c r="K20" i="23"/>
  <c r="S19" i="23"/>
  <c r="K19" i="23"/>
  <c r="S18" i="23"/>
  <c r="K18" i="23"/>
  <c r="S17" i="23"/>
  <c r="K17" i="23"/>
  <c r="S16" i="23"/>
  <c r="K16" i="23"/>
  <c r="S15" i="23"/>
  <c r="K15" i="23"/>
  <c r="S14" i="23"/>
  <c r="K14" i="23"/>
  <c r="S13" i="23"/>
  <c r="K13" i="23"/>
  <c r="S12" i="23"/>
  <c r="K12" i="23"/>
  <c r="S11" i="23"/>
  <c r="K11" i="23"/>
  <c r="S10" i="23"/>
  <c r="K10" i="23"/>
  <c r="S9" i="23"/>
  <c r="K9" i="23"/>
  <c r="S8" i="23"/>
  <c r="K8" i="23"/>
  <c r="S7" i="23"/>
  <c r="K7" i="23"/>
  <c r="S6" i="23"/>
  <c r="K6" i="23"/>
  <c r="S5" i="23"/>
  <c r="K5" i="23"/>
  <c r="R20" i="23"/>
  <c r="J20" i="23"/>
  <c r="R19" i="23"/>
  <c r="J19" i="23"/>
  <c r="R18" i="23"/>
  <c r="J18" i="23"/>
  <c r="R17" i="23"/>
  <c r="J17" i="23"/>
  <c r="R16" i="23"/>
  <c r="J16" i="23"/>
  <c r="R15" i="23"/>
  <c r="J15" i="23"/>
  <c r="R14" i="23"/>
  <c r="J14" i="23"/>
  <c r="R13" i="23"/>
  <c r="J13" i="23"/>
  <c r="R12" i="23"/>
  <c r="J12" i="23"/>
  <c r="R11" i="23"/>
  <c r="J11" i="23"/>
  <c r="R10" i="23"/>
  <c r="J10" i="23"/>
  <c r="R9" i="23"/>
  <c r="J9" i="23"/>
  <c r="R8" i="23"/>
  <c r="J8" i="23"/>
  <c r="R7" i="23"/>
  <c r="J7" i="23"/>
  <c r="R6" i="23"/>
  <c r="J6" i="23"/>
  <c r="R5" i="23"/>
  <c r="J5" i="23"/>
  <c r="Q20" i="23"/>
  <c r="I20" i="23"/>
  <c r="Q19" i="23"/>
  <c r="I19" i="23"/>
  <c r="Q18" i="23"/>
  <c r="I18" i="23"/>
  <c r="Q17" i="23"/>
  <c r="I17" i="23"/>
  <c r="Q16" i="23"/>
  <c r="I16" i="23"/>
  <c r="Q15" i="23"/>
  <c r="I15" i="23"/>
  <c r="Q14" i="23"/>
  <c r="I14" i="23"/>
  <c r="Q13" i="23"/>
  <c r="I13" i="23"/>
  <c r="Q12" i="23"/>
  <c r="I12" i="23"/>
  <c r="Q11" i="23"/>
  <c r="I11" i="23"/>
  <c r="Q10" i="23"/>
  <c r="I10" i="23"/>
  <c r="Q9" i="23"/>
  <c r="I9" i="23"/>
  <c r="Q8" i="23"/>
  <c r="I8" i="23"/>
  <c r="Q7" i="23"/>
  <c r="I7" i="23"/>
  <c r="Q6" i="23"/>
  <c r="I6" i="23"/>
  <c r="Q5" i="23"/>
  <c r="I5" i="23"/>
  <c r="O20" i="23"/>
  <c r="G20" i="23"/>
  <c r="O19" i="23"/>
  <c r="G19" i="23"/>
  <c r="O18" i="23"/>
  <c r="G18" i="23"/>
  <c r="O17" i="23"/>
  <c r="G17" i="23"/>
  <c r="O16" i="23"/>
  <c r="G16" i="23"/>
  <c r="O15" i="23"/>
  <c r="G15" i="23"/>
  <c r="O14" i="23"/>
  <c r="G14" i="23"/>
  <c r="O13" i="23"/>
  <c r="G13" i="23"/>
  <c r="O12" i="23"/>
  <c r="G12" i="23"/>
  <c r="O11" i="23"/>
  <c r="G11" i="23"/>
  <c r="O10" i="23"/>
  <c r="G10" i="23"/>
  <c r="O9" i="23"/>
  <c r="G9" i="23"/>
  <c r="O8" i="23"/>
  <c r="G8" i="23"/>
  <c r="O7" i="23"/>
  <c r="G7" i="23"/>
  <c r="O6" i="23"/>
  <c r="G6" i="23"/>
  <c r="O5" i="23"/>
  <c r="G5" i="23"/>
  <c r="P20" i="23"/>
  <c r="P16" i="23"/>
  <c r="P12" i="23"/>
  <c r="P8" i="23"/>
  <c r="H20" i="23"/>
  <c r="H16" i="23"/>
  <c r="H12" i="23"/>
  <c r="H8" i="23"/>
  <c r="P19" i="23"/>
  <c r="P15" i="23"/>
  <c r="P11" i="23"/>
  <c r="P7" i="23"/>
  <c r="H19" i="23"/>
  <c r="H15" i="23"/>
  <c r="H11" i="23"/>
  <c r="H7" i="23"/>
  <c r="P18" i="23"/>
  <c r="P14" i="23"/>
  <c r="P10" i="23"/>
  <c r="P6" i="23"/>
  <c r="H18" i="23"/>
  <c r="H14" i="23"/>
  <c r="H10" i="23"/>
  <c r="H6" i="23"/>
  <c r="H17" i="23"/>
  <c r="H13" i="23"/>
  <c r="H9" i="23"/>
  <c r="H5" i="23"/>
  <c r="P17" i="23"/>
  <c r="P13" i="23"/>
  <c r="P9" i="23"/>
  <c r="P5" i="23"/>
  <c r="C4" i="7"/>
  <c r="E4" i="5"/>
  <c r="H13" i="2"/>
  <c r="G3" i="4"/>
  <c r="B4" i="8"/>
  <c r="F4" i="4"/>
  <c r="H14" i="2"/>
  <c r="F4" i="5"/>
  <c r="V8" i="45"/>
  <c r="H5" i="4" l="1"/>
  <c r="H11" i="4"/>
  <c r="W20" i="45"/>
  <c r="C14" i="9"/>
  <c r="C6" i="9"/>
  <c r="C19" i="9"/>
  <c r="C15" i="9"/>
  <c r="C12" i="9"/>
  <c r="C9" i="9"/>
  <c r="W21" i="45"/>
  <c r="C10" i="9"/>
  <c r="C8" i="9"/>
  <c r="C17" i="9"/>
  <c r="C16" i="9"/>
  <c r="W22" i="45"/>
  <c r="H14" i="4"/>
  <c r="C13" i="9"/>
  <c r="C20" i="9"/>
  <c r="W34" i="45"/>
  <c r="C7" i="9"/>
  <c r="W12" i="43"/>
  <c r="H4" i="4"/>
  <c r="W24" i="43"/>
  <c r="W18" i="43"/>
  <c r="H15" i="4"/>
  <c r="J25" i="31"/>
  <c r="F30" i="31"/>
  <c r="AI23" i="3" s="1"/>
  <c r="H8" i="4"/>
  <c r="H9" i="4"/>
  <c r="J25" i="36"/>
  <c r="H12" i="4"/>
  <c r="J25" i="34"/>
  <c r="L20" i="5"/>
  <c r="N17" i="5"/>
  <c r="L16" i="5"/>
  <c r="N13" i="5"/>
  <c r="L12" i="5"/>
  <c r="N9" i="5"/>
  <c r="L8" i="5"/>
  <c r="N5" i="5"/>
  <c r="N18" i="5"/>
  <c r="L17" i="5"/>
  <c r="N14" i="5"/>
  <c r="L13" i="5"/>
  <c r="N10" i="5"/>
  <c r="L9" i="5"/>
  <c r="N6" i="5"/>
  <c r="L5" i="5"/>
  <c r="N19" i="5"/>
  <c r="N12" i="5"/>
  <c r="L14" i="5"/>
  <c r="L7" i="5"/>
  <c r="L19" i="5"/>
  <c r="N11" i="5"/>
  <c r="N16" i="5"/>
  <c r="L6" i="5"/>
  <c r="N15" i="5"/>
  <c r="N8" i="5"/>
  <c r="N20" i="5"/>
  <c r="L18" i="5"/>
  <c r="L11" i="5"/>
  <c r="L15" i="5"/>
  <c r="N7" i="5"/>
  <c r="L10" i="5"/>
  <c r="B8" i="8"/>
  <c r="B14" i="8"/>
  <c r="B10" i="8"/>
  <c r="B6" i="8"/>
  <c r="B9" i="8"/>
  <c r="B5" i="8"/>
  <c r="B13" i="8"/>
  <c r="B17" i="8"/>
  <c r="B18" i="8"/>
  <c r="B15" i="8"/>
  <c r="B12" i="8"/>
  <c r="B19" i="8"/>
  <c r="B16" i="8"/>
  <c r="B20" i="8"/>
  <c r="B7" i="8"/>
  <c r="B11" i="8"/>
  <c r="W35" i="43"/>
  <c r="J28" i="23"/>
  <c r="J26" i="23"/>
  <c r="J36" i="23"/>
  <c r="J41" i="23"/>
  <c r="J28" i="30"/>
  <c r="J26" i="30"/>
  <c r="J41" i="30"/>
  <c r="J36" i="30"/>
  <c r="J40" i="31"/>
  <c r="J37" i="31"/>
  <c r="J38" i="31" s="1"/>
  <c r="J34" i="31"/>
  <c r="F30" i="36"/>
  <c r="B20" i="20"/>
  <c r="B12" i="20"/>
  <c r="B9" i="20"/>
  <c r="B19" i="20"/>
  <c r="B16" i="20"/>
  <c r="B7" i="20"/>
  <c r="B6" i="20"/>
  <c r="B15" i="20"/>
  <c r="B5" i="20"/>
  <c r="B8" i="20"/>
  <c r="B10" i="20"/>
  <c r="B17" i="20"/>
  <c r="B18" i="20"/>
  <c r="B11" i="20"/>
  <c r="B14" i="20"/>
  <c r="B13" i="20"/>
  <c r="J32" i="24"/>
  <c r="J33" i="24" s="1"/>
  <c r="J29" i="24"/>
  <c r="J35" i="24"/>
  <c r="P18" i="5"/>
  <c r="P14" i="5"/>
  <c r="P10" i="5"/>
  <c r="P6" i="5"/>
  <c r="P19" i="5"/>
  <c r="P15" i="5"/>
  <c r="P11" i="5"/>
  <c r="P7" i="5"/>
  <c r="P16" i="5"/>
  <c r="P9" i="5"/>
  <c r="P8" i="5"/>
  <c r="P5" i="5"/>
  <c r="P20" i="5"/>
  <c r="P17" i="5"/>
  <c r="P12" i="5"/>
  <c r="P13" i="5"/>
  <c r="B19" i="5"/>
  <c r="B15" i="5"/>
  <c r="B11" i="5"/>
  <c r="B7" i="5"/>
  <c r="B20" i="5"/>
  <c r="B16" i="5"/>
  <c r="B12" i="5"/>
  <c r="B8" i="5"/>
  <c r="B13" i="5"/>
  <c r="B6" i="5"/>
  <c r="B18" i="5"/>
  <c r="B5" i="5"/>
  <c r="B17" i="5"/>
  <c r="B10" i="5"/>
  <c r="B9" i="5"/>
  <c r="B14" i="5"/>
  <c r="W19" i="43"/>
  <c r="W16" i="45"/>
  <c r="W31" i="43"/>
  <c r="C13" i="14"/>
  <c r="C9" i="14"/>
  <c r="C5" i="14"/>
  <c r="C12" i="14"/>
  <c r="C8" i="14"/>
  <c r="C20" i="14"/>
  <c r="C16" i="14"/>
  <c r="C17" i="14"/>
  <c r="C10" i="14"/>
  <c r="C14" i="14"/>
  <c r="C7" i="14"/>
  <c r="C11" i="14"/>
  <c r="C15" i="14"/>
  <c r="C19" i="14"/>
  <c r="C6" i="14"/>
  <c r="C18" i="14"/>
  <c r="J25" i="33"/>
  <c r="J39" i="33"/>
  <c r="J42" i="33"/>
  <c r="J43" i="33" s="1"/>
  <c r="C19" i="5"/>
  <c r="C15" i="5"/>
  <c r="C11" i="5"/>
  <c r="C7" i="5"/>
  <c r="C20" i="5"/>
  <c r="C16" i="5"/>
  <c r="C12" i="5"/>
  <c r="C8" i="5"/>
  <c r="C17" i="5"/>
  <c r="C13" i="5"/>
  <c r="C9" i="5"/>
  <c r="C5" i="5"/>
  <c r="C18" i="5"/>
  <c r="C10" i="5"/>
  <c r="C14" i="5"/>
  <c r="C6" i="5"/>
  <c r="J37" i="22"/>
  <c r="J38" i="22" s="1"/>
  <c r="J34" i="22"/>
  <c r="J40" i="22"/>
  <c r="O17" i="5"/>
  <c r="O13" i="5"/>
  <c r="O9" i="5"/>
  <c r="O5" i="5"/>
  <c r="O18" i="5"/>
  <c r="O14" i="5"/>
  <c r="O10" i="5"/>
  <c r="O6" i="5"/>
  <c r="O19" i="5"/>
  <c r="O15" i="5"/>
  <c r="O11" i="5"/>
  <c r="O7" i="5"/>
  <c r="O16" i="5"/>
  <c r="O20" i="5"/>
  <c r="O12" i="5"/>
  <c r="O8" i="5"/>
  <c r="W19" i="45"/>
  <c r="W27" i="45"/>
  <c r="W17" i="43"/>
  <c r="Q18" i="5"/>
  <c r="Q14" i="5"/>
  <c r="Q10" i="5"/>
  <c r="Q6" i="5"/>
  <c r="Q19" i="5"/>
  <c r="Q15" i="5"/>
  <c r="Q11" i="5"/>
  <c r="Q7" i="5"/>
  <c r="Q20" i="5"/>
  <c r="Q16" i="5"/>
  <c r="Q12" i="5"/>
  <c r="Q8" i="5"/>
  <c r="Q9" i="5"/>
  <c r="Q13" i="5"/>
  <c r="Q5" i="5"/>
  <c r="Q17" i="5"/>
  <c r="J25" i="32"/>
  <c r="J25" i="26"/>
  <c r="J39" i="26"/>
  <c r="J42" i="26"/>
  <c r="J43" i="26" s="1"/>
  <c r="F30" i="26"/>
  <c r="C6" i="20"/>
  <c r="C13" i="20"/>
  <c r="C18" i="20"/>
  <c r="C10" i="20"/>
  <c r="C16" i="20"/>
  <c r="C19" i="20"/>
  <c r="C9" i="20"/>
  <c r="C15" i="20"/>
  <c r="C12" i="20"/>
  <c r="C11" i="20"/>
  <c r="C14" i="20"/>
  <c r="C5" i="20"/>
  <c r="C7" i="20"/>
  <c r="C8" i="20"/>
  <c r="C20" i="20"/>
  <c r="C17" i="20"/>
  <c r="F31" i="36"/>
  <c r="F25" i="36"/>
  <c r="F24" i="36" s="1"/>
  <c r="C9" i="11"/>
  <c r="C5" i="11"/>
  <c r="C17" i="11"/>
  <c r="C14" i="11"/>
  <c r="C13" i="11"/>
  <c r="C10" i="11"/>
  <c r="C15" i="11"/>
  <c r="C6" i="11"/>
  <c r="C11" i="11"/>
  <c r="C20" i="11"/>
  <c r="C19" i="11"/>
  <c r="C7" i="11"/>
  <c r="C16" i="11"/>
  <c r="C12" i="11"/>
  <c r="C18" i="11"/>
  <c r="C8" i="11"/>
  <c r="F25" i="27"/>
  <c r="F24" i="27" s="1"/>
  <c r="F31" i="27"/>
  <c r="J35" i="27"/>
  <c r="J32" i="27"/>
  <c r="J33" i="27" s="1"/>
  <c r="J29" i="27"/>
  <c r="J37" i="35"/>
  <c r="J38" i="35" s="1"/>
  <c r="J34" i="35"/>
  <c r="J40" i="35"/>
  <c r="W32" i="43"/>
  <c r="B8" i="13"/>
  <c r="B18" i="13"/>
  <c r="B14" i="13"/>
  <c r="B10" i="13"/>
  <c r="B6" i="13"/>
  <c r="B17" i="13"/>
  <c r="B13" i="13"/>
  <c r="B9" i="13"/>
  <c r="B5" i="13"/>
  <c r="B7" i="13"/>
  <c r="B11" i="13"/>
  <c r="B15" i="13"/>
  <c r="B12" i="13"/>
  <c r="B19" i="13"/>
  <c r="B16" i="13"/>
  <c r="B20" i="13"/>
  <c r="J42" i="34"/>
  <c r="J43" i="34" s="1"/>
  <c r="J39" i="34"/>
  <c r="B18" i="16"/>
  <c r="B14" i="16"/>
  <c r="B10" i="16"/>
  <c r="B6" i="16"/>
  <c r="B17" i="16"/>
  <c r="B7" i="16"/>
  <c r="B11" i="16"/>
  <c r="B8" i="16"/>
  <c r="B15" i="16"/>
  <c r="B12" i="16"/>
  <c r="B5" i="16"/>
  <c r="B19" i="16"/>
  <c r="B16" i="16"/>
  <c r="B9" i="16"/>
  <c r="B20" i="16"/>
  <c r="B13" i="16"/>
  <c r="B7" i="6"/>
  <c r="B15" i="6"/>
  <c r="B19" i="6"/>
  <c r="B6" i="6"/>
  <c r="B18" i="6"/>
  <c r="B17" i="6"/>
  <c r="B20" i="6"/>
  <c r="B5" i="6"/>
  <c r="B14" i="6"/>
  <c r="B13" i="6"/>
  <c r="B16" i="6"/>
  <c r="B8" i="6"/>
  <c r="B10" i="6"/>
  <c r="B9" i="6"/>
  <c r="B12" i="6"/>
  <c r="B11" i="6"/>
  <c r="W9" i="45"/>
  <c r="W12" i="45"/>
  <c r="J32" i="34"/>
  <c r="J33" i="34" s="1"/>
  <c r="J29" i="34"/>
  <c r="J35" i="34"/>
  <c r="V17" i="5"/>
  <c r="V13" i="5"/>
  <c r="V9" i="5"/>
  <c r="V5" i="5"/>
  <c r="V18" i="5"/>
  <c r="V14" i="5"/>
  <c r="V10" i="5"/>
  <c r="V6" i="5"/>
  <c r="V16" i="5"/>
  <c r="V15" i="5"/>
  <c r="V8" i="5"/>
  <c r="V20" i="5"/>
  <c r="V19" i="5"/>
  <c r="V12" i="5"/>
  <c r="V11" i="5"/>
  <c r="V7" i="5"/>
  <c r="W29" i="43"/>
  <c r="W17" i="5"/>
  <c r="W13" i="5"/>
  <c r="W9" i="5"/>
  <c r="W5" i="5"/>
  <c r="W18" i="5"/>
  <c r="W14" i="5"/>
  <c r="W10" i="5"/>
  <c r="W6" i="5"/>
  <c r="W19" i="5"/>
  <c r="W15" i="5"/>
  <c r="W11" i="5"/>
  <c r="W7" i="5"/>
  <c r="W8" i="5"/>
  <c r="W20" i="5"/>
  <c r="W12" i="5"/>
  <c r="W16" i="5"/>
  <c r="J30" i="35"/>
  <c r="J24" i="35"/>
  <c r="J27" i="35"/>
  <c r="F31" i="24"/>
  <c r="F25" i="24"/>
  <c r="F24" i="24" s="1"/>
  <c r="W27" i="43"/>
  <c r="F31" i="23"/>
  <c r="F25" i="23"/>
  <c r="F24" i="23" s="1"/>
  <c r="J32" i="23"/>
  <c r="J33" i="23" s="1"/>
  <c r="J29" i="23"/>
  <c r="J35" i="23"/>
  <c r="S19" i="5"/>
  <c r="S15" i="5"/>
  <c r="S11" i="5"/>
  <c r="S7" i="5"/>
  <c r="S20" i="5"/>
  <c r="S16" i="5"/>
  <c r="S12" i="5"/>
  <c r="S8" i="5"/>
  <c r="S17" i="5"/>
  <c r="S13" i="5"/>
  <c r="S9" i="5"/>
  <c r="S5" i="5"/>
  <c r="S6" i="5"/>
  <c r="S18" i="5"/>
  <c r="S14" i="5"/>
  <c r="S10" i="5"/>
  <c r="F31" i="30"/>
  <c r="F25" i="30"/>
  <c r="F24" i="30" s="1"/>
  <c r="J35" i="30"/>
  <c r="J32" i="30"/>
  <c r="J33" i="30" s="1"/>
  <c r="J29" i="30"/>
  <c r="R2" i="21"/>
  <c r="R3" i="2"/>
  <c r="R2" i="2" s="1"/>
  <c r="W10" i="43"/>
  <c r="Y18" i="5"/>
  <c r="Y14" i="5"/>
  <c r="Y10" i="5"/>
  <c r="Y6" i="5"/>
  <c r="Y19" i="5"/>
  <c r="Y15" i="5"/>
  <c r="Y11" i="5"/>
  <c r="Y7" i="5"/>
  <c r="Y20" i="5"/>
  <c r="Y16" i="5"/>
  <c r="Y12" i="5"/>
  <c r="Y8" i="5"/>
  <c r="Y13" i="5"/>
  <c r="Y5" i="5"/>
  <c r="Y17" i="5"/>
  <c r="Y9" i="5"/>
  <c r="W33" i="43"/>
  <c r="J25" i="28"/>
  <c r="J42" i="28"/>
  <c r="J43" i="28" s="1"/>
  <c r="J39" i="28"/>
  <c r="W20" i="43"/>
  <c r="W35" i="45"/>
  <c r="W15" i="45"/>
  <c r="C17" i="13"/>
  <c r="C13" i="13"/>
  <c r="C9" i="13"/>
  <c r="C5" i="13"/>
  <c r="C8" i="13"/>
  <c r="C12" i="13"/>
  <c r="C16" i="13"/>
  <c r="C20" i="13"/>
  <c r="C7" i="13"/>
  <c r="C18" i="13"/>
  <c r="C6" i="13"/>
  <c r="C11" i="13"/>
  <c r="C10" i="13"/>
  <c r="C15" i="13"/>
  <c r="C14" i="13"/>
  <c r="C19" i="13"/>
  <c r="J40" i="32"/>
  <c r="J37" i="32"/>
  <c r="J38" i="32" s="1"/>
  <c r="J34" i="32"/>
  <c r="U20" i="5"/>
  <c r="U16" i="5"/>
  <c r="U12" i="5"/>
  <c r="U8" i="5"/>
  <c r="U17" i="5"/>
  <c r="U13" i="5"/>
  <c r="U9" i="5"/>
  <c r="U5" i="5"/>
  <c r="U18" i="5"/>
  <c r="U14" i="5"/>
  <c r="U10" i="5"/>
  <c r="U6" i="5"/>
  <c r="U11" i="5"/>
  <c r="U15" i="5"/>
  <c r="U7" i="5"/>
  <c r="U19" i="5"/>
  <c r="J39" i="31"/>
  <c r="J42" i="31"/>
  <c r="J43" i="31" s="1"/>
  <c r="C18" i="10"/>
  <c r="C14" i="10"/>
  <c r="C6" i="10"/>
  <c r="C10" i="10"/>
  <c r="C13" i="10"/>
  <c r="C16" i="10"/>
  <c r="C15" i="10"/>
  <c r="C9" i="10"/>
  <c r="C12" i="10"/>
  <c r="C11" i="10"/>
  <c r="C5" i="10"/>
  <c r="C8" i="10"/>
  <c r="C7" i="10"/>
  <c r="C17" i="10"/>
  <c r="C20" i="10"/>
  <c r="C19" i="10"/>
  <c r="J27" i="36"/>
  <c r="J24" i="36"/>
  <c r="J30" i="36"/>
  <c r="J26" i="36"/>
  <c r="J41" i="36"/>
  <c r="J36" i="36"/>
  <c r="J28" i="36"/>
  <c r="J29" i="36"/>
  <c r="J35" i="36"/>
  <c r="J32" i="36"/>
  <c r="J33" i="36" s="1"/>
  <c r="J40" i="24"/>
  <c r="J37" i="24"/>
  <c r="J38" i="24" s="1"/>
  <c r="J34" i="24"/>
  <c r="J36" i="34"/>
  <c r="J41" i="34"/>
  <c r="J26" i="34"/>
  <c r="J28" i="34"/>
  <c r="F30" i="34"/>
  <c r="F31" i="25"/>
  <c r="F25" i="25"/>
  <c r="F24" i="25" s="1"/>
  <c r="J25" i="25"/>
  <c r="J41" i="25"/>
  <c r="J28" i="25"/>
  <c r="J26" i="25"/>
  <c r="J36" i="25"/>
  <c r="C6" i="7"/>
  <c r="C5" i="7"/>
  <c r="C17" i="7"/>
  <c r="C9" i="7"/>
  <c r="C13" i="7"/>
  <c r="C8" i="7"/>
  <c r="C7" i="7"/>
  <c r="C20" i="7"/>
  <c r="C19" i="7"/>
  <c r="C18" i="7"/>
  <c r="C16" i="7"/>
  <c r="C15" i="7"/>
  <c r="C14" i="7"/>
  <c r="C12" i="7"/>
  <c r="C11" i="7"/>
  <c r="C10" i="7"/>
  <c r="F31" i="29"/>
  <c r="F25" i="29"/>
  <c r="F24" i="29" s="1"/>
  <c r="F30" i="27"/>
  <c r="J34" i="34"/>
  <c r="J40" i="34"/>
  <c r="J37" i="34"/>
  <c r="J38" i="34" s="1"/>
  <c r="W24" i="45"/>
  <c r="W8" i="45"/>
  <c r="B19" i="14"/>
  <c r="B15" i="14"/>
  <c r="B11" i="14"/>
  <c r="B7" i="14"/>
  <c r="B17" i="14"/>
  <c r="B13" i="14"/>
  <c r="B9" i="14"/>
  <c r="B5" i="14"/>
  <c r="B16" i="14"/>
  <c r="B12" i="14"/>
  <c r="B8" i="14"/>
  <c r="B20" i="14"/>
  <c r="B18" i="14"/>
  <c r="B6" i="14"/>
  <c r="B10" i="14"/>
  <c r="B14" i="14"/>
  <c r="W30" i="45"/>
  <c r="W28" i="43"/>
  <c r="W14" i="43"/>
  <c r="AA19" i="5"/>
  <c r="AA15" i="5"/>
  <c r="AA11" i="5"/>
  <c r="AA7" i="5"/>
  <c r="AA20" i="5"/>
  <c r="AA16" i="5"/>
  <c r="AA12" i="5"/>
  <c r="AA8" i="5"/>
  <c r="AA17" i="5"/>
  <c r="AA13" i="5"/>
  <c r="AA9" i="5"/>
  <c r="AA5" i="5"/>
  <c r="AA10" i="5"/>
  <c r="AA14" i="5"/>
  <c r="AA6" i="5"/>
  <c r="AA18" i="5"/>
  <c r="J28" i="33"/>
  <c r="J36" i="33"/>
  <c r="J41" i="33"/>
  <c r="J26" i="33"/>
  <c r="J30" i="33"/>
  <c r="J24" i="33"/>
  <c r="J27" i="33"/>
  <c r="F30" i="33"/>
  <c r="J25" i="22"/>
  <c r="J39" i="22"/>
  <c r="J42" i="22"/>
  <c r="J43" i="22" s="1"/>
  <c r="F30" i="22"/>
  <c r="W30" i="43"/>
  <c r="C14" i="12"/>
  <c r="C10" i="12"/>
  <c r="C18" i="12"/>
  <c r="C6" i="12"/>
  <c r="C8" i="12"/>
  <c r="C7" i="12"/>
  <c r="C17" i="12"/>
  <c r="C13" i="12"/>
  <c r="C9" i="12"/>
  <c r="C11" i="12"/>
  <c r="C5" i="12"/>
  <c r="C20" i="12"/>
  <c r="C19" i="12"/>
  <c r="C12" i="12"/>
  <c r="C16" i="12"/>
  <c r="C15" i="12"/>
  <c r="W29" i="45"/>
  <c r="W23" i="43"/>
  <c r="W22" i="43"/>
  <c r="J25" i="29"/>
  <c r="J26" i="29"/>
  <c r="J36" i="29"/>
  <c r="J41" i="29"/>
  <c r="J28" i="29"/>
  <c r="F30" i="29"/>
  <c r="C6" i="16"/>
  <c r="C10" i="16"/>
  <c r="C7" i="16"/>
  <c r="C14" i="16"/>
  <c r="C11" i="16"/>
  <c r="C18" i="16"/>
  <c r="C15" i="16"/>
  <c r="C8" i="16"/>
  <c r="C5" i="16"/>
  <c r="C19" i="16"/>
  <c r="C12" i="16"/>
  <c r="C9" i="16"/>
  <c r="C16" i="16"/>
  <c r="C17" i="16"/>
  <c r="C13" i="16"/>
  <c r="C20" i="16"/>
  <c r="J39" i="32"/>
  <c r="J42" i="32"/>
  <c r="J43" i="32" s="1"/>
  <c r="J28" i="32"/>
  <c r="J41" i="32"/>
  <c r="J26" i="32"/>
  <c r="J36" i="32"/>
  <c r="J27" i="32"/>
  <c r="J30" i="32"/>
  <c r="J24" i="32"/>
  <c r="C9" i="15"/>
  <c r="J10" i="15" s="1"/>
  <c r="C5" i="15"/>
  <c r="F5" i="15" s="1"/>
  <c r="C20" i="15"/>
  <c r="U6" i="15" s="1"/>
  <c r="C16" i="15"/>
  <c r="Q10" i="15" s="1"/>
  <c r="C12" i="15"/>
  <c r="M10" i="15" s="1"/>
  <c r="C8" i="15"/>
  <c r="I10" i="15" s="1"/>
  <c r="C19" i="15"/>
  <c r="T17" i="15" s="1"/>
  <c r="C15" i="15"/>
  <c r="P13" i="15" s="1"/>
  <c r="C11" i="15"/>
  <c r="L13" i="15" s="1"/>
  <c r="C7" i="15"/>
  <c r="H13" i="15" s="1"/>
  <c r="C6" i="15"/>
  <c r="G13" i="15" s="1"/>
  <c r="C10" i="15"/>
  <c r="K4" i="15" s="1"/>
  <c r="C14" i="15"/>
  <c r="O17" i="15" s="1"/>
  <c r="C13" i="15"/>
  <c r="N5" i="15" s="1"/>
  <c r="C18" i="15"/>
  <c r="S13" i="15" s="1"/>
  <c r="C17" i="15"/>
  <c r="R5" i="15" s="1"/>
  <c r="K19" i="5"/>
  <c r="K15" i="5"/>
  <c r="K11" i="5"/>
  <c r="K7" i="5"/>
  <c r="K20" i="5"/>
  <c r="K16" i="5"/>
  <c r="K12" i="5"/>
  <c r="K8" i="5"/>
  <c r="K17" i="5"/>
  <c r="K13" i="5"/>
  <c r="K9" i="5"/>
  <c r="K5" i="5"/>
  <c r="K14" i="5"/>
  <c r="K18" i="5"/>
  <c r="K10" i="5"/>
  <c r="K6" i="5"/>
  <c r="J41" i="26"/>
  <c r="J28" i="26"/>
  <c r="J26" i="26"/>
  <c r="J36" i="26"/>
  <c r="J24" i="26"/>
  <c r="J27" i="26"/>
  <c r="J30" i="26"/>
  <c r="J34" i="27"/>
  <c r="J40" i="27"/>
  <c r="J37" i="27"/>
  <c r="J38" i="27" s="1"/>
  <c r="AE17" i="5"/>
  <c r="AE13" i="5"/>
  <c r="AE9" i="5"/>
  <c r="AE5" i="5"/>
  <c r="AE18" i="5"/>
  <c r="AE14" i="5"/>
  <c r="AE10" i="5"/>
  <c r="AE6" i="5"/>
  <c r="AE19" i="5"/>
  <c r="AE15" i="5"/>
  <c r="AE11" i="5"/>
  <c r="AE7" i="5"/>
  <c r="AE12" i="5"/>
  <c r="AE20" i="5"/>
  <c r="AE8" i="5"/>
  <c r="AE16" i="5"/>
  <c r="F31" i="34"/>
  <c r="F25" i="34"/>
  <c r="F24" i="34" s="1"/>
  <c r="J32" i="25"/>
  <c r="J33" i="25" s="1"/>
  <c r="J29" i="25"/>
  <c r="J35" i="25"/>
  <c r="J34" i="25"/>
  <c r="J40" i="25"/>
  <c r="J37" i="25"/>
  <c r="J38" i="25" s="1"/>
  <c r="J42" i="25"/>
  <c r="J43" i="25" s="1"/>
  <c r="J39" i="25"/>
  <c r="J24" i="25"/>
  <c r="J27" i="25"/>
  <c r="J30" i="25"/>
  <c r="H6" i="4"/>
  <c r="F31" i="22"/>
  <c r="F25" i="22"/>
  <c r="F24" i="22" s="1"/>
  <c r="J30" i="27"/>
  <c r="J24" i="27"/>
  <c r="J27" i="27"/>
  <c r="F30" i="23"/>
  <c r="J27" i="30"/>
  <c r="J30" i="30"/>
  <c r="J24" i="30"/>
  <c r="C17" i="6"/>
  <c r="C20" i="6"/>
  <c r="C15" i="6"/>
  <c r="C13" i="6"/>
  <c r="C16" i="6"/>
  <c r="C9" i="6"/>
  <c r="C12" i="6"/>
  <c r="C6" i="6"/>
  <c r="C5" i="6"/>
  <c r="C8" i="6"/>
  <c r="C7" i="6"/>
  <c r="C18" i="6"/>
  <c r="C10" i="6"/>
  <c r="C11" i="6"/>
  <c r="C19" i="6"/>
  <c r="C14" i="6"/>
  <c r="F30" i="32"/>
  <c r="H10" i="4"/>
  <c r="F30" i="28"/>
  <c r="W25" i="43"/>
  <c r="W34" i="43"/>
  <c r="J37" i="29"/>
  <c r="J38" i="29" s="1"/>
  <c r="J34" i="29"/>
  <c r="J40" i="29"/>
  <c r="J42" i="29"/>
  <c r="J43" i="29" s="1"/>
  <c r="J39" i="29"/>
  <c r="J30" i="29"/>
  <c r="J24" i="29"/>
  <c r="J27" i="29"/>
  <c r="J28" i="31"/>
  <c r="J26" i="31"/>
  <c r="J36" i="31"/>
  <c r="J41" i="31"/>
  <c r="J27" i="31"/>
  <c r="J30" i="31"/>
  <c r="J24" i="31"/>
  <c r="AB20" i="5"/>
  <c r="AB16" i="5"/>
  <c r="AB12" i="5"/>
  <c r="AB8" i="5"/>
  <c r="AB17" i="5"/>
  <c r="AB13" i="5"/>
  <c r="AB9" i="5"/>
  <c r="AB5" i="5"/>
  <c r="AB10" i="5"/>
  <c r="AB15" i="5"/>
  <c r="AB14" i="5"/>
  <c r="AB7" i="5"/>
  <c r="AB6" i="5"/>
  <c r="AB18" i="5"/>
  <c r="AB11" i="5"/>
  <c r="AB19" i="5"/>
  <c r="F31" i="35"/>
  <c r="F25" i="35"/>
  <c r="F24" i="35" s="1"/>
  <c r="F30" i="35"/>
  <c r="C17" i="8"/>
  <c r="C13" i="8"/>
  <c r="C9" i="8"/>
  <c r="C5" i="8"/>
  <c r="C16" i="8"/>
  <c r="C12" i="8"/>
  <c r="C8" i="8"/>
  <c r="C20" i="8"/>
  <c r="C14" i="8"/>
  <c r="C11" i="8"/>
  <c r="C18" i="8"/>
  <c r="C15" i="8"/>
  <c r="C19" i="8"/>
  <c r="C7" i="8"/>
  <c r="C6" i="8"/>
  <c r="C10" i="8"/>
  <c r="J25" i="24"/>
  <c r="J39" i="24"/>
  <c r="J42" i="24"/>
  <c r="J43" i="24" s="1"/>
  <c r="AC20" i="5"/>
  <c r="AC16" i="5"/>
  <c r="AC12" i="5"/>
  <c r="AC8" i="5"/>
  <c r="AC17" i="5"/>
  <c r="AC13" i="5"/>
  <c r="AC9" i="5"/>
  <c r="AC5" i="5"/>
  <c r="AC18" i="5"/>
  <c r="AC14" i="5"/>
  <c r="AC10" i="5"/>
  <c r="AC6" i="5"/>
  <c r="AC15" i="5"/>
  <c r="AC7" i="5"/>
  <c r="AC19" i="5"/>
  <c r="AC11" i="5"/>
  <c r="H18" i="5"/>
  <c r="H14" i="5"/>
  <c r="H10" i="5"/>
  <c r="H6" i="5"/>
  <c r="H19" i="5"/>
  <c r="H15" i="5"/>
  <c r="H11" i="5"/>
  <c r="H7" i="5"/>
  <c r="H12" i="5"/>
  <c r="H5" i="5"/>
  <c r="H17" i="5"/>
  <c r="H13" i="5"/>
  <c r="H9" i="5"/>
  <c r="H20" i="5"/>
  <c r="H8" i="5"/>
  <c r="H16" i="5"/>
  <c r="B19" i="10"/>
  <c r="B11" i="10"/>
  <c r="B15" i="10"/>
  <c r="B18" i="10"/>
  <c r="B17" i="10"/>
  <c r="B20" i="10"/>
  <c r="B7" i="10"/>
  <c r="B14" i="10"/>
  <c r="B13" i="10"/>
  <c r="B16" i="10"/>
  <c r="B10" i="10"/>
  <c r="B9" i="10"/>
  <c r="B12" i="10"/>
  <c r="B6" i="10"/>
  <c r="B5" i="10"/>
  <c r="B8" i="10"/>
  <c r="J40" i="33"/>
  <c r="J34" i="33"/>
  <c r="J37" i="33"/>
  <c r="J38" i="33" s="1"/>
  <c r="J35" i="22"/>
  <c r="J32" i="22"/>
  <c r="J33" i="22" s="1"/>
  <c r="J29" i="22"/>
  <c r="M20" i="5"/>
  <c r="M16" i="5"/>
  <c r="M12" i="5"/>
  <c r="M8" i="5"/>
  <c r="M17" i="5"/>
  <c r="M13" i="5"/>
  <c r="M9" i="5"/>
  <c r="M5" i="5"/>
  <c r="M18" i="5"/>
  <c r="M14" i="5"/>
  <c r="M10" i="5"/>
  <c r="M6" i="5"/>
  <c r="M7" i="5"/>
  <c r="M19" i="5"/>
  <c r="M11" i="5"/>
  <c r="M15" i="5"/>
  <c r="J41" i="27"/>
  <c r="J28" i="27"/>
  <c r="J36" i="27"/>
  <c r="J26" i="27"/>
  <c r="J42" i="35"/>
  <c r="J43" i="35" s="1"/>
  <c r="J39" i="35"/>
  <c r="AD17" i="5"/>
  <c r="AD13" i="5"/>
  <c r="AD9" i="5"/>
  <c r="AD5" i="5"/>
  <c r="AD18" i="5"/>
  <c r="AD14" i="5"/>
  <c r="AD10" i="5"/>
  <c r="AD6" i="5"/>
  <c r="AD20" i="5"/>
  <c r="AD7" i="5"/>
  <c r="AD19" i="5"/>
  <c r="AD12" i="5"/>
  <c r="AD16" i="5"/>
  <c r="AD8" i="5"/>
  <c r="AD11" i="5"/>
  <c r="AD15" i="5"/>
  <c r="W15" i="43"/>
  <c r="K14" i="15"/>
  <c r="J34" i="28"/>
  <c r="J40" i="28"/>
  <c r="J37" i="28"/>
  <c r="J38" i="28" s="1"/>
  <c r="F17" i="5"/>
  <c r="F13" i="5"/>
  <c r="F9" i="5"/>
  <c r="F5" i="5"/>
  <c r="F18" i="5"/>
  <c r="F14" i="5"/>
  <c r="F10" i="5"/>
  <c r="F6" i="5"/>
  <c r="F15" i="5"/>
  <c r="F8" i="5"/>
  <c r="F20" i="5"/>
  <c r="F7" i="5"/>
  <c r="F19" i="5"/>
  <c r="F12" i="5"/>
  <c r="F11" i="5"/>
  <c r="F16" i="5"/>
  <c r="W11" i="45"/>
  <c r="Q3" i="15"/>
  <c r="K3" i="15"/>
  <c r="J36" i="28"/>
  <c r="J41" i="28"/>
  <c r="J28" i="28"/>
  <c r="J26" i="28"/>
  <c r="R19" i="5"/>
  <c r="R15" i="5"/>
  <c r="R11" i="5"/>
  <c r="R7" i="5"/>
  <c r="R20" i="5"/>
  <c r="R16" i="5"/>
  <c r="R12" i="5"/>
  <c r="R8" i="5"/>
  <c r="R14" i="5"/>
  <c r="R13" i="5"/>
  <c r="R6" i="5"/>
  <c r="R18" i="5"/>
  <c r="R17" i="5"/>
  <c r="R10" i="5"/>
  <c r="R9" i="5"/>
  <c r="R5" i="5"/>
  <c r="W7" i="45"/>
  <c r="Q16" i="15"/>
  <c r="Q7" i="15"/>
  <c r="K7" i="15"/>
  <c r="W18" i="45"/>
  <c r="F25" i="33"/>
  <c r="F24" i="33" s="1"/>
  <c r="F31" i="33"/>
  <c r="J35" i="33"/>
  <c r="J32" i="33"/>
  <c r="J33" i="33" s="1"/>
  <c r="J29" i="33"/>
  <c r="W32" i="45"/>
  <c r="J28" i="22"/>
  <c r="J26" i="22"/>
  <c r="J36" i="22"/>
  <c r="J41" i="22"/>
  <c r="J27" i="22"/>
  <c r="J30" i="22"/>
  <c r="J24" i="22"/>
  <c r="W6" i="45"/>
  <c r="W9" i="43"/>
  <c r="W23" i="45"/>
  <c r="W33" i="45"/>
  <c r="F25" i="32"/>
  <c r="F24" i="32" s="1"/>
  <c r="F31" i="32"/>
  <c r="J35" i="32"/>
  <c r="J32" i="32"/>
  <c r="J33" i="32" s="1"/>
  <c r="J29" i="32"/>
  <c r="H3" i="4"/>
  <c r="H7" i="4"/>
  <c r="F31" i="26"/>
  <c r="F25" i="26"/>
  <c r="F24" i="26" s="1"/>
  <c r="J32" i="26"/>
  <c r="J33" i="26" s="1"/>
  <c r="J29" i="26"/>
  <c r="J35" i="26"/>
  <c r="H13" i="4"/>
  <c r="J37" i="36"/>
  <c r="J38" i="36" s="1"/>
  <c r="J34" i="36"/>
  <c r="J40" i="36"/>
  <c r="B12" i="19"/>
  <c r="B9" i="19"/>
  <c r="B6" i="19"/>
  <c r="B16" i="19"/>
  <c r="B19" i="19"/>
  <c r="B8" i="19"/>
  <c r="B14" i="19"/>
  <c r="B15" i="19"/>
  <c r="B17" i="19"/>
  <c r="B11" i="19"/>
  <c r="B7" i="19"/>
  <c r="B20" i="19"/>
  <c r="B5" i="19"/>
  <c r="B13" i="19"/>
  <c r="B18" i="19"/>
  <c r="B10" i="19"/>
  <c r="J25" i="27"/>
  <c r="J42" i="27"/>
  <c r="J43" i="27" s="1"/>
  <c r="J39" i="27"/>
  <c r="C9" i="19"/>
  <c r="C6" i="19"/>
  <c r="C13" i="19"/>
  <c r="C10" i="19"/>
  <c r="C18" i="19"/>
  <c r="C19" i="19"/>
  <c r="C20" i="19"/>
  <c r="C11" i="19"/>
  <c r="C16" i="19"/>
  <c r="C15" i="19"/>
  <c r="C14" i="19"/>
  <c r="C7" i="19"/>
  <c r="C12" i="19"/>
  <c r="C17" i="19"/>
  <c r="C8" i="19"/>
  <c r="C5" i="19"/>
  <c r="J25" i="35"/>
  <c r="G17" i="5"/>
  <c r="G13" i="5"/>
  <c r="G9" i="5"/>
  <c r="G5" i="5"/>
  <c r="G18" i="5"/>
  <c r="G14" i="5"/>
  <c r="G10" i="5"/>
  <c r="G6" i="5"/>
  <c r="G19" i="5"/>
  <c r="G15" i="5"/>
  <c r="G11" i="5"/>
  <c r="G7" i="5"/>
  <c r="G20" i="5"/>
  <c r="G12" i="5"/>
  <c r="G16" i="5"/>
  <c r="G8" i="5"/>
  <c r="C12" i="18"/>
  <c r="M3" i="18" s="1"/>
  <c r="C6" i="18"/>
  <c r="G5" i="18" s="1"/>
  <c r="C16" i="18"/>
  <c r="Q17" i="18" s="1"/>
  <c r="C17" i="18"/>
  <c r="R8" i="18" s="1"/>
  <c r="C13" i="18"/>
  <c r="N13" i="18" s="1"/>
  <c r="C15" i="18"/>
  <c r="P11" i="18" s="1"/>
  <c r="C9" i="18"/>
  <c r="J11" i="18" s="1"/>
  <c r="C18" i="18"/>
  <c r="S14" i="18" s="1"/>
  <c r="C8" i="18"/>
  <c r="I9" i="18" s="1"/>
  <c r="C11" i="18"/>
  <c r="L6" i="18" s="1"/>
  <c r="C7" i="18"/>
  <c r="H2" i="18" s="1"/>
  <c r="C5" i="18"/>
  <c r="F2" i="18" s="1"/>
  <c r="C14" i="18"/>
  <c r="O11" i="18" s="1"/>
  <c r="C20" i="18"/>
  <c r="U16" i="18" s="1"/>
  <c r="C10" i="18"/>
  <c r="K5" i="18" s="1"/>
  <c r="C19" i="18"/>
  <c r="T11" i="18" s="1"/>
  <c r="B15" i="9"/>
  <c r="B11" i="9"/>
  <c r="B7" i="9"/>
  <c r="B17" i="9"/>
  <c r="B13" i="9"/>
  <c r="B9" i="9"/>
  <c r="B5" i="9"/>
  <c r="B8" i="9"/>
  <c r="B20" i="9"/>
  <c r="B12" i="9"/>
  <c r="B16" i="9"/>
  <c r="B19" i="9"/>
  <c r="B6" i="9"/>
  <c r="B10" i="9"/>
  <c r="B14" i="9"/>
  <c r="B18" i="9"/>
  <c r="J19" i="5"/>
  <c r="J15" i="5"/>
  <c r="J11" i="5"/>
  <c r="J7" i="5"/>
  <c r="J20" i="5"/>
  <c r="J16" i="5"/>
  <c r="J12" i="5"/>
  <c r="J8" i="5"/>
  <c r="J17" i="5"/>
  <c r="J10" i="5"/>
  <c r="J9" i="5"/>
  <c r="J14" i="5"/>
  <c r="J13" i="5"/>
  <c r="J6" i="5"/>
  <c r="J18" i="5"/>
  <c r="J5" i="5"/>
  <c r="W6" i="43"/>
  <c r="W7" i="43"/>
  <c r="W11" i="43"/>
  <c r="D20" i="5"/>
  <c r="D16" i="5"/>
  <c r="D12" i="5"/>
  <c r="D8" i="5"/>
  <c r="D17" i="5"/>
  <c r="D13" i="5"/>
  <c r="D9" i="5"/>
  <c r="D5" i="5"/>
  <c r="D10" i="5"/>
  <c r="D15" i="5"/>
  <c r="D19" i="5"/>
  <c r="D18" i="5"/>
  <c r="D11" i="5"/>
  <c r="D7" i="5"/>
  <c r="D6" i="5"/>
  <c r="D14" i="5"/>
  <c r="J40" i="26"/>
  <c r="J37" i="26"/>
  <c r="J38" i="26" s="1"/>
  <c r="J34" i="26"/>
  <c r="B18" i="17"/>
  <c r="B14" i="17"/>
  <c r="B10" i="17"/>
  <c r="B6" i="17"/>
  <c r="B9" i="17"/>
  <c r="B5" i="17"/>
  <c r="B13" i="17"/>
  <c r="B17" i="17"/>
  <c r="B11" i="17"/>
  <c r="B12" i="17"/>
  <c r="B20" i="17"/>
  <c r="B15" i="17"/>
  <c r="B16" i="17"/>
  <c r="B19" i="17"/>
  <c r="B8" i="17"/>
  <c r="B7" i="17"/>
  <c r="H2" i="4"/>
  <c r="J27" i="23"/>
  <c r="J30" i="23"/>
  <c r="J24" i="23"/>
  <c r="W28" i="45"/>
  <c r="B19" i="12"/>
  <c r="B11" i="12"/>
  <c r="B10" i="12"/>
  <c r="B6" i="12"/>
  <c r="B5" i="12"/>
  <c r="B7" i="12"/>
  <c r="B18" i="12"/>
  <c r="B20" i="12"/>
  <c r="B17" i="12"/>
  <c r="B16" i="12"/>
  <c r="B13" i="12"/>
  <c r="B12" i="12"/>
  <c r="B9" i="12"/>
  <c r="B8" i="12"/>
  <c r="B14" i="12"/>
  <c r="B15" i="12"/>
  <c r="J35" i="29"/>
  <c r="J32" i="29"/>
  <c r="J33" i="29" s="1"/>
  <c r="J29" i="29"/>
  <c r="J40" i="23"/>
  <c r="J37" i="23"/>
  <c r="J38" i="23" s="1"/>
  <c r="J34" i="23"/>
  <c r="F30" i="30"/>
  <c r="K8" i="15"/>
  <c r="Q8" i="15"/>
  <c r="W31" i="45"/>
  <c r="C17" i="17"/>
  <c r="C13" i="17"/>
  <c r="C9" i="17"/>
  <c r="C5" i="17"/>
  <c r="C8" i="17"/>
  <c r="C18" i="17"/>
  <c r="C11" i="17"/>
  <c r="C12" i="17"/>
  <c r="C15" i="17"/>
  <c r="C16" i="17"/>
  <c r="C19" i="17"/>
  <c r="C20" i="17"/>
  <c r="C6" i="17"/>
  <c r="C14" i="17"/>
  <c r="C10" i="17"/>
  <c r="C7" i="17"/>
  <c r="J30" i="28"/>
  <c r="J24" i="28"/>
  <c r="J27" i="28"/>
  <c r="W10" i="45"/>
  <c r="E20" i="5"/>
  <c r="E16" i="5"/>
  <c r="E12" i="5"/>
  <c r="E8" i="5"/>
  <c r="E17" i="5"/>
  <c r="E13" i="5"/>
  <c r="E9" i="5"/>
  <c r="E5" i="5"/>
  <c r="E18" i="5"/>
  <c r="E14" i="5"/>
  <c r="E10" i="5"/>
  <c r="E6" i="5"/>
  <c r="E15" i="5"/>
  <c r="E7" i="5"/>
  <c r="E11" i="5"/>
  <c r="E19" i="5"/>
  <c r="J25" i="23"/>
  <c r="J39" i="23"/>
  <c r="J42" i="23"/>
  <c r="J43" i="23" s="1"/>
  <c r="W13" i="45"/>
  <c r="J39" i="30"/>
  <c r="J42" i="30"/>
  <c r="J43" i="30" s="1"/>
  <c r="J37" i="30"/>
  <c r="J38" i="30" s="1"/>
  <c r="J40" i="30"/>
  <c r="J34" i="30"/>
  <c r="J25" i="30"/>
  <c r="W21" i="43"/>
  <c r="K12" i="15"/>
  <c r="Q12" i="15"/>
  <c r="Q11" i="15"/>
  <c r="K11" i="15"/>
  <c r="W25" i="45"/>
  <c r="W26" i="43"/>
  <c r="F25" i="28"/>
  <c r="F24" i="28" s="1"/>
  <c r="F31" i="28"/>
  <c r="J35" i="28"/>
  <c r="J32" i="28"/>
  <c r="J33" i="28" s="1"/>
  <c r="J29" i="28"/>
  <c r="W17" i="45"/>
  <c r="W26" i="45"/>
  <c r="W14" i="45"/>
  <c r="W8" i="43"/>
  <c r="B14" i="7"/>
  <c r="B18" i="7"/>
  <c r="B17" i="7"/>
  <c r="B20" i="7"/>
  <c r="B19" i="7"/>
  <c r="B6" i="7"/>
  <c r="B13" i="7"/>
  <c r="B16" i="7"/>
  <c r="B15" i="7"/>
  <c r="B10" i="7"/>
  <c r="B9" i="7"/>
  <c r="B12" i="7"/>
  <c r="B11" i="7"/>
  <c r="B5" i="7"/>
  <c r="B8" i="7"/>
  <c r="B7" i="7"/>
  <c r="F31" i="31"/>
  <c r="F25" i="31"/>
  <c r="F24" i="31" s="1"/>
  <c r="J32" i="31"/>
  <c r="J33" i="31" s="1"/>
  <c r="J29" i="31"/>
  <c r="J35" i="31"/>
  <c r="B6" i="11"/>
  <c r="B18" i="11"/>
  <c r="B11" i="11"/>
  <c r="B19" i="11"/>
  <c r="B10" i="11"/>
  <c r="B7" i="11"/>
  <c r="B17" i="11"/>
  <c r="B12" i="11"/>
  <c r="B5" i="11"/>
  <c r="B13" i="11"/>
  <c r="B20" i="11"/>
  <c r="B9" i="11"/>
  <c r="B16" i="11"/>
  <c r="B14" i="11"/>
  <c r="B8" i="11"/>
  <c r="B15" i="11"/>
  <c r="X18" i="5"/>
  <c r="X14" i="5"/>
  <c r="X10" i="5"/>
  <c r="X6" i="5"/>
  <c r="X19" i="5"/>
  <c r="X15" i="5"/>
  <c r="X11" i="5"/>
  <c r="X7" i="5"/>
  <c r="X8" i="5"/>
  <c r="X20" i="5"/>
  <c r="X13" i="5"/>
  <c r="X12" i="5"/>
  <c r="X5" i="5"/>
  <c r="X16" i="5"/>
  <c r="X17" i="5"/>
  <c r="X9" i="5"/>
  <c r="J42" i="36"/>
  <c r="J43" i="36" s="1"/>
  <c r="J39" i="36"/>
  <c r="J35" i="35"/>
  <c r="J32" i="35"/>
  <c r="J33" i="35" s="1"/>
  <c r="J29" i="35"/>
  <c r="J41" i="35"/>
  <c r="J26" i="35"/>
  <c r="J36" i="35"/>
  <c r="J28" i="35"/>
  <c r="J41" i="24"/>
  <c r="J28" i="24"/>
  <c r="J26" i="24"/>
  <c r="J36" i="24"/>
  <c r="J24" i="24"/>
  <c r="J27" i="24"/>
  <c r="J30" i="24"/>
  <c r="F30" i="24"/>
  <c r="J24" i="34"/>
  <c r="J30" i="34"/>
  <c r="J31" i="34" s="1"/>
  <c r="J27" i="34"/>
  <c r="F30" i="25"/>
  <c r="W16" i="43"/>
  <c r="S11" i="15" l="1"/>
  <c r="K16" i="15"/>
  <c r="Q9" i="15"/>
  <c r="K15" i="15"/>
  <c r="K9" i="15"/>
  <c r="Q14" i="15"/>
  <c r="Q15" i="15"/>
  <c r="I8" i="15"/>
  <c r="I3" i="15"/>
  <c r="N8" i="15"/>
  <c r="I12" i="15"/>
  <c r="J31" i="30"/>
  <c r="N12" i="15"/>
  <c r="N9" i="15"/>
  <c r="N11" i="15"/>
  <c r="N7" i="15"/>
  <c r="I11" i="15"/>
  <c r="I9" i="15"/>
  <c r="S9" i="15"/>
  <c r="S8" i="15"/>
  <c r="T8" i="15"/>
  <c r="T11" i="15"/>
  <c r="T12" i="15"/>
  <c r="M16" i="15"/>
  <c r="T9" i="15"/>
  <c r="S12" i="15"/>
  <c r="T3" i="15"/>
  <c r="G10" i="18"/>
  <c r="G16" i="18"/>
  <c r="I7" i="15"/>
  <c r="R9" i="15"/>
  <c r="F16" i="18"/>
  <c r="U16" i="15"/>
  <c r="F3" i="15"/>
  <c r="U14" i="15"/>
  <c r="R10" i="18"/>
  <c r="F11" i="15"/>
  <c r="G9" i="15"/>
  <c r="G3" i="15"/>
  <c r="U15" i="15"/>
  <c r="N10" i="18"/>
  <c r="N16" i="18"/>
  <c r="G14" i="15"/>
  <c r="U11" i="15"/>
  <c r="U7" i="15"/>
  <c r="I14" i="15"/>
  <c r="H16" i="18"/>
  <c r="L16" i="18"/>
  <c r="G11" i="15"/>
  <c r="U12" i="15"/>
  <c r="G7" i="15"/>
  <c r="N16" i="15"/>
  <c r="G15" i="15"/>
  <c r="U8" i="15"/>
  <c r="U3" i="15"/>
  <c r="P15" i="15"/>
  <c r="G12" i="15"/>
  <c r="G16" i="15"/>
  <c r="L10" i="18"/>
  <c r="P12" i="15"/>
  <c r="G8" i="15"/>
  <c r="U9" i="15"/>
  <c r="I16" i="15"/>
  <c r="N3" i="15"/>
  <c r="N14" i="15"/>
  <c r="H12" i="15"/>
  <c r="F8" i="15"/>
  <c r="H16" i="15"/>
  <c r="H8" i="15"/>
  <c r="F14" i="15"/>
  <c r="F15" i="15"/>
  <c r="H11" i="15"/>
  <c r="H9" i="15"/>
  <c r="H3" i="15"/>
  <c r="Z21" i="5" a="1"/>
  <c r="Z21" i="5" s="1"/>
  <c r="AA21" i="5" s="1"/>
  <c r="F12" i="15"/>
  <c r="F9" i="15"/>
  <c r="H7" i="15"/>
  <c r="F16" i="15"/>
  <c r="F7" i="15"/>
  <c r="J15" i="15"/>
  <c r="L9" i="18"/>
  <c r="H14" i="15"/>
  <c r="M10" i="18"/>
  <c r="Q9" i="18"/>
  <c r="P3" i="15"/>
  <c r="R14" i="15"/>
  <c r="N8" i="18"/>
  <c r="T21" i="5" a="1"/>
  <c r="T21" i="5" s="1"/>
  <c r="U21" i="5" s="1"/>
  <c r="G2" i="18"/>
  <c r="H5" i="18"/>
  <c r="S16" i="18"/>
  <c r="R11" i="15"/>
  <c r="P8" i="15"/>
  <c r="T7" i="15"/>
  <c r="P7" i="15"/>
  <c r="S16" i="15"/>
  <c r="P16" i="15"/>
  <c r="T15" i="15"/>
  <c r="H4" i="15"/>
  <c r="H10" i="18"/>
  <c r="M16" i="18"/>
  <c r="R12" i="15"/>
  <c r="P9" i="15"/>
  <c r="T16" i="15"/>
  <c r="S3" i="15"/>
  <c r="S14" i="15"/>
  <c r="R15" i="15"/>
  <c r="Q10" i="18"/>
  <c r="S10" i="18"/>
  <c r="S7" i="15"/>
  <c r="L7" i="18"/>
  <c r="R3" i="15"/>
  <c r="T14" i="15"/>
  <c r="S15" i="15"/>
  <c r="I16" i="18"/>
  <c r="T16" i="18"/>
  <c r="R7" i="15"/>
  <c r="R16" i="15"/>
  <c r="P14" i="15"/>
  <c r="T10" i="18"/>
  <c r="Q16" i="18"/>
  <c r="P11" i="15"/>
  <c r="R8" i="15"/>
  <c r="L4" i="18"/>
  <c r="S11" i="18"/>
  <c r="J31" i="22"/>
  <c r="O6" i="15"/>
  <c r="O16" i="18"/>
  <c r="O8" i="15"/>
  <c r="O9" i="18"/>
  <c r="G7" i="18"/>
  <c r="O14" i="15"/>
  <c r="I15" i="15"/>
  <c r="T14" i="18"/>
  <c r="J31" i="27"/>
  <c r="G8" i="18"/>
  <c r="H13" i="18"/>
  <c r="S6" i="15"/>
  <c r="R11" i="18"/>
  <c r="I13" i="15"/>
  <c r="O11" i="15"/>
  <c r="Q4" i="18"/>
  <c r="F9" i="18"/>
  <c r="H7" i="18"/>
  <c r="O3" i="15"/>
  <c r="M15" i="15"/>
  <c r="O14" i="18"/>
  <c r="U2" i="15"/>
  <c r="R13" i="18"/>
  <c r="M13" i="15"/>
  <c r="P5" i="15"/>
  <c r="O12" i="15"/>
  <c r="J31" i="23"/>
  <c r="I4" i="18"/>
  <c r="H21" i="5" a="1"/>
  <c r="H21" i="5" s="1"/>
  <c r="I21" i="5" s="1"/>
  <c r="H2" i="15"/>
  <c r="G6" i="18"/>
  <c r="G10" i="15"/>
  <c r="S5" i="15"/>
  <c r="M8" i="15"/>
  <c r="N4" i="18"/>
  <c r="O7" i="15"/>
  <c r="O7" i="18"/>
  <c r="N15" i="18"/>
  <c r="S2" i="15"/>
  <c r="T17" i="18"/>
  <c r="K10" i="15"/>
  <c r="M11" i="15"/>
  <c r="O16" i="15"/>
  <c r="N7" i="18"/>
  <c r="M3" i="15"/>
  <c r="N15" i="15"/>
  <c r="S4" i="15"/>
  <c r="R17" i="18"/>
  <c r="O10" i="18"/>
  <c r="M12" i="15"/>
  <c r="M9" i="15"/>
  <c r="G4" i="18"/>
  <c r="M14" i="15"/>
  <c r="H12" i="18"/>
  <c r="O4" i="15"/>
  <c r="Q17" i="15"/>
  <c r="G3" i="18"/>
  <c r="O9" i="15"/>
  <c r="O4" i="18"/>
  <c r="M7" i="15"/>
  <c r="O15" i="15"/>
  <c r="G12" i="18"/>
  <c r="U17" i="15"/>
  <c r="V21" i="5" a="1"/>
  <c r="V21" i="5" s="1"/>
  <c r="W21" i="5" s="1"/>
  <c r="L2" i="18"/>
  <c r="L3" i="18"/>
  <c r="T5" i="18"/>
  <c r="T11" i="9"/>
  <c r="L11" i="9"/>
  <c r="S11" i="9"/>
  <c r="K11" i="9"/>
  <c r="R11" i="9"/>
  <c r="J11" i="9"/>
  <c r="Q11" i="9"/>
  <c r="I11" i="9"/>
  <c r="P11" i="9"/>
  <c r="H11" i="9"/>
  <c r="O11" i="9"/>
  <c r="G11" i="9"/>
  <c r="N11" i="9"/>
  <c r="M11" i="9"/>
  <c r="F11" i="9"/>
  <c r="U11" i="9"/>
  <c r="N2" i="9"/>
  <c r="F2" i="9"/>
  <c r="U2" i="9"/>
  <c r="M2" i="9"/>
  <c r="T2" i="9"/>
  <c r="L2" i="9"/>
  <c r="S2" i="9"/>
  <c r="K2" i="9"/>
  <c r="R2" i="9"/>
  <c r="J2" i="9"/>
  <c r="Q2" i="9"/>
  <c r="I2" i="9"/>
  <c r="P2" i="9"/>
  <c r="O2" i="9"/>
  <c r="H2" i="9"/>
  <c r="G2" i="9"/>
  <c r="U4" i="19"/>
  <c r="M4" i="19"/>
  <c r="R4" i="19"/>
  <c r="J4" i="19"/>
  <c r="O4" i="19"/>
  <c r="N4" i="19"/>
  <c r="L4" i="19"/>
  <c r="K4" i="19"/>
  <c r="T4" i="19"/>
  <c r="I4" i="19"/>
  <c r="S4" i="19"/>
  <c r="H4" i="19"/>
  <c r="P4" i="19"/>
  <c r="F4" i="19"/>
  <c r="Q4" i="19"/>
  <c r="G4" i="19"/>
  <c r="O3" i="19"/>
  <c r="G3" i="19"/>
  <c r="T3" i="19"/>
  <c r="L3" i="19"/>
  <c r="K3" i="19"/>
  <c r="U3" i="19"/>
  <c r="J3" i="19"/>
  <c r="S3" i="19"/>
  <c r="I3" i="19"/>
  <c r="R3" i="19"/>
  <c r="H3" i="19"/>
  <c r="Q3" i="19"/>
  <c r="F3" i="19"/>
  <c r="P3" i="19"/>
  <c r="M3" i="19"/>
  <c r="N3" i="19"/>
  <c r="P4" i="18"/>
  <c r="K9" i="18"/>
  <c r="P7" i="18"/>
  <c r="M7" i="18"/>
  <c r="J3" i="15"/>
  <c r="J14" i="15"/>
  <c r="R7" i="10"/>
  <c r="J7" i="10"/>
  <c r="Q7" i="10"/>
  <c r="I7" i="10"/>
  <c r="P7" i="10"/>
  <c r="H7" i="10"/>
  <c r="O7" i="10"/>
  <c r="G7" i="10"/>
  <c r="N7" i="10"/>
  <c r="F7" i="10"/>
  <c r="U7" i="10"/>
  <c r="M7" i="10"/>
  <c r="K7" i="10"/>
  <c r="T7" i="10"/>
  <c r="S7" i="10"/>
  <c r="L7" i="10"/>
  <c r="P12" i="10"/>
  <c r="H12" i="10"/>
  <c r="O12" i="10"/>
  <c r="G12" i="10"/>
  <c r="N12" i="10"/>
  <c r="F12" i="10"/>
  <c r="U12" i="10"/>
  <c r="M12" i="10"/>
  <c r="T12" i="10"/>
  <c r="L12" i="10"/>
  <c r="S12" i="10"/>
  <c r="K12" i="10"/>
  <c r="Q12" i="10"/>
  <c r="J12" i="10"/>
  <c r="I12" i="10"/>
  <c r="R12" i="10"/>
  <c r="F32" i="35"/>
  <c r="AH32" i="3" s="1"/>
  <c r="AI32" i="3"/>
  <c r="O15" i="18"/>
  <c r="F15" i="18"/>
  <c r="I14" i="18"/>
  <c r="N14" i="18"/>
  <c r="F32" i="22"/>
  <c r="AH6" i="3" s="1"/>
  <c r="AI6" i="3"/>
  <c r="Q12" i="18"/>
  <c r="T12" i="18"/>
  <c r="M8" i="18"/>
  <c r="T8" i="18"/>
  <c r="P17" i="14"/>
  <c r="H17" i="14"/>
  <c r="O17" i="14"/>
  <c r="G17" i="14"/>
  <c r="N17" i="14"/>
  <c r="F17" i="14"/>
  <c r="U17" i="14"/>
  <c r="M17" i="14"/>
  <c r="T17" i="14"/>
  <c r="L17" i="14"/>
  <c r="Q17" i="14"/>
  <c r="I17" i="14"/>
  <c r="R17" i="14"/>
  <c r="K17" i="14"/>
  <c r="J17" i="14"/>
  <c r="S17" i="14"/>
  <c r="R4" i="14"/>
  <c r="J4" i="14"/>
  <c r="Q4" i="14"/>
  <c r="I4" i="14"/>
  <c r="P4" i="14"/>
  <c r="H4" i="14"/>
  <c r="O4" i="14"/>
  <c r="G4" i="14"/>
  <c r="N4" i="14"/>
  <c r="F4" i="14"/>
  <c r="S4" i="14"/>
  <c r="K4" i="14"/>
  <c r="U4" i="14"/>
  <c r="T4" i="14"/>
  <c r="M4" i="14"/>
  <c r="L4" i="14"/>
  <c r="Q13" i="18"/>
  <c r="J13" i="18"/>
  <c r="Q6" i="18"/>
  <c r="H6" i="18"/>
  <c r="I17" i="18"/>
  <c r="J17" i="18"/>
  <c r="I17" i="15"/>
  <c r="M17" i="15"/>
  <c r="G6" i="15"/>
  <c r="K6" i="15"/>
  <c r="F32" i="30"/>
  <c r="AH22" i="3" s="1"/>
  <c r="AI22" i="3"/>
  <c r="F32" i="24"/>
  <c r="AH10" i="3" s="1"/>
  <c r="AI10" i="3"/>
  <c r="Q2" i="18"/>
  <c r="S2" i="18"/>
  <c r="T10" i="6"/>
  <c r="L10" i="6"/>
  <c r="S10" i="6"/>
  <c r="K10" i="6"/>
  <c r="R10" i="6"/>
  <c r="J10" i="6"/>
  <c r="Q10" i="6"/>
  <c r="I10" i="6"/>
  <c r="P10" i="6"/>
  <c r="H10" i="6"/>
  <c r="U10" i="6"/>
  <c r="O10" i="6"/>
  <c r="M10" i="6"/>
  <c r="G10" i="6"/>
  <c r="F10" i="6"/>
  <c r="N10" i="6"/>
  <c r="P12" i="6"/>
  <c r="H12" i="6"/>
  <c r="O12" i="6"/>
  <c r="G12" i="6"/>
  <c r="N12" i="6"/>
  <c r="F12" i="6"/>
  <c r="U12" i="6"/>
  <c r="M12" i="6"/>
  <c r="T12" i="6"/>
  <c r="L12" i="6"/>
  <c r="J12" i="6"/>
  <c r="I12" i="6"/>
  <c r="R12" i="6"/>
  <c r="Q12" i="6"/>
  <c r="S12" i="6"/>
  <c r="K12" i="6"/>
  <c r="T9" i="16"/>
  <c r="L9" i="16"/>
  <c r="S9" i="16"/>
  <c r="K9" i="16"/>
  <c r="R9" i="16"/>
  <c r="J9" i="16"/>
  <c r="Q9" i="16"/>
  <c r="I9" i="16"/>
  <c r="P9" i="16"/>
  <c r="H9" i="16"/>
  <c r="O9" i="16"/>
  <c r="G9" i="16"/>
  <c r="U9" i="16"/>
  <c r="M9" i="16"/>
  <c r="F9" i="16"/>
  <c r="N9" i="16"/>
  <c r="P11" i="16"/>
  <c r="H11" i="16"/>
  <c r="O11" i="16"/>
  <c r="G11" i="16"/>
  <c r="N11" i="16"/>
  <c r="F11" i="16"/>
  <c r="U11" i="16"/>
  <c r="M11" i="16"/>
  <c r="T11" i="16"/>
  <c r="L11" i="16"/>
  <c r="S11" i="16"/>
  <c r="K11" i="16"/>
  <c r="Q11" i="16"/>
  <c r="I11" i="16"/>
  <c r="R11" i="16"/>
  <c r="J11" i="16"/>
  <c r="T12" i="13"/>
  <c r="L12" i="13"/>
  <c r="S12" i="13"/>
  <c r="K12" i="13"/>
  <c r="R12" i="13"/>
  <c r="J12" i="13"/>
  <c r="Q12" i="13"/>
  <c r="I12" i="13"/>
  <c r="P12" i="13"/>
  <c r="H12" i="13"/>
  <c r="U12" i="13"/>
  <c r="M12" i="13"/>
  <c r="O12" i="13"/>
  <c r="N12" i="13"/>
  <c r="G12" i="13"/>
  <c r="F12" i="13"/>
  <c r="N7" i="13"/>
  <c r="F7" i="13"/>
  <c r="U7" i="13"/>
  <c r="M7" i="13"/>
  <c r="T7" i="13"/>
  <c r="L7" i="13"/>
  <c r="S7" i="13"/>
  <c r="K7" i="13"/>
  <c r="R7" i="13"/>
  <c r="J7" i="13"/>
  <c r="O7" i="13"/>
  <c r="G7" i="13"/>
  <c r="Q7" i="13"/>
  <c r="P7" i="13"/>
  <c r="I7" i="13"/>
  <c r="H7" i="13"/>
  <c r="P3" i="18"/>
  <c r="U3" i="18"/>
  <c r="H11" i="18"/>
  <c r="G11" i="18"/>
  <c r="O13" i="15"/>
  <c r="T13" i="15"/>
  <c r="U10" i="15"/>
  <c r="R10" i="15"/>
  <c r="U7" i="20"/>
  <c r="M7" i="20"/>
  <c r="R7" i="20"/>
  <c r="J7" i="20"/>
  <c r="N7" i="20"/>
  <c r="L7" i="20"/>
  <c r="K7" i="20"/>
  <c r="T7" i="20"/>
  <c r="I7" i="20"/>
  <c r="S7" i="20"/>
  <c r="H7" i="20"/>
  <c r="Q7" i="20"/>
  <c r="G7" i="20"/>
  <c r="O7" i="20"/>
  <c r="P7" i="20"/>
  <c r="F7" i="20"/>
  <c r="O6" i="20"/>
  <c r="G6" i="20"/>
  <c r="T6" i="20"/>
  <c r="L6" i="20"/>
  <c r="U6" i="20"/>
  <c r="J6" i="20"/>
  <c r="S6" i="20"/>
  <c r="I6" i="20"/>
  <c r="R6" i="20"/>
  <c r="H6" i="20"/>
  <c r="Q6" i="20"/>
  <c r="F6" i="20"/>
  <c r="P6" i="20"/>
  <c r="N6" i="20"/>
  <c r="K6" i="20"/>
  <c r="M6" i="20"/>
  <c r="I5" i="18"/>
  <c r="Q5" i="18"/>
  <c r="T8" i="8"/>
  <c r="L8" i="8"/>
  <c r="S8" i="8"/>
  <c r="K8" i="8"/>
  <c r="R8" i="8"/>
  <c r="J8" i="8"/>
  <c r="Q8" i="8"/>
  <c r="I8" i="8"/>
  <c r="P8" i="8"/>
  <c r="H8" i="8"/>
  <c r="O8" i="8"/>
  <c r="G8" i="8"/>
  <c r="U8" i="8"/>
  <c r="N8" i="8"/>
  <c r="M8" i="8"/>
  <c r="F8" i="8"/>
  <c r="P14" i="8"/>
  <c r="H14" i="8"/>
  <c r="O14" i="8"/>
  <c r="G14" i="8"/>
  <c r="N14" i="8"/>
  <c r="F14" i="8"/>
  <c r="U14" i="8"/>
  <c r="M14" i="8"/>
  <c r="T14" i="8"/>
  <c r="L14" i="8"/>
  <c r="S14" i="8"/>
  <c r="K14" i="8"/>
  <c r="J14" i="8"/>
  <c r="I14" i="8"/>
  <c r="R14" i="8"/>
  <c r="Q14" i="8"/>
  <c r="L21" i="5" a="1"/>
  <c r="L21" i="5" s="1"/>
  <c r="M21" i="5" s="1"/>
  <c r="N21" i="5" a="1"/>
  <c r="N21" i="5" s="1"/>
  <c r="O21" i="5" s="1"/>
  <c r="H5" i="15"/>
  <c r="K5" i="15"/>
  <c r="X21" i="5" a="1"/>
  <c r="X21" i="5" s="1"/>
  <c r="Y21" i="5" s="1"/>
  <c r="P15" i="7"/>
  <c r="H15" i="7"/>
  <c r="O15" i="7"/>
  <c r="G15" i="7"/>
  <c r="N15" i="7"/>
  <c r="F15" i="7"/>
  <c r="U15" i="7"/>
  <c r="M15" i="7"/>
  <c r="T15" i="7"/>
  <c r="L15" i="7"/>
  <c r="S15" i="7"/>
  <c r="K15" i="7"/>
  <c r="Q15" i="7"/>
  <c r="J15" i="7"/>
  <c r="I15" i="7"/>
  <c r="R15" i="7"/>
  <c r="T9" i="12"/>
  <c r="L9" i="12"/>
  <c r="S9" i="12"/>
  <c r="K9" i="12"/>
  <c r="R9" i="12"/>
  <c r="J9" i="12"/>
  <c r="Q9" i="12"/>
  <c r="I9" i="12"/>
  <c r="U9" i="12"/>
  <c r="M9" i="12"/>
  <c r="H9" i="12"/>
  <c r="G9" i="12"/>
  <c r="F9" i="12"/>
  <c r="P9" i="12"/>
  <c r="O9" i="12"/>
  <c r="N9" i="12"/>
  <c r="AI27" i="3"/>
  <c r="L2" i="15"/>
  <c r="R8" i="14"/>
  <c r="J8" i="14"/>
  <c r="Q8" i="14"/>
  <c r="I8" i="14"/>
  <c r="P8" i="14"/>
  <c r="H8" i="14"/>
  <c r="O8" i="14"/>
  <c r="G8" i="14"/>
  <c r="N8" i="14"/>
  <c r="F8" i="14"/>
  <c r="S8" i="14"/>
  <c r="K8" i="14"/>
  <c r="T8" i="14"/>
  <c r="M8" i="14"/>
  <c r="L8" i="14"/>
  <c r="U8" i="14"/>
  <c r="P4" i="6"/>
  <c r="H4" i="6"/>
  <c r="O4" i="6"/>
  <c r="G4" i="6"/>
  <c r="N4" i="6"/>
  <c r="F4" i="6"/>
  <c r="U4" i="6"/>
  <c r="M4" i="6"/>
  <c r="T4" i="6"/>
  <c r="L4" i="6"/>
  <c r="S4" i="6"/>
  <c r="R4" i="6"/>
  <c r="K4" i="6"/>
  <c r="J4" i="6"/>
  <c r="Q4" i="6"/>
  <c r="I4" i="6"/>
  <c r="Q5" i="20"/>
  <c r="I5" i="20"/>
  <c r="N5" i="20"/>
  <c r="F5" i="20"/>
  <c r="R5" i="20"/>
  <c r="G5" i="20"/>
  <c r="P5" i="20"/>
  <c r="O5" i="20"/>
  <c r="M5" i="20"/>
  <c r="L5" i="20"/>
  <c r="U5" i="20"/>
  <c r="K5" i="20"/>
  <c r="S5" i="20"/>
  <c r="H5" i="20"/>
  <c r="J5" i="20"/>
  <c r="T5" i="20"/>
  <c r="Q9" i="20"/>
  <c r="I9" i="20"/>
  <c r="N9" i="20"/>
  <c r="F9" i="20"/>
  <c r="T9" i="20"/>
  <c r="J9" i="20"/>
  <c r="S9" i="20"/>
  <c r="H9" i="20"/>
  <c r="R9" i="20"/>
  <c r="G9" i="20"/>
  <c r="P9" i="20"/>
  <c r="O9" i="20"/>
  <c r="M9" i="20"/>
  <c r="U9" i="20"/>
  <c r="K9" i="20"/>
  <c r="L9" i="20"/>
  <c r="T4" i="8"/>
  <c r="L4" i="8"/>
  <c r="S4" i="8"/>
  <c r="K4" i="8"/>
  <c r="R4" i="8"/>
  <c r="J4" i="8"/>
  <c r="Q4" i="8"/>
  <c r="I4" i="8"/>
  <c r="P4" i="8"/>
  <c r="H4" i="8"/>
  <c r="O4" i="8"/>
  <c r="G4" i="8"/>
  <c r="U4" i="8"/>
  <c r="M4" i="8"/>
  <c r="F4" i="8"/>
  <c r="N4" i="8"/>
  <c r="P10" i="8"/>
  <c r="H10" i="8"/>
  <c r="O10" i="8"/>
  <c r="G10" i="8"/>
  <c r="N10" i="8"/>
  <c r="F10" i="8"/>
  <c r="U10" i="8"/>
  <c r="M10" i="8"/>
  <c r="T10" i="8"/>
  <c r="L10" i="8"/>
  <c r="S10" i="8"/>
  <c r="K10" i="8"/>
  <c r="R10" i="8"/>
  <c r="Q10" i="8"/>
  <c r="J10" i="8"/>
  <c r="I10" i="8"/>
  <c r="U17" i="11"/>
  <c r="M17" i="11"/>
  <c r="T17" i="11"/>
  <c r="L17" i="11"/>
  <c r="S17" i="11"/>
  <c r="K17" i="11"/>
  <c r="O17" i="11"/>
  <c r="G17" i="11"/>
  <c r="R17" i="11"/>
  <c r="Q17" i="11"/>
  <c r="P17" i="11"/>
  <c r="N17" i="11"/>
  <c r="J17" i="11"/>
  <c r="I17" i="11"/>
  <c r="H17" i="11"/>
  <c r="F17" i="11"/>
  <c r="N8" i="11"/>
  <c r="F8" i="11"/>
  <c r="U8" i="11"/>
  <c r="M8" i="11"/>
  <c r="T8" i="11"/>
  <c r="L8" i="11"/>
  <c r="S8" i="11"/>
  <c r="K8" i="11"/>
  <c r="R8" i="11"/>
  <c r="J8" i="11"/>
  <c r="Q8" i="11"/>
  <c r="I8" i="11"/>
  <c r="O8" i="11"/>
  <c r="H8" i="11"/>
  <c r="G8" i="11"/>
  <c r="P8" i="11"/>
  <c r="N4" i="7"/>
  <c r="F4" i="7"/>
  <c r="U4" i="7"/>
  <c r="M4" i="7"/>
  <c r="T4" i="7"/>
  <c r="L4" i="7"/>
  <c r="S4" i="7"/>
  <c r="K4" i="7"/>
  <c r="R4" i="7"/>
  <c r="J4" i="7"/>
  <c r="Q4" i="7"/>
  <c r="P4" i="7"/>
  <c r="O4" i="7"/>
  <c r="H4" i="7"/>
  <c r="G4" i="7"/>
  <c r="I4" i="7"/>
  <c r="T13" i="7"/>
  <c r="L13" i="7"/>
  <c r="S13" i="7"/>
  <c r="K13" i="7"/>
  <c r="R13" i="7"/>
  <c r="J13" i="7"/>
  <c r="Q13" i="7"/>
  <c r="I13" i="7"/>
  <c r="P13" i="7"/>
  <c r="H13" i="7"/>
  <c r="O13" i="7"/>
  <c r="G13" i="7"/>
  <c r="U13" i="7"/>
  <c r="N13" i="7"/>
  <c r="M13" i="7"/>
  <c r="F13" i="7"/>
  <c r="I10" i="18"/>
  <c r="P10" i="18"/>
  <c r="R16" i="18"/>
  <c r="T13" i="12"/>
  <c r="L13" i="12"/>
  <c r="S13" i="12"/>
  <c r="K13" i="12"/>
  <c r="R13" i="12"/>
  <c r="J13" i="12"/>
  <c r="Q13" i="12"/>
  <c r="I13" i="12"/>
  <c r="U13" i="12"/>
  <c r="M13" i="12"/>
  <c r="P13" i="12"/>
  <c r="O13" i="12"/>
  <c r="N13" i="12"/>
  <c r="H13" i="12"/>
  <c r="F13" i="12"/>
  <c r="G13" i="12"/>
  <c r="N8" i="12"/>
  <c r="F8" i="12"/>
  <c r="U8" i="12"/>
  <c r="M8" i="12"/>
  <c r="T8" i="12"/>
  <c r="L8" i="12"/>
  <c r="S8" i="12"/>
  <c r="K8" i="12"/>
  <c r="O8" i="12"/>
  <c r="G8" i="12"/>
  <c r="H8" i="12"/>
  <c r="R8" i="12"/>
  <c r="Q8" i="12"/>
  <c r="P8" i="12"/>
  <c r="I8" i="12"/>
  <c r="J8" i="12"/>
  <c r="R5" i="17"/>
  <c r="J5" i="17"/>
  <c r="Q5" i="17"/>
  <c r="I5" i="17"/>
  <c r="P5" i="17"/>
  <c r="H5" i="17"/>
  <c r="O5" i="17"/>
  <c r="G5" i="17"/>
  <c r="N5" i="17"/>
  <c r="F5" i="17"/>
  <c r="U5" i="17"/>
  <c r="M5" i="17"/>
  <c r="S5" i="17"/>
  <c r="K5" i="17"/>
  <c r="L5" i="17"/>
  <c r="T5" i="17"/>
  <c r="P10" i="17"/>
  <c r="H10" i="17"/>
  <c r="O10" i="17"/>
  <c r="G10" i="17"/>
  <c r="N10" i="17"/>
  <c r="F10" i="17"/>
  <c r="U10" i="17"/>
  <c r="M10" i="17"/>
  <c r="T10" i="17"/>
  <c r="L10" i="17"/>
  <c r="S10" i="17"/>
  <c r="K10" i="17"/>
  <c r="Q10" i="17"/>
  <c r="I10" i="17"/>
  <c r="R10" i="17"/>
  <c r="J10" i="17"/>
  <c r="T3" i="9"/>
  <c r="L3" i="9"/>
  <c r="S3" i="9"/>
  <c r="K3" i="9"/>
  <c r="R3" i="9"/>
  <c r="J3" i="9"/>
  <c r="Q3" i="9"/>
  <c r="I3" i="9"/>
  <c r="P3" i="9"/>
  <c r="H3" i="9"/>
  <c r="O3" i="9"/>
  <c r="G3" i="9"/>
  <c r="U3" i="9"/>
  <c r="M3" i="9"/>
  <c r="F3" i="9"/>
  <c r="N3" i="9"/>
  <c r="N10" i="9"/>
  <c r="F10" i="9"/>
  <c r="U10" i="9"/>
  <c r="M10" i="9"/>
  <c r="T10" i="9"/>
  <c r="L10" i="9"/>
  <c r="S10" i="9"/>
  <c r="K10" i="9"/>
  <c r="R10" i="9"/>
  <c r="J10" i="9"/>
  <c r="Q10" i="9"/>
  <c r="I10" i="9"/>
  <c r="O10" i="9"/>
  <c r="H10" i="9"/>
  <c r="P10" i="9"/>
  <c r="G10" i="9"/>
  <c r="Q14" i="19"/>
  <c r="I14" i="19"/>
  <c r="N14" i="19"/>
  <c r="F14" i="19"/>
  <c r="P14" i="19"/>
  <c r="O14" i="19"/>
  <c r="M14" i="19"/>
  <c r="L14" i="19"/>
  <c r="U14" i="19"/>
  <c r="K14" i="19"/>
  <c r="T14" i="19"/>
  <c r="J14" i="19"/>
  <c r="R14" i="19"/>
  <c r="G14" i="19"/>
  <c r="S14" i="19"/>
  <c r="H14" i="19"/>
  <c r="S9" i="19"/>
  <c r="K9" i="19"/>
  <c r="P9" i="19"/>
  <c r="H9" i="19"/>
  <c r="U9" i="19"/>
  <c r="J9" i="19"/>
  <c r="T9" i="19"/>
  <c r="I9" i="19"/>
  <c r="R9" i="19"/>
  <c r="G9" i="19"/>
  <c r="Q9" i="19"/>
  <c r="F9" i="19"/>
  <c r="O9" i="19"/>
  <c r="N9" i="19"/>
  <c r="L9" i="19"/>
  <c r="M9" i="19"/>
  <c r="S4" i="18"/>
  <c r="T4" i="18"/>
  <c r="G9" i="18"/>
  <c r="R9" i="18"/>
  <c r="F32" i="33"/>
  <c r="AH27" i="3" s="1"/>
  <c r="AI28" i="3"/>
  <c r="S7" i="18"/>
  <c r="F7" i="18"/>
  <c r="L3" i="15"/>
  <c r="T10" i="10"/>
  <c r="L10" i="10"/>
  <c r="S10" i="10"/>
  <c r="K10" i="10"/>
  <c r="R10" i="10"/>
  <c r="J10" i="10"/>
  <c r="Q10" i="10"/>
  <c r="I10" i="10"/>
  <c r="P10" i="10"/>
  <c r="H10" i="10"/>
  <c r="O10" i="10"/>
  <c r="G10" i="10"/>
  <c r="U10" i="10"/>
  <c r="N10" i="10"/>
  <c r="M10" i="10"/>
  <c r="F10" i="10"/>
  <c r="P16" i="10"/>
  <c r="H16" i="10"/>
  <c r="O16" i="10"/>
  <c r="G16" i="10"/>
  <c r="N16" i="10"/>
  <c r="F16" i="10"/>
  <c r="U16" i="10"/>
  <c r="M16" i="10"/>
  <c r="T16" i="10"/>
  <c r="L16" i="10"/>
  <c r="S16" i="10"/>
  <c r="K16" i="10"/>
  <c r="I16" i="10"/>
  <c r="R16" i="10"/>
  <c r="Q16" i="10"/>
  <c r="J16" i="10"/>
  <c r="G15" i="18"/>
  <c r="I15" i="18"/>
  <c r="G14" i="18"/>
  <c r="F14" i="18"/>
  <c r="R12" i="18"/>
  <c r="O12" i="18"/>
  <c r="P8" i="18"/>
  <c r="O8" i="18"/>
  <c r="P2" i="15"/>
  <c r="T2" i="15"/>
  <c r="T4" i="15"/>
  <c r="P4" i="15"/>
  <c r="P9" i="14"/>
  <c r="H9" i="14"/>
  <c r="O9" i="14"/>
  <c r="G9" i="14"/>
  <c r="N9" i="14"/>
  <c r="F9" i="14"/>
  <c r="U9" i="14"/>
  <c r="M9" i="14"/>
  <c r="T9" i="14"/>
  <c r="L9" i="14"/>
  <c r="Q9" i="14"/>
  <c r="I9" i="14"/>
  <c r="S9" i="14"/>
  <c r="R9" i="14"/>
  <c r="K9" i="14"/>
  <c r="J9" i="14"/>
  <c r="R12" i="14"/>
  <c r="J12" i="14"/>
  <c r="Q12" i="14"/>
  <c r="I12" i="14"/>
  <c r="P12" i="14"/>
  <c r="H12" i="14"/>
  <c r="O12" i="14"/>
  <c r="G12" i="14"/>
  <c r="N12" i="14"/>
  <c r="F12" i="14"/>
  <c r="S12" i="14"/>
  <c r="K12" i="14"/>
  <c r="L12" i="14"/>
  <c r="U12" i="14"/>
  <c r="M12" i="14"/>
  <c r="T12" i="14"/>
  <c r="S13" i="18"/>
  <c r="M13" i="18"/>
  <c r="F32" i="25"/>
  <c r="AH12" i="3" s="1"/>
  <c r="AI12" i="3"/>
  <c r="J31" i="36"/>
  <c r="R6" i="18"/>
  <c r="K6" i="18"/>
  <c r="K17" i="18"/>
  <c r="M17" i="18"/>
  <c r="J17" i="15"/>
  <c r="F17" i="15"/>
  <c r="H6" i="15"/>
  <c r="L6" i="15"/>
  <c r="J2" i="18"/>
  <c r="R2" i="18"/>
  <c r="P8" i="6"/>
  <c r="H8" i="6"/>
  <c r="O8" i="6"/>
  <c r="G8" i="6"/>
  <c r="N8" i="6"/>
  <c r="F8" i="6"/>
  <c r="U8" i="6"/>
  <c r="M8" i="6"/>
  <c r="T8" i="6"/>
  <c r="L8" i="6"/>
  <c r="R8" i="6"/>
  <c r="Q8" i="6"/>
  <c r="K8" i="6"/>
  <c r="J8" i="6"/>
  <c r="I8" i="6"/>
  <c r="S8" i="6"/>
  <c r="T2" i="6"/>
  <c r="L2" i="6"/>
  <c r="S2" i="6"/>
  <c r="K2" i="6"/>
  <c r="R2" i="6"/>
  <c r="J2" i="6"/>
  <c r="Q2" i="6"/>
  <c r="I2" i="6"/>
  <c r="P2" i="6"/>
  <c r="H2" i="6"/>
  <c r="U2" i="6"/>
  <c r="O2" i="6"/>
  <c r="N2" i="6"/>
  <c r="M2" i="6"/>
  <c r="F2" i="6"/>
  <c r="G2" i="6"/>
  <c r="R10" i="16"/>
  <c r="J10" i="16"/>
  <c r="Q10" i="16"/>
  <c r="I10" i="16"/>
  <c r="P10" i="16"/>
  <c r="H10" i="16"/>
  <c r="O10" i="16"/>
  <c r="G10" i="16"/>
  <c r="N10" i="16"/>
  <c r="F10" i="16"/>
  <c r="U10" i="16"/>
  <c r="M10" i="16"/>
  <c r="S10" i="16"/>
  <c r="K10" i="16"/>
  <c r="T10" i="16"/>
  <c r="L10" i="16"/>
  <c r="T5" i="16"/>
  <c r="L5" i="16"/>
  <c r="S5" i="16"/>
  <c r="K5" i="16"/>
  <c r="R5" i="16"/>
  <c r="J5" i="16"/>
  <c r="Q5" i="16"/>
  <c r="I5" i="16"/>
  <c r="P5" i="16"/>
  <c r="H5" i="16"/>
  <c r="O5" i="16"/>
  <c r="G5" i="16"/>
  <c r="U5" i="16"/>
  <c r="M5" i="16"/>
  <c r="N5" i="16"/>
  <c r="F5" i="16"/>
  <c r="T4" i="13"/>
  <c r="L4" i="13"/>
  <c r="S4" i="13"/>
  <c r="K4" i="13"/>
  <c r="R4" i="13"/>
  <c r="J4" i="13"/>
  <c r="Q4" i="13"/>
  <c r="I4" i="13"/>
  <c r="P4" i="13"/>
  <c r="H4" i="13"/>
  <c r="U4" i="13"/>
  <c r="M4" i="13"/>
  <c r="O4" i="13"/>
  <c r="N4" i="13"/>
  <c r="G4" i="13"/>
  <c r="F4" i="13"/>
  <c r="N15" i="13"/>
  <c r="F15" i="13"/>
  <c r="U15" i="13"/>
  <c r="M15" i="13"/>
  <c r="T15" i="13"/>
  <c r="L15" i="13"/>
  <c r="S15" i="13"/>
  <c r="K15" i="13"/>
  <c r="R15" i="13"/>
  <c r="J15" i="13"/>
  <c r="O15" i="13"/>
  <c r="G15" i="13"/>
  <c r="I15" i="13"/>
  <c r="H15" i="13"/>
  <c r="P15" i="13"/>
  <c r="Q15" i="13"/>
  <c r="R3" i="18"/>
  <c r="F3" i="18"/>
  <c r="K11" i="18"/>
  <c r="F11" i="18"/>
  <c r="Q13" i="15"/>
  <c r="U13" i="15"/>
  <c r="O10" i="15"/>
  <c r="S10" i="15"/>
  <c r="O2" i="20"/>
  <c r="G2" i="20"/>
  <c r="T2" i="20"/>
  <c r="L2" i="20"/>
  <c r="S2" i="20"/>
  <c r="I2" i="20"/>
  <c r="R2" i="20"/>
  <c r="H2" i="20"/>
  <c r="Q2" i="20"/>
  <c r="F2" i="20"/>
  <c r="P2" i="20"/>
  <c r="N2" i="20"/>
  <c r="M2" i="20"/>
  <c r="U2" i="20"/>
  <c r="J2" i="20"/>
  <c r="K2" i="20"/>
  <c r="S17" i="20"/>
  <c r="K17" i="20"/>
  <c r="Q17" i="20"/>
  <c r="I17" i="20"/>
  <c r="N17" i="20"/>
  <c r="F17" i="20"/>
  <c r="T17" i="20"/>
  <c r="G17" i="20"/>
  <c r="R17" i="20"/>
  <c r="P17" i="20"/>
  <c r="O17" i="20"/>
  <c r="M17" i="20"/>
  <c r="L17" i="20"/>
  <c r="U17" i="20"/>
  <c r="H17" i="20"/>
  <c r="J17" i="20"/>
  <c r="L5" i="18"/>
  <c r="S5" i="18"/>
  <c r="R17" i="8"/>
  <c r="J17" i="8"/>
  <c r="Q17" i="8"/>
  <c r="I17" i="8"/>
  <c r="P17" i="8"/>
  <c r="H17" i="8"/>
  <c r="O17" i="8"/>
  <c r="G17" i="8"/>
  <c r="N17" i="8"/>
  <c r="F17" i="8"/>
  <c r="U17" i="8"/>
  <c r="M17" i="8"/>
  <c r="T17" i="8"/>
  <c r="S17" i="8"/>
  <c r="L17" i="8"/>
  <c r="K17" i="8"/>
  <c r="P2" i="8"/>
  <c r="H2" i="8"/>
  <c r="O2" i="8"/>
  <c r="G2" i="8"/>
  <c r="N2" i="8"/>
  <c r="F2" i="8"/>
  <c r="U2" i="8"/>
  <c r="M2" i="8"/>
  <c r="T2" i="8"/>
  <c r="L2" i="8"/>
  <c r="S2" i="8"/>
  <c r="K2" i="8"/>
  <c r="J2" i="8"/>
  <c r="I2" i="8"/>
  <c r="R2" i="8"/>
  <c r="Q2" i="8"/>
  <c r="G5" i="15"/>
  <c r="L5" i="15"/>
  <c r="N12" i="7"/>
  <c r="F12" i="7"/>
  <c r="U12" i="7"/>
  <c r="M12" i="7"/>
  <c r="T12" i="7"/>
  <c r="L12" i="7"/>
  <c r="S12" i="7"/>
  <c r="K12" i="7"/>
  <c r="R12" i="7"/>
  <c r="J12" i="7"/>
  <c r="Q12" i="7"/>
  <c r="I12" i="7"/>
  <c r="G12" i="7"/>
  <c r="P12" i="7"/>
  <c r="O12" i="7"/>
  <c r="H12" i="7"/>
  <c r="P7" i="12"/>
  <c r="H7" i="12"/>
  <c r="O7" i="12"/>
  <c r="G7" i="12"/>
  <c r="N7" i="12"/>
  <c r="F7" i="12"/>
  <c r="U7" i="12"/>
  <c r="M7" i="12"/>
  <c r="Q7" i="12"/>
  <c r="I7" i="12"/>
  <c r="T7" i="12"/>
  <c r="S7" i="12"/>
  <c r="R7" i="12"/>
  <c r="L7" i="12"/>
  <c r="K7" i="12"/>
  <c r="J7" i="12"/>
  <c r="T7" i="9"/>
  <c r="L7" i="9"/>
  <c r="S7" i="9"/>
  <c r="K7" i="9"/>
  <c r="R7" i="9"/>
  <c r="J7" i="9"/>
  <c r="Q7" i="9"/>
  <c r="I7" i="9"/>
  <c r="P7" i="9"/>
  <c r="H7" i="9"/>
  <c r="O7" i="9"/>
  <c r="G7" i="9"/>
  <c r="U7" i="9"/>
  <c r="N7" i="9"/>
  <c r="M7" i="9"/>
  <c r="F7" i="9"/>
  <c r="Q6" i="19"/>
  <c r="I6" i="19"/>
  <c r="N6" i="19"/>
  <c r="F6" i="19"/>
  <c r="U6" i="19"/>
  <c r="K6" i="19"/>
  <c r="T6" i="19"/>
  <c r="J6" i="19"/>
  <c r="S6" i="19"/>
  <c r="H6" i="19"/>
  <c r="R6" i="19"/>
  <c r="G6" i="19"/>
  <c r="P6" i="19"/>
  <c r="O6" i="19"/>
  <c r="L6" i="19"/>
  <c r="M6" i="19"/>
  <c r="R11" i="6"/>
  <c r="J11" i="6"/>
  <c r="Q11" i="6"/>
  <c r="I11" i="6"/>
  <c r="P11" i="6"/>
  <c r="H11" i="6"/>
  <c r="O11" i="6"/>
  <c r="G11" i="6"/>
  <c r="N11" i="6"/>
  <c r="F11" i="6"/>
  <c r="U11" i="6"/>
  <c r="T11" i="6"/>
  <c r="M11" i="6"/>
  <c r="L11" i="6"/>
  <c r="S11" i="6"/>
  <c r="K11" i="6"/>
  <c r="T5" i="7"/>
  <c r="L5" i="7"/>
  <c r="S5" i="7"/>
  <c r="K5" i="7"/>
  <c r="R5" i="7"/>
  <c r="J5" i="7"/>
  <c r="Q5" i="7"/>
  <c r="I5" i="7"/>
  <c r="P5" i="7"/>
  <c r="H5" i="7"/>
  <c r="U5" i="7"/>
  <c r="O5" i="7"/>
  <c r="M5" i="7"/>
  <c r="G5" i="7"/>
  <c r="N5" i="7"/>
  <c r="F5" i="7"/>
  <c r="R10" i="7"/>
  <c r="J10" i="7"/>
  <c r="Q10" i="7"/>
  <c r="I10" i="7"/>
  <c r="P10" i="7"/>
  <c r="H10" i="7"/>
  <c r="O10" i="7"/>
  <c r="G10" i="7"/>
  <c r="N10" i="7"/>
  <c r="F10" i="7"/>
  <c r="U10" i="7"/>
  <c r="M10" i="7"/>
  <c r="K10" i="7"/>
  <c r="T10" i="7"/>
  <c r="S10" i="7"/>
  <c r="L10" i="7"/>
  <c r="K10" i="18"/>
  <c r="J11" i="15"/>
  <c r="L12" i="15"/>
  <c r="J31" i="28"/>
  <c r="L8" i="15"/>
  <c r="R14" i="12"/>
  <c r="J14" i="12"/>
  <c r="Q14" i="12"/>
  <c r="I14" i="12"/>
  <c r="P14" i="12"/>
  <c r="H14" i="12"/>
  <c r="O14" i="12"/>
  <c r="G14" i="12"/>
  <c r="S14" i="12"/>
  <c r="K14" i="12"/>
  <c r="U14" i="12"/>
  <c r="T14" i="12"/>
  <c r="N14" i="12"/>
  <c r="M14" i="12"/>
  <c r="L14" i="12"/>
  <c r="F14" i="12"/>
  <c r="N16" i="12"/>
  <c r="F16" i="12"/>
  <c r="U16" i="12"/>
  <c r="M16" i="12"/>
  <c r="T16" i="12"/>
  <c r="L16" i="12"/>
  <c r="S16" i="12"/>
  <c r="K16" i="12"/>
  <c r="O16" i="12"/>
  <c r="G16" i="12"/>
  <c r="J16" i="12"/>
  <c r="I16" i="12"/>
  <c r="H16" i="12"/>
  <c r="R16" i="12"/>
  <c r="Q16" i="12"/>
  <c r="P16" i="12"/>
  <c r="J9" i="15"/>
  <c r="T16" i="17"/>
  <c r="L16" i="17"/>
  <c r="S16" i="17"/>
  <c r="K16" i="17"/>
  <c r="R16" i="17"/>
  <c r="J16" i="17"/>
  <c r="Q16" i="17"/>
  <c r="I16" i="17"/>
  <c r="P16" i="17"/>
  <c r="H16" i="17"/>
  <c r="O16" i="17"/>
  <c r="G16" i="17"/>
  <c r="U16" i="17"/>
  <c r="M16" i="17"/>
  <c r="F16" i="17"/>
  <c r="N16" i="17"/>
  <c r="P2" i="17"/>
  <c r="H2" i="17"/>
  <c r="O2" i="17"/>
  <c r="G2" i="17"/>
  <c r="N2" i="17"/>
  <c r="F2" i="17"/>
  <c r="U2" i="17"/>
  <c r="M2" i="17"/>
  <c r="T2" i="17"/>
  <c r="L2" i="17"/>
  <c r="S2" i="17"/>
  <c r="K2" i="17"/>
  <c r="Q2" i="17"/>
  <c r="I2" i="17"/>
  <c r="R2" i="17"/>
  <c r="J2" i="17"/>
  <c r="R16" i="9"/>
  <c r="J16" i="9"/>
  <c r="Q16" i="9"/>
  <c r="I16" i="9"/>
  <c r="P16" i="9"/>
  <c r="H16" i="9"/>
  <c r="O16" i="9"/>
  <c r="G16" i="9"/>
  <c r="N16" i="9"/>
  <c r="F16" i="9"/>
  <c r="U16" i="9"/>
  <c r="M16" i="9"/>
  <c r="T16" i="9"/>
  <c r="S16" i="9"/>
  <c r="L16" i="9"/>
  <c r="K16" i="9"/>
  <c r="N14" i="9"/>
  <c r="F14" i="9"/>
  <c r="U14" i="9"/>
  <c r="M14" i="9"/>
  <c r="T14" i="9"/>
  <c r="L14" i="9"/>
  <c r="S14" i="9"/>
  <c r="K14" i="9"/>
  <c r="R14" i="9"/>
  <c r="J14" i="9"/>
  <c r="Q14" i="9"/>
  <c r="I14" i="9"/>
  <c r="P14" i="9"/>
  <c r="O14" i="9"/>
  <c r="G14" i="9"/>
  <c r="H14" i="9"/>
  <c r="O7" i="19"/>
  <c r="G7" i="19"/>
  <c r="T7" i="19"/>
  <c r="L7" i="19"/>
  <c r="N7" i="19"/>
  <c r="M7" i="19"/>
  <c r="K7" i="19"/>
  <c r="U7" i="19"/>
  <c r="J7" i="19"/>
  <c r="S7" i="19"/>
  <c r="I7" i="19"/>
  <c r="R7" i="19"/>
  <c r="H7" i="19"/>
  <c r="P7" i="19"/>
  <c r="Q7" i="19"/>
  <c r="F7" i="19"/>
  <c r="U12" i="19"/>
  <c r="M12" i="19"/>
  <c r="R12" i="19"/>
  <c r="J12" i="19"/>
  <c r="T12" i="19"/>
  <c r="I12" i="19"/>
  <c r="S12" i="19"/>
  <c r="H12" i="19"/>
  <c r="Q12" i="19"/>
  <c r="G12" i="19"/>
  <c r="P12" i="19"/>
  <c r="F12" i="19"/>
  <c r="O12" i="19"/>
  <c r="N12" i="19"/>
  <c r="K12" i="19"/>
  <c r="L12" i="19"/>
  <c r="F32" i="26"/>
  <c r="AH13" i="3" s="1"/>
  <c r="AI14" i="3"/>
  <c r="J4" i="18"/>
  <c r="M9" i="18"/>
  <c r="J7" i="15"/>
  <c r="L16" i="15"/>
  <c r="J7" i="18"/>
  <c r="AD21" i="5" a="1"/>
  <c r="AD21" i="5" s="1"/>
  <c r="AE21" i="5" s="1"/>
  <c r="L15" i="15"/>
  <c r="N5" i="10"/>
  <c r="F5" i="10"/>
  <c r="U5" i="10"/>
  <c r="M5" i="10"/>
  <c r="T5" i="10"/>
  <c r="L5" i="10"/>
  <c r="S5" i="10"/>
  <c r="K5" i="10"/>
  <c r="R5" i="10"/>
  <c r="J5" i="10"/>
  <c r="Q5" i="10"/>
  <c r="I5" i="10"/>
  <c r="O5" i="10"/>
  <c r="H5" i="10"/>
  <c r="G5" i="10"/>
  <c r="P5" i="10"/>
  <c r="R11" i="10"/>
  <c r="J11" i="10"/>
  <c r="Q11" i="10"/>
  <c r="I11" i="10"/>
  <c r="P11" i="10"/>
  <c r="H11" i="10"/>
  <c r="O11" i="10"/>
  <c r="G11" i="10"/>
  <c r="N11" i="10"/>
  <c r="F11" i="10"/>
  <c r="U11" i="10"/>
  <c r="M11" i="10"/>
  <c r="T11" i="10"/>
  <c r="L11" i="10"/>
  <c r="K11" i="10"/>
  <c r="S11" i="10"/>
  <c r="R15" i="18"/>
  <c r="Q15" i="18"/>
  <c r="R14" i="18"/>
  <c r="Q14" i="18"/>
  <c r="AI7" i="3"/>
  <c r="J31" i="25"/>
  <c r="J31" i="26"/>
  <c r="J31" i="32"/>
  <c r="AI19" i="3"/>
  <c r="M12" i="18"/>
  <c r="I12" i="18"/>
  <c r="J8" i="18"/>
  <c r="F8" i="18"/>
  <c r="F2" i="15"/>
  <c r="I2" i="15"/>
  <c r="J4" i="15"/>
  <c r="M4" i="15"/>
  <c r="P13" i="14"/>
  <c r="H13" i="14"/>
  <c r="O13" i="14"/>
  <c r="G13" i="14"/>
  <c r="N13" i="14"/>
  <c r="F13" i="14"/>
  <c r="U13" i="14"/>
  <c r="M13" i="14"/>
  <c r="T13" i="14"/>
  <c r="L13" i="14"/>
  <c r="Q13" i="14"/>
  <c r="I13" i="14"/>
  <c r="S13" i="14"/>
  <c r="R13" i="14"/>
  <c r="K13" i="14"/>
  <c r="J13" i="14"/>
  <c r="R16" i="14"/>
  <c r="J16" i="14"/>
  <c r="Q16" i="14"/>
  <c r="I16" i="14"/>
  <c r="P16" i="14"/>
  <c r="H16" i="14"/>
  <c r="O16" i="14"/>
  <c r="G16" i="14"/>
  <c r="N16" i="14"/>
  <c r="F16" i="14"/>
  <c r="S16" i="14"/>
  <c r="K16" i="14"/>
  <c r="U16" i="14"/>
  <c r="T16" i="14"/>
  <c r="M16" i="14"/>
  <c r="L16" i="14"/>
  <c r="F32" i="29"/>
  <c r="AH19" i="3" s="1"/>
  <c r="AI20" i="3"/>
  <c r="I13" i="18"/>
  <c r="U13" i="18"/>
  <c r="AI29" i="3"/>
  <c r="I6" i="18"/>
  <c r="S6" i="18"/>
  <c r="L17" i="18"/>
  <c r="U17" i="18"/>
  <c r="R5" i="21"/>
  <c r="AB2" i="2"/>
  <c r="R17" i="15"/>
  <c r="N17" i="15"/>
  <c r="P6" i="15"/>
  <c r="T6" i="15"/>
  <c r="J31" i="35"/>
  <c r="U2" i="18"/>
  <c r="I2" i="18"/>
  <c r="N9" i="6"/>
  <c r="F9" i="6"/>
  <c r="U9" i="6"/>
  <c r="M9" i="6"/>
  <c r="T9" i="6"/>
  <c r="L9" i="6"/>
  <c r="S9" i="6"/>
  <c r="K9" i="6"/>
  <c r="R9" i="6"/>
  <c r="J9" i="6"/>
  <c r="Q9" i="6"/>
  <c r="P9" i="6"/>
  <c r="O9" i="6"/>
  <c r="H9" i="6"/>
  <c r="G9" i="6"/>
  <c r="I9" i="6"/>
  <c r="N17" i="6"/>
  <c r="F17" i="6"/>
  <c r="U17" i="6"/>
  <c r="M17" i="6"/>
  <c r="T17" i="6"/>
  <c r="L17" i="6"/>
  <c r="S17" i="6"/>
  <c r="K17" i="6"/>
  <c r="R17" i="6"/>
  <c r="J17" i="6"/>
  <c r="G17" i="6"/>
  <c r="Q17" i="6"/>
  <c r="O17" i="6"/>
  <c r="I17" i="6"/>
  <c r="P17" i="6"/>
  <c r="H17" i="6"/>
  <c r="T17" i="16"/>
  <c r="L17" i="16"/>
  <c r="S17" i="16"/>
  <c r="K17" i="16"/>
  <c r="R17" i="16"/>
  <c r="J17" i="16"/>
  <c r="Q17" i="16"/>
  <c r="I17" i="16"/>
  <c r="P17" i="16"/>
  <c r="H17" i="16"/>
  <c r="O17" i="16"/>
  <c r="G17" i="16"/>
  <c r="U17" i="16"/>
  <c r="M17" i="16"/>
  <c r="N17" i="16"/>
  <c r="F17" i="16"/>
  <c r="N8" i="16"/>
  <c r="F8" i="16"/>
  <c r="U8" i="16"/>
  <c r="M8" i="16"/>
  <c r="T8" i="16"/>
  <c r="L8" i="16"/>
  <c r="S8" i="16"/>
  <c r="K8" i="16"/>
  <c r="R8" i="16"/>
  <c r="J8" i="16"/>
  <c r="Q8" i="16"/>
  <c r="I8" i="16"/>
  <c r="O8" i="16"/>
  <c r="G8" i="16"/>
  <c r="P8" i="16"/>
  <c r="H8" i="16"/>
  <c r="P2" i="13"/>
  <c r="H2" i="13"/>
  <c r="O2" i="13"/>
  <c r="G2" i="13"/>
  <c r="N2" i="13"/>
  <c r="F2" i="13"/>
  <c r="U2" i="13"/>
  <c r="M2" i="13"/>
  <c r="Q2" i="13"/>
  <c r="I2" i="13"/>
  <c r="T2" i="13"/>
  <c r="S2" i="13"/>
  <c r="R2" i="13"/>
  <c r="L2" i="13"/>
  <c r="K2" i="13"/>
  <c r="J2" i="13"/>
  <c r="R5" i="13"/>
  <c r="J5" i="13"/>
  <c r="Q5" i="13"/>
  <c r="I5" i="13"/>
  <c r="P5" i="13"/>
  <c r="H5" i="13"/>
  <c r="O5" i="13"/>
  <c r="G5" i="13"/>
  <c r="N5" i="13"/>
  <c r="F5" i="13"/>
  <c r="S5" i="13"/>
  <c r="K5" i="13"/>
  <c r="U5" i="13"/>
  <c r="T5" i="13"/>
  <c r="M5" i="13"/>
  <c r="L5" i="13"/>
  <c r="F32" i="27"/>
  <c r="AH16" i="3" s="1"/>
  <c r="AI16" i="3"/>
  <c r="H3" i="18"/>
  <c r="N3" i="18"/>
  <c r="U11" i="18"/>
  <c r="N11" i="18"/>
  <c r="J13" i="15"/>
  <c r="F13" i="15"/>
  <c r="H10" i="15"/>
  <c r="L10" i="15"/>
  <c r="O10" i="20"/>
  <c r="G10" i="20"/>
  <c r="T10" i="20"/>
  <c r="L10" i="20"/>
  <c r="M10" i="20"/>
  <c r="K10" i="20"/>
  <c r="U10" i="20"/>
  <c r="J10" i="20"/>
  <c r="S10" i="20"/>
  <c r="I10" i="20"/>
  <c r="R10" i="20"/>
  <c r="H10" i="20"/>
  <c r="Q10" i="20"/>
  <c r="F10" i="20"/>
  <c r="N10" i="20"/>
  <c r="P10" i="20"/>
  <c r="U12" i="20"/>
  <c r="S12" i="20"/>
  <c r="K12" i="20"/>
  <c r="P12" i="20"/>
  <c r="H12" i="20"/>
  <c r="T12" i="20"/>
  <c r="I12" i="20"/>
  <c r="R12" i="20"/>
  <c r="G12" i="20"/>
  <c r="Q12" i="20"/>
  <c r="F12" i="20"/>
  <c r="O12" i="20"/>
  <c r="N12" i="20"/>
  <c r="M12" i="20"/>
  <c r="J12" i="20"/>
  <c r="L12" i="20"/>
  <c r="AI33" i="3"/>
  <c r="N5" i="18"/>
  <c r="J5" i="18"/>
  <c r="R13" i="8"/>
  <c r="J13" i="8"/>
  <c r="Q13" i="8"/>
  <c r="I13" i="8"/>
  <c r="P13" i="8"/>
  <c r="H13" i="8"/>
  <c r="O13" i="8"/>
  <c r="G13" i="8"/>
  <c r="N13" i="8"/>
  <c r="F13" i="8"/>
  <c r="U13" i="8"/>
  <c r="M13" i="8"/>
  <c r="T13" i="8"/>
  <c r="S13" i="8"/>
  <c r="K13" i="8"/>
  <c r="L13" i="8"/>
  <c r="P6" i="8"/>
  <c r="H6" i="8"/>
  <c r="O6" i="8"/>
  <c r="G6" i="8"/>
  <c r="N6" i="8"/>
  <c r="F6" i="8"/>
  <c r="U6" i="8"/>
  <c r="M6" i="8"/>
  <c r="T6" i="8"/>
  <c r="L6" i="8"/>
  <c r="S6" i="8"/>
  <c r="K6" i="8"/>
  <c r="R6" i="8"/>
  <c r="Q6" i="8"/>
  <c r="I6" i="8"/>
  <c r="J6" i="8"/>
  <c r="O5" i="15"/>
  <c r="T5" i="15"/>
  <c r="T8" i="17"/>
  <c r="L8" i="17"/>
  <c r="S8" i="17"/>
  <c r="K8" i="17"/>
  <c r="R8" i="17"/>
  <c r="J8" i="17"/>
  <c r="Q8" i="17"/>
  <c r="I8" i="17"/>
  <c r="P8" i="17"/>
  <c r="H8" i="17"/>
  <c r="O8" i="17"/>
  <c r="G8" i="17"/>
  <c r="U8" i="17"/>
  <c r="M8" i="17"/>
  <c r="N8" i="17"/>
  <c r="F8" i="17"/>
  <c r="O16" i="11"/>
  <c r="G16" i="11"/>
  <c r="N16" i="11"/>
  <c r="F16" i="11"/>
  <c r="U16" i="11"/>
  <c r="M16" i="11"/>
  <c r="Q16" i="11"/>
  <c r="I16" i="11"/>
  <c r="T16" i="11"/>
  <c r="S16" i="11"/>
  <c r="R16" i="11"/>
  <c r="P16" i="11"/>
  <c r="L16" i="11"/>
  <c r="K16" i="11"/>
  <c r="J16" i="11"/>
  <c r="H16" i="11"/>
  <c r="P14" i="17"/>
  <c r="H14" i="17"/>
  <c r="O14" i="17"/>
  <c r="G14" i="17"/>
  <c r="N14" i="17"/>
  <c r="F14" i="17"/>
  <c r="U14" i="17"/>
  <c r="M14" i="17"/>
  <c r="T14" i="17"/>
  <c r="L14" i="17"/>
  <c r="S14" i="17"/>
  <c r="K14" i="17"/>
  <c r="Q14" i="17"/>
  <c r="I14" i="17"/>
  <c r="R14" i="17"/>
  <c r="J14" i="17"/>
  <c r="L4" i="15"/>
  <c r="P5" i="14"/>
  <c r="H5" i="14"/>
  <c r="O5" i="14"/>
  <c r="G5" i="14"/>
  <c r="N5" i="14"/>
  <c r="F5" i="14"/>
  <c r="U5" i="14"/>
  <c r="M5" i="14"/>
  <c r="T5" i="14"/>
  <c r="L5" i="14"/>
  <c r="Q5" i="14"/>
  <c r="I5" i="14"/>
  <c r="J5" i="14"/>
  <c r="S5" i="14"/>
  <c r="K5" i="14"/>
  <c r="R5" i="14"/>
  <c r="P15" i="16"/>
  <c r="H15" i="16"/>
  <c r="O15" i="16"/>
  <c r="G15" i="16"/>
  <c r="N15" i="16"/>
  <c r="F15" i="16"/>
  <c r="U15" i="16"/>
  <c r="M15" i="16"/>
  <c r="T15" i="16"/>
  <c r="L15" i="16"/>
  <c r="S15" i="16"/>
  <c r="K15" i="16"/>
  <c r="Q15" i="16"/>
  <c r="I15" i="16"/>
  <c r="R15" i="16"/>
  <c r="J15" i="16"/>
  <c r="Q15" i="11"/>
  <c r="I15" i="11"/>
  <c r="P15" i="11"/>
  <c r="H15" i="11"/>
  <c r="O15" i="11"/>
  <c r="G15" i="11"/>
  <c r="S15" i="11"/>
  <c r="K15" i="11"/>
  <c r="F15" i="11"/>
  <c r="U15" i="11"/>
  <c r="T15" i="11"/>
  <c r="R15" i="11"/>
  <c r="N15" i="11"/>
  <c r="M15" i="11"/>
  <c r="L15" i="11"/>
  <c r="J15" i="11"/>
  <c r="AI9" i="3"/>
  <c r="P3" i="11"/>
  <c r="H3" i="11"/>
  <c r="O3" i="11"/>
  <c r="G3" i="11"/>
  <c r="N3" i="11"/>
  <c r="F3" i="11"/>
  <c r="U3" i="11"/>
  <c r="M3" i="11"/>
  <c r="T3" i="11"/>
  <c r="L3" i="11"/>
  <c r="S3" i="11"/>
  <c r="K3" i="11"/>
  <c r="R3" i="11"/>
  <c r="Q3" i="11"/>
  <c r="I3" i="11"/>
  <c r="J3" i="11"/>
  <c r="P3" i="7"/>
  <c r="H3" i="7"/>
  <c r="O3" i="7"/>
  <c r="G3" i="7"/>
  <c r="N3" i="7"/>
  <c r="F3" i="7"/>
  <c r="U3" i="7"/>
  <c r="M3" i="7"/>
  <c r="T3" i="7"/>
  <c r="L3" i="7"/>
  <c r="R3" i="7"/>
  <c r="Q3" i="7"/>
  <c r="K3" i="7"/>
  <c r="J3" i="7"/>
  <c r="S3" i="7"/>
  <c r="I3" i="7"/>
  <c r="J10" i="18"/>
  <c r="T17" i="12"/>
  <c r="L17" i="12"/>
  <c r="S17" i="12"/>
  <c r="K17" i="12"/>
  <c r="R17" i="12"/>
  <c r="J17" i="12"/>
  <c r="Q17" i="12"/>
  <c r="I17" i="12"/>
  <c r="U17" i="12"/>
  <c r="M17" i="12"/>
  <c r="O17" i="12"/>
  <c r="N17" i="12"/>
  <c r="H17" i="12"/>
  <c r="G17" i="12"/>
  <c r="F17" i="12"/>
  <c r="P17" i="12"/>
  <c r="R13" i="17"/>
  <c r="J13" i="17"/>
  <c r="Q13" i="17"/>
  <c r="I13" i="17"/>
  <c r="P13" i="17"/>
  <c r="H13" i="17"/>
  <c r="O13" i="17"/>
  <c r="G13" i="17"/>
  <c r="N13" i="17"/>
  <c r="F13" i="17"/>
  <c r="U13" i="17"/>
  <c r="M13" i="17"/>
  <c r="S13" i="17"/>
  <c r="K13" i="17"/>
  <c r="T13" i="17"/>
  <c r="L13" i="17"/>
  <c r="D21" i="5" a="1"/>
  <c r="D21" i="5" s="1"/>
  <c r="E21" i="5" s="1"/>
  <c r="P13" i="9"/>
  <c r="H13" i="9"/>
  <c r="O13" i="9"/>
  <c r="G13" i="9"/>
  <c r="N13" i="9"/>
  <c r="F13" i="9"/>
  <c r="U13" i="9"/>
  <c r="M13" i="9"/>
  <c r="T13" i="9"/>
  <c r="L13" i="9"/>
  <c r="S13" i="9"/>
  <c r="K13" i="9"/>
  <c r="J13" i="9"/>
  <c r="I13" i="9"/>
  <c r="R13" i="9"/>
  <c r="Q13" i="9"/>
  <c r="R4" i="9"/>
  <c r="J4" i="9"/>
  <c r="Q4" i="9"/>
  <c r="I4" i="9"/>
  <c r="P4" i="9"/>
  <c r="H4" i="9"/>
  <c r="O4" i="9"/>
  <c r="G4" i="9"/>
  <c r="N4" i="9"/>
  <c r="F4" i="9"/>
  <c r="U4" i="9"/>
  <c r="M4" i="9"/>
  <c r="L4" i="9"/>
  <c r="K4" i="9"/>
  <c r="T4" i="9"/>
  <c r="S4" i="9"/>
  <c r="O15" i="19"/>
  <c r="G15" i="19"/>
  <c r="T15" i="19"/>
  <c r="L15" i="19"/>
  <c r="S15" i="19"/>
  <c r="I15" i="19"/>
  <c r="R15" i="19"/>
  <c r="H15" i="19"/>
  <c r="Q15" i="19"/>
  <c r="F15" i="19"/>
  <c r="P15" i="19"/>
  <c r="N15" i="19"/>
  <c r="M15" i="19"/>
  <c r="U15" i="19"/>
  <c r="J15" i="19"/>
  <c r="K15" i="19"/>
  <c r="O11" i="19"/>
  <c r="G11" i="19"/>
  <c r="T11" i="19"/>
  <c r="L11" i="19"/>
  <c r="Q11" i="19"/>
  <c r="F11" i="19"/>
  <c r="P11" i="19"/>
  <c r="N11" i="19"/>
  <c r="M11" i="19"/>
  <c r="K11" i="19"/>
  <c r="U11" i="19"/>
  <c r="J11" i="19"/>
  <c r="R11" i="19"/>
  <c r="H11" i="19"/>
  <c r="S11" i="19"/>
  <c r="I11" i="19"/>
  <c r="U4" i="18"/>
  <c r="H9" i="18"/>
  <c r="U9" i="18"/>
  <c r="T7" i="18"/>
  <c r="I7" i="18"/>
  <c r="L14" i="15"/>
  <c r="T2" i="10"/>
  <c r="L2" i="10"/>
  <c r="S2" i="10"/>
  <c r="K2" i="10"/>
  <c r="R2" i="10"/>
  <c r="J2" i="10"/>
  <c r="Q2" i="10"/>
  <c r="I2" i="10"/>
  <c r="P2" i="10"/>
  <c r="H2" i="10"/>
  <c r="O2" i="10"/>
  <c r="G2" i="10"/>
  <c r="F2" i="10"/>
  <c r="U2" i="10"/>
  <c r="N2" i="10"/>
  <c r="M2" i="10"/>
  <c r="P4" i="10"/>
  <c r="H4" i="10"/>
  <c r="O4" i="10"/>
  <c r="G4" i="10"/>
  <c r="N4" i="10"/>
  <c r="F4" i="10"/>
  <c r="U4" i="10"/>
  <c r="M4" i="10"/>
  <c r="T4" i="10"/>
  <c r="L4" i="10"/>
  <c r="S4" i="10"/>
  <c r="K4" i="10"/>
  <c r="R4" i="10"/>
  <c r="J4" i="10"/>
  <c r="I4" i="10"/>
  <c r="Q4" i="10"/>
  <c r="J31" i="31"/>
  <c r="J31" i="29"/>
  <c r="L15" i="18"/>
  <c r="H15" i="18"/>
  <c r="J14" i="18"/>
  <c r="H14" i="18"/>
  <c r="K12" i="18"/>
  <c r="S12" i="18"/>
  <c r="U8" i="18"/>
  <c r="Q8" i="18"/>
  <c r="J31" i="33"/>
  <c r="G2" i="15"/>
  <c r="Q2" i="15"/>
  <c r="R4" i="15"/>
  <c r="U4" i="15"/>
  <c r="T11" i="14"/>
  <c r="L11" i="14"/>
  <c r="S11" i="14"/>
  <c r="K11" i="14"/>
  <c r="R11" i="14"/>
  <c r="J11" i="14"/>
  <c r="Q11" i="14"/>
  <c r="I11" i="14"/>
  <c r="P11" i="14"/>
  <c r="H11" i="14"/>
  <c r="U11" i="14"/>
  <c r="M11" i="14"/>
  <c r="O11" i="14"/>
  <c r="N11" i="14"/>
  <c r="G11" i="14"/>
  <c r="F11" i="14"/>
  <c r="N2" i="14"/>
  <c r="F2" i="14"/>
  <c r="U2" i="14"/>
  <c r="M2" i="14"/>
  <c r="T2" i="14"/>
  <c r="L2" i="14"/>
  <c r="S2" i="14"/>
  <c r="K2" i="14"/>
  <c r="R2" i="14"/>
  <c r="J2" i="14"/>
  <c r="O2" i="14"/>
  <c r="G2" i="14"/>
  <c r="H2" i="14"/>
  <c r="Q2" i="14"/>
  <c r="P2" i="14"/>
  <c r="I2" i="14"/>
  <c r="F13" i="18"/>
  <c r="T13" i="18"/>
  <c r="N6" i="18"/>
  <c r="T6" i="18"/>
  <c r="H17" i="18"/>
  <c r="N17" i="18"/>
  <c r="H17" i="15"/>
  <c r="K17" i="15"/>
  <c r="F6" i="15"/>
  <c r="I6" i="15"/>
  <c r="M2" i="18"/>
  <c r="T2" i="18"/>
  <c r="T6" i="6"/>
  <c r="L6" i="6"/>
  <c r="S6" i="6"/>
  <c r="K6" i="6"/>
  <c r="R6" i="6"/>
  <c r="J6" i="6"/>
  <c r="Q6" i="6"/>
  <c r="I6" i="6"/>
  <c r="P6" i="6"/>
  <c r="H6" i="6"/>
  <c r="M6" i="6"/>
  <c r="G6" i="6"/>
  <c r="F6" i="6"/>
  <c r="U6" i="6"/>
  <c r="O6" i="6"/>
  <c r="N6" i="6"/>
  <c r="T14" i="6"/>
  <c r="L14" i="6"/>
  <c r="S14" i="6"/>
  <c r="K14" i="6"/>
  <c r="R14" i="6"/>
  <c r="J14" i="6"/>
  <c r="Q14" i="6"/>
  <c r="I14" i="6"/>
  <c r="P14" i="6"/>
  <c r="H14" i="6"/>
  <c r="O14" i="6"/>
  <c r="N14" i="6"/>
  <c r="M14" i="6"/>
  <c r="G14" i="6"/>
  <c r="U14" i="6"/>
  <c r="F14" i="6"/>
  <c r="R6" i="16"/>
  <c r="J6" i="16"/>
  <c r="Q6" i="16"/>
  <c r="I6" i="16"/>
  <c r="P6" i="16"/>
  <c r="H6" i="16"/>
  <c r="O6" i="16"/>
  <c r="G6" i="16"/>
  <c r="N6" i="16"/>
  <c r="F6" i="16"/>
  <c r="U6" i="16"/>
  <c r="M6" i="16"/>
  <c r="S6" i="16"/>
  <c r="K6" i="16"/>
  <c r="T6" i="16"/>
  <c r="L6" i="16"/>
  <c r="N4" i="16"/>
  <c r="F4" i="16"/>
  <c r="U4" i="16"/>
  <c r="M4" i="16"/>
  <c r="T4" i="16"/>
  <c r="L4" i="16"/>
  <c r="S4" i="16"/>
  <c r="K4" i="16"/>
  <c r="R4" i="16"/>
  <c r="J4" i="16"/>
  <c r="Q4" i="16"/>
  <c r="I4" i="16"/>
  <c r="O4" i="16"/>
  <c r="G4" i="16"/>
  <c r="P4" i="16"/>
  <c r="H4" i="16"/>
  <c r="R17" i="13"/>
  <c r="J17" i="13"/>
  <c r="Q17" i="13"/>
  <c r="I17" i="13"/>
  <c r="P17" i="13"/>
  <c r="H17" i="13"/>
  <c r="O17" i="13"/>
  <c r="G17" i="13"/>
  <c r="N17" i="13"/>
  <c r="F17" i="13"/>
  <c r="S17" i="13"/>
  <c r="K17" i="13"/>
  <c r="U17" i="13"/>
  <c r="T17" i="13"/>
  <c r="M17" i="13"/>
  <c r="L17" i="13"/>
  <c r="P6" i="13"/>
  <c r="H6" i="13"/>
  <c r="O6" i="13"/>
  <c r="G6" i="13"/>
  <c r="N6" i="13"/>
  <c r="F6" i="13"/>
  <c r="U6" i="13"/>
  <c r="M6" i="13"/>
  <c r="T6" i="13"/>
  <c r="L6" i="13"/>
  <c r="Q6" i="13"/>
  <c r="I6" i="13"/>
  <c r="K6" i="13"/>
  <c r="J6" i="13"/>
  <c r="S6" i="13"/>
  <c r="R6" i="13"/>
  <c r="S3" i="18"/>
  <c r="I3" i="18"/>
  <c r="L11" i="18"/>
  <c r="I11" i="18"/>
  <c r="R13" i="15"/>
  <c r="N13" i="15"/>
  <c r="P10" i="15"/>
  <c r="T10" i="15"/>
  <c r="C21" i="5" a="1"/>
  <c r="C21" i="5" s="1"/>
  <c r="B21" i="5" a="1"/>
  <c r="B21" i="5" s="1"/>
  <c r="P21" i="5" a="1"/>
  <c r="P21" i="5" s="1"/>
  <c r="Q21" i="5" s="1"/>
  <c r="U11" i="20"/>
  <c r="M11" i="20"/>
  <c r="R11" i="20"/>
  <c r="J11" i="20"/>
  <c r="P11" i="20"/>
  <c r="F11" i="20"/>
  <c r="O11" i="20"/>
  <c r="N11" i="20"/>
  <c r="L11" i="20"/>
  <c r="K11" i="20"/>
  <c r="T11" i="20"/>
  <c r="I11" i="20"/>
  <c r="Q11" i="20"/>
  <c r="G11" i="20"/>
  <c r="S11" i="20"/>
  <c r="H11" i="20"/>
  <c r="U3" i="20"/>
  <c r="M3" i="20"/>
  <c r="R3" i="20"/>
  <c r="J3" i="20"/>
  <c r="K3" i="20"/>
  <c r="T3" i="20"/>
  <c r="I3" i="20"/>
  <c r="S3" i="20"/>
  <c r="H3" i="20"/>
  <c r="Q3" i="20"/>
  <c r="G3" i="20"/>
  <c r="P3" i="20"/>
  <c r="F3" i="20"/>
  <c r="O3" i="20"/>
  <c r="L3" i="20"/>
  <c r="N3" i="20"/>
  <c r="O5" i="18"/>
  <c r="R5" i="18"/>
  <c r="T16" i="8"/>
  <c r="L16" i="8"/>
  <c r="S16" i="8"/>
  <c r="K16" i="8"/>
  <c r="R16" i="8"/>
  <c r="J16" i="8"/>
  <c r="Q16" i="8"/>
  <c r="I16" i="8"/>
  <c r="P16" i="8"/>
  <c r="H16" i="8"/>
  <c r="O16" i="8"/>
  <c r="G16" i="8"/>
  <c r="F16" i="8"/>
  <c r="U16" i="8"/>
  <c r="N16" i="8"/>
  <c r="M16" i="8"/>
  <c r="N3" i="8"/>
  <c r="F3" i="8"/>
  <c r="U3" i="8"/>
  <c r="M3" i="8"/>
  <c r="T3" i="8"/>
  <c r="L3" i="8"/>
  <c r="S3" i="8"/>
  <c r="K3" i="8"/>
  <c r="R3" i="8"/>
  <c r="J3" i="8"/>
  <c r="Q3" i="8"/>
  <c r="I3" i="8"/>
  <c r="P3" i="8"/>
  <c r="O3" i="8"/>
  <c r="H3" i="8"/>
  <c r="G3" i="8"/>
  <c r="I5" i="15"/>
  <c r="M5" i="15"/>
  <c r="AI11" i="3"/>
  <c r="P7" i="11"/>
  <c r="H7" i="11"/>
  <c r="O7" i="11"/>
  <c r="G7" i="11"/>
  <c r="N7" i="11"/>
  <c r="F7" i="11"/>
  <c r="U7" i="11"/>
  <c r="M7" i="11"/>
  <c r="T7" i="11"/>
  <c r="L7" i="11"/>
  <c r="S7" i="11"/>
  <c r="K7" i="11"/>
  <c r="R7" i="11"/>
  <c r="Q7" i="11"/>
  <c r="J7" i="11"/>
  <c r="I7" i="11"/>
  <c r="O3" i="12"/>
  <c r="G3" i="12"/>
  <c r="N3" i="12"/>
  <c r="F3" i="12"/>
  <c r="U3" i="12"/>
  <c r="M3" i="12"/>
  <c r="Q3" i="12"/>
  <c r="I3" i="12"/>
  <c r="S3" i="12"/>
  <c r="R3" i="12"/>
  <c r="P3" i="12"/>
  <c r="L3" i="12"/>
  <c r="K3" i="12"/>
  <c r="J3" i="12"/>
  <c r="T3" i="12"/>
  <c r="H3" i="12"/>
  <c r="F32" i="31"/>
  <c r="AH23" i="3" s="1"/>
  <c r="AI24" i="3"/>
  <c r="AB21" i="5" a="1"/>
  <c r="AB21" i="5" s="1"/>
  <c r="AC21" i="5" s="1"/>
  <c r="M28" i="2"/>
  <c r="AO23" i="3"/>
  <c r="AB28" i="2" s="1"/>
  <c r="AK23" i="3"/>
  <c r="W28" i="2" s="1"/>
  <c r="P15" i="18"/>
  <c r="AI15" i="3"/>
  <c r="P6" i="18"/>
  <c r="N12" i="16"/>
  <c r="F12" i="16"/>
  <c r="U12" i="16"/>
  <c r="M12" i="16"/>
  <c r="T12" i="16"/>
  <c r="L12" i="16"/>
  <c r="S12" i="16"/>
  <c r="K12" i="16"/>
  <c r="R12" i="16"/>
  <c r="J12" i="16"/>
  <c r="Q12" i="16"/>
  <c r="I12" i="16"/>
  <c r="O12" i="16"/>
  <c r="G12" i="16"/>
  <c r="P12" i="16"/>
  <c r="H12" i="16"/>
  <c r="T8" i="13"/>
  <c r="L8" i="13"/>
  <c r="S8" i="13"/>
  <c r="K8" i="13"/>
  <c r="R8" i="13"/>
  <c r="J8" i="13"/>
  <c r="Q8" i="13"/>
  <c r="I8" i="13"/>
  <c r="P8" i="13"/>
  <c r="H8" i="13"/>
  <c r="U8" i="13"/>
  <c r="M8" i="13"/>
  <c r="G8" i="13"/>
  <c r="F8" i="13"/>
  <c r="N8" i="13"/>
  <c r="O8" i="13"/>
  <c r="N11" i="13"/>
  <c r="F11" i="13"/>
  <c r="U11" i="13"/>
  <c r="M11" i="13"/>
  <c r="T11" i="13"/>
  <c r="L11" i="13"/>
  <c r="S11" i="13"/>
  <c r="K11" i="13"/>
  <c r="R11" i="13"/>
  <c r="J11" i="13"/>
  <c r="O11" i="13"/>
  <c r="G11" i="13"/>
  <c r="Q11" i="13"/>
  <c r="P11" i="13"/>
  <c r="I11" i="13"/>
  <c r="H11" i="13"/>
  <c r="S10" i="11"/>
  <c r="K10" i="11"/>
  <c r="R10" i="11"/>
  <c r="J10" i="11"/>
  <c r="U10" i="11"/>
  <c r="M10" i="11"/>
  <c r="Q10" i="11"/>
  <c r="F10" i="11"/>
  <c r="P10" i="11"/>
  <c r="O10" i="11"/>
  <c r="N10" i="11"/>
  <c r="L10" i="11"/>
  <c r="I10" i="11"/>
  <c r="T10" i="11"/>
  <c r="H10" i="11"/>
  <c r="G10" i="11"/>
  <c r="R2" i="11"/>
  <c r="J2" i="11"/>
  <c r="Q2" i="11"/>
  <c r="I2" i="11"/>
  <c r="P2" i="11"/>
  <c r="H2" i="11"/>
  <c r="O2" i="11"/>
  <c r="G2" i="11"/>
  <c r="N2" i="11"/>
  <c r="F2" i="11"/>
  <c r="U2" i="11"/>
  <c r="M2" i="11"/>
  <c r="T2" i="11"/>
  <c r="S2" i="11"/>
  <c r="L2" i="11"/>
  <c r="K2" i="11"/>
  <c r="R2" i="7"/>
  <c r="J2" i="7"/>
  <c r="Q2" i="7"/>
  <c r="I2" i="7"/>
  <c r="P2" i="7"/>
  <c r="H2" i="7"/>
  <c r="O2" i="7"/>
  <c r="G2" i="7"/>
  <c r="N2" i="7"/>
  <c r="F2" i="7"/>
  <c r="T2" i="7"/>
  <c r="S2" i="7"/>
  <c r="M2" i="7"/>
  <c r="L2" i="7"/>
  <c r="K2" i="7"/>
  <c r="U2" i="7"/>
  <c r="N12" i="12"/>
  <c r="F12" i="12"/>
  <c r="U12" i="12"/>
  <c r="M12" i="12"/>
  <c r="T12" i="12"/>
  <c r="L12" i="12"/>
  <c r="S12" i="12"/>
  <c r="K12" i="12"/>
  <c r="O12" i="12"/>
  <c r="G12" i="12"/>
  <c r="R12" i="12"/>
  <c r="Q12" i="12"/>
  <c r="P12" i="12"/>
  <c r="J12" i="12"/>
  <c r="I12" i="12"/>
  <c r="H12" i="12"/>
  <c r="P6" i="17"/>
  <c r="H6" i="17"/>
  <c r="O6" i="17"/>
  <c r="G6" i="17"/>
  <c r="N6" i="17"/>
  <c r="F6" i="17"/>
  <c r="U6" i="17"/>
  <c r="M6" i="17"/>
  <c r="T6" i="17"/>
  <c r="L6" i="17"/>
  <c r="S6" i="17"/>
  <c r="K6" i="17"/>
  <c r="Q6" i="17"/>
  <c r="I6" i="17"/>
  <c r="R6" i="17"/>
  <c r="J6" i="17"/>
  <c r="J31" i="24"/>
  <c r="O12" i="11"/>
  <c r="G12" i="11"/>
  <c r="N12" i="11"/>
  <c r="F12" i="11"/>
  <c r="U12" i="11"/>
  <c r="M12" i="11"/>
  <c r="Q12" i="11"/>
  <c r="I12" i="11"/>
  <c r="L12" i="11"/>
  <c r="K12" i="11"/>
  <c r="J12" i="11"/>
  <c r="H12" i="11"/>
  <c r="T12" i="11"/>
  <c r="S12" i="11"/>
  <c r="R12" i="11"/>
  <c r="P12" i="11"/>
  <c r="U9" i="11"/>
  <c r="M9" i="11"/>
  <c r="T9" i="11"/>
  <c r="L9" i="11"/>
  <c r="K9" i="11"/>
  <c r="S9" i="11"/>
  <c r="J9" i="11"/>
  <c r="R9" i="11"/>
  <c r="I9" i="11"/>
  <c r="Q9" i="11"/>
  <c r="H9" i="11"/>
  <c r="P9" i="11"/>
  <c r="G9" i="11"/>
  <c r="O9" i="11"/>
  <c r="N9" i="11"/>
  <c r="F9" i="11"/>
  <c r="N8" i="7"/>
  <c r="F8" i="7"/>
  <c r="U8" i="7"/>
  <c r="M8" i="7"/>
  <c r="T8" i="7"/>
  <c r="L8" i="7"/>
  <c r="S8" i="7"/>
  <c r="K8" i="7"/>
  <c r="R8" i="7"/>
  <c r="J8" i="7"/>
  <c r="Q8" i="7"/>
  <c r="O8" i="7"/>
  <c r="I8" i="7"/>
  <c r="H8" i="7"/>
  <c r="G8" i="7"/>
  <c r="P8" i="7"/>
  <c r="N16" i="7"/>
  <c r="F16" i="7"/>
  <c r="U16" i="7"/>
  <c r="M16" i="7"/>
  <c r="T16" i="7"/>
  <c r="L16" i="7"/>
  <c r="S16" i="7"/>
  <c r="K16" i="7"/>
  <c r="R16" i="7"/>
  <c r="J16" i="7"/>
  <c r="Q16" i="7"/>
  <c r="I16" i="7"/>
  <c r="P16" i="7"/>
  <c r="H16" i="7"/>
  <c r="G16" i="7"/>
  <c r="O16" i="7"/>
  <c r="F10" i="18"/>
  <c r="U10" i="18"/>
  <c r="P16" i="18"/>
  <c r="J16" i="18"/>
  <c r="L11" i="15"/>
  <c r="J12" i="15"/>
  <c r="J8" i="15"/>
  <c r="AI21" i="3"/>
  <c r="P11" i="12"/>
  <c r="H11" i="12"/>
  <c r="O11" i="12"/>
  <c r="G11" i="12"/>
  <c r="N11" i="12"/>
  <c r="F11" i="12"/>
  <c r="U11" i="12"/>
  <c r="M11" i="12"/>
  <c r="Q11" i="12"/>
  <c r="I11" i="12"/>
  <c r="R11" i="12"/>
  <c r="L11" i="12"/>
  <c r="K11" i="12"/>
  <c r="J11" i="12"/>
  <c r="T11" i="12"/>
  <c r="S11" i="12"/>
  <c r="P15" i="12"/>
  <c r="H15" i="12"/>
  <c r="O15" i="12"/>
  <c r="G15" i="12"/>
  <c r="N15" i="12"/>
  <c r="F15" i="12"/>
  <c r="U15" i="12"/>
  <c r="M15" i="12"/>
  <c r="Q15" i="12"/>
  <c r="I15" i="12"/>
  <c r="J15" i="12"/>
  <c r="T15" i="12"/>
  <c r="S15" i="12"/>
  <c r="R15" i="12"/>
  <c r="L15" i="12"/>
  <c r="K15" i="12"/>
  <c r="T12" i="17"/>
  <c r="L12" i="17"/>
  <c r="S12" i="17"/>
  <c r="K12" i="17"/>
  <c r="R12" i="17"/>
  <c r="J12" i="17"/>
  <c r="Q12" i="17"/>
  <c r="I12" i="17"/>
  <c r="P12" i="17"/>
  <c r="H12" i="17"/>
  <c r="O12" i="17"/>
  <c r="G12" i="17"/>
  <c r="U12" i="17"/>
  <c r="M12" i="17"/>
  <c r="N12" i="17"/>
  <c r="F12" i="17"/>
  <c r="N3" i="17"/>
  <c r="F3" i="17"/>
  <c r="U3" i="17"/>
  <c r="M3" i="17"/>
  <c r="T3" i="17"/>
  <c r="L3" i="17"/>
  <c r="S3" i="17"/>
  <c r="K3" i="17"/>
  <c r="R3" i="17"/>
  <c r="J3" i="17"/>
  <c r="Q3" i="17"/>
  <c r="I3" i="17"/>
  <c r="O3" i="17"/>
  <c r="G3" i="17"/>
  <c r="P3" i="17"/>
  <c r="H3" i="17"/>
  <c r="P9" i="9"/>
  <c r="H9" i="9"/>
  <c r="O9" i="9"/>
  <c r="G9" i="9"/>
  <c r="N9" i="9"/>
  <c r="F9" i="9"/>
  <c r="U9" i="9"/>
  <c r="M9" i="9"/>
  <c r="T9" i="9"/>
  <c r="L9" i="9"/>
  <c r="S9" i="9"/>
  <c r="K9" i="9"/>
  <c r="R9" i="9"/>
  <c r="Q9" i="9"/>
  <c r="J9" i="9"/>
  <c r="I9" i="9"/>
  <c r="R8" i="9"/>
  <c r="J8" i="9"/>
  <c r="Q8" i="9"/>
  <c r="I8" i="9"/>
  <c r="P8" i="9"/>
  <c r="H8" i="9"/>
  <c r="O8" i="9"/>
  <c r="G8" i="9"/>
  <c r="N8" i="9"/>
  <c r="F8" i="9"/>
  <c r="U8" i="9"/>
  <c r="M8" i="9"/>
  <c r="S8" i="9"/>
  <c r="L8" i="9"/>
  <c r="T8" i="9"/>
  <c r="K8" i="9"/>
  <c r="Q10" i="19"/>
  <c r="I10" i="19"/>
  <c r="N10" i="19"/>
  <c r="F10" i="19"/>
  <c r="M10" i="19"/>
  <c r="L10" i="19"/>
  <c r="U10" i="19"/>
  <c r="K10" i="19"/>
  <c r="T10" i="19"/>
  <c r="J10" i="19"/>
  <c r="S10" i="19"/>
  <c r="H10" i="19"/>
  <c r="R10" i="19"/>
  <c r="G10" i="19"/>
  <c r="O10" i="19"/>
  <c r="P10" i="19"/>
  <c r="S5" i="19"/>
  <c r="K5" i="19"/>
  <c r="P5" i="19"/>
  <c r="H5" i="19"/>
  <c r="R5" i="19"/>
  <c r="G5" i="19"/>
  <c r="Q5" i="19"/>
  <c r="F5" i="19"/>
  <c r="O5" i="19"/>
  <c r="N5" i="19"/>
  <c r="M5" i="19"/>
  <c r="L5" i="19"/>
  <c r="T5" i="19"/>
  <c r="I5" i="19"/>
  <c r="U5" i="19"/>
  <c r="J5" i="19"/>
  <c r="H4" i="18"/>
  <c r="K4" i="18"/>
  <c r="N9" i="18"/>
  <c r="S9" i="18"/>
  <c r="L7" i="15"/>
  <c r="K7" i="18"/>
  <c r="Q7" i="18"/>
  <c r="H15" i="15"/>
  <c r="R3" i="10"/>
  <c r="J3" i="10"/>
  <c r="Q3" i="10"/>
  <c r="I3" i="10"/>
  <c r="P3" i="10"/>
  <c r="H3" i="10"/>
  <c r="O3" i="10"/>
  <c r="G3" i="10"/>
  <c r="N3" i="10"/>
  <c r="F3" i="10"/>
  <c r="U3" i="10"/>
  <c r="M3" i="10"/>
  <c r="S3" i="10"/>
  <c r="L3" i="10"/>
  <c r="K3" i="10"/>
  <c r="T3" i="10"/>
  <c r="N17" i="10"/>
  <c r="F17" i="10"/>
  <c r="U17" i="10"/>
  <c r="M17" i="10"/>
  <c r="T17" i="10"/>
  <c r="L17" i="10"/>
  <c r="S17" i="10"/>
  <c r="K17" i="10"/>
  <c r="R17" i="10"/>
  <c r="J17" i="10"/>
  <c r="Q17" i="10"/>
  <c r="I17" i="10"/>
  <c r="P17" i="10"/>
  <c r="O17" i="10"/>
  <c r="H17" i="10"/>
  <c r="G17" i="10"/>
  <c r="K15" i="18"/>
  <c r="S15" i="18"/>
  <c r="AI17" i="3"/>
  <c r="U14" i="18"/>
  <c r="P14" i="18"/>
  <c r="N12" i="18"/>
  <c r="J12" i="18"/>
  <c r="I8" i="18"/>
  <c r="H8" i="18"/>
  <c r="AI5" i="3"/>
  <c r="N2" i="15"/>
  <c r="J2" i="15"/>
  <c r="I4" i="15"/>
  <c r="F4" i="15"/>
  <c r="T7" i="14"/>
  <c r="L7" i="14"/>
  <c r="S7" i="14"/>
  <c r="K7" i="14"/>
  <c r="R7" i="14"/>
  <c r="J7" i="14"/>
  <c r="Q7" i="14"/>
  <c r="I7" i="14"/>
  <c r="P7" i="14"/>
  <c r="H7" i="14"/>
  <c r="U7" i="14"/>
  <c r="M7" i="14"/>
  <c r="F7" i="14"/>
  <c r="O7" i="14"/>
  <c r="N7" i="14"/>
  <c r="G7" i="14"/>
  <c r="N6" i="14"/>
  <c r="F6" i="14"/>
  <c r="U6" i="14"/>
  <c r="M6" i="14"/>
  <c r="T6" i="14"/>
  <c r="L6" i="14"/>
  <c r="S6" i="14"/>
  <c r="K6" i="14"/>
  <c r="R6" i="14"/>
  <c r="J6" i="14"/>
  <c r="O6" i="14"/>
  <c r="G6" i="14"/>
  <c r="Q6" i="14"/>
  <c r="P6" i="14"/>
  <c r="I6" i="14"/>
  <c r="H6" i="14"/>
  <c r="P13" i="18"/>
  <c r="K13" i="18"/>
  <c r="M6" i="18"/>
  <c r="J6" i="18"/>
  <c r="S17" i="18"/>
  <c r="O17" i="18"/>
  <c r="P17" i="15"/>
  <c r="S17" i="15"/>
  <c r="N6" i="15"/>
  <c r="Q6" i="15"/>
  <c r="F32" i="23"/>
  <c r="AH8" i="3" s="1"/>
  <c r="AI8" i="3"/>
  <c r="N2" i="18"/>
  <c r="R7" i="6"/>
  <c r="J7" i="6"/>
  <c r="Q7" i="6"/>
  <c r="I7" i="6"/>
  <c r="P7" i="6"/>
  <c r="H7" i="6"/>
  <c r="O7" i="6"/>
  <c r="G7" i="6"/>
  <c r="N7" i="6"/>
  <c r="F7" i="6"/>
  <c r="M7" i="6"/>
  <c r="L7" i="6"/>
  <c r="K7" i="6"/>
  <c r="U7" i="6"/>
  <c r="T7" i="6"/>
  <c r="S7" i="6"/>
  <c r="R15" i="6"/>
  <c r="J15" i="6"/>
  <c r="Q15" i="6"/>
  <c r="I15" i="6"/>
  <c r="P15" i="6"/>
  <c r="H15" i="6"/>
  <c r="O15" i="6"/>
  <c r="G15" i="6"/>
  <c r="N15" i="6"/>
  <c r="F15" i="6"/>
  <c r="T15" i="6"/>
  <c r="S15" i="6"/>
  <c r="M15" i="6"/>
  <c r="L15" i="6"/>
  <c r="U15" i="6"/>
  <c r="K15" i="6"/>
  <c r="T13" i="16"/>
  <c r="L13" i="16"/>
  <c r="S13" i="16"/>
  <c r="K13" i="16"/>
  <c r="R13" i="16"/>
  <c r="J13" i="16"/>
  <c r="Q13" i="16"/>
  <c r="I13" i="16"/>
  <c r="P13" i="16"/>
  <c r="H13" i="16"/>
  <c r="O13" i="16"/>
  <c r="G13" i="16"/>
  <c r="U13" i="16"/>
  <c r="M13" i="16"/>
  <c r="N13" i="16"/>
  <c r="F13" i="16"/>
  <c r="R14" i="16"/>
  <c r="J14" i="16"/>
  <c r="Q14" i="16"/>
  <c r="I14" i="16"/>
  <c r="P14" i="16"/>
  <c r="H14" i="16"/>
  <c r="O14" i="16"/>
  <c r="G14" i="16"/>
  <c r="N14" i="16"/>
  <c r="F14" i="16"/>
  <c r="U14" i="16"/>
  <c r="M14" i="16"/>
  <c r="S14" i="16"/>
  <c r="K14" i="16"/>
  <c r="T14" i="16"/>
  <c r="L14" i="16"/>
  <c r="R13" i="13"/>
  <c r="J13" i="13"/>
  <c r="Q13" i="13"/>
  <c r="I13" i="13"/>
  <c r="P13" i="13"/>
  <c r="H13" i="13"/>
  <c r="O13" i="13"/>
  <c r="G13" i="13"/>
  <c r="N13" i="13"/>
  <c r="F13" i="13"/>
  <c r="S13" i="13"/>
  <c r="K13" i="13"/>
  <c r="M13" i="13"/>
  <c r="L13" i="13"/>
  <c r="U13" i="13"/>
  <c r="T13" i="13"/>
  <c r="P10" i="13"/>
  <c r="H10" i="13"/>
  <c r="O10" i="13"/>
  <c r="G10" i="13"/>
  <c r="N10" i="13"/>
  <c r="F10" i="13"/>
  <c r="U10" i="13"/>
  <c r="M10" i="13"/>
  <c r="T10" i="13"/>
  <c r="L10" i="13"/>
  <c r="Q10" i="13"/>
  <c r="I10" i="13"/>
  <c r="S10" i="13"/>
  <c r="R10" i="13"/>
  <c r="K10" i="13"/>
  <c r="J10" i="13"/>
  <c r="J3" i="18"/>
  <c r="Q3" i="18"/>
  <c r="M11" i="18"/>
  <c r="Q11" i="18"/>
  <c r="K13" i="15"/>
  <c r="F10" i="15"/>
  <c r="S8" i="20"/>
  <c r="K8" i="20"/>
  <c r="P8" i="20"/>
  <c r="H8" i="20"/>
  <c r="Q8" i="20"/>
  <c r="F8" i="20"/>
  <c r="O8" i="20"/>
  <c r="N8" i="20"/>
  <c r="M8" i="20"/>
  <c r="L8" i="20"/>
  <c r="U8" i="20"/>
  <c r="J8" i="20"/>
  <c r="R8" i="20"/>
  <c r="G8" i="20"/>
  <c r="T8" i="20"/>
  <c r="I8" i="20"/>
  <c r="S4" i="20"/>
  <c r="K4" i="20"/>
  <c r="P4" i="20"/>
  <c r="H4" i="20"/>
  <c r="N4" i="20"/>
  <c r="M4" i="20"/>
  <c r="L4" i="20"/>
  <c r="U4" i="20"/>
  <c r="J4" i="20"/>
  <c r="T4" i="20"/>
  <c r="I4" i="20"/>
  <c r="R4" i="20"/>
  <c r="G4" i="20"/>
  <c r="O4" i="20"/>
  <c r="Q4" i="20"/>
  <c r="F4" i="20"/>
  <c r="F5" i="18"/>
  <c r="M5" i="18"/>
  <c r="R9" i="8"/>
  <c r="J9" i="8"/>
  <c r="Q9" i="8"/>
  <c r="I9" i="8"/>
  <c r="P9" i="8"/>
  <c r="H9" i="8"/>
  <c r="O9" i="8"/>
  <c r="G9" i="8"/>
  <c r="N9" i="8"/>
  <c r="F9" i="8"/>
  <c r="U9" i="8"/>
  <c r="M9" i="8"/>
  <c r="S9" i="8"/>
  <c r="L9" i="8"/>
  <c r="T9" i="8"/>
  <c r="K9" i="8"/>
  <c r="N7" i="8"/>
  <c r="F7" i="8"/>
  <c r="U7" i="8"/>
  <c r="M7" i="8"/>
  <c r="T7" i="8"/>
  <c r="L7" i="8"/>
  <c r="S7" i="8"/>
  <c r="K7" i="8"/>
  <c r="R7" i="8"/>
  <c r="J7" i="8"/>
  <c r="Q7" i="8"/>
  <c r="I7" i="8"/>
  <c r="H7" i="8"/>
  <c r="G7" i="8"/>
  <c r="P7" i="8"/>
  <c r="O7" i="8"/>
  <c r="Q5" i="15"/>
  <c r="U5" i="15"/>
  <c r="U13" i="11"/>
  <c r="M13" i="11"/>
  <c r="T13" i="11"/>
  <c r="L13" i="11"/>
  <c r="S13" i="11"/>
  <c r="K13" i="11"/>
  <c r="O13" i="11"/>
  <c r="G13" i="11"/>
  <c r="J13" i="11"/>
  <c r="I13" i="11"/>
  <c r="H13" i="11"/>
  <c r="F13" i="11"/>
  <c r="R13" i="11"/>
  <c r="Q13" i="11"/>
  <c r="P13" i="11"/>
  <c r="N13" i="11"/>
  <c r="P7" i="7"/>
  <c r="H7" i="7"/>
  <c r="O7" i="7"/>
  <c r="G7" i="7"/>
  <c r="N7" i="7"/>
  <c r="F7" i="7"/>
  <c r="U7" i="7"/>
  <c r="M7" i="7"/>
  <c r="T7" i="7"/>
  <c r="L7" i="7"/>
  <c r="J7" i="7"/>
  <c r="I7" i="7"/>
  <c r="R7" i="7"/>
  <c r="Q7" i="7"/>
  <c r="S7" i="7"/>
  <c r="K7" i="7"/>
  <c r="N15" i="17"/>
  <c r="F15" i="17"/>
  <c r="U15" i="17"/>
  <c r="M15" i="17"/>
  <c r="T15" i="17"/>
  <c r="L15" i="17"/>
  <c r="S15" i="17"/>
  <c r="K15" i="17"/>
  <c r="R15" i="17"/>
  <c r="J15" i="17"/>
  <c r="Q15" i="17"/>
  <c r="I15" i="17"/>
  <c r="O15" i="17"/>
  <c r="G15" i="17"/>
  <c r="P15" i="17"/>
  <c r="H15" i="17"/>
  <c r="P11" i="7"/>
  <c r="H11" i="7"/>
  <c r="O11" i="7"/>
  <c r="G11" i="7"/>
  <c r="N11" i="7"/>
  <c r="F11" i="7"/>
  <c r="U11" i="7"/>
  <c r="M11" i="7"/>
  <c r="T11" i="7"/>
  <c r="L11" i="7"/>
  <c r="S11" i="7"/>
  <c r="K11" i="7"/>
  <c r="R11" i="7"/>
  <c r="Q11" i="7"/>
  <c r="J11" i="7"/>
  <c r="I11" i="7"/>
  <c r="U8" i="19"/>
  <c r="M8" i="19"/>
  <c r="R8" i="19"/>
  <c r="J8" i="19"/>
  <c r="Q8" i="19"/>
  <c r="G8" i="19"/>
  <c r="P8" i="19"/>
  <c r="F8" i="19"/>
  <c r="O8" i="19"/>
  <c r="N8" i="19"/>
  <c r="L8" i="19"/>
  <c r="K8" i="19"/>
  <c r="S8" i="19"/>
  <c r="H8" i="19"/>
  <c r="I8" i="19"/>
  <c r="T8" i="19"/>
  <c r="F32" i="32"/>
  <c r="AH26" i="3" s="1"/>
  <c r="AI26" i="3"/>
  <c r="J9" i="18"/>
  <c r="N13" i="10"/>
  <c r="F13" i="10"/>
  <c r="U13" i="10"/>
  <c r="M13" i="10"/>
  <c r="T13" i="10"/>
  <c r="L13" i="10"/>
  <c r="S13" i="10"/>
  <c r="K13" i="10"/>
  <c r="R13" i="10"/>
  <c r="J13" i="10"/>
  <c r="Q13" i="10"/>
  <c r="I13" i="10"/>
  <c r="P13" i="10"/>
  <c r="H13" i="10"/>
  <c r="G13" i="10"/>
  <c r="O13" i="10"/>
  <c r="T9" i="7"/>
  <c r="L9" i="7"/>
  <c r="S9" i="7"/>
  <c r="K9" i="7"/>
  <c r="R9" i="7"/>
  <c r="J9" i="7"/>
  <c r="Q9" i="7"/>
  <c r="I9" i="7"/>
  <c r="P9" i="7"/>
  <c r="H9" i="7"/>
  <c r="O9" i="7"/>
  <c r="G9" i="7"/>
  <c r="U9" i="7"/>
  <c r="N9" i="7"/>
  <c r="F9" i="7"/>
  <c r="M9" i="7"/>
  <c r="T5" i="12"/>
  <c r="L5" i="12"/>
  <c r="S5" i="12"/>
  <c r="K5" i="12"/>
  <c r="R5" i="12"/>
  <c r="J5" i="12"/>
  <c r="Q5" i="12"/>
  <c r="I5" i="12"/>
  <c r="U5" i="12"/>
  <c r="M5" i="12"/>
  <c r="P5" i="12"/>
  <c r="O5" i="12"/>
  <c r="N5" i="12"/>
  <c r="H5" i="12"/>
  <c r="G5" i="12"/>
  <c r="F5" i="12"/>
  <c r="U4" i="12"/>
  <c r="M4" i="12"/>
  <c r="T4" i="12"/>
  <c r="L4" i="12"/>
  <c r="S4" i="12"/>
  <c r="K4" i="12"/>
  <c r="O4" i="12"/>
  <c r="G4" i="12"/>
  <c r="Q4" i="12"/>
  <c r="P4" i="12"/>
  <c r="N4" i="12"/>
  <c r="J4" i="12"/>
  <c r="I4" i="12"/>
  <c r="H4" i="12"/>
  <c r="R4" i="12"/>
  <c r="F4" i="12"/>
  <c r="R17" i="17"/>
  <c r="J17" i="17"/>
  <c r="Q17" i="17"/>
  <c r="I17" i="17"/>
  <c r="P17" i="17"/>
  <c r="H17" i="17"/>
  <c r="O17" i="17"/>
  <c r="G17" i="17"/>
  <c r="N17" i="17"/>
  <c r="F17" i="17"/>
  <c r="U17" i="17"/>
  <c r="M17" i="17"/>
  <c r="S17" i="17"/>
  <c r="K17" i="17"/>
  <c r="T17" i="17"/>
  <c r="L17" i="17"/>
  <c r="N7" i="17"/>
  <c r="F7" i="17"/>
  <c r="U7" i="17"/>
  <c r="M7" i="17"/>
  <c r="T7" i="17"/>
  <c r="L7" i="17"/>
  <c r="S7" i="17"/>
  <c r="K7" i="17"/>
  <c r="R7" i="17"/>
  <c r="J7" i="17"/>
  <c r="Q7" i="17"/>
  <c r="I7" i="17"/>
  <c r="O7" i="17"/>
  <c r="G7" i="17"/>
  <c r="P7" i="17"/>
  <c r="H7" i="17"/>
  <c r="P17" i="9"/>
  <c r="H17" i="9"/>
  <c r="O17" i="9"/>
  <c r="G17" i="9"/>
  <c r="N17" i="9"/>
  <c r="F17" i="9"/>
  <c r="U17" i="9"/>
  <c r="M17" i="9"/>
  <c r="T17" i="9"/>
  <c r="L17" i="9"/>
  <c r="S17" i="9"/>
  <c r="K17" i="9"/>
  <c r="Q17" i="9"/>
  <c r="J17" i="9"/>
  <c r="R17" i="9"/>
  <c r="I17" i="9"/>
  <c r="R12" i="9"/>
  <c r="J12" i="9"/>
  <c r="Q12" i="9"/>
  <c r="I12" i="9"/>
  <c r="P12" i="9"/>
  <c r="H12" i="9"/>
  <c r="O12" i="9"/>
  <c r="G12" i="9"/>
  <c r="N12" i="9"/>
  <c r="F12" i="9"/>
  <c r="U12" i="9"/>
  <c r="M12" i="9"/>
  <c r="T12" i="9"/>
  <c r="S12" i="9"/>
  <c r="K12" i="9"/>
  <c r="L12" i="9"/>
  <c r="Q2" i="19"/>
  <c r="I2" i="19"/>
  <c r="N2" i="19"/>
  <c r="F2" i="19"/>
  <c r="T2" i="19"/>
  <c r="J2" i="19"/>
  <c r="S2" i="19"/>
  <c r="H2" i="19"/>
  <c r="R2" i="19"/>
  <c r="G2" i="19"/>
  <c r="P2" i="19"/>
  <c r="O2" i="19"/>
  <c r="M2" i="19"/>
  <c r="U2" i="19"/>
  <c r="K2" i="19"/>
  <c r="L2" i="19"/>
  <c r="U16" i="19"/>
  <c r="M16" i="19"/>
  <c r="R16" i="19"/>
  <c r="J16" i="19"/>
  <c r="L16" i="19"/>
  <c r="K16" i="19"/>
  <c r="T16" i="19"/>
  <c r="I16" i="19"/>
  <c r="S16" i="19"/>
  <c r="H16" i="19"/>
  <c r="Q16" i="19"/>
  <c r="G16" i="19"/>
  <c r="P16" i="19"/>
  <c r="F16" i="19"/>
  <c r="N16" i="19"/>
  <c r="O16" i="19"/>
  <c r="R4" i="18"/>
  <c r="M4" i="18"/>
  <c r="J16" i="15"/>
  <c r="R21" i="5" a="1"/>
  <c r="R21" i="5" s="1"/>
  <c r="S21" i="5" s="1"/>
  <c r="R7" i="18"/>
  <c r="U7" i="18"/>
  <c r="N9" i="10"/>
  <c r="F9" i="10"/>
  <c r="U9" i="10"/>
  <c r="M9" i="10"/>
  <c r="T9" i="10"/>
  <c r="L9" i="10"/>
  <c r="S9" i="10"/>
  <c r="K9" i="10"/>
  <c r="R9" i="10"/>
  <c r="J9" i="10"/>
  <c r="Q9" i="10"/>
  <c r="I9" i="10"/>
  <c r="G9" i="10"/>
  <c r="P9" i="10"/>
  <c r="O9" i="10"/>
  <c r="H9" i="10"/>
  <c r="T14" i="10"/>
  <c r="L14" i="10"/>
  <c r="S14" i="10"/>
  <c r="K14" i="10"/>
  <c r="R14" i="10"/>
  <c r="J14" i="10"/>
  <c r="Q14" i="10"/>
  <c r="I14" i="10"/>
  <c r="P14" i="10"/>
  <c r="H14" i="10"/>
  <c r="O14" i="10"/>
  <c r="G14" i="10"/>
  <c r="M14" i="10"/>
  <c r="F14" i="10"/>
  <c r="U14" i="10"/>
  <c r="N14" i="10"/>
  <c r="AI31" i="3"/>
  <c r="U15" i="18"/>
  <c r="J15" i="18"/>
  <c r="L14" i="18"/>
  <c r="K14" i="18"/>
  <c r="P12" i="18"/>
  <c r="U12" i="18"/>
  <c r="S8" i="18"/>
  <c r="O2" i="15"/>
  <c r="R2" i="15"/>
  <c r="Q4" i="15"/>
  <c r="N4" i="15"/>
  <c r="T3" i="14"/>
  <c r="L3" i="14"/>
  <c r="S3" i="14"/>
  <c r="K3" i="14"/>
  <c r="R3" i="14"/>
  <c r="J3" i="14"/>
  <c r="Q3" i="14"/>
  <c r="I3" i="14"/>
  <c r="P3" i="14"/>
  <c r="H3" i="14"/>
  <c r="U3" i="14"/>
  <c r="M3" i="14"/>
  <c r="N3" i="14"/>
  <c r="G3" i="14"/>
  <c r="F3" i="14"/>
  <c r="O3" i="14"/>
  <c r="N10" i="14"/>
  <c r="F10" i="14"/>
  <c r="U10" i="14"/>
  <c r="M10" i="14"/>
  <c r="T10" i="14"/>
  <c r="L10" i="14"/>
  <c r="S10" i="14"/>
  <c r="K10" i="14"/>
  <c r="R10" i="14"/>
  <c r="J10" i="14"/>
  <c r="O10" i="14"/>
  <c r="G10" i="14"/>
  <c r="P10" i="14"/>
  <c r="I10" i="14"/>
  <c r="H10" i="14"/>
  <c r="Q10" i="14"/>
  <c r="O13" i="18"/>
  <c r="L13" i="18"/>
  <c r="O6" i="18"/>
  <c r="U6" i="18"/>
  <c r="G17" i="18"/>
  <c r="F17" i="18"/>
  <c r="G17" i="15"/>
  <c r="L17" i="15"/>
  <c r="M6" i="15"/>
  <c r="J6" i="15"/>
  <c r="O2" i="18"/>
  <c r="P2" i="18"/>
  <c r="N5" i="6"/>
  <c r="F5" i="6"/>
  <c r="U5" i="6"/>
  <c r="M5" i="6"/>
  <c r="T5" i="6"/>
  <c r="L5" i="6"/>
  <c r="S5" i="6"/>
  <c r="K5" i="6"/>
  <c r="R5" i="6"/>
  <c r="J5" i="6"/>
  <c r="H5" i="6"/>
  <c r="G5" i="6"/>
  <c r="P5" i="6"/>
  <c r="O5" i="6"/>
  <c r="I5" i="6"/>
  <c r="Q5" i="6"/>
  <c r="R3" i="6"/>
  <c r="J3" i="6"/>
  <c r="Q3" i="6"/>
  <c r="I3" i="6"/>
  <c r="P3" i="6"/>
  <c r="H3" i="6"/>
  <c r="O3" i="6"/>
  <c r="G3" i="6"/>
  <c r="N3" i="6"/>
  <c r="F3" i="6"/>
  <c r="U3" i="6"/>
  <c r="T3" i="6"/>
  <c r="S3" i="6"/>
  <c r="M3" i="6"/>
  <c r="K3" i="6"/>
  <c r="L3" i="6"/>
  <c r="N16" i="16"/>
  <c r="F16" i="16"/>
  <c r="U16" i="16"/>
  <c r="M16" i="16"/>
  <c r="T16" i="16"/>
  <c r="L16" i="16"/>
  <c r="S16" i="16"/>
  <c r="K16" i="16"/>
  <c r="R16" i="16"/>
  <c r="J16" i="16"/>
  <c r="Q16" i="16"/>
  <c r="I16" i="16"/>
  <c r="O16" i="16"/>
  <c r="G16" i="16"/>
  <c r="H16" i="16"/>
  <c r="P16" i="16"/>
  <c r="P3" i="16"/>
  <c r="H3" i="16"/>
  <c r="O3" i="16"/>
  <c r="G3" i="16"/>
  <c r="N3" i="16"/>
  <c r="F3" i="16"/>
  <c r="U3" i="16"/>
  <c r="M3" i="16"/>
  <c r="T3" i="16"/>
  <c r="L3" i="16"/>
  <c r="S3" i="16"/>
  <c r="K3" i="16"/>
  <c r="Q3" i="16"/>
  <c r="I3" i="16"/>
  <c r="R3" i="16"/>
  <c r="J3" i="16"/>
  <c r="T16" i="13"/>
  <c r="L16" i="13"/>
  <c r="S16" i="13"/>
  <c r="K16" i="13"/>
  <c r="R16" i="13"/>
  <c r="J16" i="13"/>
  <c r="Q16" i="13"/>
  <c r="I16" i="13"/>
  <c r="P16" i="13"/>
  <c r="H16" i="13"/>
  <c r="U16" i="13"/>
  <c r="M16" i="13"/>
  <c r="O16" i="13"/>
  <c r="N16" i="13"/>
  <c r="G16" i="13"/>
  <c r="F16" i="13"/>
  <c r="P14" i="13"/>
  <c r="H14" i="13"/>
  <c r="O14" i="13"/>
  <c r="G14" i="13"/>
  <c r="N14" i="13"/>
  <c r="F14" i="13"/>
  <c r="U14" i="13"/>
  <c r="M14" i="13"/>
  <c r="T14" i="13"/>
  <c r="L14" i="13"/>
  <c r="Q14" i="13"/>
  <c r="I14" i="13"/>
  <c r="S14" i="13"/>
  <c r="R14" i="13"/>
  <c r="K14" i="13"/>
  <c r="J14" i="13"/>
  <c r="F32" i="36"/>
  <c r="AH33" i="3" s="1"/>
  <c r="AI34" i="3"/>
  <c r="O3" i="18"/>
  <c r="T3" i="18"/>
  <c r="N10" i="15"/>
  <c r="O15" i="20"/>
  <c r="G15" i="20"/>
  <c r="U15" i="20"/>
  <c r="M15" i="20"/>
  <c r="R15" i="20"/>
  <c r="J15" i="20"/>
  <c r="Q15" i="20"/>
  <c r="P15" i="20"/>
  <c r="N15" i="20"/>
  <c r="L15" i="20"/>
  <c r="K15" i="20"/>
  <c r="I15" i="20"/>
  <c r="S15" i="20"/>
  <c r="F15" i="20"/>
  <c r="T15" i="20"/>
  <c r="H15" i="20"/>
  <c r="S13" i="20"/>
  <c r="K13" i="20"/>
  <c r="Q13" i="20"/>
  <c r="I13" i="20"/>
  <c r="N13" i="20"/>
  <c r="F13" i="20"/>
  <c r="O13" i="20"/>
  <c r="M13" i="20"/>
  <c r="L13" i="20"/>
  <c r="J13" i="20"/>
  <c r="U13" i="20"/>
  <c r="H13" i="20"/>
  <c r="T13" i="20"/>
  <c r="G13" i="20"/>
  <c r="P13" i="20"/>
  <c r="R13" i="20"/>
  <c r="P5" i="18"/>
  <c r="U5" i="18"/>
  <c r="T12" i="8"/>
  <c r="L12" i="8"/>
  <c r="S12" i="8"/>
  <c r="K12" i="8"/>
  <c r="R12" i="8"/>
  <c r="J12" i="8"/>
  <c r="Q12" i="8"/>
  <c r="I12" i="8"/>
  <c r="P12" i="8"/>
  <c r="H12" i="8"/>
  <c r="O12" i="8"/>
  <c r="G12" i="8"/>
  <c r="N12" i="8"/>
  <c r="M12" i="8"/>
  <c r="F12" i="8"/>
  <c r="U12" i="8"/>
  <c r="N11" i="8"/>
  <c r="F11" i="8"/>
  <c r="U11" i="8"/>
  <c r="M11" i="8"/>
  <c r="T11" i="8"/>
  <c r="L11" i="8"/>
  <c r="S11" i="8"/>
  <c r="K11" i="8"/>
  <c r="R11" i="8"/>
  <c r="J11" i="8"/>
  <c r="Q11" i="8"/>
  <c r="I11" i="8"/>
  <c r="O11" i="8"/>
  <c r="H11" i="8"/>
  <c r="G11" i="8"/>
  <c r="P11" i="8"/>
  <c r="J5" i="15"/>
  <c r="R6" i="11"/>
  <c r="J6" i="11"/>
  <c r="Q6" i="11"/>
  <c r="I6" i="11"/>
  <c r="P6" i="11"/>
  <c r="H6" i="11"/>
  <c r="O6" i="11"/>
  <c r="G6" i="11"/>
  <c r="N6" i="11"/>
  <c r="F6" i="11"/>
  <c r="U6" i="11"/>
  <c r="M6" i="11"/>
  <c r="S6" i="11"/>
  <c r="L6" i="11"/>
  <c r="T6" i="11"/>
  <c r="K6" i="11"/>
  <c r="F32" i="28"/>
  <c r="AH17" i="3" s="1"/>
  <c r="AI18" i="3"/>
  <c r="R10" i="12"/>
  <c r="J10" i="12"/>
  <c r="Q10" i="12"/>
  <c r="I10" i="12"/>
  <c r="P10" i="12"/>
  <c r="H10" i="12"/>
  <c r="O10" i="12"/>
  <c r="G10" i="12"/>
  <c r="S10" i="12"/>
  <c r="K10" i="12"/>
  <c r="M10" i="12"/>
  <c r="L10" i="12"/>
  <c r="F10" i="12"/>
  <c r="U10" i="12"/>
  <c r="T10" i="12"/>
  <c r="N10" i="12"/>
  <c r="T4" i="17"/>
  <c r="L4" i="17"/>
  <c r="S4" i="17"/>
  <c r="K4" i="17"/>
  <c r="R4" i="17"/>
  <c r="J4" i="17"/>
  <c r="Q4" i="17"/>
  <c r="I4" i="17"/>
  <c r="P4" i="17"/>
  <c r="H4" i="17"/>
  <c r="O4" i="17"/>
  <c r="G4" i="17"/>
  <c r="U4" i="17"/>
  <c r="M4" i="17"/>
  <c r="N4" i="17"/>
  <c r="F4" i="17"/>
  <c r="N6" i="9"/>
  <c r="F6" i="9"/>
  <c r="U6" i="9"/>
  <c r="M6" i="9"/>
  <c r="T6" i="9"/>
  <c r="L6" i="9"/>
  <c r="S6" i="9"/>
  <c r="K6" i="9"/>
  <c r="R6" i="9"/>
  <c r="J6" i="9"/>
  <c r="Q6" i="9"/>
  <c r="I6" i="9"/>
  <c r="H6" i="9"/>
  <c r="G6" i="9"/>
  <c r="P6" i="9"/>
  <c r="O6" i="9"/>
  <c r="P9" i="18"/>
  <c r="P8" i="10"/>
  <c r="H8" i="10"/>
  <c r="O8" i="10"/>
  <c r="G8" i="10"/>
  <c r="N8" i="10"/>
  <c r="F8" i="10"/>
  <c r="U8" i="10"/>
  <c r="M8" i="10"/>
  <c r="T8" i="10"/>
  <c r="L8" i="10"/>
  <c r="S8" i="10"/>
  <c r="K8" i="10"/>
  <c r="R8" i="10"/>
  <c r="Q8" i="10"/>
  <c r="J8" i="10"/>
  <c r="I8" i="10"/>
  <c r="T5" i="11"/>
  <c r="L5" i="11"/>
  <c r="S5" i="11"/>
  <c r="K5" i="11"/>
  <c r="R5" i="11"/>
  <c r="J5" i="11"/>
  <c r="Q5" i="11"/>
  <c r="I5" i="11"/>
  <c r="P5" i="11"/>
  <c r="H5" i="11"/>
  <c r="O5" i="11"/>
  <c r="G5" i="11"/>
  <c r="U5" i="11"/>
  <c r="N5" i="11"/>
  <c r="M5" i="11"/>
  <c r="F5" i="11"/>
  <c r="S14" i="11"/>
  <c r="K14" i="11"/>
  <c r="R14" i="11"/>
  <c r="J14" i="11"/>
  <c r="Q14" i="11"/>
  <c r="I14" i="11"/>
  <c r="U14" i="11"/>
  <c r="M14" i="11"/>
  <c r="H14" i="11"/>
  <c r="G14" i="11"/>
  <c r="F14" i="11"/>
  <c r="T14" i="11"/>
  <c r="P14" i="11"/>
  <c r="O14" i="11"/>
  <c r="L14" i="11"/>
  <c r="N14" i="11"/>
  <c r="T17" i="7"/>
  <c r="L17" i="7"/>
  <c r="S17" i="7"/>
  <c r="K17" i="7"/>
  <c r="R17" i="7"/>
  <c r="J17" i="7"/>
  <c r="Q17" i="7"/>
  <c r="I17" i="7"/>
  <c r="P17" i="7"/>
  <c r="H17" i="7"/>
  <c r="O17" i="7"/>
  <c r="G17" i="7"/>
  <c r="M17" i="7"/>
  <c r="F17" i="7"/>
  <c r="U17" i="7"/>
  <c r="N17" i="7"/>
  <c r="Q11" i="11"/>
  <c r="I11" i="11"/>
  <c r="P11" i="11"/>
  <c r="H11" i="11"/>
  <c r="O11" i="11"/>
  <c r="G11" i="11"/>
  <c r="S11" i="11"/>
  <c r="K11" i="11"/>
  <c r="N11" i="11"/>
  <c r="M11" i="11"/>
  <c r="L11" i="11"/>
  <c r="J11" i="11"/>
  <c r="F11" i="11"/>
  <c r="U11" i="11"/>
  <c r="T11" i="11"/>
  <c r="R11" i="11"/>
  <c r="N4" i="11"/>
  <c r="F4" i="11"/>
  <c r="U4" i="11"/>
  <c r="M4" i="11"/>
  <c r="T4" i="11"/>
  <c r="L4" i="11"/>
  <c r="S4" i="11"/>
  <c r="K4" i="11"/>
  <c r="R4" i="11"/>
  <c r="J4" i="11"/>
  <c r="Q4" i="11"/>
  <c r="I4" i="11"/>
  <c r="H4" i="11"/>
  <c r="G4" i="11"/>
  <c r="P4" i="11"/>
  <c r="O4" i="11"/>
  <c r="R6" i="7"/>
  <c r="J6" i="7"/>
  <c r="Q6" i="7"/>
  <c r="I6" i="7"/>
  <c r="P6" i="7"/>
  <c r="H6" i="7"/>
  <c r="O6" i="7"/>
  <c r="G6" i="7"/>
  <c r="N6" i="7"/>
  <c r="F6" i="7"/>
  <c r="U6" i="7"/>
  <c r="T6" i="7"/>
  <c r="M6" i="7"/>
  <c r="L6" i="7"/>
  <c r="S6" i="7"/>
  <c r="K6" i="7"/>
  <c r="R14" i="7"/>
  <c r="J14" i="7"/>
  <c r="Q14" i="7"/>
  <c r="I14" i="7"/>
  <c r="P14" i="7"/>
  <c r="H14" i="7"/>
  <c r="O14" i="7"/>
  <c r="G14" i="7"/>
  <c r="N14" i="7"/>
  <c r="F14" i="7"/>
  <c r="U14" i="7"/>
  <c r="M14" i="7"/>
  <c r="T14" i="7"/>
  <c r="L14" i="7"/>
  <c r="K14" i="7"/>
  <c r="S14" i="7"/>
  <c r="K16" i="18"/>
  <c r="R6" i="12"/>
  <c r="J6" i="12"/>
  <c r="Q6" i="12"/>
  <c r="I6" i="12"/>
  <c r="P6" i="12"/>
  <c r="H6" i="12"/>
  <c r="O6" i="12"/>
  <c r="G6" i="12"/>
  <c r="S6" i="12"/>
  <c r="K6" i="12"/>
  <c r="U6" i="12"/>
  <c r="T6" i="12"/>
  <c r="N6" i="12"/>
  <c r="M6" i="12"/>
  <c r="L6" i="12"/>
  <c r="F6" i="12"/>
  <c r="Q2" i="12"/>
  <c r="I2" i="12"/>
  <c r="P2" i="12"/>
  <c r="H2" i="12"/>
  <c r="O2" i="12"/>
  <c r="G2" i="12"/>
  <c r="S2" i="12"/>
  <c r="K2" i="12"/>
  <c r="F2" i="12"/>
  <c r="U2" i="12"/>
  <c r="T2" i="12"/>
  <c r="R2" i="12"/>
  <c r="N2" i="12"/>
  <c r="M2" i="12"/>
  <c r="L2" i="12"/>
  <c r="J2" i="12"/>
  <c r="L9" i="15"/>
  <c r="R9" i="17"/>
  <c r="J9" i="17"/>
  <c r="Q9" i="17"/>
  <c r="I9" i="17"/>
  <c r="P9" i="17"/>
  <c r="H9" i="17"/>
  <c r="O9" i="17"/>
  <c r="G9" i="17"/>
  <c r="N9" i="17"/>
  <c r="F9" i="17"/>
  <c r="U9" i="17"/>
  <c r="M9" i="17"/>
  <c r="S9" i="17"/>
  <c r="K9" i="17"/>
  <c r="T9" i="17"/>
  <c r="L9" i="17"/>
  <c r="N11" i="17"/>
  <c r="F11" i="17"/>
  <c r="U11" i="17"/>
  <c r="M11" i="17"/>
  <c r="T11" i="17"/>
  <c r="L11" i="17"/>
  <c r="S11" i="17"/>
  <c r="K11" i="17"/>
  <c r="R11" i="17"/>
  <c r="J11" i="17"/>
  <c r="Q11" i="17"/>
  <c r="I11" i="17"/>
  <c r="O11" i="17"/>
  <c r="G11" i="17"/>
  <c r="P11" i="17"/>
  <c r="H11" i="17"/>
  <c r="J21" i="5" a="1"/>
  <c r="J21" i="5" s="1"/>
  <c r="K21" i="5" s="1"/>
  <c r="T15" i="9"/>
  <c r="L15" i="9"/>
  <c r="S15" i="9"/>
  <c r="K15" i="9"/>
  <c r="R15" i="9"/>
  <c r="J15" i="9"/>
  <c r="Q15" i="9"/>
  <c r="I15" i="9"/>
  <c r="P15" i="9"/>
  <c r="H15" i="9"/>
  <c r="O15" i="9"/>
  <c r="G15" i="9"/>
  <c r="F15" i="9"/>
  <c r="U15" i="9"/>
  <c r="N15" i="9"/>
  <c r="M15" i="9"/>
  <c r="P5" i="9"/>
  <c r="H5" i="9"/>
  <c r="O5" i="9"/>
  <c r="G5" i="9"/>
  <c r="N5" i="9"/>
  <c r="F5" i="9"/>
  <c r="U5" i="9"/>
  <c r="M5" i="9"/>
  <c r="T5" i="9"/>
  <c r="L5" i="9"/>
  <c r="S5" i="9"/>
  <c r="K5" i="9"/>
  <c r="R5" i="9"/>
  <c r="Q5" i="9"/>
  <c r="I5" i="9"/>
  <c r="J5" i="9"/>
  <c r="S17" i="19"/>
  <c r="K17" i="19"/>
  <c r="P17" i="19"/>
  <c r="H17" i="19"/>
  <c r="O17" i="19"/>
  <c r="N17" i="19"/>
  <c r="M17" i="19"/>
  <c r="L17" i="19"/>
  <c r="U17" i="19"/>
  <c r="J17" i="19"/>
  <c r="T17" i="19"/>
  <c r="I17" i="19"/>
  <c r="Q17" i="19"/>
  <c r="F17" i="19"/>
  <c r="R17" i="19"/>
  <c r="G17" i="19"/>
  <c r="S13" i="19"/>
  <c r="K13" i="19"/>
  <c r="P13" i="19"/>
  <c r="H13" i="19"/>
  <c r="M13" i="19"/>
  <c r="L13" i="19"/>
  <c r="U13" i="19"/>
  <c r="J13" i="19"/>
  <c r="T13" i="19"/>
  <c r="I13" i="19"/>
  <c r="R13" i="19"/>
  <c r="G13" i="19"/>
  <c r="Q13" i="19"/>
  <c r="F13" i="19"/>
  <c r="N13" i="19"/>
  <c r="O13" i="19"/>
  <c r="F4" i="18"/>
  <c r="T9" i="18"/>
  <c r="F21" i="5" a="1"/>
  <c r="F21" i="5" s="1"/>
  <c r="G21" i="5" s="1"/>
  <c r="T6" i="10"/>
  <c r="L6" i="10"/>
  <c r="S6" i="10"/>
  <c r="K6" i="10"/>
  <c r="R6" i="10"/>
  <c r="J6" i="10"/>
  <c r="Q6" i="10"/>
  <c r="I6" i="10"/>
  <c r="P6" i="10"/>
  <c r="H6" i="10"/>
  <c r="O6" i="10"/>
  <c r="G6" i="10"/>
  <c r="U6" i="10"/>
  <c r="N6" i="10"/>
  <c r="F6" i="10"/>
  <c r="M6" i="10"/>
  <c r="R15" i="10"/>
  <c r="J15" i="10"/>
  <c r="Q15" i="10"/>
  <c r="I15" i="10"/>
  <c r="P15" i="10"/>
  <c r="H15" i="10"/>
  <c r="O15" i="10"/>
  <c r="G15" i="10"/>
  <c r="N15" i="10"/>
  <c r="F15" i="10"/>
  <c r="U15" i="10"/>
  <c r="M15" i="10"/>
  <c r="T15" i="10"/>
  <c r="S15" i="10"/>
  <c r="L15" i="10"/>
  <c r="K15" i="10"/>
  <c r="M15" i="18"/>
  <c r="T15" i="18"/>
  <c r="AI25" i="3"/>
  <c r="M14" i="18"/>
  <c r="F32" i="34"/>
  <c r="AH29" i="3" s="1"/>
  <c r="AI30" i="3"/>
  <c r="F12" i="18"/>
  <c r="L12" i="18"/>
  <c r="K8" i="18"/>
  <c r="L8" i="18"/>
  <c r="M2" i="15"/>
  <c r="K2" i="15"/>
  <c r="G4" i="15"/>
  <c r="T15" i="14"/>
  <c r="L15" i="14"/>
  <c r="S15" i="14"/>
  <c r="K15" i="14"/>
  <c r="R15" i="14"/>
  <c r="J15" i="14"/>
  <c r="Q15" i="14"/>
  <c r="I15" i="14"/>
  <c r="P15" i="14"/>
  <c r="H15" i="14"/>
  <c r="U15" i="14"/>
  <c r="M15" i="14"/>
  <c r="O15" i="14"/>
  <c r="N15" i="14"/>
  <c r="G15" i="14"/>
  <c r="F15" i="14"/>
  <c r="N14" i="14"/>
  <c r="F14" i="14"/>
  <c r="U14" i="14"/>
  <c r="M14" i="14"/>
  <c r="T14" i="14"/>
  <c r="L14" i="14"/>
  <c r="S14" i="14"/>
  <c r="K14" i="14"/>
  <c r="R14" i="14"/>
  <c r="J14" i="14"/>
  <c r="O14" i="14"/>
  <c r="G14" i="14"/>
  <c r="H14" i="14"/>
  <c r="Q14" i="14"/>
  <c r="P14" i="14"/>
  <c r="I14" i="14"/>
  <c r="G13" i="18"/>
  <c r="F6" i="18"/>
  <c r="P17" i="18"/>
  <c r="R6" i="15"/>
  <c r="K2" i="18"/>
  <c r="N13" i="6"/>
  <c r="F13" i="6"/>
  <c r="U13" i="6"/>
  <c r="M13" i="6"/>
  <c r="T13" i="6"/>
  <c r="L13" i="6"/>
  <c r="S13" i="6"/>
  <c r="K13" i="6"/>
  <c r="R13" i="6"/>
  <c r="J13" i="6"/>
  <c r="O13" i="6"/>
  <c r="I13" i="6"/>
  <c r="H13" i="6"/>
  <c r="G13" i="6"/>
  <c r="Q13" i="6"/>
  <c r="P13" i="6"/>
  <c r="P16" i="6"/>
  <c r="H16" i="6"/>
  <c r="O16" i="6"/>
  <c r="G16" i="6"/>
  <c r="N16" i="6"/>
  <c r="F16" i="6"/>
  <c r="U16" i="6"/>
  <c r="M16" i="6"/>
  <c r="T16" i="6"/>
  <c r="L16" i="6"/>
  <c r="S16" i="6"/>
  <c r="R16" i="6"/>
  <c r="Q16" i="6"/>
  <c r="J16" i="6"/>
  <c r="I16" i="6"/>
  <c r="K16" i="6"/>
  <c r="R2" i="16"/>
  <c r="J2" i="16"/>
  <c r="Q2" i="16"/>
  <c r="I2" i="16"/>
  <c r="P2" i="16"/>
  <c r="H2" i="16"/>
  <c r="O2" i="16"/>
  <c r="G2" i="16"/>
  <c r="N2" i="16"/>
  <c r="F2" i="16"/>
  <c r="U2" i="16"/>
  <c r="M2" i="16"/>
  <c r="S2" i="16"/>
  <c r="K2" i="16"/>
  <c r="T2" i="16"/>
  <c r="L2" i="16"/>
  <c r="P7" i="16"/>
  <c r="H7" i="16"/>
  <c r="O7" i="16"/>
  <c r="G7" i="16"/>
  <c r="N7" i="16"/>
  <c r="F7" i="16"/>
  <c r="U7" i="16"/>
  <c r="M7" i="16"/>
  <c r="T7" i="16"/>
  <c r="L7" i="16"/>
  <c r="S7" i="16"/>
  <c r="K7" i="16"/>
  <c r="Q7" i="16"/>
  <c r="I7" i="16"/>
  <c r="R7" i="16"/>
  <c r="J7" i="16"/>
  <c r="R9" i="13"/>
  <c r="J9" i="13"/>
  <c r="Q9" i="13"/>
  <c r="I9" i="13"/>
  <c r="P9" i="13"/>
  <c r="H9" i="13"/>
  <c r="O9" i="13"/>
  <c r="G9" i="13"/>
  <c r="N9" i="13"/>
  <c r="F9" i="13"/>
  <c r="S9" i="13"/>
  <c r="K9" i="13"/>
  <c r="U9" i="13"/>
  <c r="T9" i="13"/>
  <c r="M9" i="13"/>
  <c r="L9" i="13"/>
  <c r="N3" i="13"/>
  <c r="F3" i="13"/>
  <c r="U3" i="13"/>
  <c r="M3" i="13"/>
  <c r="T3" i="13"/>
  <c r="L3" i="13"/>
  <c r="S3" i="13"/>
  <c r="K3" i="13"/>
  <c r="R3" i="13"/>
  <c r="J3" i="13"/>
  <c r="O3" i="13"/>
  <c r="G3" i="13"/>
  <c r="Q3" i="13"/>
  <c r="P3" i="13"/>
  <c r="I3" i="13"/>
  <c r="H3" i="13"/>
  <c r="AI13" i="3"/>
  <c r="K3" i="18"/>
  <c r="Q14" i="20"/>
  <c r="I14" i="20"/>
  <c r="O14" i="20"/>
  <c r="G14" i="20"/>
  <c r="T14" i="20"/>
  <c r="L14" i="20"/>
  <c r="J14" i="20"/>
  <c r="U14" i="20"/>
  <c r="H14" i="20"/>
  <c r="S14" i="20"/>
  <c r="F14" i="20"/>
  <c r="R14" i="20"/>
  <c r="P14" i="20"/>
  <c r="N14" i="20"/>
  <c r="K14" i="20"/>
  <c r="M14" i="20"/>
  <c r="U16" i="20"/>
  <c r="M16" i="20"/>
  <c r="S16" i="20"/>
  <c r="K16" i="20"/>
  <c r="P16" i="20"/>
  <c r="H16" i="20"/>
  <c r="L16" i="20"/>
  <c r="J16" i="20"/>
  <c r="I16" i="20"/>
  <c r="T16" i="20"/>
  <c r="G16" i="20"/>
  <c r="R16" i="20"/>
  <c r="F16" i="20"/>
  <c r="Q16" i="20"/>
  <c r="N16" i="20"/>
  <c r="O16" i="20"/>
  <c r="N15" i="8"/>
  <c r="F15" i="8"/>
  <c r="U15" i="8"/>
  <c r="M15" i="8"/>
  <c r="T15" i="8"/>
  <c r="L15" i="8"/>
  <c r="S15" i="8"/>
  <c r="K15" i="8"/>
  <c r="R15" i="8"/>
  <c r="J15" i="8"/>
  <c r="Q15" i="8"/>
  <c r="I15" i="8"/>
  <c r="P15" i="8"/>
  <c r="O15" i="8"/>
  <c r="G15" i="8"/>
  <c r="H15" i="8"/>
  <c r="R5" i="8"/>
  <c r="J5" i="8"/>
  <c r="Q5" i="8"/>
  <c r="I5" i="8"/>
  <c r="P5" i="8"/>
  <c r="H5" i="8"/>
  <c r="O5" i="8"/>
  <c r="G5" i="8"/>
  <c r="N5" i="8"/>
  <c r="F5" i="8"/>
  <c r="U5" i="8"/>
  <c r="M5" i="8"/>
  <c r="L5" i="8"/>
  <c r="K5" i="8"/>
  <c r="T5" i="8"/>
  <c r="S5" i="8"/>
  <c r="AH21" i="3" l="1"/>
  <c r="AH28" i="3"/>
  <c r="AH5" i="3"/>
  <c r="AN5" i="3" s="1"/>
  <c r="AA10" i="2" s="1"/>
  <c r="AH14" i="3"/>
  <c r="AH31" i="3"/>
  <c r="K36" i="2" s="1"/>
  <c r="L36" i="2" s="1"/>
  <c r="AH9" i="3"/>
  <c r="AN9" i="3" s="1"/>
  <c r="AA14" i="2" s="1"/>
  <c r="B21" i="15"/>
  <c r="AH11" i="3"/>
  <c r="K16" i="2" s="1"/>
  <c r="L16" i="2" s="1"/>
  <c r="C21" i="15"/>
  <c r="AH30" i="3"/>
  <c r="K35" i="2" s="1"/>
  <c r="L35" i="2" s="1"/>
  <c r="C21" i="18"/>
  <c r="AH25" i="3"/>
  <c r="AN25" i="3" s="1"/>
  <c r="AA30" i="2" s="1"/>
  <c r="AH18" i="3"/>
  <c r="AN18" i="3" s="1"/>
  <c r="AA23" i="2" s="1"/>
  <c r="AH34" i="3"/>
  <c r="AJ34" i="3" s="1"/>
  <c r="V39" i="2" s="1"/>
  <c r="AH15" i="3"/>
  <c r="AN15" i="3" s="1"/>
  <c r="AA20" i="2" s="1"/>
  <c r="AN17" i="3"/>
  <c r="AA22" i="2" s="1"/>
  <c r="K22" i="2"/>
  <c r="L22" i="2" s="1"/>
  <c r="AJ17" i="3"/>
  <c r="V22" i="2" s="1"/>
  <c r="AN29" i="3"/>
  <c r="AA34" i="2" s="1"/>
  <c r="K34" i="2"/>
  <c r="L34" i="2" s="1"/>
  <c r="AJ29" i="3"/>
  <c r="V34" i="2" s="1"/>
  <c r="AN33" i="3"/>
  <c r="AA38" i="2" s="1"/>
  <c r="K38" i="2"/>
  <c r="L38" i="2" s="1"/>
  <c r="AJ33" i="3"/>
  <c r="V38" i="2" s="1"/>
  <c r="K13" i="2"/>
  <c r="L13" i="2" s="1"/>
  <c r="AN8" i="3"/>
  <c r="AA13" i="2" s="1"/>
  <c r="AJ8" i="3"/>
  <c r="V13" i="2" s="1"/>
  <c r="AN10" i="3"/>
  <c r="AA15" i="2" s="1"/>
  <c r="K15" i="2"/>
  <c r="L15" i="2" s="1"/>
  <c r="AJ10" i="3"/>
  <c r="V15" i="2" s="1"/>
  <c r="K37" i="2"/>
  <c r="L37" i="2" s="1"/>
  <c r="AN32" i="3"/>
  <c r="AA37" i="2" s="1"/>
  <c r="AJ32" i="3"/>
  <c r="V37" i="2" s="1"/>
  <c r="AN22" i="3"/>
  <c r="AA27" i="2" s="1"/>
  <c r="K27" i="2"/>
  <c r="L27" i="2" s="1"/>
  <c r="AJ22" i="3"/>
  <c r="V27" i="2" s="1"/>
  <c r="K11" i="2"/>
  <c r="L11" i="2" s="1"/>
  <c r="AN6" i="3"/>
  <c r="AA11" i="2" s="1"/>
  <c r="AJ6" i="3"/>
  <c r="V11" i="2" s="1"/>
  <c r="K21" i="2"/>
  <c r="L21" i="2" s="1"/>
  <c r="AN16" i="3"/>
  <c r="AA21" i="2" s="1"/>
  <c r="AJ16" i="3"/>
  <c r="V21" i="2" s="1"/>
  <c r="K32" i="2"/>
  <c r="L32" i="2" s="1"/>
  <c r="AN27" i="3"/>
  <c r="AA32" i="2" s="1"/>
  <c r="AJ27" i="3"/>
  <c r="V32" i="2" s="1"/>
  <c r="K24" i="2"/>
  <c r="L24" i="2" s="1"/>
  <c r="AN19" i="3"/>
  <c r="AA24" i="2" s="1"/>
  <c r="AJ19" i="3"/>
  <c r="V24" i="2" s="1"/>
  <c r="M36" i="2"/>
  <c r="AO31" i="3"/>
  <c r="AB36" i="2" s="1"/>
  <c r="AK31" i="3"/>
  <c r="W36" i="2" s="1"/>
  <c r="AN13" i="3"/>
  <c r="AA18" i="2" s="1"/>
  <c r="K18" i="2"/>
  <c r="L18" i="2" s="1"/>
  <c r="AJ13" i="3"/>
  <c r="V18" i="2" s="1"/>
  <c r="B21" i="13"/>
  <c r="AO8" i="3"/>
  <c r="AB13" i="2" s="1"/>
  <c r="M13" i="2"/>
  <c r="AK8" i="3"/>
  <c r="W13" i="2" s="1"/>
  <c r="M20" i="2"/>
  <c r="AO15" i="3"/>
  <c r="AB20" i="2" s="1"/>
  <c r="AK15" i="3"/>
  <c r="W20" i="2" s="1"/>
  <c r="AO24" i="3"/>
  <c r="AB29" i="2" s="1"/>
  <c r="M29" i="2"/>
  <c r="AK24" i="3"/>
  <c r="W29" i="2" s="1"/>
  <c r="B21" i="7"/>
  <c r="B21" i="11"/>
  <c r="AO16" i="3"/>
  <c r="AB21" i="2" s="1"/>
  <c r="M21" i="2"/>
  <c r="AK16" i="3"/>
  <c r="W21" i="2" s="1"/>
  <c r="M34" i="2"/>
  <c r="AO29" i="3"/>
  <c r="AB34" i="2" s="1"/>
  <c r="AK29" i="3"/>
  <c r="W34" i="2" s="1"/>
  <c r="M19" i="2"/>
  <c r="AO14" i="3"/>
  <c r="AB19" i="2" s="1"/>
  <c r="AK14" i="3"/>
  <c r="W19" i="2" s="1"/>
  <c r="AN12" i="3"/>
  <c r="AA17" i="2" s="1"/>
  <c r="K17" i="2"/>
  <c r="L17" i="2" s="1"/>
  <c r="AJ12" i="3"/>
  <c r="V17" i="2" s="1"/>
  <c r="AO27" i="3"/>
  <c r="AB32" i="2" s="1"/>
  <c r="M32" i="2"/>
  <c r="AK27" i="3"/>
  <c r="W32" i="2" s="1"/>
  <c r="C21" i="9"/>
  <c r="AN26" i="3"/>
  <c r="AA31" i="2" s="1"/>
  <c r="K31" i="2"/>
  <c r="L31" i="2" s="1"/>
  <c r="AJ26" i="3"/>
  <c r="V31" i="2" s="1"/>
  <c r="M10" i="2"/>
  <c r="N10" i="2" s="1"/>
  <c r="AO5" i="3"/>
  <c r="AB10" i="2" s="1"/>
  <c r="AK5" i="3"/>
  <c r="W10" i="2" s="1"/>
  <c r="AO17" i="3"/>
  <c r="AB22" i="2" s="1"/>
  <c r="M22" i="2"/>
  <c r="AK17" i="3"/>
  <c r="W22" i="2" s="1"/>
  <c r="K28" i="2"/>
  <c r="L28" i="2" s="1"/>
  <c r="AN23" i="3"/>
  <c r="AA28" i="2" s="1"/>
  <c r="AJ23" i="3"/>
  <c r="V28" i="2" s="1"/>
  <c r="Y28" i="2" s="1" a="1"/>
  <c r="Y28" i="2" s="1"/>
  <c r="C21" i="16"/>
  <c r="K30" i="2"/>
  <c r="L30" i="2" s="1"/>
  <c r="AJ25" i="3"/>
  <c r="V30" i="2" s="1"/>
  <c r="AO26" i="3"/>
  <c r="AB31" i="2" s="1"/>
  <c r="M31" i="2"/>
  <c r="AK26" i="3"/>
  <c r="W31" i="2" s="1"/>
  <c r="B21" i="10"/>
  <c r="B21" i="17"/>
  <c r="C21" i="10"/>
  <c r="R6" i="21"/>
  <c r="AB5" i="2"/>
  <c r="AN14" i="3"/>
  <c r="AA19" i="2" s="1"/>
  <c r="K19" i="2"/>
  <c r="L19" i="2" s="1"/>
  <c r="AJ14" i="3"/>
  <c r="V19" i="2" s="1"/>
  <c r="AO25" i="3"/>
  <c r="AB30" i="2" s="1"/>
  <c r="M30" i="2"/>
  <c r="AK25" i="3"/>
  <c r="W30" i="2" s="1"/>
  <c r="B21" i="16"/>
  <c r="AO11" i="3"/>
  <c r="AB16" i="2" s="1"/>
  <c r="M16" i="2"/>
  <c r="AK11" i="3"/>
  <c r="W16" i="2" s="1"/>
  <c r="B21" i="20"/>
  <c r="C21" i="14"/>
  <c r="AH20" i="3"/>
  <c r="AH7" i="3"/>
  <c r="C21" i="20"/>
  <c r="B21" i="18"/>
  <c r="AO10" i="3"/>
  <c r="AB15" i="2" s="1"/>
  <c r="M15" i="2"/>
  <c r="AK10" i="3"/>
  <c r="W15" i="2" s="1"/>
  <c r="B21" i="19"/>
  <c r="AN21" i="3"/>
  <c r="AA26" i="2" s="1"/>
  <c r="K26" i="2"/>
  <c r="L26" i="2" s="1"/>
  <c r="AJ21" i="3"/>
  <c r="V26" i="2" s="1"/>
  <c r="B21" i="8"/>
  <c r="M25" i="2"/>
  <c r="AO20" i="3"/>
  <c r="AB25" i="2" s="1"/>
  <c r="AK20" i="3"/>
  <c r="W25" i="2" s="1"/>
  <c r="M12" i="2"/>
  <c r="AO7" i="3"/>
  <c r="AB12" i="2" s="1"/>
  <c r="AK7" i="3"/>
  <c r="W12" i="2" s="1"/>
  <c r="AN28" i="3"/>
  <c r="AA33" i="2" s="1"/>
  <c r="K33" i="2"/>
  <c r="L33" i="2" s="1"/>
  <c r="AJ28" i="3"/>
  <c r="V33" i="2" s="1"/>
  <c r="B21" i="9"/>
  <c r="C21" i="12"/>
  <c r="M26" i="2"/>
  <c r="AO21" i="3"/>
  <c r="AB26" i="2" s="1"/>
  <c r="AK21" i="3"/>
  <c r="W26" i="2" s="1"/>
  <c r="M38" i="2"/>
  <c r="AO33" i="3"/>
  <c r="AB38" i="2" s="1"/>
  <c r="AK33" i="3"/>
  <c r="W38" i="2" s="1"/>
  <c r="C21" i="6"/>
  <c r="M33" i="2"/>
  <c r="AO28" i="3"/>
  <c r="AB33" i="2" s="1"/>
  <c r="AK28" i="3"/>
  <c r="W33" i="2" s="1"/>
  <c r="M27" i="2"/>
  <c r="AO22" i="3"/>
  <c r="AB27" i="2" s="1"/>
  <c r="AK22" i="3"/>
  <c r="W27" i="2" s="1"/>
  <c r="AO13" i="3"/>
  <c r="AB18" i="2" s="1"/>
  <c r="M18" i="2"/>
  <c r="AK13" i="3"/>
  <c r="W18" i="2" s="1"/>
  <c r="AO18" i="3"/>
  <c r="AB23" i="2" s="1"/>
  <c r="M23" i="2"/>
  <c r="AK18" i="3"/>
  <c r="W23" i="2" s="1"/>
  <c r="C21" i="7"/>
  <c r="C21" i="11"/>
  <c r="B21" i="12"/>
  <c r="C21" i="13"/>
  <c r="AO32" i="3"/>
  <c r="AB37" i="2" s="1"/>
  <c r="M37" i="2"/>
  <c r="AK32" i="3"/>
  <c r="W37" i="2" s="1"/>
  <c r="M17" i="2"/>
  <c r="AO12" i="3"/>
  <c r="AB17" i="2" s="1"/>
  <c r="AK12" i="3"/>
  <c r="W17" i="2" s="1"/>
  <c r="B21" i="14"/>
  <c r="C21" i="19"/>
  <c r="M35" i="2"/>
  <c r="AO30" i="3"/>
  <c r="AB35" i="2" s="1"/>
  <c r="AK30" i="3"/>
  <c r="W35" i="2" s="1"/>
  <c r="AO34" i="3"/>
  <c r="AB39" i="2" s="1"/>
  <c r="M39" i="2"/>
  <c r="AK34" i="3"/>
  <c r="W39" i="2" s="1"/>
  <c r="B21" i="6"/>
  <c r="AH24" i="3"/>
  <c r="AO9" i="3"/>
  <c r="AB14" i="2" s="1"/>
  <c r="M14" i="2"/>
  <c r="AK9" i="3"/>
  <c r="W14" i="2" s="1"/>
  <c r="AO19" i="3"/>
  <c r="AB24" i="2" s="1"/>
  <c r="M24" i="2"/>
  <c r="AK19" i="3"/>
  <c r="W24" i="2" s="1"/>
  <c r="C21" i="17"/>
  <c r="C21" i="8"/>
  <c r="M11" i="2"/>
  <c r="AO6" i="3"/>
  <c r="AB11" i="2" s="1"/>
  <c r="AK6" i="3"/>
  <c r="W11" i="2" s="1"/>
  <c r="AN34" i="3" l="1"/>
  <c r="AA39" i="2" s="1"/>
  <c r="C23" i="17"/>
  <c r="H28" i="3" s="1"/>
  <c r="AN31" i="3"/>
  <c r="AA36" i="2" s="1"/>
  <c r="AJ9" i="3"/>
  <c r="V14" i="2" s="1"/>
  <c r="AJ18" i="3"/>
  <c r="V23" i="2" s="1"/>
  <c r="Y23" i="2" s="1" a="1"/>
  <c r="Y23" i="2" s="1"/>
  <c r="K23" i="2"/>
  <c r="L23" i="2" s="1"/>
  <c r="AJ31" i="3"/>
  <c r="V36" i="2" s="1"/>
  <c r="Y36" i="2" s="1" a="1"/>
  <c r="Y36" i="2" s="1"/>
  <c r="K39" i="2"/>
  <c r="L39" i="2" s="1"/>
  <c r="K14" i="2"/>
  <c r="L14" i="2" s="1"/>
  <c r="K20" i="2"/>
  <c r="L20" i="2" s="1"/>
  <c r="AJ15" i="3"/>
  <c r="V20" i="2" s="1"/>
  <c r="Y20" i="2" s="1" a="1"/>
  <c r="Y20" i="2" s="1"/>
  <c r="C23" i="13"/>
  <c r="H20" i="3" s="1"/>
  <c r="K10" i="2"/>
  <c r="L10" i="2" s="1"/>
  <c r="C23" i="15"/>
  <c r="H24" i="3" s="1"/>
  <c r="I29" i="2" s="1"/>
  <c r="C23" i="19"/>
  <c r="H32" i="3" s="1"/>
  <c r="I15" i="4" s="1"/>
  <c r="B23" i="15"/>
  <c r="H23" i="3" s="1"/>
  <c r="I28" i="2" s="1"/>
  <c r="B22" i="15"/>
  <c r="AJ11" i="3"/>
  <c r="V16" i="2" s="1"/>
  <c r="Y16" i="2" s="1" a="1"/>
  <c r="Y16" i="2" s="1"/>
  <c r="AN11" i="3"/>
  <c r="AA16" i="2" s="1"/>
  <c r="AJ5" i="3"/>
  <c r="V10" i="2" s="1"/>
  <c r="Y10" i="2" s="1" a="1"/>
  <c r="Y10" i="2" s="1"/>
  <c r="Y19" i="2" a="1"/>
  <c r="Y19" i="2" s="1"/>
  <c r="C23" i="11"/>
  <c r="H16" i="3" s="1"/>
  <c r="V16" i="3" s="1"/>
  <c r="AJ30" i="3"/>
  <c r="V35" i="2" s="1"/>
  <c r="Y35" i="2" s="1" a="1"/>
  <c r="Y35" i="2" s="1"/>
  <c r="AN30" i="3"/>
  <c r="AA35" i="2" s="1"/>
  <c r="Y26" i="2" a="1"/>
  <c r="Y26" i="2" s="1"/>
  <c r="C23" i="10"/>
  <c r="H14" i="3" s="1"/>
  <c r="W14" i="3" s="1"/>
  <c r="Z19" i="2" s="1"/>
  <c r="Y14" i="2" a="1"/>
  <c r="Y14" i="2" s="1"/>
  <c r="C23" i="7"/>
  <c r="H8" i="3" s="1"/>
  <c r="I8" i="3" s="1"/>
  <c r="C23" i="12"/>
  <c r="H18" i="3" s="1"/>
  <c r="J23" i="2" s="1"/>
  <c r="C23" i="14"/>
  <c r="H22" i="3" s="1"/>
  <c r="W22" i="3" s="1"/>
  <c r="Z27" i="2" s="1"/>
  <c r="C23" i="8"/>
  <c r="H10" i="3" s="1"/>
  <c r="I15" i="2" s="1"/>
  <c r="Y15" i="2" a="1"/>
  <c r="Y15" i="2" s="1"/>
  <c r="Y32" i="2" a="1"/>
  <c r="Y32" i="2" s="1"/>
  <c r="K29" i="2"/>
  <c r="L29" i="2" s="1"/>
  <c r="AN24" i="3"/>
  <c r="AA29" i="2" s="1"/>
  <c r="AJ24" i="3"/>
  <c r="V29" i="2" s="1"/>
  <c r="Y29" i="2" s="1" a="1"/>
  <c r="Y29" i="2" s="1"/>
  <c r="B23" i="19"/>
  <c r="H31" i="3" s="1"/>
  <c r="B22" i="19"/>
  <c r="AN20" i="3"/>
  <c r="AA25" i="2" s="1"/>
  <c r="K25" i="2"/>
  <c r="L25" i="2" s="1"/>
  <c r="AJ20" i="3"/>
  <c r="V25" i="2" s="1"/>
  <c r="Y25" i="2" s="1" a="1"/>
  <c r="Y25" i="2" s="1"/>
  <c r="Y31" i="2" a="1"/>
  <c r="Y31" i="2" s="1"/>
  <c r="W28" i="3"/>
  <c r="Z33" i="2" s="1"/>
  <c r="V28" i="3"/>
  <c r="T28" i="3"/>
  <c r="I13" i="4"/>
  <c r="I28" i="3"/>
  <c r="I33" i="2"/>
  <c r="J33" i="2"/>
  <c r="B23" i="14"/>
  <c r="H21" i="3" s="1"/>
  <c r="B22" i="14"/>
  <c r="B23" i="9"/>
  <c r="H11" i="3" s="1"/>
  <c r="B22" i="9"/>
  <c r="B22" i="20"/>
  <c r="B23" i="20"/>
  <c r="H33" i="3" s="1"/>
  <c r="R7" i="21"/>
  <c r="AB7" i="2" s="1"/>
  <c r="AB6" i="2"/>
  <c r="Y27" i="2" a="1"/>
  <c r="Y27" i="2" s="1"/>
  <c r="Y34" i="2" a="1"/>
  <c r="Y34" i="2" s="1"/>
  <c r="I9" i="4"/>
  <c r="W20" i="3"/>
  <c r="Z25" i="2" s="1"/>
  <c r="V20" i="3"/>
  <c r="T20" i="3"/>
  <c r="I20" i="3"/>
  <c r="J25" i="2"/>
  <c r="I25" i="2"/>
  <c r="Y33" i="2" a="1"/>
  <c r="Y33" i="2" s="1"/>
  <c r="Y30" i="2" a="1"/>
  <c r="Y30" i="2" s="1"/>
  <c r="C23" i="9"/>
  <c r="H12" i="3" s="1"/>
  <c r="B23" i="11"/>
  <c r="H15" i="3" s="1"/>
  <c r="B22" i="11"/>
  <c r="B22" i="6"/>
  <c r="B23" i="6"/>
  <c r="H5" i="3" s="1"/>
  <c r="B23" i="8"/>
  <c r="H9" i="3" s="1"/>
  <c r="B22" i="8"/>
  <c r="B23" i="7"/>
  <c r="H7" i="3" s="1"/>
  <c r="B22" i="7"/>
  <c r="B23" i="13"/>
  <c r="H19" i="3" s="1"/>
  <c r="B22" i="13"/>
  <c r="Y21" i="2" a="1"/>
  <c r="Y21" i="2" s="1"/>
  <c r="Y13" i="2" a="1"/>
  <c r="Y13" i="2" s="1"/>
  <c r="B23" i="12"/>
  <c r="H17" i="3" s="1"/>
  <c r="B22" i="12"/>
  <c r="B23" i="18"/>
  <c r="H29" i="3" s="1"/>
  <c r="B22" i="18"/>
  <c r="Y18" i="2" a="1"/>
  <c r="Y18" i="2" s="1"/>
  <c r="C23" i="18"/>
  <c r="H30" i="3" s="1"/>
  <c r="Y22" i="2" a="1"/>
  <c r="Y22" i="2" s="1"/>
  <c r="I7" i="4"/>
  <c r="C23" i="20"/>
  <c r="H34" i="3" s="1"/>
  <c r="B23" i="16"/>
  <c r="H25" i="3" s="1"/>
  <c r="B22" i="16"/>
  <c r="B23" i="17"/>
  <c r="H27" i="3" s="1"/>
  <c r="B22" i="17"/>
  <c r="C23" i="16"/>
  <c r="H26" i="3" s="1"/>
  <c r="Y24" i="2" a="1"/>
  <c r="Y24" i="2" s="1"/>
  <c r="Y37" i="2" a="1"/>
  <c r="Y37" i="2" s="1"/>
  <c r="C23" i="6"/>
  <c r="H6" i="3" s="1"/>
  <c r="AN7" i="3"/>
  <c r="AA12" i="2" s="1"/>
  <c r="K12" i="2"/>
  <c r="L12" i="2" s="1"/>
  <c r="AJ7" i="3"/>
  <c r="V12" i="2" s="1"/>
  <c r="Y12" i="2" s="1" a="1"/>
  <c r="Y12" i="2" s="1"/>
  <c r="B22" i="10"/>
  <c r="B23" i="10"/>
  <c r="H13" i="3" s="1"/>
  <c r="Y17" i="2" a="1"/>
  <c r="Y17" i="2" s="1"/>
  <c r="Y11" i="2" a="1"/>
  <c r="Y11" i="2" s="1"/>
  <c r="Y38" i="2" a="1"/>
  <c r="Y38" i="2" s="1"/>
  <c r="T14" i="3" l="1"/>
  <c r="I32" i="3"/>
  <c r="V32" i="3"/>
  <c r="I37" i="2"/>
  <c r="T16" i="3"/>
  <c r="U21" i="2" s="1"/>
  <c r="X21" i="2" s="1"/>
  <c r="I16" i="3"/>
  <c r="J21" i="2"/>
  <c r="I21" i="2"/>
  <c r="W16" i="3"/>
  <c r="Z21" i="2" s="1"/>
  <c r="J37" i="2"/>
  <c r="W32" i="3"/>
  <c r="Z37" i="2" s="1"/>
  <c r="T32" i="3"/>
  <c r="J29" i="2"/>
  <c r="T8" i="3"/>
  <c r="U8" i="3" s="1"/>
  <c r="W8" i="3"/>
  <c r="Z13" i="2" s="1"/>
  <c r="J19" i="2"/>
  <c r="I19" i="2"/>
  <c r="I8" i="4"/>
  <c r="V23" i="3"/>
  <c r="J15" i="2"/>
  <c r="W23" i="3"/>
  <c r="Z28" i="2" s="1"/>
  <c r="I23" i="3"/>
  <c r="T23" i="3"/>
  <c r="U23" i="3" s="1"/>
  <c r="I6" i="4"/>
  <c r="I24" i="3"/>
  <c r="V14" i="3"/>
  <c r="J28" i="2"/>
  <c r="V24" i="3"/>
  <c r="I11" i="4"/>
  <c r="W24" i="3"/>
  <c r="Z29" i="2" s="1"/>
  <c r="T24" i="3"/>
  <c r="I13" i="2"/>
  <c r="J13" i="2"/>
  <c r="V8" i="3"/>
  <c r="I3" i="4"/>
  <c r="I14" i="3"/>
  <c r="I27" i="2"/>
  <c r="I10" i="4"/>
  <c r="I18" i="3"/>
  <c r="I22" i="3"/>
  <c r="W10" i="3"/>
  <c r="Z15" i="2" s="1"/>
  <c r="V10" i="3"/>
  <c r="J27" i="2"/>
  <c r="T22" i="3"/>
  <c r="U27" i="2" s="1"/>
  <c r="X27" i="2" s="1"/>
  <c r="I10" i="3"/>
  <c r="V22" i="3"/>
  <c r="T10" i="3"/>
  <c r="U10" i="3" s="1"/>
  <c r="I23" i="2"/>
  <c r="I4" i="4"/>
  <c r="W18" i="3"/>
  <c r="Z23" i="2" s="1"/>
  <c r="V18" i="3"/>
  <c r="T18" i="3"/>
  <c r="U18" i="3" s="1"/>
  <c r="T26" i="3"/>
  <c r="I26" i="3"/>
  <c r="W26" i="3"/>
  <c r="Z31" i="2" s="1"/>
  <c r="V26" i="3"/>
  <c r="I12" i="4"/>
  <c r="J31" i="2"/>
  <c r="I31" i="2"/>
  <c r="T29" i="3"/>
  <c r="I29" i="3"/>
  <c r="W29" i="3"/>
  <c r="Z34" i="2" s="1"/>
  <c r="V29" i="3"/>
  <c r="J34" i="2"/>
  <c r="I34" i="2"/>
  <c r="J16" i="2"/>
  <c r="W11" i="3"/>
  <c r="Z16" i="2" s="1"/>
  <c r="T11" i="3"/>
  <c r="V11" i="3"/>
  <c r="I11" i="3"/>
  <c r="I16" i="2"/>
  <c r="U16" i="3"/>
  <c r="W9" i="3"/>
  <c r="Z14" i="2" s="1"/>
  <c r="V9" i="3"/>
  <c r="I9" i="3"/>
  <c r="T9" i="3"/>
  <c r="I14" i="2"/>
  <c r="J14" i="2"/>
  <c r="T21" i="3"/>
  <c r="I21" i="3"/>
  <c r="W21" i="3"/>
  <c r="Z26" i="2" s="1"/>
  <c r="V21" i="3"/>
  <c r="I26" i="2"/>
  <c r="J26" i="2"/>
  <c r="T6" i="3"/>
  <c r="I6" i="3"/>
  <c r="W6" i="3"/>
  <c r="Z11" i="2" s="1"/>
  <c r="V6" i="3"/>
  <c r="I11" i="2"/>
  <c r="J11" i="2"/>
  <c r="I2" i="4"/>
  <c r="J32" i="2"/>
  <c r="W27" i="3"/>
  <c r="Z32" i="2" s="1"/>
  <c r="T27" i="3"/>
  <c r="V27" i="3"/>
  <c r="I27" i="3"/>
  <c r="I32" i="2"/>
  <c r="W17" i="3"/>
  <c r="Z22" i="2" s="1"/>
  <c r="V17" i="3"/>
  <c r="I17" i="3"/>
  <c r="T17" i="3"/>
  <c r="I22" i="2"/>
  <c r="J22" i="2"/>
  <c r="W5" i="3"/>
  <c r="Z10" i="2" s="1"/>
  <c r="V5" i="3"/>
  <c r="T5" i="3"/>
  <c r="J10" i="2"/>
  <c r="I10" i="2"/>
  <c r="T13" i="3"/>
  <c r="I13" i="3"/>
  <c r="W13" i="3"/>
  <c r="Z18" i="2" s="1"/>
  <c r="V13" i="3"/>
  <c r="I18" i="2"/>
  <c r="J18" i="2"/>
  <c r="W7" i="3"/>
  <c r="Z12" i="2" s="1"/>
  <c r="V7" i="3"/>
  <c r="I7" i="3"/>
  <c r="I12" i="2"/>
  <c r="T7" i="3"/>
  <c r="J12" i="2"/>
  <c r="I31" i="3"/>
  <c r="V31" i="3"/>
  <c r="W31" i="3"/>
  <c r="Z36" i="2" s="1"/>
  <c r="T31" i="3"/>
  <c r="I36" i="2"/>
  <c r="J36" i="2"/>
  <c r="U32" i="3"/>
  <c r="U37" i="2"/>
  <c r="X37" i="2" s="1"/>
  <c r="W25" i="3"/>
  <c r="Z30" i="2" s="1"/>
  <c r="V25" i="3"/>
  <c r="I25" i="3"/>
  <c r="T25" i="3"/>
  <c r="J30" i="2"/>
  <c r="I30" i="2"/>
  <c r="U20" i="3"/>
  <c r="U25" i="2"/>
  <c r="X25" i="2" s="1"/>
  <c r="I33" i="3"/>
  <c r="W33" i="3"/>
  <c r="Z38" i="2" s="1"/>
  <c r="V33" i="3"/>
  <c r="T33" i="3"/>
  <c r="J38" i="2"/>
  <c r="I38" i="2"/>
  <c r="X8" i="3"/>
  <c r="V34" i="3"/>
  <c r="W34" i="3"/>
  <c r="Z39" i="2" s="1"/>
  <c r="T34" i="3"/>
  <c r="I34" i="3"/>
  <c r="J39" i="2"/>
  <c r="I39" i="2"/>
  <c r="V30" i="3"/>
  <c r="T30" i="3"/>
  <c r="W30" i="3"/>
  <c r="Z35" i="2" s="1"/>
  <c r="I30" i="3"/>
  <c r="I14" i="4"/>
  <c r="J35" i="2"/>
  <c r="I35" i="2"/>
  <c r="J24" i="2"/>
  <c r="W19" i="3"/>
  <c r="Z24" i="2" s="1"/>
  <c r="T19" i="3"/>
  <c r="I19" i="3"/>
  <c r="V19" i="3"/>
  <c r="I24" i="2"/>
  <c r="V15" i="3"/>
  <c r="T15" i="3"/>
  <c r="I15" i="3"/>
  <c r="I20" i="2"/>
  <c r="W15" i="3"/>
  <c r="Z20" i="2" s="1"/>
  <c r="J20" i="2"/>
  <c r="U14" i="3"/>
  <c r="U19" i="2"/>
  <c r="X19" i="2" s="1"/>
  <c r="W12" i="3"/>
  <c r="Z17" i="2" s="1"/>
  <c r="V12" i="3"/>
  <c r="T12" i="3"/>
  <c r="I5" i="4"/>
  <c r="J17" i="2"/>
  <c r="I12" i="3"/>
  <c r="I17" i="2"/>
  <c r="U28" i="3"/>
  <c r="U33" i="2"/>
  <c r="X33" i="2" s="1"/>
  <c r="U13" i="2" l="1"/>
  <c r="X13" i="2" s="1"/>
  <c r="U28" i="2"/>
  <c r="X28" i="2" s="1"/>
  <c r="U29" i="2"/>
  <c r="X29" i="2" s="1"/>
  <c r="U24" i="3"/>
  <c r="U23" i="2"/>
  <c r="X23" i="2" s="1"/>
  <c r="U22" i="3"/>
  <c r="U15" i="2"/>
  <c r="X15" i="2" s="1"/>
  <c r="U25" i="3"/>
  <c r="U30" i="2"/>
  <c r="X30" i="2" s="1"/>
  <c r="U17" i="3"/>
  <c r="U22" i="2"/>
  <c r="X22" i="2" s="1"/>
  <c r="U26" i="2"/>
  <c r="X26" i="2" s="1"/>
  <c r="U21" i="3"/>
  <c r="U34" i="3"/>
  <c r="U39" i="2"/>
  <c r="U34" i="2"/>
  <c r="X34" i="2" s="1"/>
  <c r="U29" i="3"/>
  <c r="U18" i="2"/>
  <c r="X18" i="2" s="1"/>
  <c r="U13" i="3"/>
  <c r="U19" i="3"/>
  <c r="U24" i="2"/>
  <c r="X24" i="2" s="1"/>
  <c r="U30" i="3"/>
  <c r="U35" i="2"/>
  <c r="X35" i="2" s="1"/>
  <c r="U27" i="3"/>
  <c r="U32" i="2"/>
  <c r="X32" i="2" s="1"/>
  <c r="U33" i="3"/>
  <c r="U38" i="2"/>
  <c r="X38" i="2" s="1"/>
  <c r="U11" i="3"/>
  <c r="U16" i="2"/>
  <c r="X16" i="2" s="1"/>
  <c r="X5" i="3"/>
  <c r="U5" i="3"/>
  <c r="U10" i="2"/>
  <c r="X10" i="2" s="1"/>
  <c r="X6" i="3"/>
  <c r="U6" i="3"/>
  <c r="U11" i="2"/>
  <c r="X11" i="2" s="1"/>
  <c r="U31" i="3"/>
  <c r="U36" i="2"/>
  <c r="X36" i="2" s="1"/>
  <c r="U15" i="3"/>
  <c r="U20" i="2"/>
  <c r="X20" i="2" s="1"/>
  <c r="U12" i="3"/>
  <c r="U17" i="2"/>
  <c r="X17" i="2" s="1"/>
  <c r="X7" i="3"/>
  <c r="U7" i="3"/>
  <c r="U12" i="2"/>
  <c r="X12" i="2" s="1"/>
  <c r="U9" i="3"/>
  <c r="U14" i="2"/>
  <c r="X14" i="2" s="1"/>
  <c r="U26" i="3"/>
  <c r="U31" i="2"/>
  <c r="X3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<sst xmlns="http://schemas.openxmlformats.org/spreadsheetml/2006/main" count="5078" uniqueCount="1216">
  <si>
    <t>K-BB%</t>
  </si>
  <si>
    <t>WHIP</t>
  </si>
  <si>
    <t>FIP</t>
  </si>
  <si>
    <t>Intercept</t>
  </si>
  <si>
    <t>Coefficients</t>
  </si>
  <si>
    <t>Stats Link</t>
  </si>
  <si>
    <t>Average</t>
  </si>
  <si>
    <t>#</t>
  </si>
  <si>
    <t>Name</t>
  </si>
  <si>
    <t>Team</t>
  </si>
  <si>
    <t>K/9</t>
  </si>
  <si>
    <t>BB/9</t>
  </si>
  <si>
    <t>K/BB</t>
  </si>
  <si>
    <t>HR/9</t>
  </si>
  <si>
    <t>K%</t>
  </si>
  <si>
    <t>BB%</t>
  </si>
  <si>
    <t>AVG</t>
  </si>
  <si>
    <t>BABIP</t>
  </si>
  <si>
    <t>LOB%</t>
  </si>
  <si>
    <t>ERA-</t>
  </si>
  <si>
    <t>FIP-</t>
  </si>
  <si>
    <t>xFIP-</t>
  </si>
  <si>
    <t>ERA</t>
  </si>
  <si>
    <t>E-F</t>
  </si>
  <si>
    <t>xFIP</t>
  </si>
  <si>
    <t>SIERA</t>
  </si>
  <si>
    <t>PITCHER LAST</t>
  </si>
  <si>
    <t>exRA/5</t>
  </si>
  <si>
    <t>pitchFactor</t>
  </si>
  <si>
    <t>RANK</t>
  </si>
  <si>
    <t>F5_RA_avg</t>
  </si>
  <si>
    <t>F5_starts</t>
  </si>
  <si>
    <t>FIP_scaled</t>
  </si>
  <si>
    <t>Cal Quantrill</t>
  </si>
  <si>
    <t>2 Tms</t>
  </si>
  <si>
    <t>Bradley Blalock</t>
  </si>
  <si>
    <t>COL</t>
  </si>
  <si>
    <t>Germán Márquez</t>
  </si>
  <si>
    <t>Walker Buehler</t>
  </si>
  <si>
    <t>Tyler Anderson</t>
  </si>
  <si>
    <t>LAA</t>
  </si>
  <si>
    <t>Luis Gil</t>
  </si>
  <si>
    <t>NYY</t>
  </si>
  <si>
    <t>Chris Paddack</t>
  </si>
  <si>
    <t>DET</t>
  </si>
  <si>
    <t>Seth Lugo</t>
  </si>
  <si>
    <t>KCR</t>
  </si>
  <si>
    <t>McCade Brown</t>
  </si>
  <si>
    <t>Michael King</t>
  </si>
  <si>
    <t>SDP</t>
  </si>
  <si>
    <t>Lucas Giolito</t>
  </si>
  <si>
    <t>BOS</t>
  </si>
  <si>
    <t>Miles Mikolas</t>
  </si>
  <si>
    <t>STL</t>
  </si>
  <si>
    <t>Nestor Cortes</t>
  </si>
  <si>
    <t>Adam Mazur</t>
  </si>
  <si>
    <t>MIA</t>
  </si>
  <si>
    <t>Mitchell Parker</t>
  </si>
  <si>
    <t>WSN</t>
  </si>
  <si>
    <t>Mason Barnett</t>
  </si>
  <si>
    <t>ATH</t>
  </si>
  <si>
    <t>Jake Irvin</t>
  </si>
  <si>
    <t>Andre Pallante</t>
  </si>
  <si>
    <t>Spencer Arrighetti</t>
  </si>
  <si>
    <t>HOU</t>
  </si>
  <si>
    <t>Eduardo Rodriguez</t>
  </si>
  <si>
    <t>ARI</t>
  </si>
  <si>
    <t>Taijuan Walker</t>
  </si>
  <si>
    <t>PHI</t>
  </si>
  <si>
    <t>Jose Quintana</t>
  </si>
  <si>
    <t>MIL</t>
  </si>
  <si>
    <t>Brandon Young</t>
  </si>
  <si>
    <t>BAL</t>
  </si>
  <si>
    <t>Davis Martin</t>
  </si>
  <si>
    <t>CHW</t>
  </si>
  <si>
    <t>Spencer Strider</t>
  </si>
  <si>
    <t>ATL</t>
  </si>
  <si>
    <t>Matthew Liberatore</t>
  </si>
  <si>
    <t>Martín Pérez</t>
  </si>
  <si>
    <t>Logan Allen</t>
  </si>
  <si>
    <t>CLE</t>
  </si>
  <si>
    <t>Johan Oviedo</t>
  </si>
  <si>
    <t>PIT</t>
  </si>
  <si>
    <t>Michael Wacha</t>
  </si>
  <si>
    <t>Mitch Farris</t>
  </si>
  <si>
    <t>Patrick Corbin</t>
  </si>
  <si>
    <t>TEX</t>
  </si>
  <si>
    <t>Javier Assad</t>
  </si>
  <si>
    <t>CHC</t>
  </si>
  <si>
    <t>Noah Cameron</t>
  </si>
  <si>
    <t>Clay Holmes</t>
  </si>
  <si>
    <t>NYM</t>
  </si>
  <si>
    <t>Max Scherzer</t>
  </si>
  <si>
    <t>TOR</t>
  </si>
  <si>
    <t>Cristian Javier</t>
  </si>
  <si>
    <t>Chase Dollander</t>
  </si>
  <si>
    <t>Jeffrey Springs</t>
  </si>
  <si>
    <t>Kodai Senga</t>
  </si>
  <si>
    <t>Yusei Kikuchi</t>
  </si>
  <si>
    <t>Joe Boyle</t>
  </si>
  <si>
    <t>TBR</t>
  </si>
  <si>
    <t>Brayan Bello</t>
  </si>
  <si>
    <t>MacKenzie Gore</t>
  </si>
  <si>
    <t>JP Sears</t>
  </si>
  <si>
    <t>Kyle Hendricks</t>
  </si>
  <si>
    <t>Ryan Bergert</t>
  </si>
  <si>
    <t>José Berríos</t>
  </si>
  <si>
    <t>Nick Martinez</t>
  </si>
  <si>
    <t>CIN</t>
  </si>
  <si>
    <t>Dustin May</t>
  </si>
  <si>
    <t>Nabil Crismatt</t>
  </si>
  <si>
    <t>Michael McGreevy</t>
  </si>
  <si>
    <t>Janson Junk</t>
  </si>
  <si>
    <t>Jacob Latz</t>
  </si>
  <si>
    <t>Tomoyuki Sugano</t>
  </si>
  <si>
    <t>Chris Bassitt</t>
  </si>
  <si>
    <t>Joey Wentz</t>
  </si>
  <si>
    <t>Jameson Taillon</t>
  </si>
  <si>
    <t>Luis Severino</t>
  </si>
  <si>
    <t>Andrew Alvarez</t>
  </si>
  <si>
    <t>Caden Dana</t>
  </si>
  <si>
    <t>Will Warren</t>
  </si>
  <si>
    <t>Framber Valdez</t>
  </si>
  <si>
    <t>Charlie Morton</t>
  </si>
  <si>
    <t>Carlos Rodón</t>
  </si>
  <si>
    <t>Robbie Ray</t>
  </si>
  <si>
    <t>SFG</t>
  </si>
  <si>
    <t>Cade Povich</t>
  </si>
  <si>
    <t>Luis Morales</t>
  </si>
  <si>
    <t>Zack Littell</t>
  </si>
  <si>
    <t>David Peterson</t>
  </si>
  <si>
    <t>Taj Bradley</t>
  </si>
  <si>
    <t>MIN</t>
  </si>
  <si>
    <t>Brad Lord</t>
  </si>
  <si>
    <t>Zac Gallen</t>
  </si>
  <si>
    <t>Adrian Houser</t>
  </si>
  <si>
    <t>Bryce Miller</t>
  </si>
  <si>
    <t>SEA</t>
  </si>
  <si>
    <t>Zebby Matthews</t>
  </si>
  <si>
    <t>Kyle Freeland</t>
  </si>
  <si>
    <t>Aaron Civale</t>
  </si>
  <si>
    <t>Matthew Boyd</t>
  </si>
  <si>
    <t>Clayton Kershaw</t>
  </si>
  <si>
    <t>LAD</t>
  </si>
  <si>
    <t>Brandon Sproat</t>
  </si>
  <si>
    <t>Tanner Bibee</t>
  </si>
  <si>
    <t>Bailey Ober</t>
  </si>
  <si>
    <t>Nick Pivetta</t>
  </si>
  <si>
    <t>Dean Kremer</t>
  </si>
  <si>
    <t>Kai-Wei Teng</t>
  </si>
  <si>
    <t>Merrill Kelly</t>
  </si>
  <si>
    <t>Ryan Pepiot</t>
  </si>
  <si>
    <t>Cade Cavalli</t>
  </si>
  <si>
    <t>Ryne Nelson</t>
  </si>
  <si>
    <t>Justin Verlander</t>
  </si>
  <si>
    <t>Mitch Keller</t>
  </si>
  <si>
    <t>Drew Rasmussen</t>
  </si>
  <si>
    <t>Brandon Pfaadt</t>
  </si>
  <si>
    <t>Slade Cecconi</t>
  </si>
  <si>
    <t>Yoendrys Gómez</t>
  </si>
  <si>
    <t>Colin Rea</t>
  </si>
  <si>
    <t>Quinn Priester</t>
  </si>
  <si>
    <t>Tanner Gordon</t>
  </si>
  <si>
    <t>J.T. Ginn</t>
  </si>
  <si>
    <t>Bryce Elder</t>
  </si>
  <si>
    <t>Jason Alexander</t>
  </si>
  <si>
    <t>Shota Imanaga</t>
  </si>
  <si>
    <t>José Soriano</t>
  </si>
  <si>
    <t>Tyler Wells</t>
  </si>
  <si>
    <t>Stephen Kolek</t>
  </si>
  <si>
    <t>Sean Burke</t>
  </si>
  <si>
    <t>Hurston Waldrep</t>
  </si>
  <si>
    <t>Jack Flaherty</t>
  </si>
  <si>
    <t>Andrew Abbott</t>
  </si>
  <si>
    <t>Joey Cantillo</t>
  </si>
  <si>
    <t>Gavin Williams</t>
  </si>
  <si>
    <t>Jack Leiter</t>
  </si>
  <si>
    <t>Shane Smith</t>
  </si>
  <si>
    <t>Tyler Glasnow</t>
  </si>
  <si>
    <t>Dylan Cease</t>
  </si>
  <si>
    <t>Randy Vásquez</t>
  </si>
  <si>
    <t>Michael Lorenzen</t>
  </si>
  <si>
    <t>Aaron Nola</t>
  </si>
  <si>
    <t>Cade Horton</t>
  </si>
  <si>
    <t>Chad Patrick</t>
  </si>
  <si>
    <t>Hunter Brown</t>
  </si>
  <si>
    <t>Brady Singer</t>
  </si>
  <si>
    <t>Luis Castillo</t>
  </si>
  <si>
    <t>Sandy Alcantara</t>
  </si>
  <si>
    <t>Trevor Rogers</t>
  </si>
  <si>
    <t>Eury Pérez</t>
  </si>
  <si>
    <t>Shane Baz</t>
  </si>
  <si>
    <t>Ranger Suarez</t>
  </si>
  <si>
    <t>Mike Burrows</t>
  </si>
  <si>
    <t>Joe Ryan</t>
  </si>
  <si>
    <t>Casey Mize</t>
  </si>
  <si>
    <t>Jacob Misiorowski</t>
  </si>
  <si>
    <t>Yu Darvish</t>
  </si>
  <si>
    <t>Braxton Ashcraft</t>
  </si>
  <si>
    <t>Shane Bieber</t>
  </si>
  <si>
    <t>Max Fried</t>
  </si>
  <si>
    <t>Parker Messick</t>
  </si>
  <si>
    <t>Sonny Gray</t>
  </si>
  <si>
    <t>Simeon Woods Richardson</t>
  </si>
  <si>
    <t>Edward Cabrera</t>
  </si>
  <si>
    <t>Jacob deGrom</t>
  </si>
  <si>
    <t>Cam Schlittler</t>
  </si>
  <si>
    <t>Jacob Lopez</t>
  </si>
  <si>
    <t>Ian Seymour</t>
  </si>
  <si>
    <t>Kevin Gausman</t>
  </si>
  <si>
    <t>Logan Gilbert</t>
  </si>
  <si>
    <t>Sean Manaea</t>
  </si>
  <si>
    <t>George Kirby</t>
  </si>
  <si>
    <t>Yoshinobu Yamamoto</t>
  </si>
  <si>
    <t>Tarik Skubal</t>
  </si>
  <si>
    <t>Brandon Woodruff</t>
  </si>
  <si>
    <t>Nolan McLean</t>
  </si>
  <si>
    <t>Nick Lodolo</t>
  </si>
  <si>
    <t>Blake Snell</t>
  </si>
  <si>
    <t>Logan Webb</t>
  </si>
  <si>
    <t>Freddy Peralta</t>
  </si>
  <si>
    <t>Hunter Greene</t>
  </si>
  <si>
    <t>Nathan Eovaldi</t>
  </si>
  <si>
    <t>Paul Skenes</t>
  </si>
  <si>
    <t>Jesús Luzardo</t>
  </si>
  <si>
    <t>Emmet Sheehan</t>
  </si>
  <si>
    <t>Cristopher Sánchez</t>
  </si>
  <si>
    <t>Kyle Bradish</t>
  </si>
  <si>
    <t>Bryan Woo</t>
  </si>
  <si>
    <t>Garrett Crochet</t>
  </si>
  <si>
    <t>Chris Sale</t>
  </si>
  <si>
    <t>Shohei Ohtani</t>
  </si>
  <si>
    <t>F5 Model v1.0</t>
  </si>
  <si>
    <t>v1.0</t>
  </si>
  <si>
    <t>Inputs: Starter xRA + Team offense vs hand</t>
  </si>
  <si>
    <t>Park factor: excluded</t>
  </si>
  <si>
    <t>Distribution: Poisson</t>
  </si>
  <si>
    <t>Win% derived from λ_home / λ_away</t>
  </si>
  <si>
    <t>Pinnacle</t>
  </si>
  <si>
    <t>Total</t>
  </si>
  <si>
    <t>BOL</t>
  </si>
  <si>
    <t>BetMGM</t>
  </si>
  <si>
    <t>.</t>
  </si>
  <si>
    <t>BetRivers</t>
  </si>
  <si>
    <t>Winrate</t>
  </si>
  <si>
    <t>DraftKings</t>
  </si>
  <si>
    <t>ML</t>
  </si>
  <si>
    <t>RL</t>
  </si>
  <si>
    <t>FanDuel</t>
  </si>
  <si>
    <t>Date:</t>
  </si>
  <si>
    <t>Min Edge</t>
  </si>
  <si>
    <t>Sum</t>
  </si>
  <si>
    <t>Game Info</t>
  </si>
  <si>
    <t>My Projections</t>
  </si>
  <si>
    <t>Bookmaker</t>
  </si>
  <si>
    <t>Results</t>
  </si>
  <si>
    <t>Bets To Place</t>
  </si>
  <si>
    <t>Minimum Odds</t>
  </si>
  <si>
    <t>Game</t>
  </si>
  <si>
    <t>Teams</t>
  </si>
  <si>
    <t>Starting Pitcher</t>
  </si>
  <si>
    <t>Thr</t>
  </si>
  <si>
    <t>Pitcher Rank</t>
  </si>
  <si>
    <t>IP</t>
  </si>
  <si>
    <t>xR</t>
  </si>
  <si>
    <t>ML xW%</t>
  </si>
  <si>
    <t>ML Odds</t>
  </si>
  <si>
    <t>Sp +0.5 xW%</t>
  </si>
  <si>
    <t>Sp +0.5 Odds</t>
  </si>
  <si>
    <t>Sp -0.5 xW%</t>
  </si>
  <si>
    <t>Sp -0.5 Odds</t>
  </si>
  <si>
    <t>Book ML xW%</t>
  </si>
  <si>
    <t>ML Best Odds</t>
  </si>
  <si>
    <t>ML Adj Kelly</t>
  </si>
  <si>
    <t>Sp Adj Kelly +0.5</t>
  </si>
  <si>
    <t>Sp Adj Kelly -0.5</t>
  </si>
  <si>
    <t>F5 Moneyline</t>
  </si>
  <si>
    <t>F5 Spread</t>
  </si>
  <si>
    <t>F5 Spread +0.5</t>
  </si>
  <si>
    <t>F5 Spread -0.5</t>
  </si>
  <si>
    <t xml:space="preserve"> </t>
  </si>
  <si>
    <t>DATE</t>
  </si>
  <si>
    <t>P Weight</t>
  </si>
  <si>
    <t>Off Weight</t>
  </si>
  <si>
    <t>r</t>
  </si>
  <si>
    <t>FIRST 5 INNINGS</t>
  </si>
  <si>
    <t>March 28</t>
  </si>
  <si>
    <t>Best</t>
  </si>
  <si>
    <t>Book xWin %</t>
  </si>
  <si>
    <t>Proj xWin%</t>
  </si>
  <si>
    <t>Adj Kelly</t>
  </si>
  <si>
    <t>Best Book</t>
  </si>
  <si>
    <t>MY PROJECTIONS</t>
  </si>
  <si>
    <t>BOOKMAKER ODDS</t>
  </si>
  <si>
    <t>Odds</t>
  </si>
  <si>
    <t>Player</t>
  </si>
  <si>
    <t>Throws</t>
  </si>
  <si>
    <t>pitch xRA</t>
  </si>
  <si>
    <t>Total xRUNS</t>
  </si>
  <si>
    <t>Win %</t>
  </si>
  <si>
    <t>FV</t>
  </si>
  <si>
    <t>MGM</t>
  </si>
  <si>
    <t>FD</t>
  </si>
  <si>
    <t>DK</t>
  </si>
  <si>
    <t>ESPNBet</t>
  </si>
  <si>
    <t>Bet Rivers</t>
  </si>
  <si>
    <t>Best Line</t>
  </si>
  <si>
    <t>Kelly BET</t>
  </si>
  <si>
    <t>xW% Diff</t>
  </si>
  <si>
    <t>Min Odds</t>
  </si>
  <si>
    <t>R</t>
  </si>
  <si>
    <t>L</t>
  </si>
  <si>
    <t>Reid Detmers</t>
  </si>
  <si>
    <t>CWS</t>
  </si>
  <si>
    <t>Reynaldo López</t>
  </si>
  <si>
    <t>Tyler Mahle</t>
  </si>
  <si>
    <t>date</t>
  </si>
  <si>
    <t>away_team</t>
  </si>
  <si>
    <t>away_sp</t>
  </si>
  <si>
    <t>home_team</t>
  </si>
  <si>
    <t>home_sp</t>
  </si>
  <si>
    <t>lambda_away</t>
  </si>
  <si>
    <t>lambda_home</t>
  </si>
  <si>
    <t>total_proj</t>
  </si>
  <si>
    <t>winprob_home</t>
  </si>
  <si>
    <t>model_version</t>
  </si>
  <si>
    <t>Variable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</si>
  <si>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</si>
  <si>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</si>
  <si>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</si>
  <si>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</si>
  <si>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</si>
  <si>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</si>
  <si>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</si>
  <si>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</si>
  <si>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t>Game 9</t>
  </si>
  <si>
    <t>Game 10</t>
  </si>
  <si>
    <t>Game 11</t>
  </si>
  <si>
    <t>Game 12</t>
  </si>
  <si>
    <t>Game 13</t>
  </si>
  <si>
    <t>Game 14</t>
  </si>
  <si>
    <t>Game 15</t>
  </si>
  <si>
    <t>Away Team</t>
  </si>
  <si>
    <t>Home Team</t>
  </si>
  <si>
    <t>xW%</t>
  </si>
  <si>
    <t>Over</t>
  </si>
  <si>
    <t>Under</t>
  </si>
  <si>
    <t>H\A</t>
  </si>
  <si>
    <t>Push</t>
  </si>
  <si>
    <t>Final xW%</t>
  </si>
  <si>
    <t>W</t>
  </si>
  <si>
    <t>P</t>
  </si>
  <si>
    <t>Units P/L</t>
  </si>
  <si>
    <t>CLV</t>
  </si>
  <si>
    <t>Edge</t>
  </si>
  <si>
    <t>Yield</t>
  </si>
  <si>
    <t>ROI</t>
  </si>
  <si>
    <t>BTL</t>
  </si>
  <si>
    <t>xBTL</t>
  </si>
  <si>
    <t>Number of Bets</t>
  </si>
  <si>
    <t>Overall</t>
  </si>
  <si>
    <t>1st 5 ML</t>
  </si>
  <si>
    <t>Average Odds</t>
  </si>
  <si>
    <t>1st 5 RL</t>
  </si>
  <si>
    <t>Standard Deviation</t>
  </si>
  <si>
    <t>1st 5 Totals</t>
  </si>
  <si>
    <t>t-statistic</t>
  </si>
  <si>
    <t>p-value</t>
  </si>
  <si>
    <t>1-in-x probability</t>
  </si>
  <si>
    <t>American</t>
  </si>
  <si>
    <t>vs taken</t>
  </si>
  <si>
    <t>vs close</t>
  </si>
  <si>
    <t>vs Taken</t>
  </si>
  <si>
    <t>Model</t>
  </si>
  <si>
    <t>Book</t>
  </si>
  <si>
    <t>Decimal</t>
  </si>
  <si>
    <t>Bet Type</t>
  </si>
  <si>
    <t>Date</t>
  </si>
  <si>
    <t>Bet</t>
  </si>
  <si>
    <t>Proj xW Odds</t>
  </si>
  <si>
    <t>Taken Odds</t>
  </si>
  <si>
    <t>Closing Odds</t>
  </si>
  <si>
    <t>Closing Odds Opp</t>
  </si>
  <si>
    <t>STAKE</t>
  </si>
  <si>
    <t>W-L</t>
  </si>
  <si>
    <t xml:space="preserve">Profit </t>
  </si>
  <si>
    <t>xWin%</t>
  </si>
  <si>
    <t>Std Dev</t>
  </si>
  <si>
    <t>Arizona Diamondbacks vs San Francisco Giants</t>
  </si>
  <si>
    <t>Arizona Diamondbacks</t>
  </si>
  <si>
    <t>Pittsburgh Pirates vs New York Mets</t>
  </si>
  <si>
    <t>New York Mets</t>
  </si>
  <si>
    <t>New York Yankees vs Seattle Mariners</t>
  </si>
  <si>
    <t>over 4.5</t>
  </si>
  <si>
    <t>over 3.5</t>
  </si>
  <si>
    <t>Athletics vs Los Angeles Dodgers</t>
  </si>
  <si>
    <t>over 5</t>
  </si>
  <si>
    <t>Athletics</t>
  </si>
  <si>
    <t>Minnesota Twins vs Baltimore Orioles - Game #1</t>
  </si>
  <si>
    <t>Los Angeles Angels vs San Diego Padres</t>
  </si>
  <si>
    <t>Chicago White Sox vs Cincinnati Reds</t>
  </si>
  <si>
    <t>under 4.5</t>
  </si>
  <si>
    <t>Washington Nationals vs Atlanta Braves</t>
  </si>
  <si>
    <t>under 5</t>
  </si>
  <si>
    <t>Colorado Rockies vs Texas Rangers</t>
  </si>
  <si>
    <t>Atlanta Braves vs Boston Red Sox</t>
  </si>
  <si>
    <t>Boston Red Sox</t>
  </si>
  <si>
    <t>Athletics vs San Francisco Giants</t>
  </si>
  <si>
    <t>Pittsburgh Pirates vs Philadelphia Phillies</t>
  </si>
  <si>
    <t>Pittsburgh Pirates</t>
  </si>
  <si>
    <t>St. Louis Cardinals vs Kansas City Royals</t>
  </si>
  <si>
    <t>St. Louis Cardinals</t>
  </si>
  <si>
    <t>Washington Nationals vs Baltimore Orioles</t>
  </si>
  <si>
    <t>Washington Nationals</t>
  </si>
  <si>
    <t>Houston Astros vs Texas Rangers</t>
  </si>
  <si>
    <t>Chicago White Sox vs Chicago Cubs</t>
  </si>
  <si>
    <t>under 5.5</t>
  </si>
  <si>
    <t>over 4</t>
  </si>
  <si>
    <t>New York Mets vs New York Yankees</t>
  </si>
  <si>
    <t>Cleveland Guardians vs Cincinnati Reds</t>
  </si>
  <si>
    <t>Los Angeles Angels vs Athletics</t>
  </si>
  <si>
    <t>Los Angeles Angels</t>
  </si>
  <si>
    <t>Arizona Diamondbacks vs Los Angeles Dodgers</t>
  </si>
  <si>
    <t>over 5.5</t>
  </si>
  <si>
    <t>Kansas City Royals vs San Francisco Giants</t>
  </si>
  <si>
    <t>Texas Rangers vs New York Yankees</t>
  </si>
  <si>
    <t>New York Mets vs Boston Red Sox</t>
  </si>
  <si>
    <t>Baltimore Orioles vs Milwaukee Brewers</t>
  </si>
  <si>
    <t>under 6</t>
  </si>
  <si>
    <t>Atlanta Braves vs Washington Nationals</t>
  </si>
  <si>
    <t>Miami Marlins vs Los Angeles Angels</t>
  </si>
  <si>
    <t xml:space="preserve"> Los Angeles Angels</t>
  </si>
  <si>
    <t>Chicago Cubs vs Cincinnati Reds</t>
  </si>
  <si>
    <t>Chicago Cubs</t>
  </si>
  <si>
    <t>San Francisco Giants vs Washington Nationals</t>
  </si>
  <si>
    <t>San Diego Padres vs Atlanta Braves</t>
  </si>
  <si>
    <t>San Diego Padres</t>
  </si>
  <si>
    <t>Arizona Diamondbacks vs St. Louis Cardinals</t>
  </si>
  <si>
    <t>Texas Rangers vs Chicago White Sox</t>
  </si>
  <si>
    <t>Texas Rangers</t>
  </si>
  <si>
    <t>Kansas City Royals vs Minnesota Twins</t>
  </si>
  <si>
    <t>Kansas City Royals</t>
  </si>
  <si>
    <t>Baltimore Orioles vs Boston Red Sox</t>
  </si>
  <si>
    <t xml:space="preserve"> Baltimore Orioles</t>
  </si>
  <si>
    <t>Cincinnati Reds vs Kansas City Royals</t>
  </si>
  <si>
    <t>Cincinnati Reds</t>
  </si>
  <si>
    <t>Miami Marlins vs San Diego Padres</t>
  </si>
  <si>
    <t>Miami Marlins</t>
  </si>
  <si>
    <t>Pittsburgh Pirates vs Arizona Diamondbacks</t>
  </si>
  <si>
    <t xml:space="preserve"> St. Louis Cardinals vs Baltimore Orioles</t>
  </si>
  <si>
    <t>Toronto Blue Jays vs Texas Rangers</t>
  </si>
  <si>
    <t>Toronto Blue Jays</t>
  </si>
  <si>
    <t>Athletics vs Houston Astros</t>
  </si>
  <si>
    <t>Chicago White Sox vs New York Mets</t>
  </si>
  <si>
    <t>Chicago White Sox</t>
  </si>
  <si>
    <t>Boston Red Sox vs Milwaukee Brewers</t>
  </si>
  <si>
    <t>St. Louis Cardinals vs Baltimore Orioles</t>
  </si>
  <si>
    <t>Minnesota Twins vs Tampa Bay Rays</t>
  </si>
  <si>
    <t>Tampa Bay Rays</t>
  </si>
  <si>
    <t>Atlanta Braves vs Philadelphia Phillies - Game #2</t>
  </si>
  <si>
    <t>Philadelphia Phillies</t>
  </si>
  <si>
    <t>Cincinnati Reds vs Chicago Cubs</t>
  </si>
  <si>
    <t>New York Yankees vs Los Angeles Dodgers</t>
  </si>
  <si>
    <t>New York Yankees</t>
  </si>
  <si>
    <t>Minnesota Twins vs Seattle Mariners</t>
  </si>
  <si>
    <t>Seattle Mariners</t>
  </si>
  <si>
    <t>Tampa Bay Rays vs Houston Astros</t>
  </si>
  <si>
    <t>Boston Red Sox vs Atlanta Braves</t>
  </si>
  <si>
    <t>Chicago White Sox vs Baltimore Orioles</t>
  </si>
  <si>
    <t>Pittsburgh Pirates vs San Diego Padres</t>
  </si>
  <si>
    <t>Detroit Tigers vs Kansas City Royals</t>
  </si>
  <si>
    <t>Detroit Tigers</t>
  </si>
  <si>
    <t>Los Angeles Angels vs Cleveland Guardians</t>
  </si>
  <si>
    <t>St. Louis Cardinals vs Texas Rangers</t>
  </si>
  <si>
    <t>Washington Nationals vs Arizona Diamondbacks</t>
  </si>
  <si>
    <t>San Diego Padres vs San Francisco Giants</t>
  </si>
  <si>
    <t xml:space="preserve"> San Diego Padres</t>
  </si>
  <si>
    <t>Minnesota Twins vs Athletics</t>
  </si>
  <si>
    <t>Cleveland Guardians vs New York Yankees</t>
  </si>
  <si>
    <t>Arizona Diamondbacks vs Atlanta Braves</t>
  </si>
  <si>
    <t>New York Mets vs Los Angeles Dodgers</t>
  </si>
  <si>
    <t>Texas Rangers vs Tampa Bay Rays</t>
  </si>
  <si>
    <t>Baltimore Orioles vs Athletics</t>
  </si>
  <si>
    <t>Seattle Mariners vs Los Angeles Angels</t>
  </si>
  <si>
    <t>New York Mets vs Colorado Rockies</t>
  </si>
  <si>
    <t>Arizona Diamondbacks vs Cincinnati Reds</t>
  </si>
  <si>
    <t>Houston Astros vs Cleveland Guardians</t>
  </si>
  <si>
    <t>Houston Astros</t>
  </si>
  <si>
    <t>Miami Marlins vs Tampa Bay Rays</t>
  </si>
  <si>
    <t>Boston Red Sox vs New York Yankees</t>
  </si>
  <si>
    <t>Texas Rangers vs Washington Nationals</t>
  </si>
  <si>
    <t>Toronto Blue Jays vs Minnesota Twins</t>
  </si>
  <si>
    <t>Minnesota Twins</t>
  </si>
  <si>
    <t>Seattle Mariners vs Arizona Diamondbacks</t>
  </si>
  <si>
    <t>Athletics vs Los Angeles Angels</t>
  </si>
  <si>
    <t>Chicago White Sox vs Houston Astros</t>
  </si>
  <si>
    <t>Cincinnati Red vs Cleveland Guardians</t>
  </si>
  <si>
    <t>New York Yankees vs Kansas City Royals</t>
  </si>
  <si>
    <t>Miami Marlins vs Pittsburgh Pirates</t>
  </si>
  <si>
    <t>Toronto Blue Jays vs St. Louis Cardinals</t>
  </si>
  <si>
    <t>Tampa Bay Rays vs Boston Red Sox</t>
  </si>
  <si>
    <t>Texas Rangers vs Minnesota Twins</t>
  </si>
  <si>
    <t xml:space="preserve"> Seattle Mariners</t>
  </si>
  <si>
    <t>Cincinnati Reds vs Cleveland Guardians</t>
  </si>
  <si>
    <t>Detroit Tigers vs Baltimore Orioles</t>
  </si>
  <si>
    <t>Pittsburgh Pirates vs Chicago Cubs</t>
  </si>
  <si>
    <t>Cincinnati Reds vs Detroit Tigers</t>
  </si>
  <si>
    <t>Colorado Rockies vs Atlanta Braves</t>
  </si>
  <si>
    <t>Colorado Rockies</t>
  </si>
  <si>
    <t>Los Angeles Angels vs Baltimore Orioles</t>
  </si>
  <si>
    <t>Athletics vs Kansas City Royals</t>
  </si>
  <si>
    <t>Oakland Athletics</t>
  </si>
  <si>
    <t>St. Louis Cardinals vs Milwaukee Brewers</t>
  </si>
  <si>
    <t>Toronto Blue Jays vs Philadelphia Phillies</t>
  </si>
  <si>
    <t>Miami Marlins vs Washington Nationals</t>
  </si>
  <si>
    <t>Boston Red Sox vs Seattle Mariners</t>
  </si>
  <si>
    <t>Los Angeles Angels vs New York Yankees</t>
  </si>
  <si>
    <t>Philadelphia Phillies vs Miami Marlins</t>
  </si>
  <si>
    <t>Milwaukee Brewers vs Chicago Cubs</t>
  </si>
  <si>
    <t>Milwaukee Brewers</t>
  </si>
  <si>
    <t>Minnesota Twins vs Cincinnati Reds</t>
  </si>
  <si>
    <t>New York Mets vs Atlanta Braves</t>
  </si>
  <si>
    <t>Pittsburgh Pirates vs Detroit Tigers</t>
  </si>
  <si>
    <t>Houston Astros vs Athletics</t>
  </si>
  <si>
    <t>Baltimore Orioles vs New York Yankees</t>
  </si>
  <si>
    <t>Baltimore Orioles</t>
  </si>
  <si>
    <t>Cincinnati Reds vs St. Louis Cardinals</t>
  </si>
  <si>
    <t>Houston Astros vs Los Angeles Angels</t>
  </si>
  <si>
    <t>Texas Rangers vs Pittsburgh Pirates</t>
  </si>
  <si>
    <t xml:space="preserve"> Pittsburgh Pirates</t>
  </si>
  <si>
    <t>Arizona Diamondbacks vs Colorado Rockies</t>
  </si>
  <si>
    <t>Kansas City Royals vs San Diego Padres</t>
  </si>
  <si>
    <t>Milwaukee Brewers vs Minnesota Twins</t>
  </si>
  <si>
    <t>New York Mets vs Philadelphia Phillies</t>
  </si>
  <si>
    <t>Washington Nationals vs Los Angeles Dodgers</t>
  </si>
  <si>
    <t>Boston Red Sox vs San Francisco Giants</t>
  </si>
  <si>
    <t>Chicago White Sox vs Toronto Blue Jays</t>
  </si>
  <si>
    <t>Seattle Mariners vs Chicago Cubs</t>
  </si>
  <si>
    <t>Arizona Diamondbacks vs Chicago White Sox</t>
  </si>
  <si>
    <t>Seattle Mariners vs Minnesota Twins</t>
  </si>
  <si>
    <t>Chicago Cubs vs St. Louis Cardinals</t>
  </si>
  <si>
    <t>Washington Nationals vs San Diego Padres</t>
  </si>
  <si>
    <t>Athletics vs Detroit Tigers</t>
  </si>
  <si>
    <t>Miami Marlins vs San Francisco Giants</t>
  </si>
  <si>
    <t>Philadelphia Phillies vs Houston Astros</t>
  </si>
  <si>
    <t>Boston Red Sox vs Los Angeles Angels</t>
  </si>
  <si>
    <t>Tampa Bay Rays vs Kansas City Royals</t>
  </si>
  <si>
    <t>Toronto Blue Jays vs Cleveland Guardians</t>
  </si>
  <si>
    <t>Chicago Cubs vs Houston Astros</t>
  </si>
  <si>
    <t>Los Angeles Dodgers vs Kansas City Royals</t>
  </si>
  <si>
    <t>Philadelphia Phillies vs Atlanta Braves</t>
  </si>
  <si>
    <t>St. Louis Cardinals vs Cleveland Guardians</t>
  </si>
  <si>
    <t>Seattle Mariners vs Texas Rangers</t>
  </si>
  <si>
    <t>Toronto Blue Jays vs Boston Red Sox</t>
  </si>
  <si>
    <t>Washington Nationals vs Los Angeles Angels</t>
  </si>
  <si>
    <t>San Francisco Giants vs Chicago White Sox</t>
  </si>
  <si>
    <t>Tampa Bay Rays vs Baltimore Orioles</t>
  </si>
  <si>
    <t xml:space="preserve"> Miami Marlins vs Arizona Diamondbacks</t>
  </si>
  <si>
    <t>Minnesota Twins vs Detroit Tigers</t>
  </si>
  <si>
    <t>San Francisco Giants</t>
  </si>
  <si>
    <t>San Francisco Giants vs Arizona Diamondbacks</t>
  </si>
  <si>
    <t>Kansas City Royals vs Seattle Mariners</t>
  </si>
  <si>
    <t>Cleveland Guardians vs Chicago Cubs</t>
  </si>
  <si>
    <t>Chicago White Sox vs Los Angeles Dodgers</t>
  </si>
  <si>
    <t xml:space="preserve"> Athletics vs Tampa Bay Rays</t>
  </si>
  <si>
    <t>Los Angeles Angels vs Atlanta Braves</t>
  </si>
  <si>
    <t>Milwaukee Brewers vs New York Mets</t>
  </si>
  <si>
    <t>New York Yankees vs Toronto Blue Jays</t>
  </si>
  <si>
    <t>Chicago White Sox vs Colorado Rockies</t>
  </si>
  <si>
    <t>Cincinnati Reds vs Philadelphia Phillies</t>
  </si>
  <si>
    <t>Detroit Tigers vs Cleveland Guardians</t>
  </si>
  <si>
    <t>Los Angeles Angels vs Toronto Blue Jays</t>
  </si>
  <si>
    <t>Milwaukee Brewers vs Miami Marlins</t>
  </si>
  <si>
    <t>Texas Rangers vs San Diego Padres</t>
  </si>
  <si>
    <t>St. Louis Cardinals vs Chicago Cubs</t>
  </si>
  <si>
    <t>Tampa Bay Rays vs Minnesota Twins</t>
  </si>
  <si>
    <t>Kansas City Royals vs Arizona Diamondbacks</t>
  </si>
  <si>
    <t>San Francisco Giants vs Athletics</t>
  </si>
  <si>
    <t>Baltimore Orioles vs Atlanta Braves</t>
  </si>
  <si>
    <t>Philadelphia Phillies vs San Francisco Giants</t>
  </si>
  <si>
    <t>Toronto Blue Jays vs Chicago White Sox</t>
  </si>
  <si>
    <t>Arizona Diamondbacks vs San Diego Padres</t>
  </si>
  <si>
    <t>Miami Marlins vs Cincinnati Reds</t>
  </si>
  <si>
    <t>Miami Marlins +½</t>
  </si>
  <si>
    <t>Texas Rangers vs Los Angeles Angels</t>
  </si>
  <si>
    <t>Texas Rangers -½</t>
  </si>
  <si>
    <t>Arizona Diamondbacks +0.5</t>
  </si>
  <si>
    <t>Atlanta Braves vs Athletics</t>
  </si>
  <si>
    <t>Athletics +0.5</t>
  </si>
  <si>
    <t>Cincinnati Reds +0.5</t>
  </si>
  <si>
    <t>Cleveland Guardians vs Houston Astros</t>
  </si>
  <si>
    <t>Houston Astros +0.5</t>
  </si>
  <si>
    <t>Los Angeles Angels +0.5</t>
  </si>
  <si>
    <t>Pittsburgh Pirates vs Kansas City Royals</t>
  </si>
  <si>
    <t>Pittsburgh Pirates +0.5</t>
  </si>
  <si>
    <t>Tampa Bay Rays +0.5</t>
  </si>
  <si>
    <t>Toronto Blue Jays vs Athletics</t>
  </si>
  <si>
    <t>G1 Cleveland Guardians vs G1 Chicago White Sox</t>
  </si>
  <si>
    <t>Colorado Rockies vs Cincinnati Reds</t>
  </si>
  <si>
    <t>New York Mets vs Kansas City Royals</t>
  </si>
  <si>
    <t>New York Mets +0.5</t>
  </si>
  <si>
    <t>Atlanta Braves vs St. Louis Cardinals</t>
  </si>
  <si>
    <t>St. Louis Cardinals +0.5</t>
  </si>
  <si>
    <t>Texas Rangers vs Houston Astros</t>
  </si>
  <si>
    <t>Washington Nationals vs Milwaukee Brewers</t>
  </si>
  <si>
    <t>Washington Nationals +0.5</t>
  </si>
  <si>
    <t>Miami Marlins vs Baltimore Orioles</t>
  </si>
  <si>
    <t>Baltimore Orioles +0.5</t>
  </si>
  <si>
    <t>Philadelphia Phillies vs San Diego Padres</t>
  </si>
  <si>
    <t>Philadelphia Phillies +0.5</t>
  </si>
  <si>
    <t>Los Angeles Dodgers vs San Francisco Giants</t>
  </si>
  <si>
    <t>Texas Rangers +½</t>
  </si>
  <si>
    <t>Arizona Diamondbacks vs Los Angeles Angels</t>
  </si>
  <si>
    <t>Chicago Cubs vs New York Yankees</t>
  </si>
  <si>
    <t>Chicago Cubs +0.5</t>
  </si>
  <si>
    <t>San Diego Padres +0.5</t>
  </si>
  <si>
    <t>Seattle Mariners vs Detroit Tigers</t>
  </si>
  <si>
    <t>Seattle Mariners +0.5</t>
  </si>
  <si>
    <t>Boston Red Sox vs Chicago Cubs</t>
  </si>
  <si>
    <t>Cincinnati Reds vs New York Mets</t>
  </si>
  <si>
    <t>Los Angeles Angels vs Philadelphia Phillies</t>
  </si>
  <si>
    <t>Milwaukee Brewers vs Los Angeles Dodgers</t>
  </si>
  <si>
    <t>Baltimore Orioles vs Tampa Bay Rays</t>
  </si>
  <si>
    <t>San Diego Padres vs Washington Nationals</t>
  </si>
  <si>
    <t>Detroit Tigeers vs Texas Rangers</t>
  </si>
  <si>
    <t>Houston Astros vs Seattle Mariners</t>
  </si>
  <si>
    <t>Athletics vs Cleveland Guardians</t>
  </si>
  <si>
    <t>Kansas City Royals vs Miami Marlins</t>
  </si>
  <si>
    <t>Baltimore Orioles vs Cleveland Guardians</t>
  </si>
  <si>
    <t>Boston Red Sox vs Philadelphia Phillies</t>
  </si>
  <si>
    <t>Los Angeles Angels vs New York Mets</t>
  </si>
  <si>
    <t>Minnesota Twins vs Los Angeles Dodgers</t>
  </si>
  <si>
    <t>Athletics vs Texas Rangers</t>
  </si>
  <si>
    <t>Kansas City Royals vs Chicago Cubs</t>
  </si>
  <si>
    <t>San Diego Padres vs Miami Marlins</t>
  </si>
  <si>
    <t>Cleveland Guardians +0.5</t>
  </si>
  <si>
    <t>Arizona Diamondbacks vs Pittsburgh Pirates</t>
  </si>
  <si>
    <t>Chicago Cubs vs Chicago White Sox</t>
  </si>
  <si>
    <t>Colorado Rockies vs Baltimore Orioles</t>
  </si>
  <si>
    <t>Miami Marlins vs Milwaukee Brewers</t>
  </si>
  <si>
    <t>Philadelphia Phillies vs New York Yankees</t>
  </si>
  <si>
    <t>Toronto Blue Jays vs Detroit Tigers</t>
  </si>
  <si>
    <t>Washington Nationals vs Minnesota Twins</t>
  </si>
  <si>
    <t>Atlanta Braves vs Texas Rangers</t>
  </si>
  <si>
    <t>Atlanta Braves</t>
  </si>
  <si>
    <t>Los Angeles Dodgers vs Boston Red Sox</t>
  </si>
  <si>
    <t>Los Angeles Dodgers</t>
  </si>
  <si>
    <t>Philadelphia Phillies vs Chicago White Sox</t>
  </si>
  <si>
    <t>Los Angeles Dodgers vs Cincinnati Reds</t>
  </si>
  <si>
    <t>New York Mets vs San Diego Padres</t>
  </si>
  <si>
    <t>Tampa Bay Rays vs New York Yankees</t>
  </si>
  <si>
    <t>Toronto Blue Jays vs Baltimore Orioles</t>
  </si>
  <si>
    <t>Washington Nationals vs Houston Astros</t>
  </si>
  <si>
    <t>Seattle Mariners vs Athletics</t>
  </si>
  <si>
    <t>Colorado Rockies vs Cleveland Guardians</t>
  </si>
  <si>
    <t>Pittsburgh Pirates vs San Francisco Giants</t>
  </si>
  <si>
    <t>Arizona Diamondbacks vs Detroit Tigers</t>
  </si>
  <si>
    <t>Boston Red Sox vs Minnesota Twins</t>
  </si>
  <si>
    <t>Texas Rangers vs Seattle Mariners</t>
  </si>
  <si>
    <t>Texas Rangers +0.5</t>
  </si>
  <si>
    <t>Baltimore Orioles vs Chicago Cubs</t>
  </si>
  <si>
    <t>Minnesota Twins vs Cleveland Guardians</t>
  </si>
  <si>
    <t>Pittsburgh Pirates vs Colorado Rockies</t>
  </si>
  <si>
    <t>Kansas City Royals vs Toronto Blue Jays</t>
  </si>
  <si>
    <t>New York Yankees vs Miami Marlins</t>
  </si>
  <si>
    <t>Chicago White Sox vs Los Angeles Angels</t>
  </si>
  <si>
    <t>St. Louis Cardinals vs San Diego Padres</t>
  </si>
  <si>
    <t>San Diego Padres vs Arizona Diamondbacks</t>
  </si>
  <si>
    <t>Baltimore Orioles vs Philadelphia Phillies</t>
  </si>
  <si>
    <t>Chicago White Sox vs Seattle Mariners</t>
  </si>
  <si>
    <t>Miami Marlins vs Atlanta Braves</t>
  </si>
  <si>
    <t>Colorado Rockies vs Arizona Diamondbacks</t>
  </si>
  <si>
    <t xml:space="preserve">Colorado Rockies </t>
  </si>
  <si>
    <t>Houston Astros vs New York Yankees</t>
  </si>
  <si>
    <t>New York Mets vs Milwaukee Brewers</t>
  </si>
  <si>
    <t>Cincinnati Reds vs Pittsburgh Pirates</t>
  </si>
  <si>
    <t>Boston Red Sox vs San Diego Padres</t>
  </si>
  <si>
    <t>Tampa Bay Rays vs Seattle Mariners</t>
  </si>
  <si>
    <t>Toronto Blue Jays vs Los Angeles Dodgers</t>
  </si>
  <si>
    <t>Minnesota Twins vs New York Yankees</t>
  </si>
  <si>
    <t>Miami Marlins vs Cleveland Guardians</t>
  </si>
  <si>
    <t>Chicago Cubs vs Toronto Blue Jays</t>
  </si>
  <si>
    <t>Seattle Mariners vs Baltimore Orioles</t>
  </si>
  <si>
    <t>Tampa Bay Rays vs Athletics</t>
  </si>
  <si>
    <t>Philadelphia Phillies vs Washington Nationals</t>
  </si>
  <si>
    <t>Atlanta Braves vs Cleveland Guardians</t>
  </si>
  <si>
    <t>Tampa Bay Rays vs San Francisco Giants</t>
  </si>
  <si>
    <t>Baltimore Orioles vs Houston Astros</t>
  </si>
  <si>
    <t>Miami Marlins vs Boston Red Sox</t>
  </si>
  <si>
    <t xml:space="preserve">Baltimore Orioles </t>
  </si>
  <si>
    <t>G1 Milwaukee Brewers vs G1 Chicago Cubs</t>
  </si>
  <si>
    <t>Milwaukee Brewers +0.5</t>
  </si>
  <si>
    <t>San Francisco Giants vs San Diego Padres</t>
  </si>
  <si>
    <t>Chicago White Sox vs Atlanta Braves</t>
  </si>
  <si>
    <t>New York Yankees vs Tampa Bay Rays</t>
  </si>
  <si>
    <t>New York Yankees +0.5</t>
  </si>
  <si>
    <t>Cincinnati Reds vs Los Angeles Angels</t>
  </si>
  <si>
    <t>Houston Astros vs Baltimore Orioles</t>
  </si>
  <si>
    <t>Cleveland Guardians vs Texas Rangers</t>
  </si>
  <si>
    <t>Athletics vs Seattle Mariners</t>
  </si>
  <si>
    <t>Colorado Rockies vs Pittsburgh Pirates</t>
  </si>
  <si>
    <t>Los Angeles Dodgers vs San Diego Padres</t>
  </si>
  <si>
    <t>Toronto Blue Jays vs Miami Marlins</t>
  </si>
  <si>
    <t>Washington Nationals vs Philadelphia Phillies</t>
  </si>
  <si>
    <t>Arizona Diamondbacks vs Milwaukee Brewers</t>
  </si>
  <si>
    <t>Washington Nationals vs New York Yankees</t>
  </si>
  <si>
    <t>Chicago Cubs vs San Francisco Giants</t>
  </si>
  <si>
    <t>Kansas City Royals vs Chicago White Sox</t>
  </si>
  <si>
    <t>Cincinnati Reds vs Los Angeles Dodgers</t>
  </si>
  <si>
    <t>Pittsburgh Pirates vs St. Louis Cardinals</t>
  </si>
  <si>
    <t xml:space="preserve">Pittsburgh Pirates </t>
  </si>
  <si>
    <t>Tampa Bay Rays vs Cleveland Guardians</t>
  </si>
  <si>
    <t xml:space="preserve">Tampa Bay Rays </t>
  </si>
  <si>
    <t>Atlanta Braves vs Philadelphia Phillies</t>
  </si>
  <si>
    <t>Miami Marlins vs New York Mets</t>
  </si>
  <si>
    <t xml:space="preserve">Miami Marlins </t>
  </si>
  <si>
    <t>Pittsburgh Pirates vs Boston Red Sox</t>
  </si>
  <si>
    <t>Seattle Mariners vs Cleveland Guardians</t>
  </si>
  <si>
    <t>New York Yankees vs Chicago White Sox</t>
  </si>
  <si>
    <t>Texas Rangers vs Athletics</t>
  </si>
  <si>
    <t>Athletics vs St. Louis Cardinals</t>
  </si>
  <si>
    <t xml:space="preserve">Athletics </t>
  </si>
  <si>
    <t>Cleveland Guardians vs Boston Red Sox</t>
  </si>
  <si>
    <t>Cleveland Guardians</t>
  </si>
  <si>
    <t>New York Mets vs Detroit Tigers</t>
  </si>
  <si>
    <t>Baltimore Orioles vs San Diego Padres</t>
  </si>
  <si>
    <t>Chicago White Sox vs Minnesota Twins</t>
  </si>
  <si>
    <t>Philadelphia Phillies vs Milwaukee Brewers</t>
  </si>
  <si>
    <t>Los Angeles Dodgers vs Pittsburgh Pirates</t>
  </si>
  <si>
    <t>Chicago White Sox vs Detroit Tigers</t>
  </si>
  <si>
    <t>Toronto Blue Jays vs New York Yankees</t>
  </si>
  <si>
    <t>Washington Nationals vs Chicago Cubs</t>
  </si>
  <si>
    <t>Los Angeles Dodgers vs Baltimore Orioles</t>
  </si>
  <si>
    <t>Chicago Cubs vs Pittsburgh Pirates</t>
  </si>
  <si>
    <t>Toronto Blue Jays vs Tampa Bay Rays</t>
  </si>
  <si>
    <t>Away</t>
  </si>
  <si>
    <t>Home</t>
  </si>
  <si>
    <t>Moneyline</t>
  </si>
  <si>
    <t>A</t>
  </si>
  <si>
    <t>H</t>
  </si>
  <si>
    <t>Prob to Win Outright</t>
  </si>
  <si>
    <t>Fangraphs</t>
  </si>
  <si>
    <t>Handedness</t>
  </si>
  <si>
    <t>CBS Probables</t>
  </si>
  <si>
    <t>f5 Projections</t>
  </si>
  <si>
    <t>TEAM</t>
  </si>
  <si>
    <t>Full Name</t>
  </si>
  <si>
    <t>Retrosheets</t>
  </si>
  <si>
    <t>Sportsbooks</t>
  </si>
  <si>
    <t>Percentage of Seasons Complete</t>
  </si>
  <si>
    <t>Angels</t>
  </si>
  <si>
    <t>BetOnline.ag</t>
  </si>
  <si>
    <t>Astros</t>
  </si>
  <si>
    <t>Blue Jays</t>
  </si>
  <si>
    <t>888sport</t>
  </si>
  <si>
    <t>Braves</t>
  </si>
  <si>
    <t>Bovada</t>
  </si>
  <si>
    <t>Brewers</t>
  </si>
  <si>
    <t>Caesars</t>
  </si>
  <si>
    <t>Cardinals</t>
  </si>
  <si>
    <t>Cubs</t>
  </si>
  <si>
    <t>Diamondbacks</t>
  </si>
  <si>
    <t>D-backs</t>
  </si>
  <si>
    <t>Dodgers</t>
  </si>
  <si>
    <t>Giants</t>
  </si>
  <si>
    <t>SF</t>
  </si>
  <si>
    <t>Guardians</t>
  </si>
  <si>
    <t>Mariners</t>
  </si>
  <si>
    <t>Marlins</t>
  </si>
  <si>
    <t>Mets</t>
  </si>
  <si>
    <t>Nationals</t>
  </si>
  <si>
    <t>WAS</t>
  </si>
  <si>
    <t>Orioles</t>
  </si>
  <si>
    <t>Padres</t>
  </si>
  <si>
    <t>SD</t>
  </si>
  <si>
    <t>Phillies</t>
  </si>
  <si>
    <t>Pirates</t>
  </si>
  <si>
    <t>Rangers</t>
  </si>
  <si>
    <t>Rays</t>
  </si>
  <si>
    <t>TB</t>
  </si>
  <si>
    <t>Red Sox</t>
  </si>
  <si>
    <t>Reds</t>
  </si>
  <si>
    <t>Rockies</t>
  </si>
  <si>
    <t>Royals</t>
  </si>
  <si>
    <t>KC</t>
  </si>
  <si>
    <t>Tigers</t>
  </si>
  <si>
    <t>Twins</t>
  </si>
  <si>
    <t>White Sox</t>
  </si>
  <si>
    <t>Yankees</t>
  </si>
  <si>
    <t>games</t>
  </si>
  <si>
    <t>avg_f5_total</t>
  </si>
  <si>
    <t>park_factor</t>
  </si>
  <si>
    <t>Daysbel Hernández</t>
  </si>
  <si>
    <t>Jimmy Herget</t>
  </si>
  <si>
    <t>Anthony Banda</t>
  </si>
  <si>
    <t>Justin Slaten</t>
  </si>
  <si>
    <t>Scott Barlow</t>
  </si>
  <si>
    <t>Mike Vasil</t>
  </si>
  <si>
    <t>Anthony Veneziano</t>
  </si>
  <si>
    <t>Porter Hodge</t>
  </si>
  <si>
    <t>Kolby Allard</t>
  </si>
  <si>
    <t>Grant Anderson</t>
  </si>
  <si>
    <t>Ian Hamilton</t>
  </si>
  <si>
    <t>Tayler Scott</t>
  </si>
  <si>
    <t>Carlos Hernández</t>
  </si>
  <si>
    <t>Carlos Vargas</t>
  </si>
  <si>
    <t>Brock Burke</t>
  </si>
  <si>
    <t>Cole Sands</t>
  </si>
  <si>
    <t>Lake Bachar</t>
  </si>
  <si>
    <t>Hunter Bigge</t>
  </si>
  <si>
    <t>Jorge López</t>
  </si>
  <si>
    <t>Tyler Ferguson</t>
  </si>
  <si>
    <t>Daniel Lynch IV</t>
  </si>
  <si>
    <t>Mitch Spence</t>
  </si>
  <si>
    <t>Eduard Bazardo</t>
  </si>
  <si>
    <t>Jesus Tinoco</t>
  </si>
  <si>
    <t>Steven Wilson</t>
  </si>
  <si>
    <t>Casey Legumina</t>
  </si>
  <si>
    <t>Tyler Kinley</t>
  </si>
  <si>
    <t>Shawn Armstrong</t>
  </si>
  <si>
    <t>Eric Orze</t>
  </si>
  <si>
    <t>Jacob Webb</t>
  </si>
  <si>
    <t>Tyler Phillips</t>
  </si>
  <si>
    <t>Matt Bowman</t>
  </si>
  <si>
    <t>Zach Agnos</t>
  </si>
  <si>
    <t>Chase Shugart</t>
  </si>
  <si>
    <t>Ryne Stanek</t>
  </si>
  <si>
    <t>Carlos Estévez</t>
  </si>
  <si>
    <t>Justin Sterner</t>
  </si>
  <si>
    <t>Julian Merryweather</t>
  </si>
  <si>
    <t>Caleb Ferguson</t>
  </si>
  <si>
    <t>Ryan Yarbrough</t>
  </si>
  <si>
    <t>Pete Fairbanks</t>
  </si>
  <si>
    <t>Max Kranick</t>
  </si>
  <si>
    <t>Jakob Junis</t>
  </si>
  <si>
    <t>Kyle Leahy</t>
  </si>
  <si>
    <t>Anthony Bender</t>
  </si>
  <si>
    <t>Orion Kerkering</t>
  </si>
  <si>
    <t>Yuki Matsui</t>
  </si>
  <si>
    <t>Tim Herrin</t>
  </si>
  <si>
    <t>Tommy Kahnle</t>
  </si>
  <si>
    <t>Tony Santillan</t>
  </si>
  <si>
    <t>Steven Cruz</t>
  </si>
  <si>
    <t>Ryan Thompson</t>
  </si>
  <si>
    <t>Brenan Hanifee</t>
  </si>
  <si>
    <t>Brent Suter</t>
  </si>
  <si>
    <t>Luke Weaver</t>
  </si>
  <si>
    <t>Grant Holman</t>
  </si>
  <si>
    <t>Brant Hurter</t>
  </si>
  <si>
    <t>Hogan Harris</t>
  </si>
  <si>
    <t>Daniel Palencia</t>
  </si>
  <si>
    <t>Steven Okert</t>
  </si>
  <si>
    <t>Cole Henry</t>
  </si>
  <si>
    <t>Enyel De Los Santos</t>
  </si>
  <si>
    <t>Mason Fluharty</t>
  </si>
  <si>
    <t>Jose A. Ferrer</t>
  </si>
  <si>
    <t>Luis García</t>
  </si>
  <si>
    <t>Spencer Bivens</t>
  </si>
  <si>
    <t>Joe Ross</t>
  </si>
  <si>
    <t>Bryan King</t>
  </si>
  <si>
    <t>Edwin Uceta</t>
  </si>
  <si>
    <t>Chad Green</t>
  </si>
  <si>
    <t>Hayden Birdsong</t>
  </si>
  <si>
    <t>Brad Keller</t>
  </si>
  <si>
    <t>Reed Garrett</t>
  </si>
  <si>
    <t>Graham Ashcraft</t>
  </si>
  <si>
    <t>Mason Englert</t>
  </si>
  <si>
    <t>Robert Suarez</t>
  </si>
  <si>
    <t>Mason Montgomery</t>
  </si>
  <si>
    <t>Tyler Holton</t>
  </si>
  <si>
    <t>Adrian Morejon</t>
  </si>
  <si>
    <t>Angel Chivilli</t>
  </si>
  <si>
    <t>Ronny Henriquez</t>
  </si>
  <si>
    <t>George Soriano</t>
  </si>
  <si>
    <t>Cionel Pérez</t>
  </si>
  <si>
    <t>Angel Zerpa</t>
  </si>
  <si>
    <t>José Buttó</t>
  </si>
  <si>
    <t>Emmanuel Clase</t>
  </si>
  <si>
    <t>Will Vest</t>
  </si>
  <si>
    <t>Jake Bird</t>
  </si>
  <si>
    <t>Collin Snider</t>
  </si>
  <si>
    <t>Jason Adam</t>
  </si>
  <si>
    <t>Brennan Bernardino</t>
  </si>
  <si>
    <t>Ben Casparius</t>
  </si>
  <si>
    <t>Jalen Beeks</t>
  </si>
  <si>
    <t>John Schreiber</t>
  </si>
  <si>
    <t>Hoby Milner</t>
  </si>
  <si>
    <t>Abner Uribe</t>
  </si>
  <si>
    <t>Brandon Eisert</t>
  </si>
  <si>
    <t>Chris Martin</t>
  </si>
  <si>
    <t>Manuel Rodríguez</t>
  </si>
  <si>
    <t>Greg Weissert</t>
  </si>
  <si>
    <t>Pierce Johnson</t>
  </si>
  <si>
    <t>Dylan Lee</t>
  </si>
  <si>
    <t>Camilo Doval</t>
  </si>
  <si>
    <t>José Alvarado</t>
  </si>
  <si>
    <t>Tim Hill</t>
  </si>
  <si>
    <t>Jackson Rutledge</t>
  </si>
  <si>
    <t>Robert Garcia</t>
  </si>
  <si>
    <t>Brendon Little</t>
  </si>
  <si>
    <t>Huascar Brazobán</t>
  </si>
  <si>
    <t>Shelby Miller</t>
  </si>
  <si>
    <t>Garrett Whitlock</t>
  </si>
  <si>
    <t>Jordan Leasure</t>
  </si>
  <si>
    <t>Scott Blewett</t>
  </si>
  <si>
    <t>3 Tms</t>
  </si>
  <si>
    <t>Jared Koenig</t>
  </si>
  <si>
    <t>Tyler Rogers</t>
  </si>
  <si>
    <t>Lucas Erceg</t>
  </si>
  <si>
    <t>Raisel Iglesias</t>
  </si>
  <si>
    <t>Emilio Pagán</t>
  </si>
  <si>
    <t>Gabe Speier</t>
  </si>
  <si>
    <t>Yariel Rodríguez</t>
  </si>
  <si>
    <t>Seth Halvorsen</t>
  </si>
  <si>
    <t>Fernando Cruz</t>
  </si>
  <si>
    <t>Nick Mears</t>
  </si>
  <si>
    <t>Cade Smith</t>
  </si>
  <si>
    <t>Kirby Yates</t>
  </si>
  <si>
    <t>Josh Hader</t>
  </si>
  <si>
    <t>Randy Rodríguez</t>
  </si>
  <si>
    <t>Edwin Díaz</t>
  </si>
  <si>
    <t>Aaron Bummer</t>
  </si>
  <si>
    <t>Jhoan Duran</t>
  </si>
  <si>
    <t>Tanner Scott</t>
  </si>
  <si>
    <t>Bryan Abreu</t>
  </si>
  <si>
    <t>Alex Vesia</t>
  </si>
  <si>
    <t>Andrés Muñoz</t>
  </si>
  <si>
    <t>Jeremiah Estrada</t>
  </si>
  <si>
    <t>Louis Varland</t>
  </si>
  <si>
    <t>Tanner Banks</t>
  </si>
  <si>
    <t>Garrett Cleavinger</t>
  </si>
  <si>
    <t>Mason Miller</t>
  </si>
  <si>
    <t>David Bednar</t>
  </si>
  <si>
    <t>Griffin Jax</t>
  </si>
  <si>
    <t>Jeff Hoffman</t>
  </si>
  <si>
    <t>Danny Coulombe</t>
  </si>
  <si>
    <t>SV</t>
  </si>
  <si>
    <t>G</t>
  </si>
  <si>
    <t>GS</t>
  </si>
  <si>
    <t>GB%</t>
  </si>
  <si>
    <t>HR/FB</t>
  </si>
  <si>
    <t>vFA (pi)</t>
  </si>
  <si>
    <t>xERA</t>
  </si>
  <si>
    <t>WAR</t>
  </si>
  <si>
    <t>Ranger Suárez</t>
  </si>
  <si>
    <t>Zack Wheeler</t>
  </si>
  <si>
    <t>Kris Bubic</t>
  </si>
  <si>
    <t>Spencer Schwellenbach</t>
  </si>
  <si>
    <t>Pablo López</t>
  </si>
  <si>
    <t>Cole Ragans</t>
  </si>
  <si>
    <t>Tylor Megill</t>
  </si>
  <si>
    <t>Reese Olson</t>
  </si>
  <si>
    <t>Clarke Schmidt</t>
  </si>
  <si>
    <t>Chase Burns</t>
  </si>
  <si>
    <t>Trevor Williams</t>
  </si>
  <si>
    <t>Landen Roupp</t>
  </si>
  <si>
    <t>Michael Soroka</t>
  </si>
  <si>
    <t>Hunter Dobbins</t>
  </si>
  <si>
    <t>Luis L. Ortiz</t>
  </si>
  <si>
    <t>Griffin Canning</t>
  </si>
  <si>
    <t>Brandon Walter</t>
  </si>
  <si>
    <t>Ryan Gusto</t>
  </si>
  <si>
    <t>Logan Henderson</t>
  </si>
  <si>
    <t>Grant Holmes</t>
  </si>
  <si>
    <t>Eric Lauer</t>
  </si>
  <si>
    <t>Corbin Burnes</t>
  </si>
  <si>
    <t>Carmen Mlodzinski</t>
  </si>
  <si>
    <t>Jordan Hicks</t>
  </si>
  <si>
    <t>Sean Newcomb</t>
  </si>
  <si>
    <t>Ben Brown</t>
  </si>
  <si>
    <t>Keider Montero</t>
  </si>
  <si>
    <t>Ronel Blanco</t>
  </si>
  <si>
    <t>AJ Smith-Shawver</t>
  </si>
  <si>
    <t>David Festa</t>
  </si>
  <si>
    <t>Max Meyer</t>
  </si>
  <si>
    <t>Troy Melton</t>
  </si>
  <si>
    <t>Bailey Falter</t>
  </si>
  <si>
    <t>Ryan Feltner</t>
  </si>
  <si>
    <t>Ben Lively</t>
  </si>
  <si>
    <t>Ryan Weathers</t>
  </si>
  <si>
    <t>Tyler Alexander</t>
  </si>
  <si>
    <t>Kumar Rocker</t>
  </si>
  <si>
    <t>Valente Bellozo</t>
  </si>
  <si>
    <t>Colton Gordon</t>
  </si>
  <si>
    <t>Jack Perkins</t>
  </si>
  <si>
    <t>Hayden Wesneski</t>
  </si>
  <si>
    <t>Kyle Harrison</t>
  </si>
  <si>
    <t>Andrew Heaney</t>
  </si>
  <si>
    <t>Paul Blackburn</t>
  </si>
  <si>
    <t>Jonathan Cannon</t>
  </si>
  <si>
    <t>Frankie Montas</t>
  </si>
  <si>
    <t>Marcus Stroman</t>
  </si>
  <si>
    <t>Jackson Jobe</t>
  </si>
  <si>
    <t>Justin Steele</t>
  </si>
  <si>
    <t>Erick Fedde</t>
  </si>
  <si>
    <t>Dietrich Enns</t>
  </si>
  <si>
    <t>Sawyer Gipson-Long</t>
  </si>
  <si>
    <t>Antonio Senzatela</t>
  </si>
  <si>
    <t>Logan Evans</t>
  </si>
  <si>
    <t>Tobias Myers</t>
  </si>
  <si>
    <t>Connor Gillispie</t>
  </si>
  <si>
    <t>Wade Miley</t>
  </si>
  <si>
    <t>Jonah Tong</t>
  </si>
  <si>
    <t>Justin Wrobleski</t>
  </si>
  <si>
    <t>Bryse Wilson</t>
  </si>
  <si>
    <t>Anthony DeSclafani</t>
  </si>
  <si>
    <t>Easton Lucas</t>
  </si>
  <si>
    <t>Tony Gonsolin</t>
  </si>
  <si>
    <t>Carlos Carrasco</t>
  </si>
  <si>
    <t>Lance McCullers Jr.</t>
  </si>
  <si>
    <t>José Ureña</t>
  </si>
  <si>
    <t>Osvaldo Bido</t>
  </si>
  <si>
    <t>Richard Fitts</t>
  </si>
  <si>
    <t>Roki Sasaki</t>
  </si>
  <si>
    <t>Payton Tolle</t>
  </si>
  <si>
    <t>Zach Eflin</t>
  </si>
  <si>
    <t>Landon Knack</t>
  </si>
  <si>
    <t>Victor Mederos</t>
  </si>
  <si>
    <t>Mick Abel</t>
  </si>
  <si>
    <t>Tanner Houck</t>
  </si>
  <si>
    <t>Kyle Hart</t>
  </si>
  <si>
    <t>Austin Gomber</t>
  </si>
  <si>
    <t>Emerson Hancock</t>
  </si>
  <si>
    <t>Carson Palmquist</t>
  </si>
  <si>
    <t>Gunnar Hoglund</t>
  </si>
  <si>
    <t>Carson Whisenhunt</t>
  </si>
  <si>
    <t>Didier Fuentes</t>
  </si>
  <si>
    <t>Jack Kochanowicz</t>
  </si>
  <si>
    <t>Kyle Gibson</t>
  </si>
  <si>
    <t>Bowden Francis</t>
  </si>
  <si>
    <t>wOBA</t>
  </si>
  <si>
    <t>Season</t>
  </si>
  <si>
    <t>L7</t>
  </si>
  <si>
    <t>GvRHP</t>
  </si>
  <si>
    <t>Season Long -L7 days vs Righties</t>
  </si>
  <si>
    <t>New Intercept</t>
  </si>
  <si>
    <t>Vs Righties</t>
  </si>
  <si>
    <t>Tm</t>
  </si>
  <si>
    <t>PA</t>
  </si>
  <si>
    <t>BB/K</t>
  </si>
  <si>
    <t>OBP</t>
  </si>
  <si>
    <t>SLG</t>
  </si>
  <si>
    <t>OPS</t>
  </si>
  <si>
    <t>ISO</t>
  </si>
  <si>
    <t>wRC</t>
  </si>
  <si>
    <t>wRAA</t>
  </si>
  <si>
    <t>wRC+</t>
  </si>
  <si>
    <t>xRUNS</t>
  </si>
  <si>
    <t>Rank</t>
  </si>
  <si>
    <t>75% Weight</t>
  </si>
  <si>
    <t>ADJ xRuns</t>
  </si>
  <si>
    <t>New Rank</t>
  </si>
  <si>
    <t>AVERAGE</t>
  </si>
  <si>
    <t>L7 Right</t>
  </si>
  <si>
    <t>Last 7 Days vs Righties</t>
  </si>
  <si>
    <t>Season Long - 14 days</t>
  </si>
  <si>
    <t>vs Lefties</t>
  </si>
  <si>
    <t>Season Long - L14 days vs Lefties</t>
  </si>
  <si>
    <t>L14 - Left</t>
  </si>
  <si>
    <t>Last 14 Days vs Lefties</t>
  </si>
  <si>
    <t>2025 Year to Date</t>
  </si>
  <si>
    <t>2025 Pythagorean</t>
  </si>
  <si>
    <t>2025 BaseRuns</t>
  </si>
  <si>
    <t>W%</t>
  </si>
  <si>
    <t>RDif</t>
  </si>
  <si>
    <t>RS/G</t>
  </si>
  <si>
    <t>RA/G</t>
  </si>
  <si>
    <t>#ERROR!</t>
  </si>
  <si>
    <t>AL East</t>
  </si>
  <si>
    <t>2025 Projected Rest of Season</t>
  </si>
  <si>
    <t>2025 Projected Full Season</t>
  </si>
  <si>
    <t>AL Central</t>
  </si>
  <si>
    <t>AL West</t>
  </si>
  <si>
    <t>NL East</t>
  </si>
  <si>
    <t>NL Central</t>
  </si>
  <si>
    <t>NL West</t>
  </si>
  <si>
    <t>https://www.baseball-reference.com/leagues/split.cgi?t=b&amp;lg=MLB&amp;year=2025#all_innng</t>
  </si>
  <si>
    <t>Split</t>
  </si>
  <si>
    <t>AB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</si>
  <si>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</si>
  <si>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</si>
  <si>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</si>
  <si>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</si>
  <si>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</si>
  <si>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</si>
  <si>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</si>
  <si>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</si>
  <si>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</si>
  <si>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GDP</t>
  </si>
  <si>
    <t>HBP</t>
  </si>
  <si>
    <t>SH</t>
  </si>
  <si>
    <t>IBB</t>
  </si>
  <si>
    <t>ROE</t>
  </si>
  <si>
    <t>BAbip</t>
  </si>
  <si>
    <t>tOPS+</t>
  </si>
  <si>
    <t>sOPS+</t>
  </si>
  <si>
    <t>1st inning</t>
  </si>
  <si>
    <t>2nd inning</t>
  </si>
  <si>
    <t>3rd inning</t>
  </si>
  <si>
    <t>4th inning</t>
  </si>
  <si>
    <t>5th inning</t>
  </si>
  <si>
    <t>6th inning</t>
  </si>
  <si>
    <t>7th inning</t>
  </si>
  <si>
    <t>8th inning</t>
  </si>
  <si>
    <t>9th inning</t>
  </si>
  <si>
    <t>Ext inning</t>
  </si>
  <si>
    <t>Innings 1-3</t>
  </si>
  <si>
    <t>Innings 4-6</t>
  </si>
  <si>
    <t>Innings 7-9</t>
  </si>
  <si>
    <t>% Runs First 5</t>
  </si>
  <si>
    <t>xCLV</t>
  </si>
  <si>
    <t>Yield / ROI</t>
  </si>
  <si>
    <t>OPTIONS</t>
  </si>
  <si>
    <t>Select</t>
  </si>
  <si>
    <t>Taken</t>
  </si>
  <si>
    <t>Sport</t>
  </si>
  <si>
    <t>League</t>
  </si>
  <si>
    <t>Close</t>
  </si>
  <si>
    <t>UNITS</t>
  </si>
  <si>
    <t>P/L</t>
  </si>
  <si>
    <t>Fair Close</t>
  </si>
  <si>
    <t>🏀 Basketball</t>
  </si>
  <si>
    <t>🇺🇸 WNBA</t>
  </si>
  <si>
    <t>Reb + Ast</t>
  </si>
  <si>
    <t>Minnesota Lynx vs Washington Mystics</t>
  </si>
  <si>
    <t>Courtney Williams Under 10.5 Reb + Ast</t>
  </si>
  <si>
    <t>Assists</t>
  </si>
  <si>
    <t>Los Angeles Sparks vs Chicago Sky</t>
  </si>
  <si>
    <t>Dearica Hamby Under 3.5 Assists</t>
  </si>
  <si>
    <t>Rebounds</t>
  </si>
  <si>
    <t>Azura Stevens Over 8.5 Rebounds</t>
  </si>
  <si>
    <t>Atlanta Dream vs Dallas Wings</t>
  </si>
  <si>
    <t>Allisha Gray Over 3.5 Assists</t>
  </si>
  <si>
    <t>Paige Bueckers Over 10.5 Reb + Ast</t>
  </si>
  <si>
    <t>Pts + Ast</t>
  </si>
  <si>
    <t>Indiana Fever vs Seattle Storm</t>
  </si>
  <si>
    <t>Skyler Diggins Over 22.5 Pts + Ast</t>
  </si>
  <si>
    <t>Pts + Rebs + Ast</t>
  </si>
  <si>
    <t>Caitlin Clark Under 35.5 Pts + Reb + Ast</t>
  </si>
  <si>
    <t>Gabby Williams Over 4.5 Rebounds</t>
  </si>
  <si>
    <t>Points</t>
  </si>
  <si>
    <t>Washington Mystics vs Las Vegas Aces</t>
  </si>
  <si>
    <t xml:space="preserve"> A'ja Wilson Under 21.5 Pts</t>
  </si>
  <si>
    <t>Jewell Loyd Over 3.5 Rebounds</t>
  </si>
  <si>
    <t>Chelsea Gray Under 7.5 Reb + Ast</t>
  </si>
  <si>
    <t>Sports</t>
  </si>
  <si>
    <t>Leagues</t>
  </si>
  <si>
    <t>Bookie</t>
  </si>
  <si>
    <t>Grade</t>
  </si>
  <si>
    <t>Tipster</t>
  </si>
  <si>
    <t>Free Play</t>
  </si>
  <si>
    <t>⚾️ Baseball</t>
  </si>
  <si>
    <t>🇺🇸 NBA</t>
  </si>
  <si>
    <t>PM</t>
  </si>
  <si>
    <t>Bet365</t>
  </si>
  <si>
    <t>PMP</t>
  </si>
  <si>
    <t>Totals</t>
  </si>
  <si>
    <t>🏈 American Football</t>
  </si>
  <si>
    <t>🇺🇸 NCAAM</t>
  </si>
  <si>
    <t>Unibet</t>
  </si>
  <si>
    <t>U</t>
  </si>
  <si>
    <t>Spread</t>
  </si>
  <si>
    <t>⚽️ Soccer</t>
  </si>
  <si>
    <t>🇺🇸 MLB</t>
  </si>
  <si>
    <t>UP</t>
  </si>
  <si>
    <t>🏒 Ice Hockey</t>
  </si>
  <si>
    <t>🇺🇸 NFL</t>
  </si>
  <si>
    <t>Promo</t>
  </si>
  <si>
    <t>🎯 Other</t>
  </si>
  <si>
    <t>🇺🇸 NCAAF</t>
  </si>
  <si>
    <t>SportsInteraction</t>
  </si>
  <si>
    <t>ME</t>
  </si>
  <si>
    <t>🎮eSports</t>
  </si>
  <si>
    <t>🇺🇸🇨🇦 NHL</t>
  </si>
  <si>
    <t>MEP</t>
  </si>
  <si>
    <t>🏉 Rugby</t>
  </si>
  <si>
    <t>🇺🇸🇨🇦 AHL</t>
  </si>
  <si>
    <t>BatX</t>
  </si>
  <si>
    <t>Pts + Reb</t>
  </si>
  <si>
    <t>🇫🇮 Mestis</t>
  </si>
  <si>
    <t>theScore</t>
  </si>
  <si>
    <t>BatX Prop</t>
  </si>
  <si>
    <t>🇩🇪 DEL</t>
  </si>
  <si>
    <t>888Sport</t>
  </si>
  <si>
    <t>Blitz</t>
  </si>
  <si>
    <t>🇫🇮 SM-Liiga</t>
  </si>
  <si>
    <t>BetOnline</t>
  </si>
  <si>
    <t>Blitz Prop</t>
  </si>
  <si>
    <t>🇩🇪 DEL2</t>
  </si>
  <si>
    <t>TM</t>
  </si>
  <si>
    <t>🇨🇳 CBA</t>
  </si>
  <si>
    <t>AL</t>
  </si>
  <si>
    <t>🇮🇹 Lega A</t>
  </si>
  <si>
    <t>🇹🇷 Super League</t>
  </si>
  <si>
    <t>FB</t>
  </si>
  <si>
    <t>🇪🇸 ACB</t>
  </si>
  <si>
    <t>🇦🇺 NRL</t>
  </si>
  <si>
    <t>🏴󠁧󠁢󠁥󠁮󠁧󠁿 Super League</t>
  </si>
  <si>
    <t>SOG</t>
  </si>
  <si>
    <t>🇨🇿 Liga</t>
  </si>
  <si>
    <t>Saves</t>
  </si>
  <si>
    <t>🇸🇰 Extraliga</t>
  </si>
  <si>
    <t>AGS</t>
  </si>
  <si>
    <t>🇪🇺 EuroLeague</t>
  </si>
  <si>
    <t>Sides</t>
  </si>
  <si>
    <t>🇬🇷 GRE</t>
  </si>
  <si>
    <t>🇫🇷 FRA</t>
  </si>
  <si>
    <t>🇪🇺 ABA</t>
  </si>
  <si>
    <t>🇺🇸 MLS</t>
  </si>
  <si>
    <t>🇧🇷 Serie A</t>
  </si>
  <si>
    <t>F5_RS_vs_RHP</t>
  </si>
  <si>
    <t>Games_vs_RHP</t>
  </si>
  <si>
    <t>F5_RS_vs_LHP</t>
  </si>
  <si>
    <t>Games_vs_LHP</t>
  </si>
  <si>
    <t>Pfactor</t>
  </si>
  <si>
    <t>Opp OffAdj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</si>
</sst>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"/>
    <numFmt numFmtId="165" formatCode="mmmm&quot; &quot;d"/>
    <numFmt numFmtId="166" formatCode="#,##0.0"/>
    <numFmt numFmtId="167" formatCode="#,##0.000"/>
    <numFmt numFmtId="168" formatCode="m/d/yyyy"/>
    <numFmt numFmtId="169" formatCode="&quot;$&quot;#,##0.00"/>
    <numFmt numFmtId="170" formatCode="yyyy&quot;-&quot;mm&quot;-&quot;dd"/>
    <numFmt numFmtId="171" formatCode="0.0000000"/>
    <numFmt numFmtId="172" formatCode="#,##0.0000"/>
    <numFmt numFmtId="173" formatCode="d/m/yyyy"/>
    <numFmt numFmtId="174" formatCode="0.0000"/>
    <numFmt numFmtId="175" formatCode="dd/mm/yyyy"/>
    <numFmt numFmtId="176" formatCode="0.000%"/>
    <numFmt numFmtId="177" formatCode="0.0%"/>
  </numFmts>
  <fonts count="9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9"/>
      <color rgb="FFFFFFFF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rgb="FF0000FF"/>
      <name val="Arial"/>
      <family val="2"/>
      <scheme val="minor"/>
    </font>
    <font>
      <b/>
      <sz val="9"/>
      <color rgb="FFFF00FF"/>
      <name val="Arial"/>
      <family val="2"/>
      <scheme val="minor"/>
    </font>
    <font>
      <b/>
      <sz val="9"/>
      <color rgb="FF0B5394"/>
      <name val="Arial"/>
      <family val="2"/>
      <scheme val="minor"/>
    </font>
    <font>
      <b/>
      <sz val="9"/>
      <color rgb="FF741B47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666666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666666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i/>
      <sz val="8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color rgb="FFFFFF00"/>
      <name val="Arial"/>
      <family val="2"/>
    </font>
    <font>
      <b/>
      <sz val="9"/>
      <color rgb="FF00FFFF"/>
      <name val="Arial"/>
      <family val="2"/>
    </font>
    <font>
      <sz val="9"/>
      <color rgb="FF00FFFF"/>
      <name val="Arial"/>
      <family val="2"/>
    </font>
    <font>
      <b/>
      <sz val="9"/>
      <color rgb="FFFF9900"/>
      <name val="Arial"/>
      <family val="2"/>
    </font>
    <font>
      <sz val="9"/>
      <color rgb="FFFF99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73763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sz val="11"/>
      <color rgb="FF000000"/>
      <name val="Inconsolata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u/>
      <sz val="10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9"/>
      <color rgb="FFFFFFFF"/>
      <name val="&quot;segoe ui&quot;"/>
    </font>
    <font>
      <b/>
      <sz val="10"/>
      <color theme="1"/>
      <name val="Arial"/>
      <family val="2"/>
    </font>
    <font>
      <sz val="9"/>
      <color rgb="FF000000"/>
      <name val="&quot;segoe ui&quot;"/>
    </font>
    <font>
      <u/>
      <sz val="9"/>
      <color rgb="FF0000FF"/>
      <name val="&quot;segoe ui&quot;"/>
    </font>
    <font>
      <sz val="9"/>
      <color theme="1"/>
      <name val="&quot;segoe ui&quot;"/>
    </font>
    <font>
      <b/>
      <sz val="11"/>
      <color theme="1"/>
      <name val="Arial"/>
      <family val="2"/>
      <scheme val="minor"/>
    </font>
    <font>
      <b/>
      <i/>
      <sz val="11"/>
      <color rgb="FF000000"/>
      <name val="Arial"/>
      <family val="2"/>
    </font>
    <font>
      <u/>
      <sz val="10"/>
      <color rgb="FF0000FF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1"/>
      <color rgb="FFFFFFFF"/>
      <name val="&quot;segoe ui&quot;"/>
    </font>
    <font>
      <sz val="12"/>
      <color rgb="FF000000"/>
      <name val="Lato"/>
    </font>
    <font>
      <u/>
      <sz val="11"/>
      <color rgb="FF0000FF"/>
      <name val="&quot;segoe ui&quot;"/>
    </font>
    <font>
      <sz val="11"/>
      <color rgb="FF000000"/>
      <name val="&quot;segoe ui&quot;"/>
    </font>
    <font>
      <u/>
      <sz val="12"/>
      <color rgb="FF000000"/>
      <name val="Lato"/>
    </font>
    <font>
      <sz val="12"/>
      <color rgb="FFFFFFFF"/>
      <name val="Lato"/>
    </font>
    <font>
      <b/>
      <sz val="12"/>
      <color rgb="FFFFFFFF"/>
      <name val="Lato"/>
    </font>
    <font>
      <u/>
      <sz val="12"/>
      <color rgb="FF0000FF"/>
      <name val="Lato"/>
    </font>
    <font>
      <u/>
      <sz val="10"/>
      <color rgb="FF1155CC"/>
      <name val="Arial"/>
      <family val="2"/>
    </font>
    <font>
      <b/>
      <sz val="10"/>
      <color rgb="FF990000"/>
      <name val="Verdana"/>
      <family val="2"/>
    </font>
    <font>
      <sz val="10"/>
      <color rgb="FF990000"/>
      <name val="Verdana"/>
      <family val="2"/>
    </font>
    <font>
      <sz val="10"/>
      <color rgb="FF000000"/>
      <name val="Verdana"/>
      <family val="2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666666"/>
      <name val="Arial"/>
      <family val="2"/>
    </font>
    <font>
      <sz val="10"/>
      <color rgb="FFFFFFFF"/>
      <name val="Arial"/>
      <family val="2"/>
    </font>
    <font>
      <b/>
      <sz val="10"/>
      <color rgb="FFFFFF00"/>
      <name val="Arial"/>
      <family val="2"/>
    </font>
    <font>
      <b/>
      <sz val="10"/>
      <color rgb="FF00FF00"/>
      <name val="Arial"/>
      <family val="2"/>
    </font>
    <font>
      <sz val="8"/>
      <color theme="1"/>
      <name val="Arial"/>
      <family val="2"/>
    </font>
    <font>
      <b/>
      <sz val="10"/>
      <color rgb="FFFFFF00"/>
      <name val="Arial"/>
      <family val="2"/>
    </font>
    <font>
      <sz val="10"/>
      <color rgb="FFFFFF00"/>
      <name val="Arial"/>
      <family val="2"/>
    </font>
    <font>
      <b/>
      <sz val="8"/>
      <color theme="1"/>
      <name val="Arial"/>
      <family val="2"/>
    </font>
    <font>
      <b/>
      <sz val="10"/>
      <color rgb="FFB7B7B7"/>
      <name val="Arial"/>
      <family val="2"/>
    </font>
    <font>
      <sz val="10"/>
      <color rgb="FF999999"/>
      <name val="Arial"/>
      <family val="2"/>
    </font>
    <font>
      <b/>
      <sz val="10"/>
      <color rgb="FF999999"/>
      <name val="Arial"/>
      <family val="2"/>
    </font>
    <font>
      <b/>
      <sz val="10"/>
      <color rgb="FFFF0000"/>
      <name val="Arial"/>
      <family val="2"/>
    </font>
    <font>
      <sz val="9"/>
      <color rgb="FFB7B7B7"/>
      <name val="Arial"/>
      <family val="2"/>
    </font>
    <font>
      <b/>
      <sz val="9"/>
      <color rgb="FF343C48"/>
      <name val="Roboto"/>
    </font>
    <font>
      <b/>
      <sz val="10"/>
      <color rgb="FF38761D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FFFFFF"/>
      <name val="Segoe UI"/>
      <family val="2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6B26B"/>
        <bgColor rgb="FFF6B26B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88"/>
        <bgColor rgb="FFFFFF88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79998168889431442"/>
        <bgColor rgb="FFCFE2F3"/>
      </patternFill>
    </fill>
  </fills>
  <borders count="46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666666"/>
      </right>
      <top style="thin">
        <color rgb="FF000000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666666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666666"/>
      </right>
      <top/>
      <bottom/>
      <diagonal/>
    </border>
    <border>
      <left style="thick">
        <color rgb="FF333333"/>
      </left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ck">
        <color rgb="FF333333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/>
      <right style="thick">
        <color rgb="FFCECECE"/>
      </right>
      <top/>
      <bottom/>
      <diagonal/>
    </border>
    <border>
      <left style="thin">
        <color rgb="FF808080"/>
      </left>
      <right style="thin">
        <color rgb="FFDCDCDC"/>
      </right>
      <top style="thin">
        <color rgb="FF808080"/>
      </top>
      <bottom style="thin">
        <color rgb="FFDCDCDC"/>
      </bottom>
      <diagonal/>
    </border>
    <border>
      <left style="thin">
        <color rgb="FFEEEEEE"/>
      </left>
      <right style="thick">
        <color rgb="FFCECECE"/>
      </right>
      <top style="thin">
        <color rgb="FFEEEEEE"/>
      </top>
      <bottom style="thin">
        <color rgb="FFEEEEEE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DCDCDC"/>
      </bottom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n">
        <color rgb="FF747678"/>
      </left>
      <right/>
      <top/>
      <bottom style="hair">
        <color rgb="FFDDDDDD"/>
      </bottom>
      <diagonal/>
    </border>
    <border>
      <left style="thin">
        <color rgb="FFDDDDDD"/>
      </left>
      <right/>
      <top/>
      <bottom style="hair">
        <color rgb="FFDDDDDD"/>
      </bottom>
      <diagonal/>
    </border>
    <border>
      <left/>
      <right/>
      <top style="thin">
        <color rgb="FF000000"/>
      </top>
      <bottom/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ck">
        <color rgb="FF333333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  <border>
      <left/>
      <right/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</borders>
  <cellStyleXfs count="3">
    <xf numFmtId="0" fontId="0" fillId="0" borderId="38"/>
    <xf numFmtId="0" fontId="87" fillId="0" borderId="38"/>
    <xf numFmtId="9" fontId="88" fillId="0" borderId="38"/>
  </cellStyleXfs>
  <cellXfs count="43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0" fontId="4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0" fontId="7" fillId="2" borderId="0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5" fillId="5" borderId="8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6" fillId="7" borderId="8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3" fontId="2" fillId="8" borderId="8" xfId="0" applyNumberFormat="1" applyFont="1" applyFill="1" applyBorder="1" applyAlignment="1">
      <alignment horizontal="center" vertical="center"/>
    </xf>
    <xf numFmtId="166" fontId="2" fillId="8" borderId="8" xfId="0" applyNumberFormat="1" applyFont="1" applyFill="1" applyBorder="1" applyAlignment="1">
      <alignment horizontal="center" vertical="center"/>
    </xf>
    <xf numFmtId="4" fontId="2" fillId="8" borderId="8" xfId="0" applyNumberFormat="1" applyFont="1" applyFill="1" applyBorder="1" applyAlignment="1">
      <alignment horizontal="center" vertical="center"/>
    </xf>
    <xf numFmtId="10" fontId="2" fillId="8" borderId="8" xfId="0" applyNumberFormat="1" applyFont="1" applyFill="1" applyBorder="1" applyAlignment="1">
      <alignment horizontal="center" vertical="center"/>
    </xf>
    <xf numFmtId="10" fontId="2" fillId="8" borderId="9" xfId="0" applyNumberFormat="1" applyFont="1" applyFill="1" applyBorder="1" applyAlignment="1">
      <alignment horizontal="center" vertical="center"/>
    </xf>
    <xf numFmtId="3" fontId="2" fillId="8" borderId="9" xfId="0" applyNumberFormat="1" applyFont="1" applyFill="1" applyBorder="1" applyAlignment="1">
      <alignment horizontal="center" vertical="center"/>
    </xf>
    <xf numFmtId="167" fontId="2" fillId="8" borderId="8" xfId="0" applyNumberFormat="1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1" fontId="10" fillId="8" borderId="8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9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10" fontId="2" fillId="9" borderId="9" xfId="0" applyNumberFormat="1" applyFont="1" applyFill="1" applyBorder="1" applyAlignment="1">
      <alignment horizontal="center" vertical="center"/>
    </xf>
    <xf numFmtId="3" fontId="2" fillId="9" borderId="8" xfId="0" applyNumberFormat="1" applyFont="1" applyFill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8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5" fontId="16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169" fontId="12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4" fontId="18" fillId="0" borderId="0" xfId="0" applyNumberFormat="1" applyFont="1" applyBorder="1" applyAlignment="1">
      <alignment horizontal="center" vertical="center"/>
    </xf>
    <xf numFmtId="10" fontId="18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/>
    <xf numFmtId="0" fontId="18" fillId="0" borderId="0" xfId="0" applyFont="1" applyBorder="1" applyAlignment="1">
      <alignment horizontal="center"/>
    </xf>
    <xf numFmtId="10" fontId="1" fillId="0" borderId="0" xfId="0" applyNumberFormat="1" applyFont="1" applyBorder="1" applyAlignment="1">
      <alignment horizontal="center"/>
    </xf>
    <xf numFmtId="4" fontId="18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9" fillId="0" borderId="0" xfId="0" applyNumberFormat="1" applyFont="1" applyBorder="1" applyAlignment="1">
      <alignment horizontal="center"/>
    </xf>
    <xf numFmtId="4" fontId="19" fillId="0" borderId="0" xfId="0" applyNumberFormat="1" applyFont="1" applyBorder="1"/>
    <xf numFmtId="170" fontId="1" fillId="0" borderId="0" xfId="0" applyNumberFormat="1" applyFont="1" applyBorder="1"/>
    <xf numFmtId="171" fontId="1" fillId="0" borderId="0" xfId="0" applyNumberFormat="1" applyFont="1" applyBorder="1"/>
    <xf numFmtId="2" fontId="1" fillId="0" borderId="0" xfId="0" applyNumberFormat="1" applyFont="1" applyBorder="1"/>
    <xf numFmtId="167" fontId="1" fillId="0" borderId="0" xfId="0" applyNumberFormat="1" applyFont="1" applyBorder="1"/>
    <xf numFmtId="171" fontId="1" fillId="0" borderId="0" xfId="0" applyNumberFormat="1" applyFont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0" fontId="25" fillId="2" borderId="7" xfId="0" applyFont="1" applyFill="1" applyBorder="1"/>
    <xf numFmtId="0" fontId="25" fillId="2" borderId="12" xfId="0" applyFont="1" applyFill="1" applyBorder="1"/>
    <xf numFmtId="0" fontId="24" fillId="2" borderId="13" xfId="0" applyFont="1" applyFill="1" applyBorder="1" applyAlignment="1">
      <alignment horizontal="center"/>
    </xf>
    <xf numFmtId="0" fontId="26" fillId="2" borderId="14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6" fillId="2" borderId="0" xfId="0" applyFont="1" applyFill="1" applyBorder="1" applyAlignment="1">
      <alignment horizontal="center"/>
    </xf>
    <xf numFmtId="0" fontId="26" fillId="2" borderId="15" xfId="0" applyFont="1" applyFill="1" applyBorder="1"/>
    <xf numFmtId="0" fontId="25" fillId="0" borderId="0" xfId="0" applyFont="1" applyBorder="1"/>
    <xf numFmtId="10" fontId="27" fillId="2" borderId="0" xfId="0" applyNumberFormat="1" applyFont="1" applyFill="1" applyBorder="1" applyAlignment="1">
      <alignment horizontal="center"/>
    </xf>
    <xf numFmtId="0" fontId="25" fillId="2" borderId="16" xfId="0" applyFont="1" applyFill="1" applyBorder="1"/>
    <xf numFmtId="0" fontId="27" fillId="2" borderId="14" xfId="0" applyFont="1" applyFill="1" applyBorder="1" applyAlignment="1">
      <alignment horizontal="center"/>
    </xf>
    <xf numFmtId="4" fontId="26" fillId="2" borderId="14" xfId="0" applyNumberFormat="1" applyFont="1" applyFill="1" applyBorder="1" applyAlignment="1">
      <alignment horizontal="center"/>
    </xf>
    <xf numFmtId="10" fontId="26" fillId="2" borderId="14" xfId="0" applyNumberFormat="1" applyFont="1" applyFill="1" applyBorder="1" applyAlignment="1">
      <alignment horizontal="center"/>
    </xf>
    <xf numFmtId="10" fontId="24" fillId="2" borderId="15" xfId="0" applyNumberFormat="1" applyFont="1" applyFill="1" applyBorder="1" applyAlignment="1">
      <alignment horizontal="center"/>
    </xf>
    <xf numFmtId="10" fontId="26" fillId="2" borderId="0" xfId="0" applyNumberFormat="1" applyFont="1" applyFill="1" applyBorder="1" applyAlignment="1">
      <alignment horizontal="center"/>
    </xf>
    <xf numFmtId="0" fontId="26" fillId="2" borderId="0" xfId="0" applyFont="1" applyFill="1" applyBorder="1"/>
    <xf numFmtId="10" fontId="28" fillId="2" borderId="0" xfId="0" applyNumberFormat="1" applyFont="1" applyFill="1" applyBorder="1" applyAlignment="1">
      <alignment horizontal="center"/>
    </xf>
    <xf numFmtId="0" fontId="29" fillId="2" borderId="16" xfId="0" applyFont="1" applyFill="1" applyBorder="1"/>
    <xf numFmtId="0" fontId="28" fillId="2" borderId="14" xfId="0" applyFont="1" applyFill="1" applyBorder="1" applyAlignment="1">
      <alignment horizontal="center"/>
    </xf>
    <xf numFmtId="4" fontId="26" fillId="2" borderId="0" xfId="0" applyNumberFormat="1" applyFont="1" applyFill="1" applyBorder="1" applyAlignment="1">
      <alignment horizontal="center"/>
    </xf>
    <xf numFmtId="4" fontId="26" fillId="2" borderId="17" xfId="0" applyNumberFormat="1" applyFont="1" applyFill="1" applyBorder="1" applyAlignment="1">
      <alignment horizontal="center"/>
    </xf>
    <xf numFmtId="10" fontId="30" fillId="2" borderId="0" xfId="0" applyNumberFormat="1" applyFont="1" applyFill="1" applyBorder="1" applyAlignment="1">
      <alignment horizontal="center"/>
    </xf>
    <xf numFmtId="0" fontId="31" fillId="2" borderId="16" xfId="0" applyFont="1" applyFill="1" applyBorder="1"/>
    <xf numFmtId="0" fontId="30" fillId="2" borderId="14" xfId="0" applyFont="1" applyFill="1" applyBorder="1" applyAlignment="1">
      <alignment horizontal="center"/>
    </xf>
    <xf numFmtId="164" fontId="26" fillId="2" borderId="0" xfId="0" applyNumberFormat="1" applyFont="1" applyFill="1" applyBorder="1" applyAlignment="1">
      <alignment horizontal="center"/>
    </xf>
    <xf numFmtId="0" fontId="26" fillId="2" borderId="18" xfId="0" applyFont="1" applyFill="1" applyBorder="1"/>
    <xf numFmtId="164" fontId="26" fillId="2" borderId="17" xfId="0" applyNumberFormat="1" applyFont="1" applyFill="1" applyBorder="1" applyAlignment="1">
      <alignment horizontal="center"/>
    </xf>
    <xf numFmtId="10" fontId="32" fillId="2" borderId="0" xfId="0" applyNumberFormat="1" applyFont="1" applyFill="1" applyBorder="1" applyAlignment="1">
      <alignment horizontal="center"/>
    </xf>
    <xf numFmtId="0" fontId="25" fillId="2" borderId="19" xfId="0" applyFont="1" applyFill="1" applyBorder="1"/>
    <xf numFmtId="0" fontId="25" fillId="2" borderId="0" xfId="0" applyFont="1" applyFill="1" applyBorder="1"/>
    <xf numFmtId="0" fontId="24" fillId="2" borderId="1" xfId="0" applyFont="1" applyFill="1" applyBorder="1" applyAlignment="1">
      <alignment horizontal="center"/>
    </xf>
    <xf numFmtId="164" fontId="25" fillId="0" borderId="0" xfId="0" applyNumberFormat="1" applyFont="1" applyBorder="1"/>
    <xf numFmtId="0" fontId="25" fillId="2" borderId="17" xfId="0" applyFont="1" applyFill="1" applyBorder="1"/>
    <xf numFmtId="3" fontId="26" fillId="2" borderId="0" xfId="0" applyNumberFormat="1" applyFont="1" applyFill="1" applyBorder="1" applyAlignment="1">
      <alignment horizontal="center"/>
    </xf>
    <xf numFmtId="172" fontId="26" fillId="2" borderId="0" xfId="0" applyNumberFormat="1" applyFont="1" applyFill="1" applyBorder="1" applyAlignment="1">
      <alignment horizontal="center"/>
    </xf>
    <xf numFmtId="164" fontId="26" fillId="2" borderId="18" xfId="0" applyNumberFormat="1" applyFont="1" applyFill="1" applyBorder="1" applyAlignment="1">
      <alignment horizontal="center"/>
    </xf>
    <xf numFmtId="0" fontId="25" fillId="3" borderId="0" xfId="0" applyFont="1" applyFill="1" applyBorder="1"/>
    <xf numFmtId="0" fontId="25" fillId="3" borderId="18" xfId="0" applyFont="1" applyFill="1" applyBorder="1"/>
    <xf numFmtId="0" fontId="26" fillId="3" borderId="0" xfId="0" applyFont="1" applyFill="1" applyBorder="1" applyAlignment="1">
      <alignment horizontal="center"/>
    </xf>
    <xf numFmtId="0" fontId="25" fillId="11" borderId="0" xfId="0" applyFont="1" applyFill="1" applyBorder="1" applyAlignment="1">
      <alignment horizontal="center"/>
    </xf>
    <xf numFmtId="0" fontId="33" fillId="11" borderId="0" xfId="0" applyFont="1" applyFill="1" applyBorder="1" applyAlignment="1">
      <alignment horizontal="center"/>
    </xf>
    <xf numFmtId="173" fontId="26" fillId="3" borderId="0" xfId="0" applyNumberFormat="1" applyFont="1" applyFill="1" applyBorder="1" applyAlignment="1">
      <alignment horizontal="center"/>
    </xf>
    <xf numFmtId="173" fontId="26" fillId="0" borderId="0" xfId="0" applyNumberFormat="1" applyFont="1" applyBorder="1" applyAlignment="1">
      <alignment horizontal="center"/>
    </xf>
    <xf numFmtId="10" fontId="25" fillId="0" borderId="0" xfId="0" applyNumberFormat="1" applyFont="1" applyBorder="1"/>
    <xf numFmtId="0" fontId="24" fillId="3" borderId="0" xfId="0" applyFont="1" applyFill="1" applyBorder="1" applyAlignment="1">
      <alignment horizontal="center"/>
    </xf>
    <xf numFmtId="0" fontId="24" fillId="3" borderId="18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32" fillId="11" borderId="0" xfId="0" applyFont="1" applyFill="1" applyBorder="1" applyAlignment="1">
      <alignment horizontal="center"/>
    </xf>
    <xf numFmtId="0" fontId="25" fillId="0" borderId="0" xfId="0" applyFont="1" applyBorder="1" applyAlignment="1">
      <alignment horizontal="center"/>
    </xf>
    <xf numFmtId="173" fontId="25" fillId="0" borderId="0" xfId="0" applyNumberFormat="1" applyFont="1" applyBorder="1"/>
    <xf numFmtId="170" fontId="25" fillId="0" borderId="0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/>
    </xf>
    <xf numFmtId="1" fontId="35" fillId="0" borderId="0" xfId="0" applyNumberFormat="1" applyFont="1" applyBorder="1" applyAlignment="1">
      <alignment horizontal="center"/>
    </xf>
    <xf numFmtId="1" fontId="25" fillId="0" borderId="0" xfId="0" applyNumberFormat="1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2" fontId="25" fillId="0" borderId="0" xfId="0" applyNumberFormat="1" applyFont="1" applyBorder="1" applyAlignment="1">
      <alignment horizontal="center"/>
    </xf>
    <xf numFmtId="10" fontId="25" fillId="0" borderId="0" xfId="0" applyNumberFormat="1" applyFont="1" applyBorder="1" applyAlignment="1">
      <alignment horizontal="center"/>
    </xf>
    <xf numFmtId="4" fontId="25" fillId="0" borderId="0" xfId="0" applyNumberFormat="1" applyFont="1" applyBorder="1" applyAlignment="1">
      <alignment horizontal="center"/>
    </xf>
    <xf numFmtId="4" fontId="25" fillId="0" borderId="0" xfId="0" applyNumberFormat="1" applyFont="1" applyBorder="1"/>
    <xf numFmtId="4" fontId="35" fillId="0" borderId="0" xfId="0" applyNumberFormat="1" applyFont="1" applyBorder="1" applyAlignment="1">
      <alignment horizontal="center"/>
    </xf>
    <xf numFmtId="168" fontId="25" fillId="0" borderId="0" xfId="0" applyNumberFormat="1" applyFont="1" applyBorder="1" applyAlignment="1">
      <alignment horizontal="center"/>
    </xf>
    <xf numFmtId="0" fontId="37" fillId="9" borderId="0" xfId="0" applyFont="1" applyFill="1" applyBorder="1"/>
    <xf numFmtId="0" fontId="38" fillId="0" borderId="0" xfId="0" applyFont="1" applyBorder="1"/>
    <xf numFmtId="0" fontId="39" fillId="0" borderId="0" xfId="0" applyFont="1" applyBorder="1"/>
    <xf numFmtId="0" fontId="40" fillId="0" borderId="0" xfId="0" applyFont="1" applyBorder="1"/>
    <xf numFmtId="0" fontId="41" fillId="0" borderId="0" xfId="0" applyFont="1" applyBorder="1"/>
    <xf numFmtId="0" fontId="42" fillId="0" borderId="0" xfId="0" applyFont="1" applyBorder="1"/>
    <xf numFmtId="0" fontId="43" fillId="0" borderId="0" xfId="0" applyFont="1" applyBorder="1" applyAlignment="1">
      <alignment horizontal="center"/>
    </xf>
    <xf numFmtId="0" fontId="42" fillId="0" borderId="0" xfId="0" applyFont="1" applyBorder="1" applyAlignment="1">
      <alignment horizontal="right"/>
    </xf>
    <xf numFmtId="0" fontId="44" fillId="12" borderId="0" xfId="0" applyFont="1" applyFill="1" applyBorder="1" applyAlignment="1">
      <alignment horizontal="center"/>
    </xf>
    <xf numFmtId="0" fontId="44" fillId="12" borderId="0" xfId="0" applyFont="1" applyFill="1" applyBorder="1" applyAlignment="1">
      <alignment horizontal="left"/>
    </xf>
    <xf numFmtId="0" fontId="44" fillId="12" borderId="0" xfId="0" applyFont="1" applyFill="1" applyBorder="1" applyAlignment="1">
      <alignment horizontal="right"/>
    </xf>
    <xf numFmtId="0" fontId="44" fillId="12" borderId="20" xfId="0" applyFont="1" applyFill="1" applyBorder="1" applyAlignment="1">
      <alignment horizontal="right"/>
    </xf>
    <xf numFmtId="0" fontId="45" fillId="0" borderId="0" xfId="0" applyFont="1" applyBorder="1"/>
    <xf numFmtId="0" fontId="46" fillId="9" borderId="21" xfId="0" applyFont="1" applyFill="1" applyBorder="1" applyAlignment="1">
      <alignment horizontal="right"/>
    </xf>
    <xf numFmtId="0" fontId="47" fillId="0" borderId="21" xfId="0" applyFont="1" applyBorder="1" applyAlignment="1">
      <alignment horizontal="left"/>
    </xf>
    <xf numFmtId="10" fontId="46" fillId="9" borderId="22" xfId="0" applyNumberFormat="1" applyFont="1" applyFill="1" applyBorder="1" applyAlignment="1">
      <alignment horizontal="right"/>
    </xf>
    <xf numFmtId="10" fontId="46" fillId="9" borderId="21" xfId="0" applyNumberFormat="1" applyFont="1" applyFill="1" applyBorder="1" applyAlignment="1">
      <alignment horizontal="right"/>
    </xf>
    <xf numFmtId="0" fontId="46" fillId="9" borderId="22" xfId="0" applyFont="1" applyFill="1" applyBorder="1" applyAlignment="1">
      <alignment horizontal="right"/>
    </xf>
    <xf numFmtId="164" fontId="46" fillId="9" borderId="21" xfId="0" applyNumberFormat="1" applyFont="1" applyFill="1" applyBorder="1" applyAlignment="1">
      <alignment horizontal="right"/>
    </xf>
    <xf numFmtId="164" fontId="39" fillId="0" borderId="0" xfId="0" applyNumberFormat="1" applyFont="1" applyBorder="1"/>
    <xf numFmtId="1" fontId="39" fillId="0" borderId="0" xfId="0" applyNumberFormat="1" applyFont="1" applyBorder="1"/>
    <xf numFmtId="2" fontId="46" fillId="9" borderId="21" xfId="0" applyNumberFormat="1" applyFont="1" applyFill="1" applyBorder="1" applyAlignment="1">
      <alignment horizontal="right"/>
    </xf>
    <xf numFmtId="0" fontId="46" fillId="9" borderId="21" xfId="0" applyFont="1" applyFill="1" applyBorder="1" applyAlignment="1">
      <alignment horizontal="left"/>
    </xf>
    <xf numFmtId="0" fontId="46" fillId="9" borderId="0" xfId="0" applyFont="1" applyFill="1" applyBorder="1" applyAlignment="1">
      <alignment horizontal="right"/>
    </xf>
    <xf numFmtId="0" fontId="48" fillId="0" borderId="0" xfId="0" applyFont="1" applyBorder="1" applyAlignment="1">
      <alignment horizontal="left"/>
    </xf>
    <xf numFmtId="10" fontId="46" fillId="9" borderId="0" xfId="0" applyNumberFormat="1" applyFont="1" applyFill="1" applyBorder="1" applyAlignment="1">
      <alignment horizontal="right"/>
    </xf>
    <xf numFmtId="2" fontId="46" fillId="9" borderId="0" xfId="0" applyNumberFormat="1" applyFont="1" applyFill="1" applyBorder="1" applyAlignment="1">
      <alignment horizontal="right"/>
    </xf>
    <xf numFmtId="0" fontId="33" fillId="9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49" fillId="0" borderId="0" xfId="0" applyFont="1" applyBorder="1"/>
    <xf numFmtId="0" fontId="50" fillId="0" borderId="0" xfId="0" applyFont="1" applyBorder="1" applyAlignment="1">
      <alignment horizontal="center"/>
    </xf>
    <xf numFmtId="0" fontId="1" fillId="0" borderId="17" xfId="0" applyFont="1" applyBorder="1"/>
    <xf numFmtId="164" fontId="1" fillId="0" borderId="0" xfId="0" applyNumberFormat="1" applyFont="1" applyBorder="1"/>
    <xf numFmtId="0" fontId="51" fillId="0" borderId="0" xfId="0" applyFont="1" applyBorder="1"/>
    <xf numFmtId="2" fontId="39" fillId="0" borderId="0" xfId="0" applyNumberFormat="1" applyFont="1" applyBorder="1"/>
    <xf numFmtId="2" fontId="52" fillId="0" borderId="0" xfId="0" applyNumberFormat="1" applyFont="1" applyBorder="1"/>
    <xf numFmtId="2" fontId="45" fillId="0" borderId="0" xfId="0" applyNumberFormat="1" applyFont="1" applyBorder="1"/>
    <xf numFmtId="0" fontId="53" fillId="0" borderId="0" xfId="0" applyFont="1" applyBorder="1"/>
    <xf numFmtId="0" fontId="54" fillId="0" borderId="0" xfId="0" applyFont="1" applyBorder="1"/>
    <xf numFmtId="0" fontId="19" fillId="0" borderId="0" xfId="0" applyFont="1" applyBorder="1"/>
    <xf numFmtId="172" fontId="1" fillId="0" borderId="0" xfId="0" applyNumberFormat="1" applyFont="1" applyBorder="1"/>
    <xf numFmtId="0" fontId="55" fillId="0" borderId="0" xfId="0" applyFont="1" applyBorder="1"/>
    <xf numFmtId="0" fontId="44" fillId="0" borderId="0" xfId="0" applyFont="1" applyBorder="1" applyAlignment="1">
      <alignment horizontal="center"/>
    </xf>
    <xf numFmtId="0" fontId="44" fillId="0" borderId="0" xfId="0" applyFont="1" applyBorder="1" applyAlignment="1">
      <alignment horizontal="left"/>
    </xf>
    <xf numFmtId="0" fontId="44" fillId="0" borderId="0" xfId="0" applyFont="1" applyBorder="1" applyAlignment="1">
      <alignment horizontal="right"/>
    </xf>
    <xf numFmtId="4" fontId="46" fillId="9" borderId="21" xfId="0" applyNumberFormat="1" applyFont="1" applyFill="1" applyBorder="1" applyAlignment="1">
      <alignment horizontal="right"/>
    </xf>
    <xf numFmtId="4" fontId="46" fillId="9" borderId="21" xfId="0" applyNumberFormat="1" applyFont="1" applyFill="1" applyBorder="1" applyAlignment="1">
      <alignment horizontal="left"/>
    </xf>
    <xf numFmtId="4" fontId="54" fillId="0" borderId="0" xfId="0" applyNumberFormat="1" applyFont="1" applyBorder="1"/>
    <xf numFmtId="4" fontId="1" fillId="0" borderId="0" xfId="0" applyNumberFormat="1" applyFont="1" applyBorder="1"/>
    <xf numFmtId="4" fontId="46" fillId="13" borderId="21" xfId="0" applyNumberFormat="1" applyFont="1" applyFill="1" applyBorder="1" applyAlignment="1">
      <alignment horizontal="right"/>
    </xf>
    <xf numFmtId="4" fontId="46" fillId="13" borderId="21" xfId="0" applyNumberFormat="1" applyFont="1" applyFill="1" applyBorder="1" applyAlignment="1">
      <alignment horizontal="left"/>
    </xf>
    <xf numFmtId="10" fontId="46" fillId="13" borderId="21" xfId="0" applyNumberFormat="1" applyFont="1" applyFill="1" applyBorder="1" applyAlignment="1">
      <alignment horizontal="right"/>
    </xf>
    <xf numFmtId="172" fontId="53" fillId="0" borderId="0" xfId="0" applyNumberFormat="1" applyFont="1" applyBorder="1"/>
    <xf numFmtId="164" fontId="53" fillId="0" borderId="0" xfId="0" applyNumberFormat="1" applyFont="1" applyBorder="1"/>
    <xf numFmtId="2" fontId="19" fillId="0" borderId="0" xfId="0" applyNumberFormat="1" applyFont="1" applyBorder="1"/>
    <xf numFmtId="2" fontId="53" fillId="0" borderId="0" xfId="0" applyNumberFormat="1" applyFont="1" applyBorder="1"/>
    <xf numFmtId="2" fontId="54" fillId="0" borderId="0" xfId="0" applyNumberFormat="1" applyFont="1" applyBorder="1"/>
    <xf numFmtId="1" fontId="1" fillId="0" borderId="0" xfId="0" applyNumberFormat="1" applyFont="1" applyBorder="1"/>
    <xf numFmtId="171" fontId="40" fillId="0" borderId="0" xfId="0" applyNumberFormat="1" applyFont="1" applyBorder="1" applyAlignment="1">
      <alignment horizontal="right"/>
    </xf>
    <xf numFmtId="1" fontId="44" fillId="0" borderId="0" xfId="0" applyNumberFormat="1" applyFont="1" applyBorder="1" applyAlignment="1">
      <alignment horizontal="center"/>
    </xf>
    <xf numFmtId="1" fontId="44" fillId="0" borderId="0" xfId="0" applyNumberFormat="1" applyFont="1" applyBorder="1" applyAlignment="1">
      <alignment horizontal="left"/>
    </xf>
    <xf numFmtId="1" fontId="44" fillId="0" borderId="0" xfId="0" applyNumberFormat="1" applyFont="1" applyBorder="1" applyAlignment="1">
      <alignment horizontal="right"/>
    </xf>
    <xf numFmtId="1" fontId="44" fillId="12" borderId="0" xfId="0" applyNumberFormat="1" applyFont="1" applyFill="1" applyBorder="1" applyAlignment="1">
      <alignment horizontal="center"/>
    </xf>
    <xf numFmtId="1" fontId="44" fillId="12" borderId="0" xfId="0" applyNumberFormat="1" applyFont="1" applyFill="1" applyBorder="1" applyAlignment="1">
      <alignment horizontal="left"/>
    </xf>
    <xf numFmtId="1" fontId="44" fillId="12" borderId="0" xfId="0" applyNumberFormat="1" applyFont="1" applyFill="1" applyBorder="1" applyAlignment="1">
      <alignment horizontal="right"/>
    </xf>
    <xf numFmtId="1" fontId="46" fillId="9" borderId="21" xfId="0" applyNumberFormat="1" applyFont="1" applyFill="1" applyBorder="1" applyAlignment="1">
      <alignment horizontal="right"/>
    </xf>
    <xf numFmtId="1" fontId="46" fillId="9" borderId="21" xfId="0" applyNumberFormat="1" applyFont="1" applyFill="1" applyBorder="1" applyAlignment="1">
      <alignment horizontal="left"/>
    </xf>
    <xf numFmtId="2" fontId="46" fillId="9" borderId="21" xfId="0" applyNumberFormat="1" applyFont="1" applyFill="1" applyBorder="1" applyAlignment="1">
      <alignment horizontal="left"/>
    </xf>
    <xf numFmtId="174" fontId="1" fillId="0" borderId="0" xfId="0" applyNumberFormat="1" applyFont="1" applyBorder="1"/>
    <xf numFmtId="0" fontId="56" fillId="0" borderId="0" xfId="0" applyFont="1" applyBorder="1"/>
    <xf numFmtId="174" fontId="53" fillId="0" borderId="0" xfId="0" applyNumberFormat="1" applyFont="1" applyBorder="1"/>
    <xf numFmtId="0" fontId="57" fillId="12" borderId="0" xfId="0" applyFont="1" applyFill="1" applyBorder="1" applyAlignment="1">
      <alignment horizontal="left"/>
    </xf>
    <xf numFmtId="0" fontId="57" fillId="12" borderId="0" xfId="0" applyFont="1" applyFill="1" applyBorder="1" applyAlignment="1">
      <alignment horizontal="right"/>
    </xf>
    <xf numFmtId="0" fontId="58" fillId="9" borderId="0" xfId="0" applyFont="1" applyFill="1" applyBorder="1" applyAlignment="1">
      <alignment horizontal="right"/>
    </xf>
    <xf numFmtId="0" fontId="57" fillId="12" borderId="0" xfId="0" applyFont="1" applyFill="1" applyBorder="1" applyAlignment="1">
      <alignment horizontal="center"/>
    </xf>
    <xf numFmtId="0" fontId="57" fillId="12" borderId="23" xfId="0" applyFont="1" applyFill="1" applyBorder="1" applyAlignment="1">
      <alignment horizontal="right"/>
    </xf>
    <xf numFmtId="0" fontId="58" fillId="9" borderId="24" xfId="0" applyFont="1" applyFill="1" applyBorder="1" applyAlignment="1">
      <alignment horizontal="right"/>
    </xf>
    <xf numFmtId="0" fontId="59" fillId="0" borderId="21" xfId="0" applyFont="1" applyBorder="1" applyAlignment="1">
      <alignment horizontal="left"/>
    </xf>
    <xf numFmtId="0" fontId="60" fillId="9" borderId="21" xfId="0" applyFont="1" applyFill="1" applyBorder="1" applyAlignment="1">
      <alignment horizontal="right"/>
    </xf>
    <xf numFmtId="0" fontId="60" fillId="9" borderId="25" xfId="0" applyFont="1" applyFill="1" applyBorder="1" applyAlignment="1">
      <alignment horizontal="right"/>
    </xf>
    <xf numFmtId="0" fontId="58" fillId="9" borderId="0" xfId="0" applyFont="1" applyFill="1" applyBorder="1"/>
    <xf numFmtId="0" fontId="61" fillId="9" borderId="0" xfId="0" applyFont="1" applyFill="1" applyBorder="1"/>
    <xf numFmtId="0" fontId="62" fillId="12" borderId="26" xfId="0" applyFont="1" applyFill="1" applyBorder="1" applyAlignment="1">
      <alignment horizontal="center"/>
    </xf>
    <xf numFmtId="0" fontId="63" fillId="12" borderId="26" xfId="0" applyFont="1" applyFill="1" applyBorder="1" applyAlignment="1">
      <alignment horizontal="left"/>
    </xf>
    <xf numFmtId="0" fontId="63" fillId="12" borderId="26" xfId="0" applyFont="1" applyFill="1" applyBorder="1" applyAlignment="1">
      <alignment horizontal="right"/>
    </xf>
    <xf numFmtId="0" fontId="63" fillId="12" borderId="30" xfId="0" applyFont="1" applyFill="1" applyBorder="1" applyAlignment="1">
      <alignment horizontal="right"/>
    </xf>
    <xf numFmtId="0" fontId="64" fillId="0" borderId="24" xfId="0" applyFont="1" applyBorder="1"/>
    <xf numFmtId="0" fontId="58" fillId="9" borderId="31" xfId="0" applyFont="1" applyFill="1" applyBorder="1" applyAlignment="1">
      <alignment horizontal="right"/>
    </xf>
    <xf numFmtId="0" fontId="65" fillId="0" borderId="0" xfId="0" applyFont="1" applyBorder="1"/>
    <xf numFmtId="0" fontId="23" fillId="0" borderId="0" xfId="0" applyFont="1" applyBorder="1"/>
    <xf numFmtId="0" fontId="66" fillId="14" borderId="32" xfId="0" applyFont="1" applyFill="1" applyBorder="1" applyAlignment="1">
      <alignment horizontal="left"/>
    </xf>
    <xf numFmtId="0" fontId="66" fillId="14" borderId="33" xfId="0" applyFont="1" applyFill="1" applyBorder="1" applyAlignment="1">
      <alignment horizontal="center"/>
    </xf>
    <xf numFmtId="0" fontId="67" fillId="9" borderId="34" xfId="0" applyFont="1" applyFill="1" applyBorder="1" applyAlignment="1">
      <alignment horizontal="left"/>
    </xf>
    <xf numFmtId="0" fontId="68" fillId="9" borderId="35" xfId="0" applyFont="1" applyFill="1" applyBorder="1" applyAlignment="1">
      <alignment horizontal="right"/>
    </xf>
    <xf numFmtId="0" fontId="67" fillId="15" borderId="34" xfId="0" applyFont="1" applyFill="1" applyBorder="1" applyAlignment="1">
      <alignment horizontal="left"/>
    </xf>
    <xf numFmtId="0" fontId="68" fillId="15" borderId="35" xfId="0" applyFont="1" applyFill="1" applyBorder="1" applyAlignment="1">
      <alignment horizontal="right"/>
    </xf>
    <xf numFmtId="0" fontId="67" fillId="9" borderId="32" xfId="0" applyFont="1" applyFill="1" applyBorder="1" applyAlignment="1">
      <alignment horizontal="left"/>
    </xf>
    <xf numFmtId="0" fontId="68" fillId="9" borderId="33" xfId="0" applyFont="1" applyFill="1" applyBorder="1" applyAlignment="1">
      <alignment horizontal="right"/>
    </xf>
    <xf numFmtId="0" fontId="23" fillId="0" borderId="0" xfId="0" applyFont="1" applyBorder="1" applyAlignment="1">
      <alignment horizontal="right"/>
    </xf>
    <xf numFmtId="14" fontId="1" fillId="0" borderId="0" xfId="0" applyNumberFormat="1" applyFont="1" applyBorder="1"/>
    <xf numFmtId="0" fontId="69" fillId="0" borderId="0" xfId="0" applyFont="1" applyBorder="1"/>
    <xf numFmtId="0" fontId="23" fillId="2" borderId="0" xfId="0" applyFont="1" applyFill="1" applyBorder="1" applyAlignment="1">
      <alignment horizontal="center"/>
    </xf>
    <xf numFmtId="0" fontId="70" fillId="2" borderId="7" xfId="0" applyFont="1" applyFill="1" applyBorder="1" applyAlignment="1">
      <alignment horizontal="center"/>
    </xf>
    <xf numFmtId="0" fontId="23" fillId="2" borderId="12" xfId="0" applyFont="1" applyFill="1" applyBorder="1" applyAlignment="1">
      <alignment horizontal="center"/>
    </xf>
    <xf numFmtId="0" fontId="70" fillId="2" borderId="13" xfId="0" applyFont="1" applyFill="1" applyBorder="1" applyAlignment="1">
      <alignment horizontal="center"/>
    </xf>
    <xf numFmtId="0" fontId="71" fillId="2" borderId="0" xfId="0" applyFont="1" applyFill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10" fontId="72" fillId="2" borderId="16" xfId="0" applyNumberFormat="1" applyFont="1" applyFill="1" applyBorder="1" applyAlignment="1">
      <alignment horizontal="center"/>
    </xf>
    <xf numFmtId="0" fontId="73" fillId="16" borderId="1" xfId="0" applyFont="1" applyFill="1" applyBorder="1" applyAlignment="1">
      <alignment horizontal="center"/>
    </xf>
    <xf numFmtId="0" fontId="72" fillId="2" borderId="1" xfId="0" applyFont="1" applyFill="1" applyBorder="1" applyAlignment="1">
      <alignment horizontal="center"/>
    </xf>
    <xf numFmtId="3" fontId="72" fillId="2" borderId="1" xfId="0" applyNumberFormat="1" applyFont="1" applyFill="1" applyBorder="1" applyAlignment="1">
      <alignment horizontal="center"/>
    </xf>
    <xf numFmtId="4" fontId="74" fillId="2" borderId="1" xfId="0" applyNumberFormat="1" applyFont="1" applyFill="1" applyBorder="1" applyAlignment="1">
      <alignment horizontal="center"/>
    </xf>
    <xf numFmtId="10" fontId="72" fillId="2" borderId="1" xfId="0" applyNumberFormat="1" applyFont="1" applyFill="1" applyBorder="1" applyAlignment="1">
      <alignment horizontal="center"/>
    </xf>
    <xf numFmtId="10" fontId="70" fillId="2" borderId="15" xfId="0" applyNumberFormat="1" applyFont="1" applyFill="1" applyBorder="1" applyAlignment="1">
      <alignment horizontal="center"/>
    </xf>
    <xf numFmtId="10" fontId="23" fillId="0" borderId="0" xfId="0" applyNumberFormat="1" applyFont="1" applyBorder="1" applyAlignment="1">
      <alignment horizontal="center"/>
    </xf>
    <xf numFmtId="0" fontId="72" fillId="2" borderId="0" xfId="0" applyFont="1" applyFill="1" applyBorder="1" applyAlignment="1">
      <alignment horizontal="center"/>
    </xf>
    <xf numFmtId="4" fontId="72" fillId="2" borderId="1" xfId="0" applyNumberFormat="1" applyFont="1" applyFill="1" applyBorder="1" applyAlignment="1">
      <alignment horizontal="center"/>
    </xf>
    <xf numFmtId="10" fontId="23" fillId="2" borderId="1" xfId="0" applyNumberFormat="1" applyFont="1" applyFill="1" applyBorder="1" applyAlignment="1">
      <alignment horizontal="center"/>
    </xf>
    <xf numFmtId="10" fontId="23" fillId="2" borderId="15" xfId="0" applyNumberFormat="1" applyFont="1" applyFill="1" applyBorder="1" applyAlignment="1">
      <alignment horizontal="center"/>
    </xf>
    <xf numFmtId="10" fontId="72" fillId="2" borderId="8" xfId="0" applyNumberFormat="1" applyFont="1" applyFill="1" applyBorder="1" applyAlignment="1">
      <alignment horizontal="center"/>
    </xf>
    <xf numFmtId="4" fontId="72" fillId="2" borderId="8" xfId="0" applyNumberFormat="1" applyFont="1" applyFill="1" applyBorder="1" applyAlignment="1">
      <alignment horizontal="center"/>
    </xf>
    <xf numFmtId="164" fontId="26" fillId="2" borderId="8" xfId="0" applyNumberFormat="1" applyFont="1" applyFill="1" applyBorder="1" applyAlignment="1">
      <alignment horizontal="center"/>
    </xf>
    <xf numFmtId="4" fontId="23" fillId="2" borderId="0" xfId="0" applyNumberFormat="1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72" fillId="3" borderId="0" xfId="0" applyFont="1" applyFill="1" applyBorder="1" applyAlignment="1">
      <alignment horizontal="center"/>
    </xf>
    <xf numFmtId="0" fontId="72" fillId="3" borderId="18" xfId="0" applyFont="1" applyFill="1" applyBorder="1" applyAlignment="1">
      <alignment horizontal="center"/>
    </xf>
    <xf numFmtId="0" fontId="75" fillId="11" borderId="0" xfId="0" applyFont="1" applyFill="1" applyBorder="1" applyAlignment="1">
      <alignment horizontal="center"/>
    </xf>
    <xf numFmtId="0" fontId="76" fillId="3" borderId="0" xfId="0" applyFont="1" applyFill="1" applyBorder="1" applyAlignment="1">
      <alignment horizontal="center"/>
    </xf>
    <xf numFmtId="10" fontId="76" fillId="3" borderId="0" xfId="0" applyNumberFormat="1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/>
    </xf>
    <xf numFmtId="0" fontId="77" fillId="3" borderId="0" xfId="0" applyFont="1" applyFill="1" applyBorder="1" applyAlignment="1">
      <alignment horizontal="center"/>
    </xf>
    <xf numFmtId="173" fontId="77" fillId="3" borderId="18" xfId="0" applyNumberFormat="1" applyFont="1" applyFill="1" applyBorder="1" applyAlignment="1">
      <alignment horizontal="center"/>
    </xf>
    <xf numFmtId="0" fontId="77" fillId="3" borderId="18" xfId="0" applyFont="1" applyFill="1" applyBorder="1" applyAlignment="1">
      <alignment horizontal="center"/>
    </xf>
    <xf numFmtId="10" fontId="78" fillId="11" borderId="0" xfId="0" applyNumberFormat="1" applyFont="1" applyFill="1" applyBorder="1" applyAlignment="1">
      <alignment horizontal="center"/>
    </xf>
    <xf numFmtId="0" fontId="73" fillId="3" borderId="0" xfId="0" applyFont="1" applyFill="1" applyBorder="1" applyAlignment="1">
      <alignment horizontal="center"/>
    </xf>
    <xf numFmtId="0" fontId="79" fillId="17" borderId="0" xfId="0" applyFont="1" applyFill="1" applyBorder="1" applyAlignment="1">
      <alignment horizontal="center"/>
    </xf>
    <xf numFmtId="0" fontId="80" fillId="0" borderId="0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4" fontId="23" fillId="0" borderId="0" xfId="0" applyNumberFormat="1" applyFont="1" applyBorder="1" applyAlignment="1">
      <alignment horizontal="center"/>
    </xf>
    <xf numFmtId="0" fontId="25" fillId="0" borderId="37" xfId="0" applyFont="1" applyBorder="1" applyAlignment="1">
      <alignment horizontal="center"/>
    </xf>
    <xf numFmtId="175" fontId="25" fillId="0" borderId="37" xfId="0" applyNumberFormat="1" applyFont="1" applyBorder="1" applyAlignment="1">
      <alignment horizontal="center"/>
    </xf>
    <xf numFmtId="3" fontId="25" fillId="0" borderId="37" xfId="0" applyNumberFormat="1" applyFont="1" applyBorder="1" applyAlignment="1">
      <alignment horizontal="center"/>
    </xf>
    <xf numFmtId="4" fontId="25" fillId="0" borderId="37" xfId="0" applyNumberFormat="1" applyFont="1" applyBorder="1" applyAlignment="1">
      <alignment horizontal="center"/>
    </xf>
    <xf numFmtId="0" fontId="82" fillId="0" borderId="37" xfId="0" applyFont="1" applyBorder="1" applyAlignment="1">
      <alignment horizontal="center"/>
    </xf>
    <xf numFmtId="10" fontId="23" fillId="18" borderId="37" xfId="0" applyNumberFormat="1" applyFont="1" applyFill="1" applyBorder="1" applyAlignment="1">
      <alignment horizontal="center"/>
    </xf>
    <xf numFmtId="10" fontId="25" fillId="18" borderId="37" xfId="0" applyNumberFormat="1" applyFont="1" applyFill="1" applyBorder="1" applyAlignment="1">
      <alignment horizontal="center"/>
    </xf>
    <xf numFmtId="0" fontId="83" fillId="17" borderId="0" xfId="0" applyFont="1" applyFill="1" applyBorder="1" applyAlignment="1">
      <alignment horizontal="center"/>
    </xf>
    <xf numFmtId="0" fontId="84" fillId="9" borderId="0" xfId="0" applyFont="1" applyFill="1" applyBorder="1" applyAlignment="1">
      <alignment horizontal="center"/>
    </xf>
    <xf numFmtId="0" fontId="85" fillId="9" borderId="37" xfId="0" applyFont="1" applyFill="1" applyBorder="1" applyAlignment="1">
      <alignment horizontal="center"/>
    </xf>
    <xf numFmtId="0" fontId="85" fillId="0" borderId="37" xfId="0" applyFont="1" applyBorder="1" applyAlignment="1">
      <alignment horizontal="center"/>
    </xf>
    <xf numFmtId="0" fontId="86" fillId="0" borderId="37" xfId="0" applyFont="1" applyBorder="1" applyAlignment="1">
      <alignment horizontal="center"/>
    </xf>
    <xf numFmtId="4" fontId="23" fillId="0" borderId="37" xfId="0" applyNumberFormat="1" applyFont="1" applyBorder="1" applyAlignment="1">
      <alignment horizontal="center"/>
    </xf>
    <xf numFmtId="10" fontId="23" fillId="0" borderId="37" xfId="0" applyNumberFormat="1" applyFont="1" applyBorder="1" applyAlignment="1">
      <alignment horizontal="center"/>
    </xf>
    <xf numFmtId="10" fontId="25" fillId="0" borderId="37" xfId="0" applyNumberFormat="1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83" fillId="0" borderId="0" xfId="0" applyFont="1" applyBorder="1" applyAlignment="1">
      <alignment horizontal="center"/>
    </xf>
    <xf numFmtId="0" fontId="70" fillId="18" borderId="38" xfId="0" applyFont="1" applyFill="1" applyAlignment="1">
      <alignment horizontal="center"/>
    </xf>
    <xf numFmtId="0" fontId="70" fillId="18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8" xfId="0" applyFont="1" applyBorder="1"/>
    <xf numFmtId="2" fontId="17" fillId="0" borderId="0" xfId="0" applyNumberFormat="1" applyFont="1" applyBorder="1" applyAlignment="1">
      <alignment horizontal="center" vertical="center"/>
    </xf>
    <xf numFmtId="169" fontId="13" fillId="0" borderId="11" xfId="0" applyNumberFormat="1" applyFont="1" applyBorder="1"/>
    <xf numFmtId="2" fontId="17" fillId="0" borderId="0" xfId="0" applyNumberFormat="1" applyFont="1" applyBorder="1" applyAlignment="1">
      <alignment vertical="center"/>
    </xf>
    <xf numFmtId="10" fontId="1" fillId="0" borderId="0" xfId="2" applyNumberFormat="1" applyFont="1" applyBorder="1"/>
    <xf numFmtId="10" fontId="1" fillId="0" borderId="0" xfId="2" applyNumberFormat="1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76" fontId="1" fillId="19" borderId="39" xfId="2" applyNumberFormat="1" applyFont="1" applyFill="1" applyBorder="1" applyAlignment="1">
      <alignment horizontal="center" vertical="center"/>
    </xf>
    <xf numFmtId="176" fontId="1" fillId="20" borderId="39" xfId="2" applyNumberFormat="1" applyFont="1" applyFill="1" applyBorder="1" applyAlignment="1">
      <alignment horizontal="center" vertical="center"/>
    </xf>
    <xf numFmtId="176" fontId="1" fillId="21" borderId="39" xfId="2" applyNumberFormat="1" applyFont="1" applyFill="1" applyBorder="1" applyAlignment="1">
      <alignment horizontal="center" vertical="center"/>
    </xf>
    <xf numFmtId="10" fontId="1" fillId="0" borderId="0" xfId="0" applyNumberFormat="1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13" fillId="0" borderId="11" xfId="0" applyFont="1" applyBorder="1"/>
    <xf numFmtId="0" fontId="1" fillId="8" borderId="40" xfId="0" applyFont="1" applyFill="1" applyBorder="1"/>
    <xf numFmtId="0" fontId="1" fillId="8" borderId="40" xfId="0" applyFont="1" applyFill="1" applyBorder="1" applyAlignment="1">
      <alignment horizontal="center"/>
    </xf>
    <xf numFmtId="0" fontId="23" fillId="8" borderId="40" xfId="0" applyFont="1" applyFill="1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2" fontId="1" fillId="8" borderId="40" xfId="0" applyNumberFormat="1" applyFont="1" applyFill="1" applyBorder="1" applyAlignment="1">
      <alignment horizontal="center"/>
    </xf>
    <xf numFmtId="0" fontId="19" fillId="8" borderId="40" xfId="0" applyFont="1" applyFill="1" applyBorder="1" applyAlignment="1">
      <alignment horizontal="center"/>
    </xf>
    <xf numFmtId="2" fontId="19" fillId="8" borderId="40" xfId="0" applyNumberFormat="1" applyFont="1" applyFill="1" applyBorder="1" applyAlignment="1">
      <alignment horizontal="center"/>
    </xf>
    <xf numFmtId="4" fontId="19" fillId="8" borderId="40" xfId="0" applyNumberFormat="1" applyFont="1" applyFill="1" applyBorder="1"/>
    <xf numFmtId="177" fontId="19" fillId="8" borderId="40" xfId="0" applyNumberFormat="1" applyFont="1" applyFill="1" applyBorder="1"/>
    <xf numFmtId="0" fontId="0" fillId="0" borderId="40" xfId="0" applyBorder="1"/>
    <xf numFmtId="0" fontId="1" fillId="0" borderId="40" xfId="0" applyFont="1" applyBorder="1"/>
    <xf numFmtId="0" fontId="1" fillId="0" borderId="40" xfId="0" applyFont="1" applyBorder="1" applyAlignment="1">
      <alignment horizontal="center"/>
    </xf>
    <xf numFmtId="0" fontId="23" fillId="0" borderId="40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4" fontId="19" fillId="0" borderId="40" xfId="0" applyNumberFormat="1" applyFont="1" applyBorder="1"/>
    <xf numFmtId="177" fontId="19" fillId="0" borderId="40" xfId="0" applyNumberFormat="1" applyFont="1" applyBorder="1"/>
    <xf numFmtId="0" fontId="20" fillId="10" borderId="40" xfId="0" applyFont="1" applyFill="1" applyBorder="1" applyAlignment="1">
      <alignment horizontal="center" wrapText="1"/>
    </xf>
    <xf numFmtId="0" fontId="19" fillId="6" borderId="40" xfId="0" applyFont="1" applyFill="1" applyBorder="1" applyAlignment="1">
      <alignment horizontal="center" vertical="center" wrapText="1"/>
    </xf>
    <xf numFmtId="0" fontId="20" fillId="10" borderId="40" xfId="0" applyFont="1" applyFill="1" applyBorder="1" applyAlignment="1">
      <alignment horizontal="center" vertical="center" wrapText="1"/>
    </xf>
    <xf numFmtId="10" fontId="1" fillId="8" borderId="40" xfId="2" applyNumberFormat="1" applyFont="1" applyFill="1" applyBorder="1" applyAlignment="1">
      <alignment horizontal="center"/>
    </xf>
    <xf numFmtId="10" fontId="1" fillId="0" borderId="40" xfId="2" applyNumberFormat="1" applyFont="1" applyBorder="1" applyAlignment="1">
      <alignment horizontal="center"/>
    </xf>
    <xf numFmtId="0" fontId="89" fillId="23" borderId="0" xfId="0" applyFont="1" applyFill="1" applyBorder="1" applyAlignment="1">
      <alignment horizontal="center" vertical="center" wrapText="1"/>
    </xf>
    <xf numFmtId="0" fontId="89" fillId="23" borderId="0" xfId="0" applyFont="1" applyFill="1" applyBorder="1" applyAlignment="1">
      <alignment horizontal="left" vertical="center" wrapText="1"/>
    </xf>
    <xf numFmtId="0" fontId="89" fillId="23" borderId="0" xfId="0" applyFont="1" applyFill="1" applyBorder="1" applyAlignment="1">
      <alignment horizontal="right" vertical="center" wrapText="1"/>
    </xf>
    <xf numFmtId="0" fontId="89" fillId="23" borderId="20" xfId="0" applyFont="1" applyFill="1" applyBorder="1" applyAlignment="1">
      <alignment horizontal="right" vertical="center" wrapText="1"/>
    </xf>
    <xf numFmtId="0" fontId="90" fillId="22" borderId="41" xfId="0" applyFont="1" applyFill="1" applyBorder="1" applyAlignment="1">
      <alignment vertical="center"/>
    </xf>
    <xf numFmtId="0" fontId="90" fillId="22" borderId="41" xfId="0" applyFont="1" applyFill="1" applyBorder="1" applyAlignment="1">
      <alignment horizontal="left" vertical="center"/>
    </xf>
    <xf numFmtId="0" fontId="87" fillId="22" borderId="41" xfId="1" applyFill="1" applyBorder="1" applyAlignment="1">
      <alignment horizontal="left" vertical="center"/>
    </xf>
    <xf numFmtId="0" fontId="90" fillId="22" borderId="41" xfId="0" applyFont="1" applyFill="1" applyBorder="1" applyAlignment="1">
      <alignment horizontal="right" vertical="center"/>
    </xf>
    <xf numFmtId="10" fontId="90" fillId="22" borderId="42" xfId="0" applyNumberFormat="1" applyFont="1" applyFill="1" applyBorder="1" applyAlignment="1">
      <alignment horizontal="right" vertical="center"/>
    </xf>
    <xf numFmtId="10" fontId="90" fillId="22" borderId="41" xfId="0" applyNumberFormat="1" applyFont="1" applyFill="1" applyBorder="1" applyAlignment="1">
      <alignment horizontal="right" vertical="center"/>
    </xf>
    <xf numFmtId="0" fontId="90" fillId="22" borderId="42" xfId="0" applyFont="1" applyFill="1" applyBorder="1" applyAlignment="1">
      <alignment horizontal="right" vertical="center"/>
    </xf>
    <xf numFmtId="0" fontId="12" fillId="6" borderId="40" xfId="0" applyFont="1" applyFill="1" applyBorder="1" applyAlignment="1">
      <alignment horizontal="center" vertical="center" wrapText="1"/>
    </xf>
    <xf numFmtId="1" fontId="1" fillId="8" borderId="40" xfId="2" applyNumberFormat="1" applyFont="1" applyFill="1" applyBorder="1" applyAlignment="1">
      <alignment horizontal="center"/>
    </xf>
    <xf numFmtId="1" fontId="1" fillId="0" borderId="40" xfId="2" applyNumberFormat="1" applyFont="1" applyBorder="1" applyAlignment="1">
      <alignment horizontal="center"/>
    </xf>
    <xf numFmtId="0" fontId="1" fillId="8" borderId="40" xfId="0" applyFont="1" applyFill="1" applyBorder="1" applyAlignment="1">
      <alignment vertical="center"/>
    </xf>
    <xf numFmtId="0" fontId="0" fillId="0" borderId="43" xfId="0" applyBorder="1"/>
    <xf numFmtId="0" fontId="1" fillId="0" borderId="40" xfId="0" applyFont="1" applyBorder="1" applyAlignment="1">
      <alignment vertical="center"/>
    </xf>
    <xf numFmtId="0" fontId="1" fillId="24" borderId="40" xfId="0" applyFont="1" applyFill="1" applyBorder="1" applyAlignment="1">
      <alignment vertical="center"/>
    </xf>
    <xf numFmtId="0" fontId="0" fillId="20" borderId="43" xfId="0" applyFill="1" applyBorder="1"/>
    <xf numFmtId="0" fontId="0" fillId="0" borderId="38" xfId="0"/>
    <xf numFmtId="0" fontId="39" fillId="0" borderId="38" xfId="0" applyFont="1"/>
    <xf numFmtId="0" fontId="23" fillId="0" borderId="38" xfId="0" applyFont="1"/>
    <xf numFmtId="0" fontId="87" fillId="0" borderId="38" xfId="1"/>
    <xf numFmtId="2" fontId="23" fillId="0" borderId="0" xfId="0" applyNumberFormat="1" applyFont="1" applyBorder="1"/>
    <xf numFmtId="0" fontId="0" fillId="0" borderId="0" xfId="0" applyBorder="1"/>
    <xf numFmtId="0" fontId="12" fillId="0" borderId="38" xfId="0" applyFont="1" applyAlignment="1">
      <alignment horizontal="center" vertical="center"/>
    </xf>
    <xf numFmtId="0" fontId="19" fillId="0" borderId="38" xfId="0" applyFont="1" applyAlignment="1">
      <alignment horizontal="center"/>
    </xf>
    <xf numFmtId="0" fontId="20" fillId="10" borderId="40" xfId="0" applyFont="1" applyFill="1" applyBorder="1" applyAlignment="1">
      <alignment horizontal="center" wrapText="1"/>
    </xf>
    <xf numFmtId="0" fontId="0" fillId="0" borderId="44" xfId="0" applyBorder="1"/>
    <xf numFmtId="0" fontId="0" fillId="0" borderId="45" xfId="0" applyBorder="1"/>
    <xf numFmtId="0" fontId="19" fillId="0" borderId="38" xfId="0" applyFont="1" applyAlignment="1">
      <alignment horizontal="center" vertical="center"/>
    </xf>
    <xf numFmtId="0" fontId="12" fillId="0" borderId="38" xfId="0" applyFont="1" applyAlignment="1">
      <alignment horizontal="center" vertical="center" wrapText="1"/>
    </xf>
    <xf numFmtId="0" fontId="1" fillId="0" borderId="38" xfId="0" applyFont="1"/>
    <xf numFmtId="0" fontId="2" fillId="0" borderId="8" xfId="0" applyFont="1" applyBorder="1" applyAlignment="1">
      <alignment horizontal="center" vertical="center"/>
    </xf>
    <xf numFmtId="0" fontId="0" fillId="0" borderId="10" xfId="0" applyBorder="1"/>
    <xf numFmtId="0" fontId="2" fillId="8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0" borderId="38" xfId="0" applyFont="1"/>
    <xf numFmtId="0" fontId="7" fillId="4" borderId="8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2" fillId="0" borderId="38" xfId="0" applyFont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0" borderId="38" xfId="0" applyFont="1" applyAlignment="1">
      <alignment horizontal="center"/>
    </xf>
    <xf numFmtId="10" fontId="1" fillId="0" borderId="38" xfId="0" applyNumberFormat="1" applyFont="1" applyAlignment="1">
      <alignment horizontal="center"/>
    </xf>
    <xf numFmtId="166" fontId="1" fillId="0" borderId="38" xfId="0" applyNumberFormat="1" applyFont="1" applyAlignment="1">
      <alignment horizontal="center"/>
    </xf>
    <xf numFmtId="10" fontId="1" fillId="0" borderId="38" xfId="2" applyNumberFormat="1" applyFont="1" applyAlignment="1">
      <alignment horizontal="center"/>
    </xf>
    <xf numFmtId="0" fontId="25" fillId="3" borderId="15" xfId="0" applyFont="1" applyFill="1" applyBorder="1"/>
    <xf numFmtId="0" fontId="0" fillId="0" borderId="17" xfId="0" applyBorder="1"/>
    <xf numFmtId="0" fontId="0" fillId="0" borderId="15" xfId="0" applyBorder="1"/>
    <xf numFmtId="0" fontId="1" fillId="0" borderId="38" xfId="0" applyFont="1" applyAlignment="1">
      <alignment horizontal="center" vertical="center" textRotation="90"/>
    </xf>
    <xf numFmtId="0" fontId="37" fillId="9" borderId="38" xfId="0" applyFont="1" applyFill="1"/>
    <xf numFmtId="0" fontId="0" fillId="0" borderId="38" xfId="0"/>
    <xf numFmtId="0" fontId="62" fillId="12" borderId="30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62" fillId="12" borderId="26" xfId="0" applyFont="1" applyFill="1" applyBorder="1" applyAlignment="1">
      <alignment horizontal="center"/>
    </xf>
    <xf numFmtId="0" fontId="0" fillId="0" borderId="29" xfId="0" applyBorder="1"/>
    <xf numFmtId="0" fontId="57" fillId="12" borderId="23" xfId="0" applyFont="1" applyFill="1" applyBorder="1" applyAlignment="1">
      <alignment horizontal="center"/>
    </xf>
    <xf numFmtId="0" fontId="0" fillId="0" borderId="23" xfId="0" applyBorder="1"/>
    <xf numFmtId="0" fontId="57" fillId="12" borderId="38" xfId="0" applyFont="1" applyFill="1" applyAlignment="1">
      <alignment horizontal="center"/>
    </xf>
    <xf numFmtId="10" fontId="23" fillId="2" borderId="38" xfId="0" applyNumberFormat="1" applyFont="1" applyFill="1" applyAlignment="1">
      <alignment horizontal="center"/>
    </xf>
    <xf numFmtId="0" fontId="23" fillId="3" borderId="15" xfId="0" applyFont="1" applyFill="1" applyBorder="1" applyAlignment="1">
      <alignment horizontal="center"/>
    </xf>
    <xf numFmtId="0" fontId="23" fillId="3" borderId="38" xfId="0" applyFont="1" applyFill="1" applyAlignment="1">
      <alignment horizontal="center"/>
    </xf>
    <xf numFmtId="0" fontId="0" fillId="0" borderId="38" xfId="0" applyBorder="1"/>
    <xf numFmtId="0" fontId="42" fillId="0" borderId="38" xfId="0" applyFont="1" applyBorder="1"/>
    <xf numFmtId="0" fontId="42" fillId="0" borderId="38" xfId="0" applyFont="1" applyBorder="1" applyAlignment="1">
      <alignment horizontal="right"/>
    </xf>
    <xf numFmtId="0" fontId="44" fillId="0" borderId="38" xfId="0" applyFont="1" applyBorder="1" applyAlignment="1">
      <alignment horizontal="right"/>
    </xf>
    <xf numFmtId="0" fontId="44" fillId="12" borderId="38" xfId="0" applyFont="1" applyFill="1" applyBorder="1" applyAlignment="1">
      <alignment horizontal="right"/>
    </xf>
    <xf numFmtId="4" fontId="46" fillId="9" borderId="38" xfId="0" applyNumberFormat="1" applyFont="1" applyFill="1" applyBorder="1" applyAlignment="1">
      <alignment horizontal="right"/>
    </xf>
    <xf numFmtId="0" fontId="53" fillId="0" borderId="38" xfId="0" applyFont="1" applyBorder="1"/>
    <xf numFmtId="2" fontId="46" fillId="9" borderId="38" xfId="0" applyNumberFormat="1" applyFont="1" applyFill="1" applyBorder="1" applyAlignment="1">
      <alignment horizontal="right"/>
    </xf>
    <xf numFmtId="0" fontId="39" fillId="0" borderId="38" xfId="0" applyFont="1" applyBorder="1"/>
    <xf numFmtId="2" fontId="1" fillId="0" borderId="40" xfId="0" applyNumberFormat="1" applyFont="1" applyFill="1" applyBorder="1" applyAlignment="1">
      <alignment horizontal="center"/>
    </xf>
    <xf numFmtId="2" fontId="19" fillId="0" borderId="40" xfId="0" applyNumberFormat="1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24">
    <dxf>
      <font>
        <color rgb="FFCC0000"/>
      </font>
    </dxf>
    <dxf>
      <font>
        <color rgb="FF6AA84F"/>
      </font>
      <fill>
        <patternFill patternType="solid">
          <fgColor rgb="FFFFFFFF"/>
          <bgColor rgb="FFFFFFFF"/>
        </patternFill>
      </fill>
    </dxf>
    <dxf>
      <font>
        <color rgb="FFF09300"/>
      </font>
    </dxf>
    <dxf>
      <font>
        <color rgb="FFC53929"/>
      </font>
    </dxf>
    <dxf>
      <font>
        <color rgb="FF0B8043"/>
      </font>
    </dxf>
    <dxf>
      <font>
        <color rgb="FFC53929"/>
      </font>
    </dxf>
    <dxf>
      <font>
        <color rgb="FF0B8043"/>
      </font>
    </dxf>
    <dxf>
      <font>
        <color rgb="FFF09300"/>
      </font>
    </dxf>
    <dxf>
      <font>
        <color rgb="FF000000"/>
      </font>
      <fill>
        <patternFill patternType="solid">
          <fgColor rgb="FFF4C7C3"/>
          <bgColor rgb="FFF4C7C3"/>
        </patternFill>
      </fill>
    </dxf>
    <dxf>
      <font>
        <color rgb="FF000000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000000"/>
          <bgColor rgb="FF000000"/>
        </patternFill>
      </fill>
    </dxf>
    <dxf>
      <font>
        <color rgb="FF00FF00"/>
      </font>
      <fill>
        <patternFill patternType="solid">
          <fgColor rgb="FF000000"/>
          <bgColor rgb="FF00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EA9999"/>
      </font>
    </dxf>
    <dxf>
      <font>
        <color rgb="FF00FF00"/>
      </font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FF00"/>
      </font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microsoft.com/office/2017/06/relationships/rdRichValueTypes" Target="richData/rdRichValueTyp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2667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29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betonline.ag/" TargetMode="External"/></Relationships>
</file>

<file path=xl/worksheets/_rels/sheet4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grant-holman/30002/stats?position=P" TargetMode="External"/><Relationship Id="rId21" Type="http://schemas.openxmlformats.org/officeDocument/2006/relationships/hyperlink" Target="https://www.fangraphs.com/players/ian-hamilton/19261/stats?position=P" TargetMode="External"/><Relationship Id="rId63" Type="http://schemas.openxmlformats.org/officeDocument/2006/relationships/hyperlink" Target="https://www.fangraphs.com/players/jacob-webb/19274/stats?position=P" TargetMode="External"/><Relationship Id="rId159" Type="http://schemas.openxmlformats.org/officeDocument/2006/relationships/hyperlink" Target="https://www.fangraphs.com/players/mason-montgomery/29770/stats?position=P" TargetMode="External"/><Relationship Id="rId170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226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268" Type="http://schemas.openxmlformats.org/officeDocument/2006/relationships/hyperlink" Target="https://www.fangraphs.com/players/jhoan-duran/21029/stats?position=P" TargetMode="External"/><Relationship Id="rId32" Type="http://schemas.openxmlformats.org/officeDocument/2006/relationships/hyperlink" Target="https://www.fangraphs.com/leaders/major-league?pos=all&amp;lg=all&amp;qual=10&amp;type=1&amp;month=3&amp;ind=0&amp;team=8&amp;rost=0&amp;age=0&amp;filter=&amp;players=0&amp;startdate=&amp;enddate=&amp;page=1_500&amp;season1=2025&amp;season=2025&amp;pageitems=2000000000&amp;stats=rel" TargetMode="External"/><Relationship Id="rId74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128" Type="http://schemas.openxmlformats.org/officeDocument/2006/relationships/hyperlink" Target="https://www.fangraphs.com/leaders/major-league?pos=all&amp;lg=all&amp;qual=10&amp;type=1&amp;month=3&amp;ind=0&amp;team=24&amp;rost=0&amp;age=0&amp;filter=&amp;players=0&amp;startdate=&amp;enddate=&amp;page=1_500&amp;season1=2025&amp;season=2025&amp;pageitems=2000000000&amp;stats=rel" TargetMode="External"/><Relationship Id="rId5" Type="http://schemas.openxmlformats.org/officeDocument/2006/relationships/hyperlink" Target="https://www.fangraphs.com/players/anthony-banda/14706/stats?position=P" TargetMode="External"/><Relationship Id="rId181" Type="http://schemas.openxmlformats.org/officeDocument/2006/relationships/hyperlink" Target="https://www.fangraphs.com/players/jake-bird/21267/stats?position=P" TargetMode="External"/><Relationship Id="rId237" Type="http://schemas.openxmlformats.org/officeDocument/2006/relationships/hyperlink" Target="https://www.fangraphs.com/leaders/major-league?pos=all&amp;lg=all&amp;qual=10&amp;type=1&amp;month=3&amp;ind=0&amp;team=23&amp;rost=0&amp;age=0&amp;filter=&amp;players=0&amp;startdate=&amp;enddate=&amp;page=1_500&amp;season1=2025&amp;season=2025&amp;pageitems=2000000000&amp;stats=rel" TargetMode="External"/><Relationship Id="rId279" Type="http://schemas.openxmlformats.org/officeDocument/2006/relationships/hyperlink" Target="https://www.fangraphs.com/leaders/major-league?pos=all&amp;lg=all&amp;qual=10&amp;type=1&amp;month=3&amp;ind=0&amp;team=29&amp;rost=0&amp;age=0&amp;filter=&amp;players=0&amp;startdate=&amp;enddate=&amp;page=1_500&amp;season1=2025&amp;season=2025&amp;pageitems=2000000000&amp;stats=rel" TargetMode="External"/><Relationship Id="rId43" Type="http://schemas.openxmlformats.org/officeDocument/2006/relationships/hyperlink" Target="https://www.fangraphs.com/players/jake-latz/21306/stats?position=P" TargetMode="External"/><Relationship Id="rId139" Type="http://schemas.openxmlformats.org/officeDocument/2006/relationships/hyperlink" Target="https://www.fangraphs.com/players/joe-ross/12972/stats?position=P" TargetMode="External"/><Relationship Id="rId290" Type="http://schemas.openxmlformats.org/officeDocument/2006/relationships/hyperlink" Target="https://www.fangraphs.com/players/griffin-jax/20253/stats?position=P" TargetMode="External"/><Relationship Id="rId85" Type="http://schemas.openxmlformats.org/officeDocument/2006/relationships/hyperlink" Target="https://www.fangraphs.com/players/pete-fairbanks/17998/stats?position=P" TargetMode="External"/><Relationship Id="rId150" Type="http://schemas.openxmlformats.org/officeDocument/2006/relationships/hyperlink" Target="https://www.fangraphs.com/leaders/major-league?pos=all&amp;lg=all&amp;qual=10&amp;type=1&amp;month=3&amp;ind=0&amp;team=17&amp;rost=0&amp;age=0&amp;filter=&amp;players=0&amp;startdate=&amp;enddate=&amp;page=1_500&amp;season1=2025&amp;season=2025&amp;pageitems=2000000000&amp;stats=rel" TargetMode="External"/><Relationship Id="rId192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206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248" Type="http://schemas.openxmlformats.org/officeDocument/2006/relationships/hyperlink" Target="https://www.fangraphs.com/players/yariel-rodriguez/33838/stats?position=P" TargetMode="External"/><Relationship Id="rId12" Type="http://schemas.openxmlformats.org/officeDocument/2006/relationships/hyperlink" Target="https://www.fangraphs.com/leaders/major-league?pos=all&amp;lg=all&amp;qual=10&amp;type=1&amp;month=3&amp;ind=0&amp;team=4&amp;rost=0&amp;age=0&amp;filter=&amp;players=0&amp;startdate=&amp;enddate=&amp;page=1_500&amp;season1=2025&amp;season=2025&amp;pageitems=2000000000&amp;stats=rel" TargetMode="External"/><Relationship Id="rId33" Type="http://schemas.openxmlformats.org/officeDocument/2006/relationships/hyperlink" Target="https://www.fangraphs.com/players/lake-bachar/19222/stats?position=P" TargetMode="External"/><Relationship Id="rId108" Type="http://schemas.openxmlformats.org/officeDocument/2006/relationships/hyperlink" Target="https://www.fangraphs.com/leaders/major-league?pos=all&amp;lg=all&amp;qual=10&amp;type=1&amp;month=3&amp;ind=0&amp;team=15&amp;rost=0&amp;age=0&amp;filter=&amp;players=0&amp;startdate=&amp;enddate=&amp;page=1_500&amp;season1=2025&amp;season=2025&amp;pageitems=2000000000&amp;stats=rel" TargetMode="External"/><Relationship Id="rId129" Type="http://schemas.openxmlformats.org/officeDocument/2006/relationships/hyperlink" Target="https://www.fangraphs.com/players/enyel-de-los-santos/18403/stats?position=P" TargetMode="External"/><Relationship Id="rId280" Type="http://schemas.openxmlformats.org/officeDocument/2006/relationships/hyperlink" Target="https://www.fangraphs.com/players/louie-varland/27691/stats?position=P" TargetMode="External"/><Relationship Id="rId54" Type="http://schemas.openxmlformats.org/officeDocument/2006/relationships/hyperlink" Target="https://www.fangraphs.com/leaders/major-league?pos=all&amp;lg=all&amp;qual=10&amp;type=1&amp;month=3&amp;ind=0&amp;team=4&amp;rost=0&amp;age=0&amp;filter=&amp;players=0&amp;startdate=&amp;enddate=&amp;page=1_500&amp;season1=2025&amp;season=2025&amp;pageitems=2000000000&amp;stats=rel" TargetMode="External"/><Relationship Id="rId75" Type="http://schemas.openxmlformats.org/officeDocument/2006/relationships/hyperlink" Target="https://www.fangraphs.com/players/carlos-estevez/14542/stats?position=P" TargetMode="External"/><Relationship Id="rId96" Type="http://schemas.openxmlformats.org/officeDocument/2006/relationships/hyperlink" Target="https://www.fangraphs.com/leaders/major-league?pos=all&amp;lg=all&amp;qual=10&amp;type=1&amp;month=3&amp;ind=0&amp;team=26&amp;rost=0&amp;age=0&amp;filter=&amp;players=0&amp;startdate=&amp;enddate=&amp;page=1_500&amp;season1=2025&amp;season=2025&amp;pageitems=2000000000&amp;stats=rel" TargetMode="External"/><Relationship Id="rId140" Type="http://schemas.openxmlformats.org/officeDocument/2006/relationships/hyperlink" Target="https://www.fangraphs.com/leaders/major-league?pos=all&amp;lg=all&amp;qual=10&amp;type=1&amp;month=3&amp;ind=0&amp;team=26&amp;rost=0&amp;age=0&amp;filter=&amp;players=0&amp;startdate=&amp;enddate=&amp;page=1_500&amp;season1=2025&amp;season=2025&amp;pageitems=2000000000&amp;stats=rel" TargetMode="External"/><Relationship Id="rId161" Type="http://schemas.openxmlformats.org/officeDocument/2006/relationships/hyperlink" Target="https://www.fangraphs.com/players/tyler-holton/26231/stats?position=P" TargetMode="External"/><Relationship Id="rId182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217" Type="http://schemas.openxmlformats.org/officeDocument/2006/relationships/hyperlink" Target="https://www.fangraphs.com/players/tim-hill/16814/stats?position=P" TargetMode="External"/><Relationship Id="rId6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238" Type="http://schemas.openxmlformats.org/officeDocument/2006/relationships/hyperlink" Target="https://www.fangraphs.com/players/tyler-rogers/15541/stats?position=P" TargetMode="External"/><Relationship Id="rId259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23" Type="http://schemas.openxmlformats.org/officeDocument/2006/relationships/hyperlink" Target="https://www.fangraphs.com/players/tayler-scott/13652/stats?position=P" TargetMode="External"/><Relationship Id="rId119" Type="http://schemas.openxmlformats.org/officeDocument/2006/relationships/hyperlink" Target="https://www.fangraphs.com/players/brant-hurter/30133/stats?position=P" TargetMode="External"/><Relationship Id="rId270" Type="http://schemas.openxmlformats.org/officeDocument/2006/relationships/hyperlink" Target="https://www.fangraphs.com/players/tanner-scott/17586/stats?position=P" TargetMode="External"/><Relationship Id="rId291" Type="http://schemas.openxmlformats.org/officeDocument/2006/relationships/hyperlink" Target="https://www.fangraphs.com/leaders/major-league?pos=all&amp;lg=all&amp;qual=10&amp;type=1&amp;month=3&amp;ind=0&amp;team=8&amp;rost=0&amp;age=0&amp;filter=&amp;players=0&amp;startdate=&amp;enddate=&amp;page=1_500&amp;season1=2025&amp;season=2025&amp;pageitems=2000000000&amp;stats=rel" TargetMode="External"/><Relationship Id="rId44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65" Type="http://schemas.openxmlformats.org/officeDocument/2006/relationships/hyperlink" Target="https://www.fangraphs.com/players/tyler-phillips/20629/stats?position=P" TargetMode="External"/><Relationship Id="rId86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130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151" Type="http://schemas.openxmlformats.org/officeDocument/2006/relationships/hyperlink" Target="https://www.fangraphs.com/players/reed-garrett/16866/stats?position=P" TargetMode="External"/><Relationship Id="rId172" Type="http://schemas.openxmlformats.org/officeDocument/2006/relationships/hyperlink" Target="https://www.fangraphs.com/leaders/major-league?pos=all&amp;lg=all&amp;qual=10&amp;type=1&amp;month=3&amp;ind=0&amp;team=2&amp;rost=0&amp;age=0&amp;filter=&amp;players=0&amp;startdate=&amp;enddate=&amp;page=1_500&amp;season1=2025&amp;season=2025&amp;pageitems=2000000000&amp;stats=rel" TargetMode="External"/><Relationship Id="rId193" Type="http://schemas.openxmlformats.org/officeDocument/2006/relationships/hyperlink" Target="https://www.fangraphs.com/players/jalen-beeks/17192/stats?position=P" TargetMode="External"/><Relationship Id="rId207" Type="http://schemas.openxmlformats.org/officeDocument/2006/relationships/hyperlink" Target="https://www.fangraphs.com/players/greg-weissert/20375/stats?position=P" TargetMode="External"/><Relationship Id="rId228" Type="http://schemas.openxmlformats.org/officeDocument/2006/relationships/hyperlink" Target="https://www.fangraphs.com/leaders/major-league?pos=all&amp;lg=all&amp;qual=10&amp;type=1&amp;month=3&amp;ind=0&amp;team=15&amp;rost=0&amp;age=0&amp;filter=&amp;players=0&amp;startdate=&amp;enddate=&amp;page=1_500&amp;season1=2025&amp;season=2025&amp;pageitems=2000000000&amp;stats=rel" TargetMode="External"/><Relationship Id="rId249" Type="http://schemas.openxmlformats.org/officeDocument/2006/relationships/hyperlink" Target="https://www.fangraphs.com/leaders/major-league?pos=all&amp;lg=all&amp;qual=10&amp;type=1&amp;month=3&amp;ind=0&amp;team=14&amp;rost=0&amp;age=0&amp;filter=&amp;players=0&amp;startdate=&amp;enddate=&amp;page=1_500&amp;season1=2025&amp;season=2025&amp;pageitems=2000000000&amp;stats=rel" TargetMode="External"/><Relationship Id="rId13" Type="http://schemas.openxmlformats.org/officeDocument/2006/relationships/hyperlink" Target="https://www.fangraphs.com/players/anthony-veneziano/27453/stats?position=P" TargetMode="External"/><Relationship Id="rId109" Type="http://schemas.openxmlformats.org/officeDocument/2006/relationships/hyperlink" Target="https://www.fangraphs.com/players/brenan-hanifee/22304/stats?position=P" TargetMode="External"/><Relationship Id="rId260" Type="http://schemas.openxmlformats.org/officeDocument/2006/relationships/hyperlink" Target="https://www.fangraphs.com/players/josh-hader/14212/stats?position=P" TargetMode="External"/><Relationship Id="rId281" Type="http://schemas.openxmlformats.org/officeDocument/2006/relationships/hyperlink" Target="https://www.fangraphs.com/leaders/major-league?pos=all&amp;lg=all&amp;qual=10&amp;type=1&amp;month=3&amp;ind=0&amp;team=8&amp;rost=0&amp;age=0&amp;filter=&amp;players=0&amp;startdate=&amp;enddate=&amp;page=1_500&amp;season1=2025&amp;season=2025&amp;pageitems=2000000000&amp;stats=rel" TargetMode="External"/><Relationship Id="rId34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55" Type="http://schemas.openxmlformats.org/officeDocument/2006/relationships/hyperlink" Target="https://www.fangraphs.com/players/casey-legumina/25921/stats?position=P" TargetMode="External"/><Relationship Id="rId76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97" Type="http://schemas.openxmlformats.org/officeDocument/2006/relationships/hyperlink" Target="https://www.fangraphs.com/players/yuki-matsui/33826/stats?position=P" TargetMode="External"/><Relationship Id="rId120" Type="http://schemas.openxmlformats.org/officeDocument/2006/relationships/hyperlink" Target="https://www.fangraphs.com/leaders/major-league?pos=all&amp;lg=all&amp;qual=10&amp;type=1&amp;month=3&amp;ind=0&amp;team=6&amp;rost=0&amp;age=0&amp;filter=&amp;players=0&amp;startdate=&amp;enddate=&amp;page=1_500&amp;season1=2025&amp;season=2025&amp;pageitems=2000000000&amp;stats=rel" TargetMode="External"/><Relationship Id="rId141" Type="http://schemas.openxmlformats.org/officeDocument/2006/relationships/hyperlink" Target="https://www.fangraphs.com/players/bryan-king/25890/stats?position=P" TargetMode="External"/><Relationship Id="rId7" Type="http://schemas.openxmlformats.org/officeDocument/2006/relationships/hyperlink" Target="https://www.fangraphs.com/players/justin-slaten/25648/stats?position=P" TargetMode="External"/><Relationship Id="rId162" Type="http://schemas.openxmlformats.org/officeDocument/2006/relationships/hyperlink" Target="https://www.fangraphs.com/leaders/major-league?pos=all&amp;lg=all&amp;qual=10&amp;type=1&amp;month=3&amp;ind=0&amp;team=6&amp;rost=0&amp;age=0&amp;filter=&amp;players=0&amp;startdate=&amp;enddate=&amp;page=1_500&amp;season1=2025&amp;season=2025&amp;pageitems=2000000000&amp;stats=rel" TargetMode="External"/><Relationship Id="rId183" Type="http://schemas.openxmlformats.org/officeDocument/2006/relationships/hyperlink" Target="https://www.fangraphs.com/players/collin-snider/23307/stats?position=P" TargetMode="External"/><Relationship Id="rId218" Type="http://schemas.openxmlformats.org/officeDocument/2006/relationships/hyperlink" Target="https://www.fangraphs.com/leaders/major-league?pos=all&amp;lg=all&amp;qual=10&amp;type=1&amp;month=3&amp;ind=0&amp;team=9&amp;rost=0&amp;age=0&amp;filter=&amp;players=0&amp;startdate=&amp;enddate=&amp;page=1_500&amp;season1=2025&amp;season=2025&amp;pageitems=2000000000&amp;stats=rel" TargetMode="External"/><Relationship Id="rId239" Type="http://schemas.openxmlformats.org/officeDocument/2006/relationships/hyperlink" Target="https://www.fangraphs.com/leaders/major-league?pos=all&amp;lg=all&amp;qual=10&amp;type=1&amp;month=3&amp;ind=0&amp;team=30&amp;rost=0&amp;age=0&amp;filter=&amp;players=0&amp;startdate=&amp;enddate=&amp;page=1_500&amp;season1=2025&amp;season=2025&amp;pageitems=2000000000&amp;stats=rel" TargetMode="External"/><Relationship Id="rId250" Type="http://schemas.openxmlformats.org/officeDocument/2006/relationships/hyperlink" Target="https://www.fangraphs.com/players/seth-halvorsen/33294/stats?position=P" TargetMode="External"/><Relationship Id="rId271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292" Type="http://schemas.openxmlformats.org/officeDocument/2006/relationships/hyperlink" Target="https://www.fangraphs.com/players/jeff-hoffman/17432/stats?position=P" TargetMode="External"/><Relationship Id="rId24" Type="http://schemas.openxmlformats.org/officeDocument/2006/relationships/hyperlink" Target="https://www.fangraphs.com/leaders/major-league?pos=all&amp;lg=all&amp;qual=10&amp;type=1&amp;month=3&amp;ind=0&amp;team=21&amp;rost=0&amp;age=0&amp;filter=&amp;players=0&amp;startdate=&amp;enddate=&amp;page=1_500&amp;season1=2025&amp;season=2025&amp;pageitems=2000000000&amp;stats=rel" TargetMode="External"/><Relationship Id="rId45" Type="http://schemas.openxmlformats.org/officeDocument/2006/relationships/hyperlink" Target="https://www.fangraphs.com/players/mitch-spence/27707/stats?position=P" TargetMode="External"/><Relationship Id="rId66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87" Type="http://schemas.openxmlformats.org/officeDocument/2006/relationships/hyperlink" Target="https://www.fangraphs.com/players/max-kranick/22175/stats?position=P" TargetMode="External"/><Relationship Id="rId110" Type="http://schemas.openxmlformats.org/officeDocument/2006/relationships/hyperlink" Target="https://www.fangraphs.com/leaders/major-league?pos=all&amp;lg=all&amp;qual=10&amp;type=1&amp;month=3&amp;ind=0&amp;team=6&amp;rost=0&amp;age=0&amp;filter=&amp;players=0&amp;startdate=&amp;enddate=&amp;page=1_500&amp;season1=2025&amp;season=2025&amp;pageitems=2000000000&amp;stats=rel" TargetMode="External"/><Relationship Id="rId131" Type="http://schemas.openxmlformats.org/officeDocument/2006/relationships/hyperlink" Target="https://www.fangraphs.com/players/mason-fluharty/31553/stats?position=P" TargetMode="External"/><Relationship Id="rId152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173" Type="http://schemas.openxmlformats.org/officeDocument/2006/relationships/hyperlink" Target="https://www.fangraphs.com/players/angel-zerpa/22717/stats?position=P" TargetMode="External"/><Relationship Id="rId194" Type="http://schemas.openxmlformats.org/officeDocument/2006/relationships/hyperlink" Target="https://www.fangraphs.com/leaders/major-league?pos=all&amp;lg=all&amp;qual=10&amp;type=1&amp;month=3&amp;ind=0&amp;team=15&amp;rost=0&amp;age=0&amp;filter=&amp;players=0&amp;startdate=&amp;enddate=&amp;page=1_500&amp;season1=2025&amp;season=2025&amp;pageitems=2000000000&amp;stats=rel" TargetMode="External"/><Relationship Id="rId208" Type="http://schemas.openxmlformats.org/officeDocument/2006/relationships/hyperlink" Target="https://www.fangraphs.com/leaders/major-league?pos=all&amp;lg=all&amp;qual=10&amp;type=1&amp;month=3&amp;ind=0&amp;team=3&amp;rost=0&amp;age=0&amp;filter=&amp;players=0&amp;startdate=&amp;enddate=&amp;page=1_500&amp;season1=2025&amp;season=2025&amp;pageitems=2000000000&amp;stats=rel" TargetMode="External"/><Relationship Id="rId229" Type="http://schemas.openxmlformats.org/officeDocument/2006/relationships/hyperlink" Target="https://www.fangraphs.com/players/garrett-whitlock/20191/stats?position=P" TargetMode="External"/><Relationship Id="rId240" Type="http://schemas.openxmlformats.org/officeDocument/2006/relationships/hyperlink" Target="https://www.fangraphs.com/players/lucas-erceg/19360/stats?position=P" TargetMode="External"/><Relationship Id="rId261" Type="http://schemas.openxmlformats.org/officeDocument/2006/relationships/hyperlink" Target="https://www.fangraphs.com/leaders/major-league?pos=all&amp;lg=all&amp;qual=10&amp;type=1&amp;month=3&amp;ind=0&amp;team=21&amp;rost=0&amp;age=0&amp;filter=&amp;players=0&amp;startdate=&amp;enddate=&amp;page=1_500&amp;season1=2025&amp;season=2025&amp;pageitems=2000000000&amp;stats=rel" TargetMode="External"/><Relationship Id="rId14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35" Type="http://schemas.openxmlformats.org/officeDocument/2006/relationships/hyperlink" Target="https://www.fangraphs.com/players/hunter-bigge/26259/stats?position=P" TargetMode="External"/><Relationship Id="rId56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77" Type="http://schemas.openxmlformats.org/officeDocument/2006/relationships/hyperlink" Target="https://www.fangraphs.com/players/justin-sterner/27694/stats?position=P" TargetMode="External"/><Relationship Id="rId100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282" Type="http://schemas.openxmlformats.org/officeDocument/2006/relationships/hyperlink" Target="https://www.fangraphs.com/players/tanner-banks/16990/stats?position=P" TargetMode="External"/><Relationship Id="rId8" Type="http://schemas.openxmlformats.org/officeDocument/2006/relationships/hyperlink" Target="https://www.fangraphs.com/leaders/major-league?pos=all&amp;lg=all&amp;qual=10&amp;type=1&amp;month=3&amp;ind=0&amp;team=3&amp;rost=0&amp;age=0&amp;filter=&amp;players=0&amp;startdate=&amp;enddate=&amp;page=1_500&amp;season1=2025&amp;season=2025&amp;pageitems=2000000000&amp;stats=rel" TargetMode="External"/><Relationship Id="rId98" Type="http://schemas.openxmlformats.org/officeDocument/2006/relationships/hyperlink" Target="https://www.fangraphs.com/leaders/major-league?pos=all&amp;lg=all&amp;qual=10&amp;type=1&amp;month=3&amp;ind=0&amp;team=29&amp;rost=0&amp;age=0&amp;filter=&amp;players=0&amp;startdate=&amp;enddate=&amp;page=1_500&amp;season1=2025&amp;season=2025&amp;pageitems=2000000000&amp;stats=rel" TargetMode="External"/><Relationship Id="rId121" Type="http://schemas.openxmlformats.org/officeDocument/2006/relationships/hyperlink" Target="https://www.fangraphs.com/players/hogan-harris/21520/stats?position=P" TargetMode="External"/><Relationship Id="rId142" Type="http://schemas.openxmlformats.org/officeDocument/2006/relationships/hyperlink" Target="https://www.fangraphs.com/leaders/major-league?pos=all&amp;lg=all&amp;qual=10&amp;type=1&amp;month=3&amp;ind=0&amp;team=21&amp;rost=0&amp;age=0&amp;filter=&amp;players=0&amp;startdate=&amp;enddate=&amp;page=1_500&amp;season1=2025&amp;season=2025&amp;pageitems=2000000000&amp;stats=rel" TargetMode="External"/><Relationship Id="rId163" Type="http://schemas.openxmlformats.org/officeDocument/2006/relationships/hyperlink" Target="https://www.fangraphs.com/players/adrian-morejon/20039/stats?position=P" TargetMode="External"/><Relationship Id="rId184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219" Type="http://schemas.openxmlformats.org/officeDocument/2006/relationships/hyperlink" Target="https://www.fangraphs.com/players/jackson-rutledge/26215/stats?position=P" TargetMode="External"/><Relationship Id="rId230" Type="http://schemas.openxmlformats.org/officeDocument/2006/relationships/hyperlink" Target="https://www.fangraphs.com/leaders/major-league?pos=all&amp;lg=all&amp;qual=10&amp;type=1&amp;month=3&amp;ind=0&amp;team=3&amp;rost=0&amp;age=0&amp;filter=&amp;players=0&amp;startdate=&amp;enddate=&amp;page=1_500&amp;season1=2025&amp;season=2025&amp;pageitems=2000000000&amp;stats=rel" TargetMode="External"/><Relationship Id="rId251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25" Type="http://schemas.openxmlformats.org/officeDocument/2006/relationships/hyperlink" Target="https://www.fangraphs.com/players/carlos-hernandez/22713/stats?position=P" TargetMode="External"/><Relationship Id="rId46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67" Type="http://schemas.openxmlformats.org/officeDocument/2006/relationships/hyperlink" Target="https://www.fangraphs.com/players/matt-bowman/13528/stats?position=P" TargetMode="External"/><Relationship Id="rId272" Type="http://schemas.openxmlformats.org/officeDocument/2006/relationships/hyperlink" Target="https://www.fangraphs.com/players/bryan-abreu/16609/stats?position=P" TargetMode="External"/><Relationship Id="rId293" Type="http://schemas.openxmlformats.org/officeDocument/2006/relationships/hyperlink" Target="https://www.fangraphs.com/leaders/major-league?pos=all&amp;lg=all&amp;qual=10&amp;type=1&amp;month=3&amp;ind=0&amp;team=14&amp;rost=0&amp;age=0&amp;filter=&amp;players=0&amp;startdate=&amp;enddate=&amp;page=1_500&amp;season1=2025&amp;season=2025&amp;pageitems=2000000000&amp;stats=rel" TargetMode="External"/><Relationship Id="rId88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111" Type="http://schemas.openxmlformats.org/officeDocument/2006/relationships/hyperlink" Target="https://www.fangraphs.com/players/brent-suter/13942/stats?position=P" TargetMode="External"/><Relationship Id="rId132" Type="http://schemas.openxmlformats.org/officeDocument/2006/relationships/hyperlink" Target="https://www.fangraphs.com/leaders/major-league?pos=all&amp;lg=all&amp;qual=10&amp;type=1&amp;month=3&amp;ind=0&amp;team=14&amp;rost=0&amp;age=0&amp;filter=&amp;players=0&amp;startdate=&amp;enddate=&amp;page=1_500&amp;season1=2025&amp;season=2025&amp;pageitems=2000000000&amp;stats=rel" TargetMode="External"/><Relationship Id="rId153" Type="http://schemas.openxmlformats.org/officeDocument/2006/relationships/hyperlink" Target="https://www.fangraphs.com/players/graham-ashcraft/27552/stats?position=P" TargetMode="External"/><Relationship Id="rId174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195" Type="http://schemas.openxmlformats.org/officeDocument/2006/relationships/hyperlink" Target="https://www.fangraphs.com/players/john-schreiber/20020/stats?position=P" TargetMode="External"/><Relationship Id="rId209" Type="http://schemas.openxmlformats.org/officeDocument/2006/relationships/hyperlink" Target="https://www.fangraphs.com/players/pierce-johnson/13435/stats?position=P" TargetMode="External"/><Relationship Id="rId220" Type="http://schemas.openxmlformats.org/officeDocument/2006/relationships/hyperlink" Target="https://www.fangraphs.com/leaders/major-league?pos=all&amp;lg=all&amp;qual=10&amp;type=1&amp;month=3&amp;ind=0&amp;team=24&amp;rost=0&amp;age=0&amp;filter=&amp;players=0&amp;startdate=&amp;enddate=&amp;page=1_500&amp;season1=2025&amp;season=2025&amp;pageitems=2000000000&amp;stats=rel" TargetMode="External"/><Relationship Id="rId241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15" Type="http://schemas.openxmlformats.org/officeDocument/2006/relationships/hyperlink" Target="https://www.fangraphs.com/players/porter-hodge/26413/stats?position=P" TargetMode="External"/><Relationship Id="rId36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57" Type="http://schemas.openxmlformats.org/officeDocument/2006/relationships/hyperlink" Target="https://www.fangraphs.com/players/tyler-kinley/18297/stats?position=P" TargetMode="External"/><Relationship Id="rId262" Type="http://schemas.openxmlformats.org/officeDocument/2006/relationships/hyperlink" Target="https://www.fangraphs.com/players/randy-rodriguez/23974/stats?position=P" TargetMode="External"/><Relationship Id="rId283" Type="http://schemas.openxmlformats.org/officeDocument/2006/relationships/hyperlink" Target="https://www.fangraphs.com/leaders/major-league?pos=all&amp;lg=all&amp;qual=10&amp;type=1&amp;month=3&amp;ind=0&amp;team=26&amp;rost=0&amp;age=0&amp;filter=&amp;players=0&amp;startdate=&amp;enddate=&amp;page=1_500&amp;season1=2025&amp;season=2025&amp;pageitems=2000000000&amp;stats=rel" TargetMode="External"/><Relationship Id="rId78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99" Type="http://schemas.openxmlformats.org/officeDocument/2006/relationships/hyperlink" Target="https://www.fangraphs.com/players/tim-herrin/25139/stats?position=P" TargetMode="External"/><Relationship Id="rId101" Type="http://schemas.openxmlformats.org/officeDocument/2006/relationships/hyperlink" Target="https://www.fangraphs.com/players/tommy-kahnle/11384/stats?position=P" TargetMode="External"/><Relationship Id="rId122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143" Type="http://schemas.openxmlformats.org/officeDocument/2006/relationships/hyperlink" Target="https://www.fangraphs.com/players/edwin-uceta/20539/stats?position=P" TargetMode="External"/><Relationship Id="rId164" Type="http://schemas.openxmlformats.org/officeDocument/2006/relationships/hyperlink" Target="https://www.fangraphs.com/leaders/major-league?pos=all&amp;lg=all&amp;qual=10&amp;type=1&amp;month=3&amp;ind=0&amp;team=29&amp;rost=0&amp;age=0&amp;filter=&amp;players=0&amp;startdate=&amp;enddate=&amp;page=1_500&amp;season1=2025&amp;season=2025&amp;pageitems=2000000000&amp;stats=rel" TargetMode="External"/><Relationship Id="rId185" Type="http://schemas.openxmlformats.org/officeDocument/2006/relationships/hyperlink" Target="https://www.fangraphs.com/players/jason-adam/11861/stats?position=P" TargetMode="External"/><Relationship Id="rId9" Type="http://schemas.openxmlformats.org/officeDocument/2006/relationships/hyperlink" Target="https://www.fangraphs.com/players/scott-barlow/14993/stats?position=P" TargetMode="External"/><Relationship Id="rId210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26" Type="http://schemas.openxmlformats.org/officeDocument/2006/relationships/hyperlink" Target="https://www.fangraphs.com/leaders/major-league?pos=all&amp;lg=all&amp;qual=10&amp;type=1&amp;month=3&amp;ind=0&amp;team=26&amp;rost=0&amp;age=0&amp;filter=&amp;players=0&amp;startdate=&amp;enddate=&amp;page=1_500&amp;season1=2025&amp;season=2025&amp;pageitems=2000000000&amp;stats=rel" TargetMode="External"/><Relationship Id="rId231" Type="http://schemas.openxmlformats.org/officeDocument/2006/relationships/hyperlink" Target="https://www.fangraphs.com/players/jordan-leasure/29950/stats?position=P" TargetMode="External"/><Relationship Id="rId252" Type="http://schemas.openxmlformats.org/officeDocument/2006/relationships/hyperlink" Target="https://www.fangraphs.com/players/fernando-cruz/7048/stats?position=P" TargetMode="External"/><Relationship Id="rId273" Type="http://schemas.openxmlformats.org/officeDocument/2006/relationships/hyperlink" Target="https://www.fangraphs.com/leaders/major-league?pos=all&amp;lg=all&amp;qual=10&amp;type=1&amp;month=3&amp;ind=0&amp;team=21&amp;rost=0&amp;age=0&amp;filter=&amp;players=0&amp;startdate=&amp;enddate=&amp;page=1_500&amp;season1=2025&amp;season=2025&amp;pageitems=2000000000&amp;stats=rel" TargetMode="External"/><Relationship Id="rId294" Type="http://schemas.openxmlformats.org/officeDocument/2006/relationships/hyperlink" Target="https://www.fangraphs.com/players/danny-coulombe/13293/stats?position=P" TargetMode="External"/><Relationship Id="rId47" Type="http://schemas.openxmlformats.org/officeDocument/2006/relationships/hyperlink" Target="https://www.fangraphs.com/players/eduard-bazardo/20997/stats?position=P" TargetMode="External"/><Relationship Id="rId68" Type="http://schemas.openxmlformats.org/officeDocument/2006/relationships/hyperlink" Target="https://www.fangraphs.com/leaders/major-league?pos=all&amp;lg=all&amp;qual=10&amp;type=1&amp;month=3&amp;ind=0&amp;team=2&amp;rost=0&amp;age=0&amp;filter=&amp;players=0&amp;startdate=&amp;enddate=&amp;page=1_500&amp;season1=2025&amp;season=2025&amp;pageitems=2000000000&amp;stats=rel" TargetMode="External"/><Relationship Id="rId89" Type="http://schemas.openxmlformats.org/officeDocument/2006/relationships/hyperlink" Target="https://www.fangraphs.com/players/jakob-junis/13619/stats?position=P" TargetMode="External"/><Relationship Id="rId112" Type="http://schemas.openxmlformats.org/officeDocument/2006/relationships/hyperlink" Target="https://www.fangraphs.com/leaders/major-league?pos=all&amp;lg=all&amp;qual=10&amp;type=1&amp;month=3&amp;ind=0&amp;team=18&amp;rost=0&amp;age=0&amp;filter=&amp;players=0&amp;startdate=&amp;enddate=&amp;page=1_500&amp;season1=2025&amp;season=2025&amp;pageitems=2000000000&amp;stats=rel" TargetMode="External"/><Relationship Id="rId133" Type="http://schemas.openxmlformats.org/officeDocument/2006/relationships/hyperlink" Target="https://www.fangraphs.com/players/jose-a-ferrer/24017/stats?position=P" TargetMode="External"/><Relationship Id="rId154" Type="http://schemas.openxmlformats.org/officeDocument/2006/relationships/hyperlink" Target="https://www.fangraphs.com/leaders/major-league?pos=all&amp;lg=all&amp;qual=10&amp;type=1&amp;month=3&amp;ind=0&amp;team=18&amp;rost=0&amp;age=0&amp;filter=&amp;players=0&amp;startdate=&amp;enddate=&amp;page=1_500&amp;season1=2025&amp;season=2025&amp;pageitems=2000000000&amp;stats=rel" TargetMode="External"/><Relationship Id="rId175" Type="http://schemas.openxmlformats.org/officeDocument/2006/relationships/hyperlink" Target="https://www.fangraphs.com/players/jose-butto/23313/stats?position=P" TargetMode="External"/><Relationship Id="rId196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200" Type="http://schemas.openxmlformats.org/officeDocument/2006/relationships/hyperlink" Target="https://www.fangraphs.com/leaders/major-league?pos=all&amp;lg=all&amp;qual=10&amp;type=1&amp;month=3&amp;ind=0&amp;team=23&amp;rost=0&amp;age=0&amp;filter=&amp;players=0&amp;startdate=&amp;enddate=&amp;page=1_500&amp;season1=2025&amp;season=2025&amp;pageitems=2000000000&amp;stats=rel" TargetMode="External"/><Relationship Id="rId16" Type="http://schemas.openxmlformats.org/officeDocument/2006/relationships/hyperlink" Target="https://www.fangraphs.com/leaders/major-league?pos=all&amp;lg=all&amp;qual=10&amp;type=1&amp;month=3&amp;ind=0&amp;team=17&amp;rost=0&amp;age=0&amp;filter=&amp;players=0&amp;startdate=&amp;enddate=&amp;page=1_500&amp;season1=2025&amp;season=2025&amp;pageitems=2000000000&amp;stats=rel" TargetMode="External"/><Relationship Id="rId221" Type="http://schemas.openxmlformats.org/officeDocument/2006/relationships/hyperlink" Target="https://www.fangraphs.com/players/robert-garcia/23363/stats?position=P" TargetMode="External"/><Relationship Id="rId242" Type="http://schemas.openxmlformats.org/officeDocument/2006/relationships/hyperlink" Target="https://www.fangraphs.com/players/raisel-iglesias/17130/stats?position=P" TargetMode="External"/><Relationship Id="rId263" Type="http://schemas.openxmlformats.org/officeDocument/2006/relationships/hyperlink" Target="https://www.fangraphs.com/leaders/major-league?pos=all&amp;lg=all&amp;qual=10&amp;type=1&amp;month=3&amp;ind=0&amp;team=30&amp;rost=0&amp;age=0&amp;filter=&amp;players=0&amp;startdate=&amp;enddate=&amp;page=1_500&amp;season1=2025&amp;season=2025&amp;pageitems=2000000000&amp;stats=rel" TargetMode="External"/><Relationship Id="rId284" Type="http://schemas.openxmlformats.org/officeDocument/2006/relationships/hyperlink" Target="https://www.fangraphs.com/players/garrett-cleavinger/17897/stats?position=P" TargetMode="External"/><Relationship Id="rId37" Type="http://schemas.openxmlformats.org/officeDocument/2006/relationships/hyperlink" Target="https://www.fangraphs.com/players/jorge-lopez/14527/stats?position=P" TargetMode="External"/><Relationship Id="rId58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79" Type="http://schemas.openxmlformats.org/officeDocument/2006/relationships/hyperlink" Target="https://www.fangraphs.com/players/julian-merryweather/16703/stats?position=P" TargetMode="External"/><Relationship Id="rId102" Type="http://schemas.openxmlformats.org/officeDocument/2006/relationships/hyperlink" Target="https://www.fangraphs.com/leaders/major-league?pos=all&amp;lg=all&amp;qual=10&amp;type=1&amp;month=3&amp;ind=0&amp;team=6&amp;rost=0&amp;age=0&amp;filter=&amp;players=0&amp;startdate=&amp;enddate=&amp;page=1_500&amp;season1=2025&amp;season=2025&amp;pageitems=2000000000&amp;stats=rel" TargetMode="External"/><Relationship Id="rId123" Type="http://schemas.openxmlformats.org/officeDocument/2006/relationships/hyperlink" Target="https://www.fangraphs.com/players/daniel-palencia/27914/stats?position=P" TargetMode="External"/><Relationship Id="rId144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90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165" Type="http://schemas.openxmlformats.org/officeDocument/2006/relationships/hyperlink" Target="https://www.fangraphs.com/players/angel-chivilli/26790/stats?position=P" TargetMode="External"/><Relationship Id="rId186" Type="http://schemas.openxmlformats.org/officeDocument/2006/relationships/hyperlink" Target="https://www.fangraphs.com/leaders/major-league?pos=all&amp;lg=all&amp;qual=10&amp;type=1&amp;month=3&amp;ind=0&amp;team=29&amp;rost=0&amp;age=0&amp;filter=&amp;players=0&amp;startdate=&amp;enddate=&amp;page=1_500&amp;season1=2025&amp;season=2025&amp;pageitems=2000000000&amp;stats=rel" TargetMode="External"/><Relationship Id="rId211" Type="http://schemas.openxmlformats.org/officeDocument/2006/relationships/hyperlink" Target="https://www.fangraphs.com/players/dylan-lee/19996/stats?position=P" TargetMode="External"/><Relationship Id="rId232" Type="http://schemas.openxmlformats.org/officeDocument/2006/relationships/hyperlink" Target="https://www.fangraphs.com/leaders/major-league?pos=all&amp;lg=all&amp;qual=10&amp;type=1&amp;month=3&amp;ind=0&amp;team=4&amp;rost=0&amp;age=0&amp;filter=&amp;players=0&amp;startdate=&amp;enddate=&amp;page=1_500&amp;season1=2025&amp;season=2025&amp;pageitems=2000000000&amp;stats=rel" TargetMode="External"/><Relationship Id="rId253" Type="http://schemas.openxmlformats.org/officeDocument/2006/relationships/hyperlink" Target="https://www.fangraphs.com/leaders/major-league?pos=all&amp;lg=all&amp;qual=10&amp;type=1&amp;month=3&amp;ind=0&amp;team=9&amp;rost=0&amp;age=0&amp;filter=&amp;players=0&amp;startdate=&amp;enddate=&amp;page=1_500&amp;season1=2025&amp;season=2025&amp;pageitems=2000000000&amp;stats=rel" TargetMode="External"/><Relationship Id="rId274" Type="http://schemas.openxmlformats.org/officeDocument/2006/relationships/hyperlink" Target="https://www.fangraphs.com/players/alex-vesia/25007/stats?position=P" TargetMode="External"/><Relationship Id="rId295" Type="http://schemas.openxmlformats.org/officeDocument/2006/relationships/hyperlink" Target="https://www.fangraphs.com/leaders/major-league?pos=all&amp;lg=all&amp;qual=10&amp;type=1&amp;month=3&amp;ind=0&amp;team=8&amp;rost=0&amp;age=0&amp;filter=&amp;players=0&amp;startdate=&amp;enddate=&amp;page=1_500&amp;season1=2025&amp;season=2025&amp;pageitems=2000000000&amp;stats=rel" TargetMode="External"/><Relationship Id="rId27" Type="http://schemas.openxmlformats.org/officeDocument/2006/relationships/hyperlink" Target="https://www.fangraphs.com/players/carlos-vargas/22915/stats?position=P" TargetMode="External"/><Relationship Id="rId48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69" Type="http://schemas.openxmlformats.org/officeDocument/2006/relationships/hyperlink" Target="https://www.fangraphs.com/players/zachary-agnos/31552/stats?position=P" TargetMode="External"/><Relationship Id="rId113" Type="http://schemas.openxmlformats.org/officeDocument/2006/relationships/hyperlink" Target="https://www.fangraphs.com/players/luke-weaver/16918/stats?position=P" TargetMode="External"/><Relationship Id="rId134" Type="http://schemas.openxmlformats.org/officeDocument/2006/relationships/hyperlink" Target="https://www.fangraphs.com/leaders/major-league?pos=all&amp;lg=all&amp;qual=10&amp;type=1&amp;month=3&amp;ind=0&amp;team=24&amp;rost=0&amp;age=0&amp;filter=&amp;players=0&amp;startdate=&amp;enddate=&amp;page=1_500&amp;season1=2025&amp;season=2025&amp;pageitems=2000000000&amp;stats=rel" TargetMode="External"/><Relationship Id="rId80" Type="http://schemas.openxmlformats.org/officeDocument/2006/relationships/hyperlink" Target="https://www.fangraphs.com/leaders/major-league?pos=all&amp;lg=all&amp;qual=10&amp;type=1&amp;month=3&amp;ind=0&amp;team=17&amp;rost=0&amp;age=0&amp;filter=&amp;players=0&amp;startdate=&amp;enddate=&amp;page=1_500&amp;season1=2025&amp;season=2025&amp;pageitems=2000000000&amp;stats=rel" TargetMode="External"/><Relationship Id="rId155" Type="http://schemas.openxmlformats.org/officeDocument/2006/relationships/hyperlink" Target="https://www.fangraphs.com/players/mason-englert/22288/stats?position=P" TargetMode="External"/><Relationship Id="rId176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197" Type="http://schemas.openxmlformats.org/officeDocument/2006/relationships/hyperlink" Target="https://www.fangraphs.com/players/hoby-milner/13346/stats?position=P" TargetMode="External"/><Relationship Id="rId201" Type="http://schemas.openxmlformats.org/officeDocument/2006/relationships/hyperlink" Target="https://www.fangraphs.com/players/brandon-eisert/27668/stats?position=P" TargetMode="External"/><Relationship Id="rId222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243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264" Type="http://schemas.openxmlformats.org/officeDocument/2006/relationships/hyperlink" Target="https://www.fangraphs.com/players/edwin-diaz/14710/stats?position=P" TargetMode="External"/><Relationship Id="rId285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17" Type="http://schemas.openxmlformats.org/officeDocument/2006/relationships/hyperlink" Target="https://www.fangraphs.com/players/kolby-allard/18694/stats?position=P" TargetMode="External"/><Relationship Id="rId38" Type="http://schemas.openxmlformats.org/officeDocument/2006/relationships/hyperlink" Target="https://www.fangraphs.com/leaders/major-league?pos=all&amp;lg=all&amp;qual=10&amp;type=1&amp;month=3&amp;ind=0&amp;team=24&amp;rost=0&amp;age=0&amp;filter=&amp;players=0&amp;startdate=&amp;enddate=&amp;page=1_500&amp;season1=2025&amp;season=2025&amp;pageitems=2000000000&amp;stats=rel" TargetMode="External"/><Relationship Id="rId59" Type="http://schemas.openxmlformats.org/officeDocument/2006/relationships/hyperlink" Target="https://www.fangraphs.com/players/shawn-armstrong/12857/stats?position=P" TargetMode="External"/><Relationship Id="rId103" Type="http://schemas.openxmlformats.org/officeDocument/2006/relationships/hyperlink" Target="https://www.fangraphs.com/players/tony-santillan/19926/stats?position=P" TargetMode="External"/><Relationship Id="rId124" Type="http://schemas.openxmlformats.org/officeDocument/2006/relationships/hyperlink" Target="https://www.fangraphs.com/leaders/major-league?pos=all&amp;lg=all&amp;qual=10&amp;type=1&amp;month=3&amp;ind=0&amp;team=17&amp;rost=0&amp;age=0&amp;filter=&amp;players=0&amp;startdate=&amp;enddate=&amp;page=1_500&amp;season1=2025&amp;season=2025&amp;pageitems=2000000000&amp;stats=rel" TargetMode="External"/><Relationship Id="rId70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91" Type="http://schemas.openxmlformats.org/officeDocument/2006/relationships/hyperlink" Target="https://www.fangraphs.com/players/kyle-leahy/24763/stats?position=P" TargetMode="External"/><Relationship Id="rId145" Type="http://schemas.openxmlformats.org/officeDocument/2006/relationships/hyperlink" Target="https://www.fangraphs.com/players/chad-green/15552/stats?position=P" TargetMode="External"/><Relationship Id="rId166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187" Type="http://schemas.openxmlformats.org/officeDocument/2006/relationships/hyperlink" Target="https://www.fangraphs.com/players/brennan-bernardino/16835/stats?position=P" TargetMode="External"/><Relationship Id="rId1" Type="http://schemas.openxmlformats.org/officeDocument/2006/relationships/hyperlink" Target="https://www.fangraphs.com/players/daysbel-hernandez/20271/stats?position=P" TargetMode="External"/><Relationship Id="rId212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233" Type="http://schemas.openxmlformats.org/officeDocument/2006/relationships/hyperlink" Target="https://www.fangraphs.com/players/ryne-nelson/26253/stats?position=P" TargetMode="External"/><Relationship Id="rId254" Type="http://schemas.openxmlformats.org/officeDocument/2006/relationships/hyperlink" Target="https://www.fangraphs.com/players/nick-mears/25376/stats?position=P" TargetMode="External"/><Relationship Id="rId28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49" Type="http://schemas.openxmlformats.org/officeDocument/2006/relationships/hyperlink" Target="https://www.fangraphs.com/players/joey-wentz/19962/stats?position=P" TargetMode="External"/><Relationship Id="rId114" Type="http://schemas.openxmlformats.org/officeDocument/2006/relationships/hyperlink" Target="https://www.fangraphs.com/leaders/major-league?pos=all&amp;lg=all&amp;qual=10&amp;type=1&amp;month=3&amp;ind=0&amp;team=9&amp;rost=0&amp;age=0&amp;filter=&amp;players=0&amp;startdate=&amp;enddate=&amp;page=1_500&amp;season1=2025&amp;season=2025&amp;pageitems=2000000000&amp;stats=rel" TargetMode="External"/><Relationship Id="rId275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60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81" Type="http://schemas.openxmlformats.org/officeDocument/2006/relationships/hyperlink" Target="https://www.fangraphs.com/players/caleb-ferguson/19349/stats?position=P" TargetMode="External"/><Relationship Id="rId135" Type="http://schemas.openxmlformats.org/officeDocument/2006/relationships/hyperlink" Target="https://www.fangraphs.com/players/luis-garcia/6984/stats?position=P" TargetMode="External"/><Relationship Id="rId156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177" Type="http://schemas.openxmlformats.org/officeDocument/2006/relationships/hyperlink" Target="https://www.fangraphs.com/players/emmanuel-clase/21032/stats?position=P" TargetMode="External"/><Relationship Id="rId198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202" Type="http://schemas.openxmlformats.org/officeDocument/2006/relationships/hyperlink" Target="https://www.fangraphs.com/leaders/major-league?pos=all&amp;lg=all&amp;qual=10&amp;type=1&amp;month=3&amp;ind=0&amp;team=4&amp;rost=0&amp;age=0&amp;filter=&amp;players=0&amp;startdate=&amp;enddate=&amp;page=1_500&amp;season1=2025&amp;season=2025&amp;pageitems=2000000000&amp;stats=rel" TargetMode="External"/><Relationship Id="rId223" Type="http://schemas.openxmlformats.org/officeDocument/2006/relationships/hyperlink" Target="https://www.fangraphs.com/players/brendon-little/21574/stats?position=P" TargetMode="External"/><Relationship Id="rId244" Type="http://schemas.openxmlformats.org/officeDocument/2006/relationships/hyperlink" Target="https://www.fangraphs.com/players/emilio-pagan/14771/stats?position=P" TargetMode="External"/><Relationship Id="rId18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39" Type="http://schemas.openxmlformats.org/officeDocument/2006/relationships/hyperlink" Target="https://www.fangraphs.com/players/tyler-ferguson/19481/stats?position=P" TargetMode="External"/><Relationship Id="rId265" Type="http://schemas.openxmlformats.org/officeDocument/2006/relationships/hyperlink" Target="https://www.fangraphs.com/leaders/major-league?pos=all&amp;lg=all&amp;qual=10&amp;type=1&amp;month=3&amp;ind=0&amp;team=25&amp;rost=0&amp;age=0&amp;filter=&amp;players=0&amp;startdate=&amp;enddate=&amp;page=1_500&amp;season1=2025&amp;season=2025&amp;pageitems=2000000000&amp;stats=rel" TargetMode="External"/><Relationship Id="rId286" Type="http://schemas.openxmlformats.org/officeDocument/2006/relationships/hyperlink" Target="https://www.fangraphs.com/players/mason-miller/31757/stats?position=P" TargetMode="External"/><Relationship Id="rId50" Type="http://schemas.openxmlformats.org/officeDocument/2006/relationships/hyperlink" Target="https://www.fangraphs.com/leaders/major-league?pos=all&amp;lg=all&amp;qual=10&amp;type=1&amp;month=3&amp;ind=0&amp;team=27&amp;rost=0&amp;age=0&amp;filter=&amp;players=0&amp;startdate=&amp;enddate=&amp;page=1_500&amp;season1=2025&amp;season=2025&amp;pageitems=2000000000&amp;stats=rel" TargetMode="External"/><Relationship Id="rId104" Type="http://schemas.openxmlformats.org/officeDocument/2006/relationships/hyperlink" Target="https://www.fangraphs.com/leaders/major-league?pos=all&amp;lg=all&amp;qual=10&amp;type=1&amp;month=3&amp;ind=0&amp;team=18&amp;rost=0&amp;age=0&amp;filter=&amp;players=0&amp;startdate=&amp;enddate=&amp;page=1_500&amp;season1=2025&amp;season=2025&amp;pageitems=2000000000&amp;stats=rel" TargetMode="External"/><Relationship Id="rId125" Type="http://schemas.openxmlformats.org/officeDocument/2006/relationships/hyperlink" Target="https://www.fangraphs.com/players/steven-okert/13580/stats?position=P" TargetMode="External"/><Relationship Id="rId146" Type="http://schemas.openxmlformats.org/officeDocument/2006/relationships/hyperlink" Target="https://www.fangraphs.com/leaders/major-league?pos=all&amp;lg=all&amp;qual=10&amp;type=1&amp;month=3&amp;ind=0&amp;team=14&amp;rost=0&amp;age=0&amp;filter=&amp;players=0&amp;startdate=&amp;enddate=&amp;page=1_500&amp;season1=2025&amp;season=2025&amp;pageitems=2000000000&amp;stats=rel" TargetMode="External"/><Relationship Id="rId167" Type="http://schemas.openxmlformats.org/officeDocument/2006/relationships/hyperlink" Target="https://www.fangraphs.com/players/ronny-henriquez/24094/stats?position=P" TargetMode="External"/><Relationship Id="rId188" Type="http://schemas.openxmlformats.org/officeDocument/2006/relationships/hyperlink" Target="https://www.fangraphs.com/leaders/major-league?pos=all&amp;lg=all&amp;qual=10&amp;type=1&amp;month=3&amp;ind=0&amp;team=3&amp;rost=0&amp;age=0&amp;filter=&amp;players=0&amp;startdate=&amp;enddate=&amp;page=1_500&amp;season1=2025&amp;season=2025&amp;pageitems=2000000000&amp;stats=rel" TargetMode="External"/><Relationship Id="rId71" Type="http://schemas.openxmlformats.org/officeDocument/2006/relationships/hyperlink" Target="https://www.fangraphs.com/players/chase-shugart/21544/stats?position=P" TargetMode="External"/><Relationship Id="rId92" Type="http://schemas.openxmlformats.org/officeDocument/2006/relationships/hyperlink" Target="https://www.fangraphs.com/leaders/major-league?pos=all&amp;lg=all&amp;qual=10&amp;type=1&amp;month=3&amp;ind=0&amp;team=28&amp;rost=0&amp;age=0&amp;filter=&amp;players=0&amp;startdate=&amp;enddate=&amp;page=1_500&amp;season1=2025&amp;season=2025&amp;pageitems=2000000000&amp;stats=rel" TargetMode="External"/><Relationship Id="rId213" Type="http://schemas.openxmlformats.org/officeDocument/2006/relationships/hyperlink" Target="https://www.fangraphs.com/players/camilo-doval/21992/stats?position=P" TargetMode="External"/><Relationship Id="rId234" Type="http://schemas.openxmlformats.org/officeDocument/2006/relationships/hyperlink" Target="https://www.fangraphs.com/leaders/major-league?pos=all&amp;lg=all&amp;qual=10&amp;type=1&amp;month=3&amp;ind=0&amp;team=15&amp;rost=0&amp;age=0&amp;filter=&amp;players=0&amp;startdate=&amp;enddate=&amp;page=1_500&amp;season1=2025&amp;season=2025&amp;pageitems=2000000000&amp;stats=rel" TargetMode="External"/><Relationship Id="rId2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29" Type="http://schemas.openxmlformats.org/officeDocument/2006/relationships/hyperlink" Target="https://www.fangraphs.com/players/brock-burke/17968/stats?position=P" TargetMode="External"/><Relationship Id="rId255" Type="http://schemas.openxmlformats.org/officeDocument/2006/relationships/hyperlink" Target="https://www.fangraphs.com/leaders/major-league?pos=all&amp;lg=all&amp;qual=10&amp;type=1&amp;month=3&amp;ind=0&amp;team=23&amp;rost=0&amp;age=0&amp;filter=&amp;players=0&amp;startdate=&amp;enddate=&amp;page=1_500&amp;season1=2025&amp;season=2025&amp;pageitems=2000000000&amp;stats=rel" TargetMode="External"/><Relationship Id="rId276" Type="http://schemas.openxmlformats.org/officeDocument/2006/relationships/hyperlink" Target="https://www.fangraphs.com/players/andres-munoz/20373/stats?position=P" TargetMode="External"/><Relationship Id="rId40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115" Type="http://schemas.openxmlformats.org/officeDocument/2006/relationships/hyperlink" Target="https://www.fangraphs.com/players/reid-detmers/27468/stats?position=P" TargetMode="External"/><Relationship Id="rId136" Type="http://schemas.openxmlformats.org/officeDocument/2006/relationships/hyperlink" Target="https://www.fangraphs.com/leaders/major-league?pos=all&amp;lg=all&amp;qual=10&amp;type=1&amp;month=3&amp;ind=0&amp;team=22&amp;rost=0&amp;age=0&amp;filter=&amp;players=0&amp;startdate=&amp;enddate=&amp;page=1_500&amp;season1=2025&amp;season=2025&amp;pageitems=2000000000&amp;stats=rel" TargetMode="External"/><Relationship Id="rId157" Type="http://schemas.openxmlformats.org/officeDocument/2006/relationships/hyperlink" Target="https://www.fangraphs.com/players/robert-suarez/30115/stats?position=P" TargetMode="External"/><Relationship Id="rId178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61" Type="http://schemas.openxmlformats.org/officeDocument/2006/relationships/hyperlink" Target="https://www.fangraphs.com/players/eric-orze/27626/stats?position=P" TargetMode="External"/><Relationship Id="rId82" Type="http://schemas.openxmlformats.org/officeDocument/2006/relationships/hyperlink" Target="https://www.fangraphs.com/leaders/major-league?pos=all&amp;lg=all&amp;qual=10&amp;type=1&amp;month=3&amp;ind=0&amp;team=27&amp;rost=0&amp;age=0&amp;filter=&amp;players=0&amp;startdate=&amp;enddate=&amp;page=1_500&amp;season1=2025&amp;season=2025&amp;pageitems=2000000000&amp;stats=rel" TargetMode="External"/><Relationship Id="rId199" Type="http://schemas.openxmlformats.org/officeDocument/2006/relationships/hyperlink" Target="https://www.fangraphs.com/players/abner-uribe/25327/stats?position=P" TargetMode="External"/><Relationship Id="rId203" Type="http://schemas.openxmlformats.org/officeDocument/2006/relationships/hyperlink" Target="https://www.fangraphs.com/players/chris-martin/11847/stats?position=P" TargetMode="External"/><Relationship Id="rId19" Type="http://schemas.openxmlformats.org/officeDocument/2006/relationships/hyperlink" Target="https://www.fangraphs.com/players/grant-anderson/20546/stats?position=P" TargetMode="External"/><Relationship Id="rId224" Type="http://schemas.openxmlformats.org/officeDocument/2006/relationships/hyperlink" Target="https://www.fangraphs.com/leaders/major-league?pos=all&amp;lg=all&amp;qual=10&amp;type=1&amp;month=3&amp;ind=0&amp;team=14&amp;rost=0&amp;age=0&amp;filter=&amp;players=0&amp;startdate=&amp;enddate=&amp;page=1_500&amp;season1=2025&amp;season=2025&amp;pageitems=2000000000&amp;stats=rel" TargetMode="External"/><Relationship Id="rId245" Type="http://schemas.openxmlformats.org/officeDocument/2006/relationships/hyperlink" Target="https://www.fangraphs.com/leaders/major-league?pos=all&amp;lg=all&amp;qual=10&amp;type=1&amp;month=3&amp;ind=0&amp;team=18&amp;rost=0&amp;age=0&amp;filter=&amp;players=0&amp;startdate=&amp;enddate=&amp;page=1_500&amp;season1=2025&amp;season=2025&amp;pageitems=2000000000&amp;stats=rel" TargetMode="External"/><Relationship Id="rId266" Type="http://schemas.openxmlformats.org/officeDocument/2006/relationships/hyperlink" Target="https://www.fangraphs.com/players/aaron-bummer/16258/stats?position=P" TargetMode="External"/><Relationship Id="rId287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30" Type="http://schemas.openxmlformats.org/officeDocument/2006/relationships/hyperlink" Target="https://www.fangraphs.com/leaders/major-league?pos=all&amp;lg=all&amp;qual=10&amp;type=1&amp;month=3&amp;ind=0&amp;team=1&amp;rost=0&amp;age=0&amp;filter=&amp;players=0&amp;startdate=&amp;enddate=&amp;page=1_500&amp;season1=2025&amp;season=2025&amp;pageitems=2000000000&amp;stats=rel" TargetMode="External"/><Relationship Id="rId105" Type="http://schemas.openxmlformats.org/officeDocument/2006/relationships/hyperlink" Target="https://www.fangraphs.com/players/steven-cruz/23165/stats?position=P" TargetMode="External"/><Relationship Id="rId126" Type="http://schemas.openxmlformats.org/officeDocument/2006/relationships/hyperlink" Target="https://www.fangraphs.com/leaders/major-league?pos=all&amp;lg=all&amp;qual=10&amp;type=1&amp;month=3&amp;ind=0&amp;team=21&amp;rost=0&amp;age=0&amp;filter=&amp;players=0&amp;startdate=&amp;enddate=&amp;page=1_500&amp;season1=2025&amp;season=2025&amp;pageitems=2000000000&amp;stats=rel" TargetMode="External"/><Relationship Id="rId147" Type="http://schemas.openxmlformats.org/officeDocument/2006/relationships/hyperlink" Target="https://www.fangraphs.com/players/hayden-birdsong/31635/stats?position=P" TargetMode="External"/><Relationship Id="rId168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51" Type="http://schemas.openxmlformats.org/officeDocument/2006/relationships/hyperlink" Target="https://www.fangraphs.com/players/jesus-tinoco/16300/stats?position=P" TargetMode="External"/><Relationship Id="rId72" Type="http://schemas.openxmlformats.org/officeDocument/2006/relationships/hyperlink" Target="https://www.fangraphs.com/leaders/major-league?pos=all&amp;lg=all&amp;qual=10&amp;type=1&amp;month=3&amp;ind=0&amp;team=27&amp;rost=0&amp;age=0&amp;filter=&amp;players=0&amp;startdate=&amp;enddate=&amp;page=1_500&amp;season1=2025&amp;season=2025&amp;pageitems=2000000000&amp;stats=rel" TargetMode="External"/><Relationship Id="rId93" Type="http://schemas.openxmlformats.org/officeDocument/2006/relationships/hyperlink" Target="https://www.fangraphs.com/players/anthony-bender/19742/stats?position=P" TargetMode="External"/><Relationship Id="rId189" Type="http://schemas.openxmlformats.org/officeDocument/2006/relationships/hyperlink" Target="https://www.fangraphs.com/players/joey-cantillo/23335/stats?position=P" TargetMode="External"/><Relationship Id="rId3" Type="http://schemas.openxmlformats.org/officeDocument/2006/relationships/hyperlink" Target="https://www.fangraphs.com/players/jimmy-herget/17556/stats?position=P" TargetMode="External"/><Relationship Id="rId214" Type="http://schemas.openxmlformats.org/officeDocument/2006/relationships/hyperlink" Target="https://www.fangraphs.com/leaders/major-league?pos=all&amp;lg=all&amp;qual=10&amp;type=1&amp;month=3&amp;ind=0&amp;team=30&amp;rost=0&amp;age=0&amp;filter=&amp;players=0&amp;startdate=&amp;enddate=&amp;page=1_500&amp;season1=2025&amp;season=2025&amp;pageitems=2000000000&amp;stats=rel" TargetMode="External"/><Relationship Id="rId235" Type="http://schemas.openxmlformats.org/officeDocument/2006/relationships/hyperlink" Target="https://www.fangraphs.com/players/scott-blewett/16427/stats?position=P" TargetMode="External"/><Relationship Id="rId256" Type="http://schemas.openxmlformats.org/officeDocument/2006/relationships/hyperlink" Target="https://www.fangraphs.com/players/cade-smith/27867/stats?position=P" TargetMode="External"/><Relationship Id="rId277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116" Type="http://schemas.openxmlformats.org/officeDocument/2006/relationships/hyperlink" Target="https://www.fangraphs.com/leaders/major-league?pos=all&amp;lg=all&amp;qual=10&amp;type=1&amp;month=3&amp;ind=0&amp;team=1&amp;rost=0&amp;age=0&amp;filter=&amp;players=0&amp;startdate=&amp;enddate=&amp;page=1_500&amp;season1=2025&amp;season=2025&amp;pageitems=2000000000&amp;stats=rel" TargetMode="External"/><Relationship Id="rId137" Type="http://schemas.openxmlformats.org/officeDocument/2006/relationships/hyperlink" Target="https://www.fangraphs.com/players/spencer-bivens/30226/stats?position=P" TargetMode="External"/><Relationship Id="rId158" Type="http://schemas.openxmlformats.org/officeDocument/2006/relationships/hyperlink" Target="https://www.fangraphs.com/leaders/major-league?pos=all&amp;lg=all&amp;qual=10&amp;type=1&amp;month=3&amp;ind=0&amp;team=29&amp;rost=0&amp;age=0&amp;filter=&amp;players=0&amp;startdate=&amp;enddate=&amp;page=1_500&amp;season1=2025&amp;season=2025&amp;pageitems=2000000000&amp;stats=rel" TargetMode="External"/><Relationship Id="rId20" Type="http://schemas.openxmlformats.org/officeDocument/2006/relationships/hyperlink" Target="https://www.fangraphs.com/leaders/major-league?pos=all&amp;lg=all&amp;qual=10&amp;type=1&amp;month=3&amp;ind=0&amp;team=23&amp;rost=0&amp;age=0&amp;filter=&amp;players=0&amp;startdate=&amp;enddate=&amp;page=1_500&amp;season1=2025&amp;season=2025&amp;pageitems=2000000000&amp;stats=rel" TargetMode="External"/><Relationship Id="rId41" Type="http://schemas.openxmlformats.org/officeDocument/2006/relationships/hyperlink" Target="https://www.fangraphs.com/players/daniel-lynch-iv/21537/stats?position=P" TargetMode="External"/><Relationship Id="rId62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83" Type="http://schemas.openxmlformats.org/officeDocument/2006/relationships/hyperlink" Target="https://www.fangraphs.com/players/ryan-yarbrough/16502/stats?position=P" TargetMode="External"/><Relationship Id="rId179" Type="http://schemas.openxmlformats.org/officeDocument/2006/relationships/hyperlink" Target="https://www.fangraphs.com/players/will-vest/19769/stats?position=P" TargetMode="External"/><Relationship Id="rId190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204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225" Type="http://schemas.openxmlformats.org/officeDocument/2006/relationships/hyperlink" Target="https://www.fangraphs.com/players/huascar-brazoban/6107/stats?position=P" TargetMode="External"/><Relationship Id="rId246" Type="http://schemas.openxmlformats.org/officeDocument/2006/relationships/hyperlink" Target="https://www.fangraphs.com/players/gabe-speier/17170/stats?position=P" TargetMode="External"/><Relationship Id="rId267" Type="http://schemas.openxmlformats.org/officeDocument/2006/relationships/hyperlink" Target="https://www.fangraphs.com/leaders/major-league?pos=all&amp;lg=all&amp;qual=10&amp;type=1&amp;month=3&amp;ind=0&amp;team=16&amp;rost=0&amp;age=0&amp;filter=&amp;players=0&amp;startdate=&amp;enddate=&amp;page=1_500&amp;season1=2025&amp;season=2025&amp;pageitems=2000000000&amp;stats=rel" TargetMode="External"/><Relationship Id="rId288" Type="http://schemas.openxmlformats.org/officeDocument/2006/relationships/hyperlink" Target="https://www.fangraphs.com/players/david-bednar/19569/stats?position=P" TargetMode="External"/><Relationship Id="rId106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127" Type="http://schemas.openxmlformats.org/officeDocument/2006/relationships/hyperlink" Target="https://www.fangraphs.com/players/cole-henry/27570/stats?position=P" TargetMode="External"/><Relationship Id="rId10" Type="http://schemas.openxmlformats.org/officeDocument/2006/relationships/hyperlink" Target="https://www.fangraphs.com/leaders/major-league?pos=all&amp;lg=all&amp;qual=10&amp;type=1&amp;month=3&amp;ind=0&amp;team=18&amp;rost=0&amp;age=0&amp;filter=&amp;players=0&amp;startdate=&amp;enddate=&amp;page=1_500&amp;season1=2025&amp;season=2025&amp;pageitems=2000000000&amp;stats=rel" TargetMode="External"/><Relationship Id="rId31" Type="http://schemas.openxmlformats.org/officeDocument/2006/relationships/hyperlink" Target="https://www.fangraphs.com/players/cole-sands/21461/stats?position=P" TargetMode="External"/><Relationship Id="rId52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73" Type="http://schemas.openxmlformats.org/officeDocument/2006/relationships/hyperlink" Target="https://www.fangraphs.com/players/ryne-stanek/15947/stats?position=P" TargetMode="External"/><Relationship Id="rId94" Type="http://schemas.openxmlformats.org/officeDocument/2006/relationships/hyperlink" Target="https://www.fangraphs.com/leaders/major-league?pos=all&amp;lg=all&amp;qual=10&amp;type=1&amp;month=3&amp;ind=0&amp;team=20&amp;rost=0&amp;age=0&amp;filter=&amp;players=0&amp;startdate=&amp;enddate=&amp;page=1_500&amp;season1=2025&amp;season=2025&amp;pageitems=2000000000&amp;stats=rel" TargetMode="External"/><Relationship Id="rId148" Type="http://schemas.openxmlformats.org/officeDocument/2006/relationships/hyperlink" Target="https://www.fangraphs.com/leaders/major-league?pos=all&amp;lg=all&amp;qual=10&amp;type=1&amp;month=3&amp;ind=0&amp;team=30&amp;rost=0&amp;age=0&amp;filter=&amp;players=0&amp;startdate=&amp;enddate=&amp;page=1_500&amp;season1=2025&amp;season=2025&amp;pageitems=2000000000&amp;stats=rel" TargetMode="External"/><Relationship Id="rId169" Type="http://schemas.openxmlformats.org/officeDocument/2006/relationships/hyperlink" Target="https://www.fangraphs.com/players/george-soriano/21863/stats?position=P" TargetMode="External"/><Relationship Id="rId4" Type="http://schemas.openxmlformats.org/officeDocument/2006/relationships/hyperlink" Target="https://www.fangraphs.com/leaders/major-league?pos=all&amp;lg=all&amp;qual=10&amp;type=1&amp;month=3&amp;ind=0&amp;team=19&amp;rost=0&amp;age=0&amp;filter=&amp;players=0&amp;startdate=&amp;enddate=&amp;page=1_500&amp;season1=2025&amp;season=2025&amp;pageitems=2000000000&amp;stats=rel" TargetMode="External"/><Relationship Id="rId180" Type="http://schemas.openxmlformats.org/officeDocument/2006/relationships/hyperlink" Target="https://www.fangraphs.com/leaders/major-league?pos=all&amp;lg=all&amp;qual=10&amp;type=1&amp;month=3&amp;ind=0&amp;team=6&amp;rost=0&amp;age=0&amp;filter=&amp;players=0&amp;startdate=&amp;enddate=&amp;page=1_500&amp;season1=2025&amp;season=2025&amp;pageitems=2000000000&amp;stats=rel" TargetMode="External"/><Relationship Id="rId215" Type="http://schemas.openxmlformats.org/officeDocument/2006/relationships/hyperlink" Target="https://www.fangraphs.com/players/jose-alvarado/17780/stats?position=P" TargetMode="External"/><Relationship Id="rId236" Type="http://schemas.openxmlformats.org/officeDocument/2006/relationships/hyperlink" Target="https://www.fangraphs.com/players/jared-koenig/27517/stats?position=P" TargetMode="External"/><Relationship Id="rId257" Type="http://schemas.openxmlformats.org/officeDocument/2006/relationships/hyperlink" Target="https://www.fangraphs.com/leaders/major-league?pos=all&amp;lg=all&amp;qual=10&amp;type=1&amp;month=3&amp;ind=0&amp;team=5&amp;rost=0&amp;age=0&amp;filter=&amp;players=0&amp;startdate=&amp;enddate=&amp;page=1_500&amp;season1=2025&amp;season=2025&amp;pageitems=2000000000&amp;stats=rel" TargetMode="External"/><Relationship Id="rId278" Type="http://schemas.openxmlformats.org/officeDocument/2006/relationships/hyperlink" Target="https://www.fangraphs.com/players/jeremiah-estrada/22210/stats?position=P" TargetMode="External"/><Relationship Id="rId42" Type="http://schemas.openxmlformats.org/officeDocument/2006/relationships/hyperlink" Target="https://www.fangraphs.com/leaders/major-league?pos=all&amp;lg=all&amp;qual=10&amp;type=1&amp;month=3&amp;ind=0&amp;team=7&amp;rost=0&amp;age=0&amp;filter=&amp;players=0&amp;startdate=&amp;enddate=&amp;page=1_500&amp;season1=2025&amp;season=2025&amp;pageitems=2000000000&amp;stats=rel" TargetMode="External"/><Relationship Id="rId84" Type="http://schemas.openxmlformats.org/officeDocument/2006/relationships/hyperlink" Target="https://www.fangraphs.com/leaders/major-league?pos=all&amp;lg=all&amp;qual=10&amp;type=1&amp;month=3&amp;ind=0&amp;team=9&amp;rost=0&amp;age=0&amp;filter=&amp;players=0&amp;startdate=&amp;enddate=&amp;page=1_500&amp;season1=2025&amp;season=2025&amp;pageitems=2000000000&amp;stats=rel" TargetMode="External"/><Relationship Id="rId138" Type="http://schemas.openxmlformats.org/officeDocument/2006/relationships/hyperlink" Target="https://www.fangraphs.com/leaders/major-league?pos=all&amp;lg=all&amp;qual=10&amp;type=1&amp;month=3&amp;ind=0&amp;team=30&amp;rost=0&amp;age=0&amp;filter=&amp;players=0&amp;startdate=&amp;enddate=&amp;page=1_500&amp;season1=2025&amp;season=2025&amp;pageitems=2000000000&amp;stats=rel" TargetMode="External"/><Relationship Id="rId191" Type="http://schemas.openxmlformats.org/officeDocument/2006/relationships/hyperlink" Target="https://www.fangraphs.com/players/ben-casparius/30085/stats?position=P" TargetMode="External"/><Relationship Id="rId205" Type="http://schemas.openxmlformats.org/officeDocument/2006/relationships/hyperlink" Target="https://www.fangraphs.com/players/manuel-rodriguez/20794/stats?position=P" TargetMode="External"/><Relationship Id="rId247" Type="http://schemas.openxmlformats.org/officeDocument/2006/relationships/hyperlink" Target="https://www.fangraphs.com/leaders/major-league?pos=all&amp;lg=all&amp;qual=10&amp;type=1&amp;month=3&amp;ind=0&amp;team=11&amp;rost=0&amp;age=0&amp;filter=&amp;players=0&amp;startdate=&amp;enddate=&amp;page=1_500&amp;season1=2025&amp;season=2025&amp;pageitems=2000000000&amp;stats=rel" TargetMode="External"/><Relationship Id="rId107" Type="http://schemas.openxmlformats.org/officeDocument/2006/relationships/hyperlink" Target="https://www.fangraphs.com/players/ryan-thompson/16647/stats?position=P" TargetMode="External"/><Relationship Id="rId289" Type="http://schemas.openxmlformats.org/officeDocument/2006/relationships/hyperlink" Target="https://www.fangraphs.com/leaders/major-league?pos=all&amp;lg=all&amp;qual=10&amp;type=1&amp;month=3&amp;ind=0&amp;team=27&amp;rost=0&amp;age=0&amp;filter=&amp;players=0&amp;startdate=&amp;enddate=&amp;page=1_500&amp;season1=2025&amp;season=2025&amp;pageitems=2000000000&amp;stats=rel" TargetMode="External"/><Relationship Id="rId11" Type="http://schemas.openxmlformats.org/officeDocument/2006/relationships/hyperlink" Target="https://www.fangraphs.com/players/mike-vasil/30105/stats?position=P" TargetMode="External"/><Relationship Id="rId53" Type="http://schemas.openxmlformats.org/officeDocument/2006/relationships/hyperlink" Target="https://www.fangraphs.com/players/steven-wilson/20353/stats?position=P" TargetMode="External"/><Relationship Id="rId149" Type="http://schemas.openxmlformats.org/officeDocument/2006/relationships/hyperlink" Target="https://www.fangraphs.com/players/brad-keller/15734/stats?position=P" TargetMode="External"/><Relationship Id="rId95" Type="http://schemas.openxmlformats.org/officeDocument/2006/relationships/hyperlink" Target="https://www.fangraphs.com/players/orion-kerkering/31776/stats?position=P" TargetMode="External"/><Relationship Id="rId160" Type="http://schemas.openxmlformats.org/officeDocument/2006/relationships/hyperlink" Target="https://www.fangraphs.com/leaders/major-league?pos=all&amp;lg=all&amp;qual=10&amp;type=1&amp;month=3&amp;ind=0&amp;team=12&amp;rost=0&amp;age=0&amp;filter=&amp;players=0&amp;startdate=&amp;enddate=&amp;page=1_500&amp;season1=2025&amp;season=2025&amp;pageitems=2000000000&amp;stats=rel" TargetMode="External"/><Relationship Id="rId216" Type="http://schemas.openxmlformats.org/officeDocument/2006/relationships/hyperlink" Target="https://www.fangraphs.com/leaders/major-league?pos=all&amp;lg=all&amp;qual=10&amp;type=1&amp;month=3&amp;ind=0&amp;team=26&amp;rost=0&amp;age=0&amp;filter=&amp;players=0&amp;startdate=&amp;enddate=&amp;page=1_500&amp;season1=2025&amp;season=2025&amp;pageitems=2000000000&amp;stats=rel" TargetMode="External"/><Relationship Id="rId258" Type="http://schemas.openxmlformats.org/officeDocument/2006/relationships/hyperlink" Target="https://www.fangraphs.com/players/kirby-yates/9073/stats?position=P" TargetMode="External"/><Relationship Id="rId22" Type="http://schemas.openxmlformats.org/officeDocument/2006/relationships/hyperlink" Target="https://www.fangraphs.com/leaders/major-league?pos=all&amp;lg=all&amp;qual=10&amp;type=1&amp;month=3&amp;ind=0&amp;team=9&amp;rost=0&amp;age=0&amp;filter=&amp;players=0&amp;startdate=&amp;enddate=&amp;page=1_500&amp;season1=2025&amp;season=2025&amp;pageitems=2000000000&amp;stats=rel" TargetMode="External"/><Relationship Id="rId64" Type="http://schemas.openxmlformats.org/officeDocument/2006/relationships/hyperlink" Target="https://www.fangraphs.com/leaders/major-league?pos=all&amp;lg=all&amp;qual=10&amp;type=1&amp;month=3&amp;ind=0&amp;team=13&amp;rost=0&amp;age=0&amp;filter=&amp;players=0&amp;startdate=&amp;enddate=&amp;page=1_500&amp;season1=2025&amp;season=2025&amp;pageitems=2000000000&amp;stats=rel" TargetMode="External"/><Relationship Id="rId118" Type="http://schemas.openxmlformats.org/officeDocument/2006/relationships/hyperlink" Target="https://www.fangraphs.com/leaders/major-league?pos=all&amp;lg=all&amp;qual=10&amp;type=1&amp;month=3&amp;ind=0&amp;team=10&amp;rost=0&amp;age=0&amp;filter=&amp;players=0&amp;startdate=&amp;enddate=&amp;page=1_500&amp;season1=2025&amp;season=2025&amp;pageitems=2000000000&amp;stats=rel" TargetMode="External"/><Relationship Id="rId171" Type="http://schemas.openxmlformats.org/officeDocument/2006/relationships/hyperlink" Target="https://www.fangraphs.com/players/cionel-perez/19614/stats?position=P" TargetMode="External"/><Relationship Id="rId227" Type="http://schemas.openxmlformats.org/officeDocument/2006/relationships/hyperlink" Target="https://www.fangraphs.com/players/shelby-miller/10197/stats?position=P" TargetMode="External"/><Relationship Id="rId269" Type="http://schemas.openxmlformats.org/officeDocument/2006/relationships/hyperlink" Target="https://www.fangraphs.com/leaders/major-league?pos=all&amp;lg=all&amp;qual=10&amp;type=1&amp;month=3&amp;ind=0&amp;team=8&amp;rost=0&amp;age=0&amp;filter=&amp;players=0&amp;startdate=&amp;enddate=&amp;page=1_500&amp;season1=2025&amp;season=2025&amp;pageitems=2000000000&amp;stats=rel" TargetMode="External"/></Relationships>
</file>

<file path=xl/worksheets/_rels/sheet4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299" Type="http://schemas.openxmlformats.org/officeDocument/2006/relationships/hyperlink" Target="https://www.fangraphs.com/players/brandon-woodruff/16162/stats?position=P" TargetMode="External"/><Relationship Id="rId21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TargetMode="External"/><Relationship Id="rId63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159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324" Type="http://schemas.openxmlformats.org/officeDocument/2006/relationships/hyperlink" Target="https://www.fangraphs.com/players/bryan-woo/30279/stats?position=P" TargetMode="External"/><Relationship Id="rId170" Type="http://schemas.openxmlformats.org/officeDocument/2006/relationships/hyperlink" Target="https://www.fangraphs.com/players/merrill-kelly/11156/stats?position=P" TargetMode="External"/><Relationship Id="rId226" Type="http://schemas.openxmlformats.org/officeDocument/2006/relationships/hyperlink" Target="https://www.fangraphs.com/players/tyler-glasnow/14374/stats?position=P" TargetMode="External"/><Relationship Id="rId268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TargetMode="External"/><Relationship Id="rId32" Type="http://schemas.openxmlformats.org/officeDocument/2006/relationships/hyperlink" Target="https://www.fangraphs.com/players/jake-irvin/21504/stats?position=P" TargetMode="External"/><Relationship Id="rId74" Type="http://schemas.openxmlformats.org/officeDocument/2006/relationships/hyperlink" Target="https://www.fangraphs.com/players/chase-dollander/33482/stats?position=P" TargetMode="External"/><Relationship Id="rId128" Type="http://schemas.openxmlformats.org/officeDocument/2006/relationships/hyperlink" Target="https://www.fangraphs.com/players/robbie-ray/11486/stats?position=P" TargetMode="External"/><Relationship Id="rId5" Type="http://schemas.openxmlformats.org/officeDocument/2006/relationships/hyperlink" Target="https://www.fangraphs.com/players/german-marquez/15038/stats?position=P" TargetMode="External"/><Relationship Id="rId181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TargetMode="External"/><Relationship Id="rId237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279" Type="http://schemas.openxmlformats.org/officeDocument/2006/relationships/hyperlink" Target="https://www.fangraphs.com/players/jacob-degrom/10954/stats?position=P" TargetMode="External"/><Relationship Id="rId43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TargetMode="External"/><Relationship Id="rId139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TargetMode="External"/><Relationship Id="rId290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TargetMode="External"/><Relationship Id="rId304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85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TargetMode="External"/><Relationship Id="rId150" Type="http://schemas.openxmlformats.org/officeDocument/2006/relationships/hyperlink" Target="https://www.fangraphs.com/players/kyle-freeland/16256/stats?position=P" TargetMode="External"/><Relationship Id="rId192" Type="http://schemas.openxmlformats.org/officeDocument/2006/relationships/hyperlink" Target="https://www.fangraphs.com/players/quinn-priester/25977/stats?position=P" TargetMode="External"/><Relationship Id="rId206" Type="http://schemas.openxmlformats.org/officeDocument/2006/relationships/hyperlink" Target="https://www.fangraphs.com/players/tyler-wells/20000/stats?position=P" TargetMode="External"/><Relationship Id="rId248" Type="http://schemas.openxmlformats.org/officeDocument/2006/relationships/hyperlink" Target="https://www.fangraphs.com/players/trevor-rogers/22286/stats?position=P" TargetMode="External"/><Relationship Id="rId12" Type="http://schemas.openxmlformats.org/officeDocument/2006/relationships/hyperlink" Target="https://www.fangraphs.com/players/chris-paddack/20099/stats?position=P" TargetMode="External"/><Relationship Id="rId108" Type="http://schemas.openxmlformats.org/officeDocument/2006/relationships/hyperlink" Target="https://www.fangraphs.com/players/tomoyuki-sugano/35321/stats?position=P" TargetMode="External"/><Relationship Id="rId315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TargetMode="External"/><Relationship Id="rId54" Type="http://schemas.openxmlformats.org/officeDocument/2006/relationships/hyperlink" Target="https://www.fangraphs.com/players/logan-allen/27589/stats?position=P" TargetMode="External"/><Relationship Id="rId96" Type="http://schemas.openxmlformats.org/officeDocument/2006/relationships/hyperlink" Target="https://www.fangraphs.com/players/nick-martinez/12730/stats?position=P" TargetMode="External"/><Relationship Id="rId161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217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259" Type="http://schemas.openxmlformats.org/officeDocument/2006/relationships/hyperlink" Target="https://www.fangraphs.com/players/casey-mize/20492/stats?position=P" TargetMode="External"/><Relationship Id="rId23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TargetMode="External"/><Relationship Id="rId119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270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TargetMode="External"/><Relationship Id="rId326" Type="http://schemas.openxmlformats.org/officeDocument/2006/relationships/hyperlink" Target="https://www.fangraphs.com/players/garrett-crochet/27463/stats?position=P" TargetMode="External"/><Relationship Id="rId65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130" Type="http://schemas.openxmlformats.org/officeDocument/2006/relationships/hyperlink" Target="https://www.fangraphs.com/players/cade-povich/30055/stats?position=P" TargetMode="External"/><Relationship Id="rId172" Type="http://schemas.openxmlformats.org/officeDocument/2006/relationships/hyperlink" Target="https://www.fangraphs.com/players/ryan-pepiot/26221/stats?position=P" TargetMode="External"/><Relationship Id="rId228" Type="http://schemas.openxmlformats.org/officeDocument/2006/relationships/hyperlink" Target="https://www.fangraphs.com/players/dylan-cease/18525/stats?position=P" TargetMode="External"/><Relationship Id="rId281" Type="http://schemas.openxmlformats.org/officeDocument/2006/relationships/hyperlink" Target="https://www.fangraphs.com/players/cameron-schlittler/32095/stats?position=P" TargetMode="External"/><Relationship Id="rId34" Type="http://schemas.openxmlformats.org/officeDocument/2006/relationships/hyperlink" Target="https://www.fangraphs.com/players/andre-pallante/26108/stats?position=P" TargetMode="External"/><Relationship Id="rId76" Type="http://schemas.openxmlformats.org/officeDocument/2006/relationships/hyperlink" Target="https://www.fangraphs.com/players/jeffrey-springs/17677/stats?position=P" TargetMode="External"/><Relationship Id="rId141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7" Type="http://schemas.openxmlformats.org/officeDocument/2006/relationships/hyperlink" Target="https://www.fangraphs.com/players/walker-buehler/19374/stats?position=P" TargetMode="External"/><Relationship Id="rId183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239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TargetMode="External"/><Relationship Id="rId250" Type="http://schemas.openxmlformats.org/officeDocument/2006/relationships/hyperlink" Target="https://www.fangraphs.com/players/eury-perez/27768/stats?position=P" TargetMode="External"/><Relationship Id="rId271" Type="http://schemas.openxmlformats.org/officeDocument/2006/relationships/hyperlink" Target="https://www.fangraphs.com/players/parker-messick/31986/stats?position=P" TargetMode="External"/><Relationship Id="rId292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306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24" Type="http://schemas.openxmlformats.org/officeDocument/2006/relationships/hyperlink" Target="https://www.fangraphs.com/players/nestor-cortes/17874/stats?position=P" TargetMode="External"/><Relationship Id="rId45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66" Type="http://schemas.openxmlformats.org/officeDocument/2006/relationships/hyperlink" Target="https://www.fangraphs.com/players/noah-cameron/30184/stats?position=P" TargetMode="External"/><Relationship Id="rId87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110" Type="http://schemas.openxmlformats.org/officeDocument/2006/relationships/hyperlink" Target="https://www.fangraphs.com/players/chris-bassitt/12304/stats?position=P" TargetMode="External"/><Relationship Id="rId131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327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TargetMode="External"/><Relationship Id="rId152" Type="http://schemas.openxmlformats.org/officeDocument/2006/relationships/hyperlink" Target="https://www.fangraphs.com/players/aaron-civale/19479/stats?position=P" TargetMode="External"/><Relationship Id="rId173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194" Type="http://schemas.openxmlformats.org/officeDocument/2006/relationships/hyperlink" Target="https://www.fangraphs.com/players/tanner-gordon/27669/stats?position=P" TargetMode="External"/><Relationship Id="rId208" Type="http://schemas.openxmlformats.org/officeDocument/2006/relationships/hyperlink" Target="https://www.fangraphs.com/players/stephen-kolek/21487/stats?position=P" TargetMode="External"/><Relationship Id="rId229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240" Type="http://schemas.openxmlformats.org/officeDocument/2006/relationships/hyperlink" Target="https://www.fangraphs.com/players/hunter-brown/25880/stats?position=P" TargetMode="External"/><Relationship Id="rId261" Type="http://schemas.openxmlformats.org/officeDocument/2006/relationships/hyperlink" Target="https://www.fangraphs.com/players/jacob-misiorowski/31623/stats?position=P" TargetMode="External"/><Relationship Id="rId14" Type="http://schemas.openxmlformats.org/officeDocument/2006/relationships/hyperlink" Target="https://www.fangraphs.com/players/seth-lugo/12447/stats?position=P" TargetMode="External"/><Relationship Id="rId35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TargetMode="External"/><Relationship Id="rId56" Type="http://schemas.openxmlformats.org/officeDocument/2006/relationships/hyperlink" Target="https://www.fangraphs.com/players/johan-oviedo/22487/stats?position=P" TargetMode="External"/><Relationship Id="rId77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100" Type="http://schemas.openxmlformats.org/officeDocument/2006/relationships/hyperlink" Target="https://www.fangraphs.com/players/nabil-crismatt/17732/stats?position=P" TargetMode="External"/><Relationship Id="rId282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TargetMode="External"/><Relationship Id="rId317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TargetMode="External"/><Relationship Id="rId8" Type="http://schemas.openxmlformats.org/officeDocument/2006/relationships/hyperlink" Target="https://www.fangraphs.com/players/tyler-anderson/12880/stats?position=P" TargetMode="External"/><Relationship Id="rId98" Type="http://schemas.openxmlformats.org/officeDocument/2006/relationships/hyperlink" Target="https://www.fangraphs.com/players/dustin-may/19716/stats?position=P" TargetMode="External"/><Relationship Id="rId12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142" Type="http://schemas.openxmlformats.org/officeDocument/2006/relationships/hyperlink" Target="https://www.fangraphs.com/players/zac-gallen/19291/stats?position=P" TargetMode="External"/><Relationship Id="rId163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TargetMode="External"/><Relationship Id="rId184" Type="http://schemas.openxmlformats.org/officeDocument/2006/relationships/hyperlink" Target="https://www.fangraphs.com/players/brandon-pfaadt/27782/stats?position=P" TargetMode="External"/><Relationship Id="rId219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230" Type="http://schemas.openxmlformats.org/officeDocument/2006/relationships/hyperlink" Target="https://www.fangraphs.com/players/randy-vasquez/24719/stats?position=P" TargetMode="External"/><Relationship Id="rId251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TargetMode="External"/><Relationship Id="rId25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46" Type="http://schemas.openxmlformats.org/officeDocument/2006/relationships/hyperlink" Target="https://www.fangraphs.com/players/davis-martin/21448/stats?position=P" TargetMode="External"/><Relationship Id="rId67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272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293" Type="http://schemas.openxmlformats.org/officeDocument/2006/relationships/hyperlink" Target="https://www.fangraphs.com/players/george-kirby/25436/stats?position=P" TargetMode="External"/><Relationship Id="rId307" Type="http://schemas.openxmlformats.org/officeDocument/2006/relationships/hyperlink" Target="https://www.fangraphs.com/players/logan-webb/17995/stats?position=P" TargetMode="External"/><Relationship Id="rId328" Type="http://schemas.openxmlformats.org/officeDocument/2006/relationships/hyperlink" Target="https://www.fangraphs.com/players/chris-sale/10603/stats?position=P" TargetMode="External"/><Relationship Id="rId88" Type="http://schemas.openxmlformats.org/officeDocument/2006/relationships/hyperlink" Target="https://www.fangraphs.com/players/jp-sears/23429/stats?position=P" TargetMode="External"/><Relationship Id="rId111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TargetMode="External"/><Relationship Id="rId132" Type="http://schemas.openxmlformats.org/officeDocument/2006/relationships/hyperlink" Target="https://www.fangraphs.com/players/luis-morales/32227/stats?position=P" TargetMode="External"/><Relationship Id="rId153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174" Type="http://schemas.openxmlformats.org/officeDocument/2006/relationships/hyperlink" Target="https://www.fangraphs.com/players/cade-cavalli/27473/stats?position=P" TargetMode="External"/><Relationship Id="rId195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209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220" Type="http://schemas.openxmlformats.org/officeDocument/2006/relationships/hyperlink" Target="https://www.fangraphs.com/players/gavin-williams/30122/stats?position=P" TargetMode="External"/><Relationship Id="rId241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TargetMode="External"/><Relationship Id="rId15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36" Type="http://schemas.openxmlformats.org/officeDocument/2006/relationships/hyperlink" Target="https://www.fangraphs.com/players/spencer-arrighetti/29921/stats?position=P" TargetMode="External"/><Relationship Id="rId57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TargetMode="External"/><Relationship Id="rId262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TargetMode="External"/><Relationship Id="rId283" Type="http://schemas.openxmlformats.org/officeDocument/2006/relationships/hyperlink" Target="https://www.fangraphs.com/players/jacob-lopez/25098/stats?position=P" TargetMode="External"/><Relationship Id="rId318" Type="http://schemas.openxmlformats.org/officeDocument/2006/relationships/hyperlink" Target="https://www.fangraphs.com/players/emmet-sheehan/29839/stats?position=P" TargetMode="External"/><Relationship Id="rId78" Type="http://schemas.openxmlformats.org/officeDocument/2006/relationships/hyperlink" Target="https://www.fangraphs.com/players/kodai-senga/31838/stats?position=P" TargetMode="External"/><Relationship Id="rId99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TargetMode="External"/><Relationship Id="rId101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TargetMode="External"/><Relationship Id="rId122" Type="http://schemas.openxmlformats.org/officeDocument/2006/relationships/hyperlink" Target="https://www.fangraphs.com/players/will-warren/30182/stats?position=P" TargetMode="External"/><Relationship Id="rId143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TargetMode="External"/><Relationship Id="rId164" Type="http://schemas.openxmlformats.org/officeDocument/2006/relationships/hyperlink" Target="https://www.fangraphs.com/players/nick-pivetta/15454/stats?position=P" TargetMode="External"/><Relationship Id="rId185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TargetMode="External"/><Relationship Id="rId9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210" Type="http://schemas.openxmlformats.org/officeDocument/2006/relationships/hyperlink" Target="https://www.fangraphs.com/players/sean-burke/29878/stats?position=P" TargetMode="External"/><Relationship Id="rId26" Type="http://schemas.openxmlformats.org/officeDocument/2006/relationships/hyperlink" Target="https://www.fangraphs.com/players/adam-mazur/31900/stats?position=P" TargetMode="External"/><Relationship Id="rId231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252" Type="http://schemas.openxmlformats.org/officeDocument/2006/relationships/hyperlink" Target="https://www.fangraphs.com/players/shane-baz/22264/stats?position=P" TargetMode="External"/><Relationship Id="rId273" Type="http://schemas.openxmlformats.org/officeDocument/2006/relationships/hyperlink" Target="https://www.fangraphs.com/players/sonny-gray/12768/stats?position=P" TargetMode="External"/><Relationship Id="rId294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TargetMode="External"/><Relationship Id="rId308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TargetMode="External"/><Relationship Id="rId329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TargetMode="External"/><Relationship Id="rId47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68" Type="http://schemas.openxmlformats.org/officeDocument/2006/relationships/hyperlink" Target="https://www.fangraphs.com/players/clay-holmes/13649/stats?position=P" TargetMode="External"/><Relationship Id="rId89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112" Type="http://schemas.openxmlformats.org/officeDocument/2006/relationships/hyperlink" Target="https://www.fangraphs.com/players/joey-wentz/19962/stats?position=P" TargetMode="External"/><Relationship Id="rId133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154" Type="http://schemas.openxmlformats.org/officeDocument/2006/relationships/hyperlink" Target="https://www.fangraphs.com/players/matthew-boyd/15440/stats?position=P" TargetMode="External"/><Relationship Id="rId175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196" Type="http://schemas.openxmlformats.org/officeDocument/2006/relationships/hyperlink" Target="https://www.fangraphs.com/players/jt-ginn/27889/stats?position=P" TargetMode="External"/><Relationship Id="rId200" Type="http://schemas.openxmlformats.org/officeDocument/2006/relationships/hyperlink" Target="https://www.fangraphs.com/players/jason-alexander/19666/stats?position=P" TargetMode="External"/><Relationship Id="rId16" Type="http://schemas.openxmlformats.org/officeDocument/2006/relationships/hyperlink" Target="https://www.fangraphs.com/players/mccade-brown/30004/stats?position=P" TargetMode="External"/><Relationship Id="rId221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242" Type="http://schemas.openxmlformats.org/officeDocument/2006/relationships/hyperlink" Target="https://www.fangraphs.com/players/brady-singer/25377/stats?position=P" TargetMode="External"/><Relationship Id="rId263" Type="http://schemas.openxmlformats.org/officeDocument/2006/relationships/hyperlink" Target="https://www.fangraphs.com/players/yu-darvish/13074/stats?position=P" TargetMode="External"/><Relationship Id="rId284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319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37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TargetMode="External"/><Relationship Id="rId58" Type="http://schemas.openxmlformats.org/officeDocument/2006/relationships/hyperlink" Target="https://www.fangraphs.com/players/michael-wacha/14078/stats?position=P" TargetMode="External"/><Relationship Id="rId79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102" Type="http://schemas.openxmlformats.org/officeDocument/2006/relationships/hyperlink" Target="https://www.fangraphs.com/players/michael-mcgreevy/29869/stats?position=P" TargetMode="External"/><Relationship Id="rId123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TargetMode="External"/><Relationship Id="rId144" Type="http://schemas.openxmlformats.org/officeDocument/2006/relationships/hyperlink" Target="https://www.fangraphs.com/players/adrian-houser/12718/stats?position=P" TargetMode="External"/><Relationship Id="rId330" Type="http://schemas.openxmlformats.org/officeDocument/2006/relationships/hyperlink" Target="https://www.fangraphs.com/players/shohei-ohtani/19755/stats?position=DH" TargetMode="External"/><Relationship Id="rId90" Type="http://schemas.openxmlformats.org/officeDocument/2006/relationships/hyperlink" Target="https://www.fangraphs.com/players/kyle-hendricks/12049/stats?position=P" TargetMode="External"/><Relationship Id="rId165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186" Type="http://schemas.openxmlformats.org/officeDocument/2006/relationships/hyperlink" Target="https://www.fangraphs.com/players/slade-cecconi/27500/stats?position=P" TargetMode="External"/><Relationship Id="rId211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232" Type="http://schemas.openxmlformats.org/officeDocument/2006/relationships/hyperlink" Target="https://www.fangraphs.com/players/michael-lorenzen/14843/stats?position=P" TargetMode="External"/><Relationship Id="rId253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274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TargetMode="External"/><Relationship Id="rId295" Type="http://schemas.openxmlformats.org/officeDocument/2006/relationships/hyperlink" Target="https://www.fangraphs.com/players/yoshinobu-yamamoto/33825/stats?position=P" TargetMode="External"/><Relationship Id="rId309" Type="http://schemas.openxmlformats.org/officeDocument/2006/relationships/hyperlink" Target="https://www.fangraphs.com/players/freddy-peralta/18679/stats?position=P" TargetMode="External"/><Relationship Id="rId27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TargetMode="External"/><Relationship Id="rId48" Type="http://schemas.openxmlformats.org/officeDocument/2006/relationships/hyperlink" Target="https://www.fangraphs.com/players/spencer-strider/27498/stats?position=P" TargetMode="External"/><Relationship Id="rId69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113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TargetMode="External"/><Relationship Id="rId134" Type="http://schemas.openxmlformats.org/officeDocument/2006/relationships/hyperlink" Target="https://www.fangraphs.com/players/zack-littell/15823/stats?position=P" TargetMode="External"/><Relationship Id="rId320" Type="http://schemas.openxmlformats.org/officeDocument/2006/relationships/hyperlink" Target="https://www.fangraphs.com/players/cristopher-sanchez/20778/stats?position=P" TargetMode="External"/><Relationship Id="rId80" Type="http://schemas.openxmlformats.org/officeDocument/2006/relationships/hyperlink" Target="https://www.fangraphs.com/players/yusei-kikuchi/20633/stats?position=P" TargetMode="External"/><Relationship Id="rId155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176" Type="http://schemas.openxmlformats.org/officeDocument/2006/relationships/hyperlink" Target="https://www.fangraphs.com/players/ryne-nelson/26253/stats?position=P" TargetMode="External"/><Relationship Id="rId197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201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TargetMode="External"/><Relationship Id="rId222" Type="http://schemas.openxmlformats.org/officeDocument/2006/relationships/hyperlink" Target="https://www.fangraphs.com/players/jack-leiter/30146/stats?position=P" TargetMode="External"/><Relationship Id="rId243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264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285" Type="http://schemas.openxmlformats.org/officeDocument/2006/relationships/hyperlink" Target="https://www.fangraphs.com/players/ian-seymour/27932/stats?position=P" TargetMode="External"/><Relationship Id="rId17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38" Type="http://schemas.openxmlformats.org/officeDocument/2006/relationships/hyperlink" Target="https://www.fangraphs.com/players/eduardo-rodriguez/13164/stats?position=P" TargetMode="External"/><Relationship Id="rId59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103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TargetMode="External"/><Relationship Id="rId124" Type="http://schemas.openxmlformats.org/officeDocument/2006/relationships/hyperlink" Target="https://www.fangraphs.com/players/framber-valdez/17295/stats?position=P" TargetMode="External"/><Relationship Id="rId310" Type="http://schemas.openxmlformats.org/officeDocument/2006/relationships/hyperlink" Target="https://www.fangraphs.com/players/hunter-greene/22182/stats?position=P" TargetMode="External"/><Relationship Id="rId70" Type="http://schemas.openxmlformats.org/officeDocument/2006/relationships/hyperlink" Target="https://www.fangraphs.com/players/max-scherzer/3137/stats?position=P" TargetMode="External"/><Relationship Id="rId9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145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166" Type="http://schemas.openxmlformats.org/officeDocument/2006/relationships/hyperlink" Target="https://www.fangraphs.com/players/dean-kremer/19350/stats?position=P" TargetMode="External"/><Relationship Id="rId187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331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1" Type="http://schemas.openxmlformats.org/officeDocument/2006/relationships/hyperlink" Target="https://www.fangraphs.com/leaders/major-league?pos=all&amp;stats=sta&amp;lg=all&amp;ind=0&amp;team=0&amp;rost=0&amp;filter=&amp;players=0&amp;page=1_500&amp;season1=2025&amp;season=2025&amp;pageitems=2000000000&amp;type=1&amp;month=10&amp;qual=40" TargetMode="External"/><Relationship Id="rId212" Type="http://schemas.openxmlformats.org/officeDocument/2006/relationships/hyperlink" Target="https://www.fangraphs.com/players/hurston-waldrep/33527/stats?position=P" TargetMode="External"/><Relationship Id="rId233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254" Type="http://schemas.openxmlformats.org/officeDocument/2006/relationships/hyperlink" Target="https://www.fangraphs.com/players/ranger-suarez/17277/stats?position=P" TargetMode="External"/><Relationship Id="rId28" Type="http://schemas.openxmlformats.org/officeDocument/2006/relationships/hyperlink" Target="https://www.fangraphs.com/players/mitchell-parker/27636/stats?position=P" TargetMode="External"/><Relationship Id="rId49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TargetMode="External"/><Relationship Id="rId114" Type="http://schemas.openxmlformats.org/officeDocument/2006/relationships/hyperlink" Target="https://www.fangraphs.com/players/jameson-taillon/11674/stats?position=P" TargetMode="External"/><Relationship Id="rId275" Type="http://schemas.openxmlformats.org/officeDocument/2006/relationships/hyperlink" Target="https://www.fangraphs.com/players/simeon-woods-richardson/24494/stats?position=P" TargetMode="External"/><Relationship Id="rId296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300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TargetMode="External"/><Relationship Id="rId60" Type="http://schemas.openxmlformats.org/officeDocument/2006/relationships/hyperlink" Target="https://www.fangraphs.com/players/mitch-farris/33628/stats?position=P" TargetMode="External"/><Relationship Id="rId8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135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156" Type="http://schemas.openxmlformats.org/officeDocument/2006/relationships/hyperlink" Target="https://www.fangraphs.com/players/clayton-kershaw/2036/stats?position=P" TargetMode="External"/><Relationship Id="rId177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TargetMode="External"/><Relationship Id="rId198" Type="http://schemas.openxmlformats.org/officeDocument/2006/relationships/hyperlink" Target="https://www.fangraphs.com/players/bryce-elder/27779/stats?position=P" TargetMode="External"/><Relationship Id="rId321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TargetMode="External"/><Relationship Id="rId202" Type="http://schemas.openxmlformats.org/officeDocument/2006/relationships/hyperlink" Target="https://www.fangraphs.com/players/shota-imanaga/33829/stats?position=P" TargetMode="External"/><Relationship Id="rId223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244" Type="http://schemas.openxmlformats.org/officeDocument/2006/relationships/hyperlink" Target="https://www.fangraphs.com/players/luis-castillo/15689/stats?position=P" TargetMode="External"/><Relationship Id="rId18" Type="http://schemas.openxmlformats.org/officeDocument/2006/relationships/hyperlink" Target="https://www.fangraphs.com/players/michael-king/19853/stats?position=P" TargetMode="External"/><Relationship Id="rId39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TargetMode="External"/><Relationship Id="rId265" Type="http://schemas.openxmlformats.org/officeDocument/2006/relationships/hyperlink" Target="https://www.fangraphs.com/players/braxton-ashcraft/23793/stats?position=P" TargetMode="External"/><Relationship Id="rId286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50" Type="http://schemas.openxmlformats.org/officeDocument/2006/relationships/hyperlink" Target="https://www.fangraphs.com/players/matthew-liberatore/22294/stats?position=P" TargetMode="External"/><Relationship Id="rId104" Type="http://schemas.openxmlformats.org/officeDocument/2006/relationships/hyperlink" Target="https://www.fangraphs.com/players/janson-junk/23301/stats?position=P" TargetMode="External"/><Relationship Id="rId125" Type="http://schemas.openxmlformats.org/officeDocument/2006/relationships/hyperlink" Target="https://www.fangraphs.com/players/charlie-morton/4676/stats?position=P" TargetMode="External"/><Relationship Id="rId146" Type="http://schemas.openxmlformats.org/officeDocument/2006/relationships/hyperlink" Target="https://www.fangraphs.com/players/bryce-miller/29837/stats?position=P" TargetMode="External"/><Relationship Id="rId167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188" Type="http://schemas.openxmlformats.org/officeDocument/2006/relationships/hyperlink" Target="https://www.fangraphs.com/players/yoendrys-gomez/22872/stats?position=P" TargetMode="External"/><Relationship Id="rId311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71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TargetMode="External"/><Relationship Id="rId92" Type="http://schemas.openxmlformats.org/officeDocument/2006/relationships/hyperlink" Target="https://www.fangraphs.com/players/ryan-bergert/29863/stats?position=P" TargetMode="External"/><Relationship Id="rId213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TargetMode="External"/><Relationship Id="rId234" Type="http://schemas.openxmlformats.org/officeDocument/2006/relationships/hyperlink" Target="https://www.fangraphs.com/players/aaron-nola/16149/stats?position=P" TargetMode="External"/><Relationship Id="rId2" Type="http://schemas.openxmlformats.org/officeDocument/2006/relationships/hyperlink" Target="https://www.fangraphs.com/players/cal-quantrill/19312/stats?position=P" TargetMode="External"/><Relationship Id="rId29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255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TargetMode="External"/><Relationship Id="rId276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TargetMode="External"/><Relationship Id="rId297" Type="http://schemas.openxmlformats.org/officeDocument/2006/relationships/hyperlink" Target="https://www.fangraphs.com/players/tarik-skubal/22267/stats?position=P" TargetMode="External"/><Relationship Id="rId40" Type="http://schemas.openxmlformats.org/officeDocument/2006/relationships/hyperlink" Target="https://www.fangraphs.com/players/taijuan-walker/11836/stats?position=P" TargetMode="External"/><Relationship Id="rId115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136" Type="http://schemas.openxmlformats.org/officeDocument/2006/relationships/hyperlink" Target="https://www.fangraphs.com/players/david-peterson/20302/stats?position=P" TargetMode="External"/><Relationship Id="rId157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178" Type="http://schemas.openxmlformats.org/officeDocument/2006/relationships/hyperlink" Target="https://www.fangraphs.com/players/justin-verlander/8700/stats?position=P" TargetMode="External"/><Relationship Id="rId301" Type="http://schemas.openxmlformats.org/officeDocument/2006/relationships/hyperlink" Target="https://www.fangraphs.com/players/nolan-mclean/33703/stats?position=P" TargetMode="External"/><Relationship Id="rId322" Type="http://schemas.openxmlformats.org/officeDocument/2006/relationships/hyperlink" Target="https://www.fangraphs.com/players/kyle-bradish/24586/stats?position=P" TargetMode="External"/><Relationship Id="rId6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82" Type="http://schemas.openxmlformats.org/officeDocument/2006/relationships/hyperlink" Target="https://www.fangraphs.com/players/joe-boyle/29608/stats?position=P" TargetMode="External"/><Relationship Id="rId199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TargetMode="External"/><Relationship Id="rId203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19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TargetMode="External"/><Relationship Id="rId224" Type="http://schemas.openxmlformats.org/officeDocument/2006/relationships/hyperlink" Target="https://www.fangraphs.com/players/shane-smith/31687/stats?position=P" TargetMode="External"/><Relationship Id="rId245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TargetMode="External"/><Relationship Id="rId266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TargetMode="External"/><Relationship Id="rId287" Type="http://schemas.openxmlformats.org/officeDocument/2006/relationships/hyperlink" Target="https://www.fangraphs.com/players/kevin-gausman/14107/stats?position=P" TargetMode="External"/><Relationship Id="rId30" Type="http://schemas.openxmlformats.org/officeDocument/2006/relationships/hyperlink" Target="https://www.fangraphs.com/players/mason-barnett/31741/stats?position=P" TargetMode="External"/><Relationship Id="rId105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TargetMode="External"/><Relationship Id="rId126" Type="http://schemas.openxmlformats.org/officeDocument/2006/relationships/hyperlink" Target="https://www.fangraphs.com/players/carlos-rodon/16137/stats?position=P" TargetMode="External"/><Relationship Id="rId147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TargetMode="External"/><Relationship Id="rId168" Type="http://schemas.openxmlformats.org/officeDocument/2006/relationships/hyperlink" Target="https://www.fangraphs.com/players/kai-wei-teng/24282/stats?position=P" TargetMode="External"/><Relationship Id="rId312" Type="http://schemas.openxmlformats.org/officeDocument/2006/relationships/hyperlink" Target="https://www.fangraphs.com/players/nathan-eovaldi/9132/stats?position=P" TargetMode="External"/><Relationship Id="rId51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TargetMode="External"/><Relationship Id="rId72" Type="http://schemas.openxmlformats.org/officeDocument/2006/relationships/hyperlink" Target="https://www.fangraphs.com/players/cristian-javier/17606/stats?position=P" TargetMode="External"/><Relationship Id="rId93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TargetMode="External"/><Relationship Id="rId189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3" Type="http://schemas.openxmlformats.org/officeDocument/2006/relationships/hyperlink" Target="https://www.fangraphs.com/players/bradley-blalock/26419/stats?position=P" TargetMode="External"/><Relationship Id="rId214" Type="http://schemas.openxmlformats.org/officeDocument/2006/relationships/hyperlink" Target="https://www.fangraphs.com/players/jack-flaherty/17479/stats?position=P" TargetMode="External"/><Relationship Id="rId235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TargetMode="External"/><Relationship Id="rId256" Type="http://schemas.openxmlformats.org/officeDocument/2006/relationships/hyperlink" Target="https://www.fangraphs.com/players/mike-burrows/24728/stats?position=P" TargetMode="External"/><Relationship Id="rId277" Type="http://schemas.openxmlformats.org/officeDocument/2006/relationships/hyperlink" Target="https://www.fangraphs.com/players/edward-cabrera/21690/stats?position=P" TargetMode="External"/><Relationship Id="rId298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TargetMode="External"/><Relationship Id="rId116" Type="http://schemas.openxmlformats.org/officeDocument/2006/relationships/hyperlink" Target="https://www.fangraphs.com/players/luis-severino/15890/stats?position=P" TargetMode="External"/><Relationship Id="rId137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158" Type="http://schemas.openxmlformats.org/officeDocument/2006/relationships/hyperlink" Target="https://www.fangraphs.com/players/brandon-sproat/33850/stats?position=P" TargetMode="External"/><Relationship Id="rId302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TargetMode="External"/><Relationship Id="rId323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20" Type="http://schemas.openxmlformats.org/officeDocument/2006/relationships/hyperlink" Target="https://www.fangraphs.com/players/lucas-giolito/15474/stats?position=P" TargetMode="External"/><Relationship Id="rId41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TargetMode="External"/><Relationship Id="rId62" Type="http://schemas.openxmlformats.org/officeDocument/2006/relationships/hyperlink" Target="https://www.fangraphs.com/players/patrick-corbin/9323/stats?position=P" TargetMode="External"/><Relationship Id="rId83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TargetMode="External"/><Relationship Id="rId179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TargetMode="External"/><Relationship Id="rId190" Type="http://schemas.openxmlformats.org/officeDocument/2006/relationships/hyperlink" Target="https://www.fangraphs.com/players/colin-rea/12317/stats?position=P" TargetMode="External"/><Relationship Id="rId204" Type="http://schemas.openxmlformats.org/officeDocument/2006/relationships/hyperlink" Target="https://www.fangraphs.com/players/jose-soriano/22100/stats?position=P" TargetMode="External"/><Relationship Id="rId225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246" Type="http://schemas.openxmlformats.org/officeDocument/2006/relationships/hyperlink" Target="https://www.fangraphs.com/players/sandy-alcantara/18684/stats?position=P" TargetMode="External"/><Relationship Id="rId267" Type="http://schemas.openxmlformats.org/officeDocument/2006/relationships/hyperlink" Target="https://www.fangraphs.com/players/shane-bieber/19427/stats?position=P" TargetMode="External"/><Relationship Id="rId288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TargetMode="External"/><Relationship Id="rId106" Type="http://schemas.openxmlformats.org/officeDocument/2006/relationships/hyperlink" Target="https://www.fangraphs.com/players/jacob-latz/21306/stats?position=P" TargetMode="External"/><Relationship Id="rId127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TargetMode="External"/><Relationship Id="rId313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10" Type="http://schemas.openxmlformats.org/officeDocument/2006/relationships/hyperlink" Target="https://www.fangraphs.com/players/luis-gil/21052/stats?position=P" TargetMode="External"/><Relationship Id="rId31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TargetMode="External"/><Relationship Id="rId52" Type="http://schemas.openxmlformats.org/officeDocument/2006/relationships/hyperlink" Target="https://www.fangraphs.com/players/martin-perez/6902/stats?position=P" TargetMode="External"/><Relationship Id="rId73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TargetMode="External"/><Relationship Id="rId94" Type="http://schemas.openxmlformats.org/officeDocument/2006/relationships/hyperlink" Target="https://www.fangraphs.com/players/jose-berrios/14168/stats?position=P" TargetMode="External"/><Relationship Id="rId148" Type="http://schemas.openxmlformats.org/officeDocument/2006/relationships/hyperlink" Target="https://www.fangraphs.com/players/zebby-matthews/31827/stats?position=P" TargetMode="External"/><Relationship Id="rId169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TargetMode="External"/><Relationship Id="rId4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180" Type="http://schemas.openxmlformats.org/officeDocument/2006/relationships/hyperlink" Target="https://www.fangraphs.com/players/mitch-keller/17594/stats?position=P" TargetMode="External"/><Relationship Id="rId215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TargetMode="External"/><Relationship Id="rId236" Type="http://schemas.openxmlformats.org/officeDocument/2006/relationships/hyperlink" Target="https://www.fangraphs.com/players/cade-horton/31872/stats?position=P" TargetMode="External"/><Relationship Id="rId257" Type="http://schemas.openxmlformats.org/officeDocument/2006/relationships/hyperlink" Target="https://www.fangraphs.com/players/joe-ryan/21390/stats?position=P" TargetMode="External"/><Relationship Id="rId278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TargetMode="External"/><Relationship Id="rId303" Type="http://schemas.openxmlformats.org/officeDocument/2006/relationships/hyperlink" Target="https://www.fangraphs.com/players/nick-lodolo/26378/stats?position=P" TargetMode="External"/><Relationship Id="rId42" Type="http://schemas.openxmlformats.org/officeDocument/2006/relationships/hyperlink" Target="https://www.fangraphs.com/players/jose-quintana/11423/stats?position=P" TargetMode="External"/><Relationship Id="rId84" Type="http://schemas.openxmlformats.org/officeDocument/2006/relationships/hyperlink" Target="https://www.fangraphs.com/players/brayan-bello/23920/stats?position=P" TargetMode="External"/><Relationship Id="rId138" Type="http://schemas.openxmlformats.org/officeDocument/2006/relationships/hyperlink" Target="https://www.fangraphs.com/players/taj-bradley/22543/stats?position=P" TargetMode="External"/><Relationship Id="rId191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TargetMode="External"/><Relationship Id="rId205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TargetMode="External"/><Relationship Id="rId247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TargetMode="External"/><Relationship Id="rId107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289" Type="http://schemas.openxmlformats.org/officeDocument/2006/relationships/hyperlink" Target="https://www.fangraphs.com/players/logan-gilbert/22250/stats?position=P" TargetMode="External"/><Relationship Id="rId11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TargetMode="External"/><Relationship Id="rId53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TargetMode="External"/><Relationship Id="rId149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TargetMode="External"/><Relationship Id="rId314" Type="http://schemas.openxmlformats.org/officeDocument/2006/relationships/hyperlink" Target="https://www.fangraphs.com/players/paul-skenes/33677/stats?position=P" TargetMode="External"/><Relationship Id="rId95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TargetMode="External"/><Relationship Id="rId160" Type="http://schemas.openxmlformats.org/officeDocument/2006/relationships/hyperlink" Target="https://www.fangraphs.com/players/tanner-bibee/30134/stats?position=P" TargetMode="External"/><Relationship Id="rId216" Type="http://schemas.openxmlformats.org/officeDocument/2006/relationships/hyperlink" Target="https://www.fangraphs.com/players/andrew-abbott/29911/stats?position=P" TargetMode="External"/><Relationship Id="rId258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TargetMode="External"/><Relationship Id="rId22" Type="http://schemas.openxmlformats.org/officeDocument/2006/relationships/hyperlink" Target="https://www.fangraphs.com/players/miles-mikolas/9803/stats?position=P" TargetMode="External"/><Relationship Id="rId64" Type="http://schemas.openxmlformats.org/officeDocument/2006/relationships/hyperlink" Target="https://www.fangraphs.com/players/javier-assad/21741/stats?position=P" TargetMode="External"/><Relationship Id="rId118" Type="http://schemas.openxmlformats.org/officeDocument/2006/relationships/hyperlink" Target="https://www.fangraphs.com/players/andrew-alvarez/29914/stats?position=P" TargetMode="External"/><Relationship Id="rId325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TargetMode="External"/><Relationship Id="rId171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227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TargetMode="External"/><Relationship Id="rId269" Type="http://schemas.openxmlformats.org/officeDocument/2006/relationships/hyperlink" Target="https://www.fangraphs.com/players/max-fried/13743/stats?position=P" TargetMode="External"/><Relationship Id="rId33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TargetMode="External"/><Relationship Id="rId129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TargetMode="External"/><Relationship Id="rId280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TargetMode="External"/><Relationship Id="rId75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140" Type="http://schemas.openxmlformats.org/officeDocument/2006/relationships/hyperlink" Target="https://www.fangraphs.com/players/brad-lord/31972/stats?position=P" TargetMode="External"/><Relationship Id="rId182" Type="http://schemas.openxmlformats.org/officeDocument/2006/relationships/hyperlink" Target="https://www.fangraphs.com/players/drew-rasmussen/25385/stats?position=P" TargetMode="External"/><Relationship Id="rId6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238" Type="http://schemas.openxmlformats.org/officeDocument/2006/relationships/hyperlink" Target="https://www.fangraphs.com/players/chad-patrick/30113/stats?position=P" TargetMode="External"/><Relationship Id="rId291" Type="http://schemas.openxmlformats.org/officeDocument/2006/relationships/hyperlink" Target="https://www.fangraphs.com/players/sean-manaea/15873/stats?position=P" TargetMode="External"/><Relationship Id="rId305" Type="http://schemas.openxmlformats.org/officeDocument/2006/relationships/hyperlink" Target="https://www.fangraphs.com/players/blake-snell/13543/stats?position=P" TargetMode="External"/><Relationship Id="rId44" Type="http://schemas.openxmlformats.org/officeDocument/2006/relationships/hyperlink" Target="https://www.fangraphs.com/players/brandon-young/27819/stats?position=P" TargetMode="External"/><Relationship Id="rId86" Type="http://schemas.openxmlformats.org/officeDocument/2006/relationships/hyperlink" Target="https://www.fangraphs.com/players/mackenzie-gore/22201/stats?position=P" TargetMode="External"/><Relationship Id="rId151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TargetMode="External"/><Relationship Id="rId193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TargetMode="External"/><Relationship Id="rId207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249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13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TargetMode="External"/><Relationship Id="rId109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TargetMode="External"/><Relationship Id="rId260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TargetMode="External"/><Relationship Id="rId316" Type="http://schemas.openxmlformats.org/officeDocument/2006/relationships/hyperlink" Target="https://www.fangraphs.com/players/jesus-luzardo/19959/stats?position=P" TargetMode="External"/><Relationship Id="rId55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TargetMode="External"/><Relationship Id="rId97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TargetMode="External"/><Relationship Id="rId120" Type="http://schemas.openxmlformats.org/officeDocument/2006/relationships/hyperlink" Target="https://www.fangraphs.com/players/caden-dana/31508/stats?position=P" TargetMode="External"/><Relationship Id="rId162" Type="http://schemas.openxmlformats.org/officeDocument/2006/relationships/hyperlink" Target="https://www.fangraphs.com/players/bailey-ober/21224/stats?position=P" TargetMode="External"/><Relationship Id="rId218" Type="http://schemas.openxmlformats.org/officeDocument/2006/relationships/hyperlink" Target="https://www.fangraphs.com/players/joey-cantillo/23335/stats?position=P" TargetMode="External"/></Relationships>
</file>

<file path=xl/worksheets/_rels/sheet4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299" Type="http://schemas.openxmlformats.org/officeDocument/2006/relationships/hyperlink" Target="https://www.fangraphs.com/players/shane-bieber/19427/stats?position=P" TargetMode="External"/><Relationship Id="rId21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63" Type="http://schemas.openxmlformats.org/officeDocument/2006/relationships/hyperlink" Target="https://www.fangraphs.com/players/carlos-rodon/16137/stats?position=P" TargetMode="External"/><Relationship Id="rId159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324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366" Type="http://schemas.openxmlformats.org/officeDocument/2006/relationships/hyperlink" Target="https://www.fangraphs.com/players/colton-gordon/31312/stats?position=P" TargetMode="External"/><Relationship Id="rId170" Type="http://schemas.openxmlformats.org/officeDocument/2006/relationships/hyperlink" Target="https://www.fangraphs.com/players/janson-junk/23301/stats?position=P" TargetMode="External"/><Relationship Id="rId226" Type="http://schemas.openxmlformats.org/officeDocument/2006/relationships/hyperlink" Target="https://www.fangraphs.com/players/ryan-bergert/29863/stats?position=P" TargetMode="External"/><Relationship Id="rId433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268" Type="http://schemas.openxmlformats.org/officeDocument/2006/relationships/hyperlink" Target="https://www.fangraphs.com/players/andre-pallante/26108/stats?position=P" TargetMode="External"/><Relationship Id="rId475" Type="http://schemas.openxmlformats.org/officeDocument/2006/relationships/hyperlink" Target="https://www.fangraphs.com/players/walker-buehler/19374/stats?position=P" TargetMode="External"/><Relationship Id="rId32" Type="http://schemas.openxmlformats.org/officeDocument/2006/relationships/hyperlink" Target="https://www.fangraphs.com/players/michael-wacha/14078/stats?position=P" TargetMode="External"/><Relationship Id="rId74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128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335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377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5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181" Type="http://schemas.openxmlformats.org/officeDocument/2006/relationships/hyperlink" Target="https://www.fangraphs.com/players/brandon-pfaadt/27782/stats?position=P" TargetMode="External"/><Relationship Id="rId237" Type="http://schemas.openxmlformats.org/officeDocument/2006/relationships/hyperlink" Target="https://www.fangraphs.com/players/zac-gallen/19291/stats?position=P" TargetMode="External"/><Relationship Id="rId402" Type="http://schemas.openxmlformats.org/officeDocument/2006/relationships/hyperlink" Target="https://www.fangraphs.com/players/justin-steele/17312/stats?position=P" TargetMode="External"/><Relationship Id="rId279" Type="http://schemas.openxmlformats.org/officeDocument/2006/relationships/hyperlink" Target="https://www.fangraphs.com/players/sean-newcomb/16943/stats?position=P" TargetMode="External"/><Relationship Id="rId444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type=8&amp;month=33&amp;qual=10" TargetMode="External"/><Relationship Id="rId486" Type="http://schemas.openxmlformats.org/officeDocument/2006/relationships/hyperlink" Target="https://www.fangraphs.com/players/kyle-gibson/10123/stats?position=P" TargetMode="External"/><Relationship Id="rId43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139" Type="http://schemas.openxmlformats.org/officeDocument/2006/relationships/hyperlink" Target="https://www.fangraphs.com/players/patrick-corbin/9323/stats?position=P" TargetMode="External"/><Relationship Id="rId290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304" Type="http://schemas.openxmlformats.org/officeDocument/2006/relationships/hyperlink" Target="https://www.fangraphs.com/players/max-scherzer/3137/stats?position=P" TargetMode="External"/><Relationship Id="rId346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388" Type="http://schemas.openxmlformats.org/officeDocument/2006/relationships/hyperlink" Target="https://www.fangraphs.com/players/paul-blackburn/14739/stats?position=P" TargetMode="External"/><Relationship Id="rId85" Type="http://schemas.openxmlformats.org/officeDocument/2006/relationships/hyperlink" Target="https://www.fangraphs.com/players/yusei-kikuchi/20633/stats?position=P" TargetMode="External"/><Relationship Id="rId150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192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206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413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248" Type="http://schemas.openxmlformats.org/officeDocument/2006/relationships/hyperlink" Target="https://www.fangraphs.com/players/ian-seymour/27932/stats?position=P" TargetMode="External"/><Relationship Id="rId455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12" Type="http://schemas.openxmlformats.org/officeDocument/2006/relationships/hyperlink" Target="https://www.fangraphs.com/players/logan-webb/17995/stats?position=P" TargetMode="External"/><Relationship Id="rId108" Type="http://schemas.openxmlformats.org/officeDocument/2006/relationships/hyperlink" Target="https://www.fangraphs.com/players/george-kirby/25436/stats?position=P" TargetMode="External"/><Relationship Id="rId315" Type="http://schemas.openxmlformats.org/officeDocument/2006/relationships/hyperlink" Target="https://www.fangraphs.com/players/kyle-bradish/24586/stats?position=P" TargetMode="External"/><Relationship Id="rId357" Type="http://schemas.openxmlformats.org/officeDocument/2006/relationships/hyperlink" Target="https://www.fangraphs.com/players/tyler-alexander/17735/stats?position=P" TargetMode="External"/><Relationship Id="rId54" Type="http://schemas.openxmlformats.org/officeDocument/2006/relationships/hyperlink" Target="https://www.fangraphs.com/players/chris-sale/10603/stats?position=P" TargetMode="External"/><Relationship Id="rId96" Type="http://schemas.openxmlformats.org/officeDocument/2006/relationships/hyperlink" Target="https://www.fangraphs.com/players/luis-severino/15890/stats?position=P" TargetMode="External"/><Relationship Id="rId161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217" Type="http://schemas.openxmlformats.org/officeDocument/2006/relationships/hyperlink" Target="https://www.fangraphs.com/players/hunter-dobbins/30240/stats?position=P" TargetMode="External"/><Relationship Id="rId399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259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424" Type="http://schemas.openxmlformats.org/officeDocument/2006/relationships/hyperlink" Target="https://www.fangraphs.com/players/jonah-tong/32157/stats?position=P" TargetMode="External"/><Relationship Id="rId466" Type="http://schemas.openxmlformats.org/officeDocument/2006/relationships/hyperlink" Target="https://www.fangraphs.com/players/mick-abel/27756/stats?position=P" TargetMode="External"/><Relationship Id="rId23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119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270" Type="http://schemas.openxmlformats.org/officeDocument/2006/relationships/hyperlink" Target="https://www.fangraphs.com/players/carmen-mlodzinski/27572/stats?position=P" TargetMode="External"/><Relationship Id="rId326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65" Type="http://schemas.openxmlformats.org/officeDocument/2006/relationships/hyperlink" Target="https://www.fangraphs.com/players/brady-singer/25377/stats?position=P" TargetMode="External"/><Relationship Id="rId130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type=8&amp;month=33&amp;qual=10" TargetMode="External"/><Relationship Id="rId368" Type="http://schemas.openxmlformats.org/officeDocument/2006/relationships/hyperlink" Target="https://www.fangraphs.com/players/jackson-perkins/31468/stats?position=P" TargetMode="External"/><Relationship Id="rId172" Type="http://schemas.openxmlformats.org/officeDocument/2006/relationships/hyperlink" Target="https://www.fangraphs.com/players/zebby-matthews/31827/stats?position=P" TargetMode="External"/><Relationship Id="rId228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35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477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281" Type="http://schemas.openxmlformats.org/officeDocument/2006/relationships/hyperlink" Target="https://www.fangraphs.com/players/ben-brown/23590/stats?position=P" TargetMode="External"/><Relationship Id="rId337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34" Type="http://schemas.openxmlformats.org/officeDocument/2006/relationships/hyperlink" Target="https://www.fangraphs.com/players/kevin-gausman/14107/stats?position=P" TargetMode="External"/><Relationship Id="rId76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141" Type="http://schemas.openxmlformats.org/officeDocument/2006/relationships/hyperlink" Target="https://www.fangraphs.com/players/shane-smith/31687/stats?position=P" TargetMode="External"/><Relationship Id="rId379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7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183" Type="http://schemas.openxmlformats.org/officeDocument/2006/relationships/hyperlink" Target="https://www.fangraphs.com/players/chase-burns/35333/stats?position=P" TargetMode="External"/><Relationship Id="rId239" Type="http://schemas.openxmlformats.org/officeDocument/2006/relationships/hyperlink" Target="https://www.fangraphs.com/players/davis-martin/21448/stats?position=P" TargetMode="External"/><Relationship Id="rId390" Type="http://schemas.openxmlformats.org/officeDocument/2006/relationships/hyperlink" Target="https://www.fangraphs.com/players/jonathan-cannon/31730/stats?position=P" TargetMode="External"/><Relationship Id="rId404" Type="http://schemas.openxmlformats.org/officeDocument/2006/relationships/hyperlink" Target="https://www.fangraphs.com/players/adam-mazur/31900/stats?position=P" TargetMode="External"/><Relationship Id="rId446" Type="http://schemas.openxmlformats.org/officeDocument/2006/relationships/hyperlink" Target="https://www.fangraphs.com/players/osvaldo-bido/23150/stats?position=P" TargetMode="External"/><Relationship Id="rId250" Type="http://schemas.openxmlformats.org/officeDocument/2006/relationships/hyperlink" Target="https://www.fangraphs.com/players/logan-henderson/31475/stats?position=P" TargetMode="External"/><Relationship Id="rId292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306" Type="http://schemas.openxmlformats.org/officeDocument/2006/relationships/hyperlink" Target="https://www.fangraphs.com/players/german-marquez/15038/stats?position=P" TargetMode="External"/><Relationship Id="rId488" Type="http://schemas.openxmlformats.org/officeDocument/2006/relationships/hyperlink" Target="https://www.fangraphs.com/players/bradley-blalock/26419/stats?position=P" TargetMode="External"/><Relationship Id="rId45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87" Type="http://schemas.openxmlformats.org/officeDocument/2006/relationships/hyperlink" Target="https://www.fangraphs.com/players/adrian-houser/12718/stats?position=P" TargetMode="External"/><Relationship Id="rId110" Type="http://schemas.openxmlformats.org/officeDocument/2006/relationships/hyperlink" Target="https://www.fangraphs.com/players/ryan-pepiot/26221/stats?position=P" TargetMode="External"/><Relationship Id="rId348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152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type=8&amp;month=33&amp;qual=10" TargetMode="External"/><Relationship Id="rId194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208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415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457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261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14" Type="http://schemas.openxmlformats.org/officeDocument/2006/relationships/hyperlink" Target="https://www.fangraphs.com/players/yoshinobu-yamamoto/33825/stats?position=P" TargetMode="External"/><Relationship Id="rId56" Type="http://schemas.openxmlformats.org/officeDocument/2006/relationships/hyperlink" Target="https://www.fangraphs.com/players/dylan-cease/18525/stats?position=P" TargetMode="External"/><Relationship Id="rId317" Type="http://schemas.openxmlformats.org/officeDocument/2006/relationships/hyperlink" Target="https://www.fangraphs.com/players/max-meyer/27474/stats?position=P" TargetMode="External"/><Relationship Id="rId359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98" Type="http://schemas.openxmlformats.org/officeDocument/2006/relationships/hyperlink" Target="https://www.fangraphs.com/players/clayton-kershaw/2036/stats?position=P" TargetMode="External"/><Relationship Id="rId121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163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219" Type="http://schemas.openxmlformats.org/officeDocument/2006/relationships/hyperlink" Target="https://www.fangraphs.com/players/braxton-ashcraft/23793/stats?position=P" TargetMode="External"/><Relationship Id="rId370" Type="http://schemas.openxmlformats.org/officeDocument/2006/relationships/hyperlink" Target="https://www.fangraphs.com/players/kai-wei-teng/24282/stats?position=P" TargetMode="External"/><Relationship Id="rId426" Type="http://schemas.openxmlformats.org/officeDocument/2006/relationships/hyperlink" Target="https://www.fangraphs.com/players/spencer-arrighetti/29921/stats?position=P" TargetMode="External"/><Relationship Id="rId230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468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25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67" Type="http://schemas.openxmlformats.org/officeDocument/2006/relationships/hyperlink" Target="https://www.fangraphs.com/players/mitch-keller/17594/stats?position=P" TargetMode="External"/><Relationship Id="rId272" Type="http://schemas.openxmlformats.org/officeDocument/2006/relationships/hyperlink" Target="https://www.fangraphs.com/players/dustin-may/19716/stats?position=P" TargetMode="External"/><Relationship Id="rId328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type=8&amp;month=33&amp;qual=10" TargetMode="External"/><Relationship Id="rId132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174" Type="http://schemas.openxmlformats.org/officeDocument/2006/relationships/hyperlink" Target="https://www.fangraphs.com/players/logan-allen/27589/stats?position=P" TargetMode="External"/><Relationship Id="rId38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241" Type="http://schemas.openxmlformats.org/officeDocument/2006/relationships/hyperlink" Target="https://www.fangraphs.com/players/jose-quintana/11423/stats?position=P" TargetMode="External"/><Relationship Id="rId437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479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36" Type="http://schemas.openxmlformats.org/officeDocument/2006/relationships/hyperlink" Target="https://www.fangraphs.com/players/andrew-abbott/29911/stats?position=P" TargetMode="External"/><Relationship Id="rId283" Type="http://schemas.openxmlformats.org/officeDocument/2006/relationships/hyperlink" Target="https://www.fangraphs.com/players/hurston-waldrep/33527/stats?position=P" TargetMode="External"/><Relationship Id="rId339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490" Type="http://schemas.openxmlformats.org/officeDocument/2006/relationships/hyperlink" Target="https://www.fangraphs.com/players/bowden-francis/20548/stats?position=P" TargetMode="External"/><Relationship Id="rId78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101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143" Type="http://schemas.openxmlformats.org/officeDocument/2006/relationships/hyperlink" Target="https://www.fangraphs.com/players/ryne-nelson/26253/stats?position=P" TargetMode="External"/><Relationship Id="rId185" Type="http://schemas.openxmlformats.org/officeDocument/2006/relationships/hyperlink" Target="https://www.fangraphs.com/players/michael-king/19853/stats?position=P" TargetMode="External"/><Relationship Id="rId350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406" Type="http://schemas.openxmlformats.org/officeDocument/2006/relationships/hyperlink" Target="https://www.fangraphs.com/players/erick-fedde/17425/stats?position=P" TargetMode="External"/><Relationship Id="rId9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210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392" Type="http://schemas.openxmlformats.org/officeDocument/2006/relationships/hyperlink" Target="https://www.fangraphs.com/players/chase-dollander/33482/stats?position=P" TargetMode="External"/><Relationship Id="rId448" Type="http://schemas.openxmlformats.org/officeDocument/2006/relationships/hyperlink" Target="https://www.fangraphs.com/players/richard-fitts/30160/stats?position=P" TargetMode="External"/><Relationship Id="rId252" Type="http://schemas.openxmlformats.org/officeDocument/2006/relationships/hyperlink" Target="https://www.fangraphs.com/players/cade-povich/30055/stats?position=P" TargetMode="External"/><Relationship Id="rId294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308" Type="http://schemas.openxmlformats.org/officeDocument/2006/relationships/hyperlink" Target="https://www.fangraphs.com/players/aj-smith-shawver/29960/stats?position=P" TargetMode="External"/><Relationship Id="rId47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89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112" Type="http://schemas.openxmlformats.org/officeDocument/2006/relationships/hyperlink" Target="https://www.fangraphs.com/players/kyle-freeland/16256/stats?position=P" TargetMode="External"/><Relationship Id="rId154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361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196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417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459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16" Type="http://schemas.openxmlformats.org/officeDocument/2006/relationships/hyperlink" Target="https://www.fangraphs.com/players/hunter-brown/25880/stats?position=P" TargetMode="External"/><Relationship Id="rId221" Type="http://schemas.openxmlformats.org/officeDocument/2006/relationships/hyperlink" Target="https://www.fangraphs.com/players/aaron-civale/19479/stats?position=P" TargetMode="External"/><Relationship Id="rId263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319" Type="http://schemas.openxmlformats.org/officeDocument/2006/relationships/hyperlink" Target="https://www.fangraphs.com/players/johan-oviedo/22487/stats?position=P" TargetMode="External"/><Relationship Id="rId470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58" Type="http://schemas.openxmlformats.org/officeDocument/2006/relationships/hyperlink" Target="https://www.fangraphs.com/players/jose-soriano/22100/stats?position=P" TargetMode="External"/><Relationship Id="rId123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330" Type="http://schemas.openxmlformats.org/officeDocument/2006/relationships/hyperlink" Target="https://www.fangraphs.com/players/slade-cecconi/27500/stats?position=P" TargetMode="External"/><Relationship Id="rId165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372" Type="http://schemas.openxmlformats.org/officeDocument/2006/relationships/hyperlink" Target="https://www.fangraphs.com/players/sean-burke/29878/stats?position=P" TargetMode="External"/><Relationship Id="rId428" Type="http://schemas.openxmlformats.org/officeDocument/2006/relationships/hyperlink" Target="https://www.fangraphs.com/players/justin-wrobleski/31204/stats?position=P" TargetMode="External"/><Relationship Id="rId232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type=8&amp;month=33&amp;qual=10" TargetMode="External"/><Relationship Id="rId274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81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27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69" Type="http://schemas.openxmlformats.org/officeDocument/2006/relationships/hyperlink" Target="https://www.fangraphs.com/players/drew-rasmussen/25385/stats?position=P" TargetMode="External"/><Relationship Id="rId134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80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176" Type="http://schemas.openxmlformats.org/officeDocument/2006/relationships/hyperlink" Target="https://www.fangraphs.com/players/zack-littell/15823/stats?position=P" TargetMode="External"/><Relationship Id="rId341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383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439" Type="http://schemas.openxmlformats.org/officeDocument/2006/relationships/hyperlink" Target="https://www.fangraphs.com/players/lance-mccullers-jr/14120/stats?position=P" TargetMode="External"/><Relationship Id="rId201" Type="http://schemas.openxmlformats.org/officeDocument/2006/relationships/hyperlink" Target="https://www.fangraphs.com/players/trevor-williams/16977/stats?position=P" TargetMode="External"/><Relationship Id="rId243" Type="http://schemas.openxmlformats.org/officeDocument/2006/relationships/hyperlink" Target="https://www.fangraphs.com/players/brandon-walter/26056/stats?position=P" TargetMode="External"/><Relationship Id="rId285" Type="http://schemas.openxmlformats.org/officeDocument/2006/relationships/hyperlink" Target="https://www.fangraphs.com/players/spencer-strider/27498/stats?position=P" TargetMode="External"/><Relationship Id="rId450" Type="http://schemas.openxmlformats.org/officeDocument/2006/relationships/hyperlink" Target="https://www.fangraphs.com/players/roki-sasaki/35323/stats?position=P" TargetMode="External"/><Relationship Id="rId38" Type="http://schemas.openxmlformats.org/officeDocument/2006/relationships/hyperlink" Target="https://www.fangraphs.com/players/joe-ryan/21390/stats?position=P" TargetMode="External"/><Relationship Id="rId103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310" Type="http://schemas.openxmlformats.org/officeDocument/2006/relationships/hyperlink" Target="https://www.fangraphs.com/players/tomoyuki-sugano/35321/stats?position=P" TargetMode="External"/><Relationship Id="rId492" Type="http://schemas.openxmlformats.org/officeDocument/2006/relationships/hyperlink" Target="https://www.fangraphs.com/players/nestor-cortes/17874/stats?position=P" TargetMode="External"/><Relationship Id="rId91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145" Type="http://schemas.openxmlformats.org/officeDocument/2006/relationships/hyperlink" Target="https://www.fangraphs.com/players/brandon-woodruff/16162/stats?position=P" TargetMode="External"/><Relationship Id="rId187" Type="http://schemas.openxmlformats.org/officeDocument/2006/relationships/hyperlink" Target="https://www.fangraphs.com/players/emmet-sheehan/29839/stats?position=P" TargetMode="External"/><Relationship Id="rId352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394" Type="http://schemas.openxmlformats.org/officeDocument/2006/relationships/hyperlink" Target="https://www.fangraphs.com/players/frankie-montas/14309/stats?position=P" TargetMode="External"/><Relationship Id="rId408" Type="http://schemas.openxmlformats.org/officeDocument/2006/relationships/hyperlink" Target="https://www.fangraphs.com/players/sawyer-gipson-long/26048/stats?position=P" TargetMode="External"/><Relationship Id="rId212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254" Type="http://schemas.openxmlformats.org/officeDocument/2006/relationships/hyperlink" Target="https://www.fangraphs.com/players/grant-holmes/16944/stats?position=P" TargetMode="External"/><Relationship Id="rId49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type=8&amp;month=33&amp;qual=10" TargetMode="External"/><Relationship Id="rId114" Type="http://schemas.openxmlformats.org/officeDocument/2006/relationships/hyperlink" Target="https://www.fangraphs.com/players/nick-martinez/12730/stats?position=P" TargetMode="External"/><Relationship Id="rId296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461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60" Type="http://schemas.openxmlformats.org/officeDocument/2006/relationships/hyperlink" Target="https://www.fangraphs.com/players/mackenzie-gore/22201/stats?position=P" TargetMode="External"/><Relationship Id="rId156" Type="http://schemas.openxmlformats.org/officeDocument/2006/relationships/hyperlink" Target="https://www.fangraphs.com/players/kodai-senga/31838/stats?position=P" TargetMode="External"/><Relationship Id="rId198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321" Type="http://schemas.openxmlformats.org/officeDocument/2006/relationships/hyperlink" Target="https://www.fangraphs.com/players/aaron-nola/16149/stats?position=P" TargetMode="External"/><Relationship Id="rId363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419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223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430" Type="http://schemas.openxmlformats.org/officeDocument/2006/relationships/hyperlink" Target="https://www.fangraphs.com/players/bryse-wilson/19990/stats?position=P" TargetMode="External"/><Relationship Id="rId18" Type="http://schemas.openxmlformats.org/officeDocument/2006/relationships/hyperlink" Target="https://www.fangraphs.com/players/ranger-suarez/17277/stats?position=P" TargetMode="External"/><Relationship Id="rId265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472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125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167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332" Type="http://schemas.openxmlformats.org/officeDocument/2006/relationships/hyperlink" Target="https://www.fangraphs.com/players/brandon-sproat/33850/stats?position=P" TargetMode="External"/><Relationship Id="rId374" Type="http://schemas.openxmlformats.org/officeDocument/2006/relationships/hyperlink" Target="https://www.fangraphs.com/players/tyler-wells/20000/stats?position=P" TargetMode="External"/><Relationship Id="rId71" Type="http://schemas.openxmlformats.org/officeDocument/2006/relationships/hyperlink" Target="https://www.fangraphs.com/players/nick-lodolo/26378/stats?position=P" TargetMode="External"/><Relationship Id="rId234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2" Type="http://schemas.openxmlformats.org/officeDocument/2006/relationships/hyperlink" Target="https://www.fangraphs.com/players/tarik-skubal/22267/stats?position=P" TargetMode="External"/><Relationship Id="rId29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276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441" Type="http://schemas.openxmlformats.org/officeDocument/2006/relationships/hyperlink" Target="https://www.fangraphs.com/players/mike-vasil/30105/stats?position=P" TargetMode="External"/><Relationship Id="rId483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0" Type="http://schemas.openxmlformats.org/officeDocument/2006/relationships/hyperlink" Target="https://www.fangraphs.com/players/matthew-boyd/15440/stats?position=P" TargetMode="External"/><Relationship Id="rId136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178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301" Type="http://schemas.openxmlformats.org/officeDocument/2006/relationships/hyperlink" Target="https://www.fangraphs.com/players/jameson-taillon/11674/stats?position=P" TargetMode="External"/><Relationship Id="rId343" Type="http://schemas.openxmlformats.org/officeDocument/2006/relationships/hyperlink" Target="https://www.fangraphs.com/players/nabil-crismatt/17732/stats?position=P" TargetMode="External"/><Relationship Id="rId82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203" Type="http://schemas.openxmlformats.org/officeDocument/2006/relationships/hyperlink" Target="https://www.fangraphs.com/players/mike-burrows/24728/stats?position=P" TargetMode="External"/><Relationship Id="rId385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245" Type="http://schemas.openxmlformats.org/officeDocument/2006/relationships/hyperlink" Target="https://www.fangraphs.com/players/bailey-ober/21224/stats?position=P" TargetMode="External"/><Relationship Id="rId287" Type="http://schemas.openxmlformats.org/officeDocument/2006/relationships/hyperlink" Target="https://www.fangraphs.com/players/taijuan-walker/11836/stats?position=P" TargetMode="External"/><Relationship Id="rId410" Type="http://schemas.openxmlformats.org/officeDocument/2006/relationships/hyperlink" Target="https://www.fangraphs.com/players/antonio-senzatela/15488/stats?position=P" TargetMode="External"/><Relationship Id="rId452" Type="http://schemas.openxmlformats.org/officeDocument/2006/relationships/hyperlink" Target="https://www.fangraphs.com/players/payton-tolle/35466/stats?position=P" TargetMode="External"/><Relationship Id="rId105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147" Type="http://schemas.openxmlformats.org/officeDocument/2006/relationships/hyperlink" Target="https://www.fangraphs.com/players/jose-berrios/14168/stats?position=P" TargetMode="External"/><Relationship Id="rId312" Type="http://schemas.openxmlformats.org/officeDocument/2006/relationships/hyperlink" Target="https://www.fangraphs.com/players/david-festa/30056/stats?position=P" TargetMode="External"/><Relationship Id="rId354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51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93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189" Type="http://schemas.openxmlformats.org/officeDocument/2006/relationships/hyperlink" Target="https://www.fangraphs.com/players/shota-imanaga/33829/stats?position=P" TargetMode="External"/><Relationship Id="rId396" Type="http://schemas.openxmlformats.org/officeDocument/2006/relationships/hyperlink" Target="https://www.fangraphs.com/players/marcus-stroman/13431/stats?position=P" TargetMode="External"/><Relationship Id="rId214" Type="http://schemas.openxmlformats.org/officeDocument/2006/relationships/hyperlink" Target="https://www.fangraphs.com/players/cameron-schlittler/32095/stats?position=P" TargetMode="External"/><Relationship Id="rId256" Type="http://schemas.openxmlformats.org/officeDocument/2006/relationships/hyperlink" Target="https://www.fangraphs.com/players/martin-perez/6902/stats?position=P" TargetMode="External"/><Relationship Id="rId298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21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463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116" Type="http://schemas.openxmlformats.org/officeDocument/2006/relationships/hyperlink" Target="https://www.fangraphs.com/players/cade-horton/31872/stats?position=P" TargetMode="External"/><Relationship Id="rId158" Type="http://schemas.openxmlformats.org/officeDocument/2006/relationships/hyperlink" Target="https://www.fangraphs.com/players/jacob-lopez/25098/stats?position=P" TargetMode="External"/><Relationship Id="rId323" Type="http://schemas.openxmlformats.org/officeDocument/2006/relationships/hyperlink" Target="https://www.fangraphs.com/players/seth-lugo/12447/stats?position=P" TargetMode="External"/><Relationship Id="rId20" Type="http://schemas.openxmlformats.org/officeDocument/2006/relationships/hyperlink" Target="https://www.fangraphs.com/players/max-fried/13743/stats?position=P" TargetMode="External"/><Relationship Id="rId41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62" Type="http://schemas.openxmlformats.org/officeDocument/2006/relationships/hyperlink" Target="https://www.fangraphs.com/players/merrill-kelly/11156/stats?position=P" TargetMode="External"/><Relationship Id="rId83" Type="http://schemas.openxmlformats.org/officeDocument/2006/relationships/hyperlink" Target="https://www.fangraphs.com/players/spencer-schwellenbach/31846/stats?position=P" TargetMode="External"/><Relationship Id="rId179" Type="http://schemas.openxmlformats.org/officeDocument/2006/relationships/hyperlink" Target="https://www.fangraphs.com/players/clarke-schmidt/19899/stats?position=P" TargetMode="External"/><Relationship Id="rId365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386" Type="http://schemas.openxmlformats.org/officeDocument/2006/relationships/hyperlink" Target="https://www.fangraphs.com/players/bryce-miller/29837/stats?position=P" TargetMode="External"/><Relationship Id="rId190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204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225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246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267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288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411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432" Type="http://schemas.openxmlformats.org/officeDocument/2006/relationships/hyperlink" Target="https://www.fangraphs.com/players/anthony-desclafani/13050/stats?position=P" TargetMode="External"/><Relationship Id="rId453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474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106" Type="http://schemas.openxmlformats.org/officeDocument/2006/relationships/hyperlink" Target="https://www.fangraphs.com/players/jack-leiter/30146/stats?position=P" TargetMode="External"/><Relationship Id="rId127" Type="http://schemas.openxmlformats.org/officeDocument/2006/relationships/hyperlink" Target="https://www.fangraphs.com/players/sandy-alcantara/18684/stats?position=P" TargetMode="External"/><Relationship Id="rId313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10" Type="http://schemas.openxmlformats.org/officeDocument/2006/relationships/hyperlink" Target="https://www.fangraphs.com/players/jesus-luzardo/19959/stats?position=P" TargetMode="External"/><Relationship Id="rId31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52" Type="http://schemas.openxmlformats.org/officeDocument/2006/relationships/hyperlink" Target="https://www.fangraphs.com/players/david-peterson/20302/stats?position=P" TargetMode="External"/><Relationship Id="rId73" Type="http://schemas.openxmlformats.org/officeDocument/2006/relationships/hyperlink" Target="https://www.fangraphs.com/players/robbie-ray/11486/stats?position=P" TargetMode="External"/><Relationship Id="rId94" Type="http://schemas.openxmlformats.org/officeDocument/2006/relationships/hyperlink" Target="https://www.fangraphs.com/players/will-warren/30182/stats?position=P" TargetMode="External"/><Relationship Id="rId148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169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334" Type="http://schemas.openxmlformats.org/officeDocument/2006/relationships/hyperlink" Target="https://www.fangraphs.com/players/cristian-javier/17606/stats?position=P" TargetMode="External"/><Relationship Id="rId355" Type="http://schemas.openxmlformats.org/officeDocument/2006/relationships/hyperlink" Target="https://www.fangraphs.com/players/yu-darvish/13074/stats?position=P" TargetMode="External"/><Relationship Id="rId376" Type="http://schemas.openxmlformats.org/officeDocument/2006/relationships/hyperlink" Target="https://www.fangraphs.com/players/hayden-wesneski/27581/stats?position=P" TargetMode="External"/><Relationship Id="rId397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4" Type="http://schemas.openxmlformats.org/officeDocument/2006/relationships/hyperlink" Target="https://www.fangraphs.com/players/paul-skenes/33677/stats?position=P" TargetMode="External"/><Relationship Id="rId180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215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236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257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278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401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422" Type="http://schemas.openxmlformats.org/officeDocument/2006/relationships/hyperlink" Target="https://www.fangraphs.com/players/wade-miley/8779/stats?position=P" TargetMode="External"/><Relationship Id="rId443" Type="http://schemas.openxmlformats.org/officeDocument/2006/relationships/hyperlink" Target="https://www.fangraphs.com/players/joe-boyle/29608/stats?position=P" TargetMode="External"/><Relationship Id="rId464" Type="http://schemas.openxmlformats.org/officeDocument/2006/relationships/hyperlink" Target="https://www.fangraphs.com/players/mitch-spence/27707/stats?position=P" TargetMode="External"/><Relationship Id="rId303" Type="http://schemas.openxmlformats.org/officeDocument/2006/relationships/hyperlink" Target="https://www.fangraphs.com/players/charlie-morton/4676/stats?position=P" TargetMode="External"/><Relationship Id="rId485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42" Type="http://schemas.openxmlformats.org/officeDocument/2006/relationships/hyperlink" Target="https://www.fangraphs.com/players/freddy-peralta/18679/stats?position=P" TargetMode="External"/><Relationship Id="rId84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138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345" Type="http://schemas.openxmlformats.org/officeDocument/2006/relationships/hyperlink" Target="https://www.fangraphs.com/players/ryan-weathers/23796/stats?position=P" TargetMode="External"/><Relationship Id="rId387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191" Type="http://schemas.openxmlformats.org/officeDocument/2006/relationships/hyperlink" Target="https://www.fangraphs.com/players/joey-cantillo/23335/stats?position=P" TargetMode="External"/><Relationship Id="rId205" Type="http://schemas.openxmlformats.org/officeDocument/2006/relationships/hyperlink" Target="https://www.fangraphs.com/players/michael-lorenzen/14843/stats?position=P" TargetMode="External"/><Relationship Id="rId247" Type="http://schemas.openxmlformats.org/officeDocument/2006/relationships/hyperlink" Target="https://www.fangraphs.com/players/ryan-gusto/26440/stats?position=P" TargetMode="External"/><Relationship Id="rId412" Type="http://schemas.openxmlformats.org/officeDocument/2006/relationships/hyperlink" Target="https://www.fangraphs.com/players/mitchell-farris/33628/stats?position=P" TargetMode="External"/><Relationship Id="rId107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289" Type="http://schemas.openxmlformats.org/officeDocument/2006/relationships/hyperlink" Target="https://www.fangraphs.com/players/simeon-woods-richardson/24494/stats?position=P" TargetMode="External"/><Relationship Id="rId454" Type="http://schemas.openxmlformats.org/officeDocument/2006/relationships/hyperlink" Target="https://www.fangraphs.com/players/zach-eflin/13774/stats?position=P" TargetMode="External"/><Relationship Id="rId11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53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149" Type="http://schemas.openxmlformats.org/officeDocument/2006/relationships/hyperlink" Target="https://www.fangraphs.com/players/tanner-bibee/30134/stats?position=P" TargetMode="External"/><Relationship Id="rId314" Type="http://schemas.openxmlformats.org/officeDocument/2006/relationships/hyperlink" Target="https://www.fangraphs.com/players/jp-sears/23429/stats?position=P" TargetMode="External"/><Relationship Id="rId356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398" Type="http://schemas.openxmlformats.org/officeDocument/2006/relationships/hyperlink" Target="https://www.fangraphs.com/players/jackson-jobe/30203/stats?position=P" TargetMode="External"/><Relationship Id="rId95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160" Type="http://schemas.openxmlformats.org/officeDocument/2006/relationships/hyperlink" Target="https://www.fangraphs.com/players/shohei-ohtani/19755/stats?position=DH" TargetMode="External"/><Relationship Id="rId216" Type="http://schemas.openxmlformats.org/officeDocument/2006/relationships/hyperlink" Target="https://www.fangraphs.com/players/chris-paddack/20099/stats?position=P" TargetMode="External"/><Relationship Id="rId423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258" Type="http://schemas.openxmlformats.org/officeDocument/2006/relationships/hyperlink" Target="https://www.fangraphs.com/players/eric-lauer/19316/stats?position=P" TargetMode="External"/><Relationship Id="rId465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22" Type="http://schemas.openxmlformats.org/officeDocument/2006/relationships/hyperlink" Target="https://www.fangraphs.com/players/zack-wheeler/10310/stats?position=P" TargetMode="External"/><Relationship Id="rId64" Type="http://schemas.openxmlformats.org/officeDocument/2006/relationships/hyperlink" Target="https://www.fangraphs.com/leaders/major-league?pos=all&amp;stats=sta&amp;lg=all&amp;ind=0&amp;team=9&amp;rost=0&amp;filter=&amp;players=0&amp;page=1_500&amp;season1=2025&amp;season=2025&amp;pageitems=2000000000&amp;type=8&amp;month=33&amp;qual=10" TargetMode="External"/><Relationship Id="rId118" Type="http://schemas.openxmlformats.org/officeDocument/2006/relationships/hyperlink" Target="https://www.fangraphs.com/players/casey-mize/20492/stats?position=P" TargetMode="External"/><Relationship Id="rId325" Type="http://schemas.openxmlformats.org/officeDocument/2006/relationships/hyperlink" Target="https://www.fangraphs.com/players/troy-melton/31807/stats?position=P" TargetMode="External"/><Relationship Id="rId367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171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227" Type="http://schemas.openxmlformats.org/officeDocument/2006/relationships/hyperlink" Target="https://www.fangraphs.com/players/joey-wentz/19962/stats?position=P" TargetMode="External"/><Relationship Id="rId269" Type="http://schemas.openxmlformats.org/officeDocument/2006/relationships/hyperlink" Target="https://www.fangraphs.com/leaders/major-league?pos=all&amp;stats=sta&amp;lg=all&amp;ind=0&amp;team=28&amp;rost=0&amp;filter=&amp;players=0&amp;page=1_500&amp;season1=2025&amp;season=2025&amp;pageitems=2000000000&amp;type=8&amp;month=33&amp;qual=10" TargetMode="External"/><Relationship Id="rId434" Type="http://schemas.openxmlformats.org/officeDocument/2006/relationships/hyperlink" Target="https://www.fangraphs.com/players/easton-lucas/26058/stats?position=P" TargetMode="External"/><Relationship Id="rId476" Type="http://schemas.openxmlformats.org/officeDocument/2006/relationships/hyperlink" Target="https://www.fangraphs.com/players/carson-palmquist/31612/stats?position=P" TargetMode="External"/><Relationship Id="rId33" Type="http://schemas.openxmlformats.org/officeDocument/2006/relationships/hyperlink" Target="https://www.fangraphs.com/leaders/major-league?pos=all&amp;stats=sta&amp;lg=all&amp;ind=0&amp;team=7&amp;rost=0&amp;filter=&amp;players=0&amp;page=1_500&amp;season1=2025&amp;season=2025&amp;pageitems=2000000000&amp;type=8&amp;month=33&amp;qual=10" TargetMode="External"/><Relationship Id="rId129" Type="http://schemas.openxmlformats.org/officeDocument/2006/relationships/hyperlink" Target="https://www.fangraphs.com/players/shane-baz/22264/stats?position=P" TargetMode="External"/><Relationship Id="rId280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336" Type="http://schemas.openxmlformats.org/officeDocument/2006/relationships/hyperlink" Target="https://www.fangraphs.com/players/ryan-feltner/21446/stats?position=P" TargetMode="External"/><Relationship Id="rId75" Type="http://schemas.openxmlformats.org/officeDocument/2006/relationships/hyperlink" Target="https://www.fangraphs.com/players/logan-gilbert/22250/stats?position=P" TargetMode="External"/><Relationship Id="rId140" Type="http://schemas.openxmlformats.org/officeDocument/2006/relationships/hyperlink" Target="https://www.fangraphs.com/leaders/major-league?pos=all&amp;stats=sta&amp;lg=all&amp;ind=0&amp;team=13&amp;rost=0&amp;filter=&amp;players=0&amp;page=1_500&amp;season1=2025&amp;season=2025&amp;pageitems=2000000000&amp;type=8&amp;month=33&amp;qual=10" TargetMode="External"/><Relationship Id="rId182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378" Type="http://schemas.openxmlformats.org/officeDocument/2006/relationships/hyperlink" Target="https://www.fangraphs.com/players/kyle-harrison/27758/stats?position=P" TargetMode="External"/><Relationship Id="rId403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6" Type="http://schemas.openxmlformats.org/officeDocument/2006/relationships/hyperlink" Target="https://www.fangraphs.com/players/cristopher-sanchez/20778/stats?position=P" TargetMode="External"/><Relationship Id="rId238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445" Type="http://schemas.openxmlformats.org/officeDocument/2006/relationships/hyperlink" Target="https://www.fangraphs.com/players/jose-urena/11589/stats?position=P" TargetMode="External"/><Relationship Id="rId487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291" Type="http://schemas.openxmlformats.org/officeDocument/2006/relationships/hyperlink" Target="https://www.fangraphs.com/players/keider-montero/22630/stats?position=P" TargetMode="External"/><Relationship Id="rId305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347" Type="http://schemas.openxmlformats.org/officeDocument/2006/relationships/hyperlink" Target="https://www.fangraphs.com/players/sean-manaea/15873/stats?position=P" TargetMode="External"/><Relationship Id="rId44" Type="http://schemas.openxmlformats.org/officeDocument/2006/relationships/hyperlink" Target="https://www.fangraphs.com/players/bryan-woo/30279/stats?position=P" TargetMode="External"/><Relationship Id="rId86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151" Type="http://schemas.openxmlformats.org/officeDocument/2006/relationships/hyperlink" Target="https://www.fangraphs.com/players/matthew-liberatore/22294/stats?position=P" TargetMode="External"/><Relationship Id="rId389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193" Type="http://schemas.openxmlformats.org/officeDocument/2006/relationships/hyperlink" Target="https://www.fangraphs.com/players/jacob-misiorowski/31623/stats?position=P" TargetMode="External"/><Relationship Id="rId207" Type="http://schemas.openxmlformats.org/officeDocument/2006/relationships/hyperlink" Target="https://www.fangraphs.com/players/landen-roupp/30076/stats?position=P" TargetMode="External"/><Relationship Id="rId249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type=8&amp;month=33&amp;qual=10" TargetMode="External"/><Relationship Id="rId414" Type="http://schemas.openxmlformats.org/officeDocument/2006/relationships/hyperlink" Target="https://www.fangraphs.com/players/logan-evans/33699/stats?position=P" TargetMode="External"/><Relationship Id="rId456" Type="http://schemas.openxmlformats.org/officeDocument/2006/relationships/hyperlink" Target="https://www.fangraphs.com/players/mccade-brown/30004/stats?position=P" TargetMode="External"/><Relationship Id="rId13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109" Type="http://schemas.openxmlformats.org/officeDocument/2006/relationships/hyperlink" Target="https://www.fangraphs.com/leaders/major-league?pos=all&amp;stats=sta&amp;lg=all&amp;ind=0&amp;team=11&amp;rost=0&amp;filter=&amp;players=0&amp;page=1_500&amp;season1=2025&amp;season=2025&amp;pageitems=2000000000&amp;type=8&amp;month=33&amp;qual=10" TargetMode="External"/><Relationship Id="rId260" Type="http://schemas.openxmlformats.org/officeDocument/2006/relationships/hyperlink" Target="https://www.fangraphs.com/players/corbin-burnes/19361/stats?position=P" TargetMode="External"/><Relationship Id="rId316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55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97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120" Type="http://schemas.openxmlformats.org/officeDocument/2006/relationships/hyperlink" Target="https://www.fangraphs.com/players/quinn-priester/25977/stats?position=P" TargetMode="External"/><Relationship Id="rId358" Type="http://schemas.openxmlformats.org/officeDocument/2006/relationships/hyperlink" Target="https://www.fangraphs.com/players/kumar-rocker/31843/stats?position=P" TargetMode="External"/><Relationship Id="rId162" Type="http://schemas.openxmlformats.org/officeDocument/2006/relationships/hyperlink" Target="https://www.fangraphs.com/players/tyler-glasnow/14374/stats?position=P" TargetMode="External"/><Relationship Id="rId218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425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467" Type="http://schemas.openxmlformats.org/officeDocument/2006/relationships/hyperlink" Target="https://www.fangraphs.com/players/tanner-houck/19879/stats?position=P" TargetMode="External"/><Relationship Id="rId271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24" Type="http://schemas.openxmlformats.org/officeDocument/2006/relationships/hyperlink" Target="https://www.fangraphs.com/players/framber-valdez/17295/stats?position=P" TargetMode="External"/><Relationship Id="rId66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131" Type="http://schemas.openxmlformats.org/officeDocument/2006/relationships/hyperlink" Target="https://www.fangraphs.com/players/pablo-lopez/17085/stats?position=P" TargetMode="External"/><Relationship Id="rId327" Type="http://schemas.openxmlformats.org/officeDocument/2006/relationships/hyperlink" Target="https://www.fangraphs.com/players/miles-mikolas/9803/stats?position=P" TargetMode="External"/><Relationship Id="rId369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173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229" Type="http://schemas.openxmlformats.org/officeDocument/2006/relationships/hyperlink" Target="https://www.fangraphs.com/players/griffin-canning/19867/stats?position=P" TargetMode="External"/><Relationship Id="rId380" Type="http://schemas.openxmlformats.org/officeDocument/2006/relationships/hyperlink" Target="https://www.fangraphs.com/players/tyler-anderson/12880/stats?position=P" TargetMode="External"/><Relationship Id="rId436" Type="http://schemas.openxmlformats.org/officeDocument/2006/relationships/hyperlink" Target="https://www.fangraphs.com/players/tony-gonsolin/19388/stats?position=P" TargetMode="External"/><Relationship Id="rId240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78" Type="http://schemas.openxmlformats.org/officeDocument/2006/relationships/hyperlink" Target="https://www.fangraphs.com/players/gunnar-hoglund/31318/stats?position=P" TargetMode="External"/><Relationship Id="rId35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77" Type="http://schemas.openxmlformats.org/officeDocument/2006/relationships/hyperlink" Target="https://www.fangraphs.com/players/dean-kremer/19350/stats?position=P" TargetMode="External"/><Relationship Id="rId100" Type="http://schemas.openxmlformats.org/officeDocument/2006/relationships/hyperlink" Target="https://www.fangraphs.com/players/justin-verlander/8700/stats?position=P" TargetMode="External"/><Relationship Id="rId282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338" Type="http://schemas.openxmlformats.org/officeDocument/2006/relationships/hyperlink" Target="https://www.fangraphs.com/players/luis-morales/32227/stats?position=P" TargetMode="External"/><Relationship Id="rId8" Type="http://schemas.openxmlformats.org/officeDocument/2006/relationships/hyperlink" Target="https://www.fangraphs.com/players/garrett-crochet/27463/stats?position=P" TargetMode="External"/><Relationship Id="rId142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184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391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05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447" Type="http://schemas.openxmlformats.org/officeDocument/2006/relationships/hyperlink" Target="https://www.fangraphs.com/leaders/major-league?pos=all&amp;stats=sta&amp;lg=all&amp;ind=0&amp;team=10&amp;rost=0&amp;filter=&amp;players=0&amp;page=1_500&amp;season1=2025&amp;season=2025&amp;pageitems=2000000000&amp;type=8&amp;month=33&amp;qual=10" TargetMode="External"/><Relationship Id="rId251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489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46" Type="http://schemas.openxmlformats.org/officeDocument/2006/relationships/hyperlink" Target="https://www.fangraphs.com/players/jacob-degrom/10954/stats?position=P" TargetMode="External"/><Relationship Id="rId293" Type="http://schemas.openxmlformats.org/officeDocument/2006/relationships/hyperlink" Target="https://www.fangraphs.com/players/ronel-blanco/19407/stats?position=P" TargetMode="External"/><Relationship Id="rId307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349" Type="http://schemas.openxmlformats.org/officeDocument/2006/relationships/hyperlink" Target="https://www.fangraphs.com/players/jt-ginn/27889/stats?position=P" TargetMode="External"/><Relationship Id="rId88" Type="http://schemas.openxmlformats.org/officeDocument/2006/relationships/hyperlink" Target="https://www.fangraphs.com/players/luis-castillo/15689/stats?position=P" TargetMode="External"/><Relationship Id="rId111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type=8&amp;month=33&amp;qual=10" TargetMode="External"/><Relationship Id="rId153" Type="http://schemas.openxmlformats.org/officeDocument/2006/relationships/hyperlink" Target="https://www.fangraphs.com/players/tylor-megill/21318/stats?position=P" TargetMode="External"/><Relationship Id="rId195" Type="http://schemas.openxmlformats.org/officeDocument/2006/relationships/hyperlink" Target="https://www.fangraphs.com/players/eury-perez/27768/stats?position=P" TargetMode="External"/><Relationship Id="rId209" Type="http://schemas.openxmlformats.org/officeDocument/2006/relationships/hyperlink" Target="https://www.fangraphs.com/players/bradley-lord/31972/stats?position=P" TargetMode="External"/><Relationship Id="rId360" Type="http://schemas.openxmlformats.org/officeDocument/2006/relationships/hyperlink" Target="https://www.fangraphs.com/players/valente-bellozo/23899/stats?position=P" TargetMode="External"/><Relationship Id="rId416" Type="http://schemas.openxmlformats.org/officeDocument/2006/relationships/hyperlink" Target="https://www.fangraphs.com/players/tobias-myers/22191/stats?position=P" TargetMode="External"/><Relationship Id="rId220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458" Type="http://schemas.openxmlformats.org/officeDocument/2006/relationships/hyperlink" Target="https://www.fangraphs.com/players/landon-knack/27487/stats?position=P" TargetMode="External"/><Relationship Id="rId15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57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262" Type="http://schemas.openxmlformats.org/officeDocument/2006/relationships/hyperlink" Target="https://www.fangraphs.com/players/jake-latz/21306/stats?position=P" TargetMode="External"/><Relationship Id="rId318" Type="http://schemas.openxmlformats.org/officeDocument/2006/relationships/hyperlink" Target="https://www.fangraphs.com/leaders/major-league?pos=all&amp;stats=sta&amp;lg=all&amp;ind=0&amp;team=20&amp;rost=0&amp;filter=&amp;players=0&amp;page=1_500&amp;season1=2025&amp;season=2025&amp;pageitems=2000000000&amp;type=8&amp;month=33&amp;qual=10" TargetMode="External"/><Relationship Id="rId99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122" Type="http://schemas.openxmlformats.org/officeDocument/2006/relationships/hyperlink" Target="https://www.fangraphs.com/players/clay-holmes/13649/stats?position=P" TargetMode="External"/><Relationship Id="rId164" Type="http://schemas.openxmlformats.org/officeDocument/2006/relationships/hyperlink" Target="https://www.fangraphs.com/players/reese-olson/24968/stats?position=P" TargetMode="External"/><Relationship Id="rId371" Type="http://schemas.openxmlformats.org/officeDocument/2006/relationships/hyperlink" Target="https://www.fangraphs.com/leaders/major-league?pos=all&amp;stats=sta&amp;lg=all&amp;ind=0&amp;team=30&amp;rost=0&amp;filter=&amp;players=0&amp;page=1_500&amp;season1=2025&amp;season=2025&amp;pageitems=2000000000&amp;type=8&amp;month=33&amp;qual=10" TargetMode="External"/><Relationship Id="rId427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469" Type="http://schemas.openxmlformats.org/officeDocument/2006/relationships/hyperlink" Target="https://www.fangraphs.com/players/kyle-hart/19646/stats?position=P" TargetMode="External"/><Relationship Id="rId26" Type="http://schemas.openxmlformats.org/officeDocument/2006/relationships/hyperlink" Target="https://www.fangraphs.com/players/nick-pivetta/15454/stats?position=P" TargetMode="External"/><Relationship Id="rId231" Type="http://schemas.openxmlformats.org/officeDocument/2006/relationships/hyperlink" Target="https://www.fangraphs.com/players/michael-mcgreevy/29869/stats?position=P" TargetMode="External"/><Relationship Id="rId273" Type="http://schemas.openxmlformats.org/officeDocument/2006/relationships/hyperlink" Target="https://www.fangraphs.com/players/bryce-elder/27779/stats?position=P" TargetMode="External"/><Relationship Id="rId329" Type="http://schemas.openxmlformats.org/officeDocument/2006/relationships/hyperlink" Target="https://www.fangraphs.com/players/bailey-falter/20070/stats?position=P" TargetMode="External"/><Relationship Id="rId480" Type="http://schemas.openxmlformats.org/officeDocument/2006/relationships/hyperlink" Target="https://www.fangraphs.com/players/carson-whisenhunt/31676/stats?position=P" TargetMode="External"/><Relationship Id="rId68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133" Type="http://schemas.openxmlformats.org/officeDocument/2006/relationships/hyperlink" Target="https://www.fangraphs.com/players/tyler-mahle/16358/stats?position=P" TargetMode="External"/><Relationship Id="rId175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340" Type="http://schemas.openxmlformats.org/officeDocument/2006/relationships/hyperlink" Target="https://www.fangraphs.com/players/ben-lively/14932/stats?position=P" TargetMode="External"/><Relationship Id="rId200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382" Type="http://schemas.openxmlformats.org/officeDocument/2006/relationships/hyperlink" Target="https://www.fangraphs.com/players/andrew-heaney/15423/stats?position=P" TargetMode="External"/><Relationship Id="rId438" Type="http://schemas.openxmlformats.org/officeDocument/2006/relationships/hyperlink" Target="https://www.fangraphs.com/players/carlos-carrasco/6632/stats?position=P" TargetMode="External"/><Relationship Id="rId242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284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91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37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79" Type="http://schemas.openxmlformats.org/officeDocument/2006/relationships/hyperlink" Target="https://www.fangraphs.com/players/chris-bassitt/12304/stats?position=P" TargetMode="External"/><Relationship Id="rId102" Type="http://schemas.openxmlformats.org/officeDocument/2006/relationships/hyperlink" Target="https://www.fangraphs.com/players/brayan-bello/23920/stats?position=P" TargetMode="External"/><Relationship Id="rId144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Relationship Id="rId90" Type="http://schemas.openxmlformats.org/officeDocument/2006/relationships/hyperlink" Target="https://www.fangraphs.com/players/hunter-greene/22182/stats?position=P" TargetMode="External"/><Relationship Id="rId186" Type="http://schemas.openxmlformats.org/officeDocument/2006/relationships/hyperlink" Target="https://www.fangraphs.com/leaders/major-league?pos=all&amp;stats=sta&amp;lg=all&amp;ind=0&amp;team=29&amp;rost=0&amp;filter=&amp;players=0&amp;page=1_500&amp;season1=2025&amp;season=2025&amp;pageitems=2000000000&amp;type=8&amp;month=33&amp;qual=10" TargetMode="External"/><Relationship Id="rId351" Type="http://schemas.openxmlformats.org/officeDocument/2006/relationships/hyperlink" Target="https://www.fangraphs.com/players/ryan-yarbrough/16502/stats?position=P" TargetMode="External"/><Relationship Id="rId393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407" Type="http://schemas.openxmlformats.org/officeDocument/2006/relationships/hyperlink" Target="https://www.fangraphs.com/players/dietrich-enns/13932/stats?position=P" TargetMode="External"/><Relationship Id="rId449" Type="http://schemas.openxmlformats.org/officeDocument/2006/relationships/hyperlink" Target="https://www.fangraphs.com/leaders/major-league?pos=all&amp;stats=sta&amp;lg=all&amp;ind=0&amp;team=3&amp;rost=0&amp;filter=&amp;players=0&amp;page=1_500&amp;season1=2025&amp;season=2025&amp;pageitems=2000000000&amp;type=8&amp;month=33&amp;qual=10" TargetMode="External"/><Relationship Id="rId211" Type="http://schemas.openxmlformats.org/officeDocument/2006/relationships/hyperlink" Target="https://www.fangraphs.com/players/gavin-williams/30122/stats?position=P" TargetMode="External"/><Relationship Id="rId253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295" Type="http://schemas.openxmlformats.org/officeDocument/2006/relationships/hyperlink" Target="https://www.fangraphs.com/players/randy-vasquez/24719/stats?position=P" TargetMode="External"/><Relationship Id="rId309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60" Type="http://schemas.openxmlformats.org/officeDocument/2006/relationships/hyperlink" Target="https://www.fangraphs.com/players/victor-mederos/31533/stats?position=P" TargetMode="External"/><Relationship Id="rId48" Type="http://schemas.openxmlformats.org/officeDocument/2006/relationships/hyperlink" Target="https://www.fangraphs.com/players/sonny-gray/12768/stats?position=P" TargetMode="External"/><Relationship Id="rId113" Type="http://schemas.openxmlformats.org/officeDocument/2006/relationships/hyperlink" Target="https://www.fangraphs.com/leaders/major-league?pos=all&amp;stats=sta&amp;lg=all&amp;ind=0&amp;team=19&amp;rost=0&amp;filter=&amp;players=0&amp;page=1_500&amp;season1=2025&amp;season=2025&amp;pageitems=2000000000&amp;type=8&amp;month=33&amp;qual=10" TargetMode="External"/><Relationship Id="rId320" Type="http://schemas.openxmlformats.org/officeDocument/2006/relationships/hyperlink" Target="https://www.fangraphs.com/leaders/major-league?pos=all&amp;stats=sta&amp;lg=all&amp;ind=0&amp;team=27&amp;rost=0&amp;filter=&amp;players=0&amp;page=1_500&amp;season1=2025&amp;season=2025&amp;pageitems=2000000000&amp;type=8&amp;month=33&amp;qual=10" TargetMode="External"/><Relationship Id="rId155" Type="http://schemas.openxmlformats.org/officeDocument/2006/relationships/hyperlink" Target="https://www.fangraphs.com/players/stephen-kolek/21487/stats?position=P" TargetMode="External"/><Relationship Id="rId197" Type="http://schemas.openxmlformats.org/officeDocument/2006/relationships/hyperlink" Target="https://www.fangraphs.com/players/blake-snell/13543/stats?position=P" TargetMode="External"/><Relationship Id="rId362" Type="http://schemas.openxmlformats.org/officeDocument/2006/relationships/hyperlink" Target="https://www.fangraphs.com/players/mason-barnett/31741/stats?position=P" TargetMode="External"/><Relationship Id="rId418" Type="http://schemas.openxmlformats.org/officeDocument/2006/relationships/hyperlink" Target="https://www.fangraphs.com/players/connor-gillispie/26171/stats?position=P" TargetMode="External"/><Relationship Id="rId222" Type="http://schemas.openxmlformats.org/officeDocument/2006/relationships/hyperlink" Target="https://www.fangraphs.com/players/parker-messick/31986/stats?position=P" TargetMode="External"/><Relationship Id="rId264" Type="http://schemas.openxmlformats.org/officeDocument/2006/relationships/hyperlink" Target="https://www.fangraphs.com/players/luis-gil/21052/stats?position=P" TargetMode="External"/><Relationship Id="rId471" Type="http://schemas.openxmlformats.org/officeDocument/2006/relationships/hyperlink" Target="https://www.fangraphs.com/players/austin-gomber/16561/stats?position=P" TargetMode="External"/><Relationship Id="rId17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59" Type="http://schemas.openxmlformats.org/officeDocument/2006/relationships/hyperlink" Target="https://www.fangraphs.com/leaders/major-league?pos=all&amp;stats=sta&amp;lg=all&amp;ind=0&amp;team=1&amp;rost=0&amp;filter=&amp;players=0&amp;page=1_500&amp;season1=2025&amp;season=2025&amp;pageitems=2000000000&amp;type=8&amp;month=33&amp;qual=10" TargetMode="External"/><Relationship Id="rId124" Type="http://schemas.openxmlformats.org/officeDocument/2006/relationships/hyperlink" Target="https://www.fangraphs.com/players/lucas-giolito/15474/stats?position=P" TargetMode="External"/><Relationship Id="rId70" Type="http://schemas.openxmlformats.org/officeDocument/2006/relationships/hyperlink" Target="https://www.fangraphs.com/leaders/major-league?pos=all&amp;stats=sta&amp;lg=all&amp;ind=0&amp;team=12&amp;rost=0&amp;filter=&amp;players=0&amp;page=1_500&amp;season1=2025&amp;season=2025&amp;pageitems=2000000000&amp;type=8&amp;month=33&amp;qual=10" TargetMode="External"/><Relationship Id="rId166" Type="http://schemas.openxmlformats.org/officeDocument/2006/relationships/hyperlink" Target="https://www.fangraphs.com/players/eduardo-rodriguez/13164/stats?position=P" TargetMode="External"/><Relationship Id="rId331" Type="http://schemas.openxmlformats.org/officeDocument/2006/relationships/hyperlink" Target="https://www.fangraphs.com/leaders/major-league?pos=all&amp;stats=sta&amp;lg=all&amp;ind=0&amp;team=5&amp;rost=0&amp;filter=&amp;players=0&amp;page=1_500&amp;season1=2025&amp;season=2025&amp;pageitems=2000000000&amp;type=8&amp;month=33&amp;qual=10" TargetMode="External"/><Relationship Id="rId373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29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1" Type="http://schemas.openxmlformats.org/officeDocument/2006/relationships/hyperlink" Target="https://www.fangraphs.com/leaders/major-league?pos=all&amp;stats=sta&amp;lg=all&amp;ind=0&amp;team=0&amp;rost=0&amp;filter=&amp;players=0&amp;page=1_500&amp;season1=2025&amp;season=2025&amp;pageitems=2000000000&amp;type=8&amp;month=33&amp;qual=10" TargetMode="External"/><Relationship Id="rId233" Type="http://schemas.openxmlformats.org/officeDocument/2006/relationships/hyperlink" Target="https://www.fangraphs.com/players/colin-rea/12317/stats?position=P" TargetMode="External"/><Relationship Id="rId440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28" Type="http://schemas.openxmlformats.org/officeDocument/2006/relationships/hyperlink" Target="https://www.fangraphs.com/players/nathan-eovaldi/9132/stats?position=P" TargetMode="External"/><Relationship Id="rId275" Type="http://schemas.openxmlformats.org/officeDocument/2006/relationships/hyperlink" Target="https://www.fangraphs.com/players/jason-alexander/19666/stats?position=P" TargetMode="External"/><Relationship Id="rId300" Type="http://schemas.openxmlformats.org/officeDocument/2006/relationships/hyperlink" Target="https://www.fangraphs.com/leaders/major-league?pos=all&amp;stats=sta&amp;lg=all&amp;ind=0&amp;team=14&amp;rost=0&amp;filter=&amp;players=0&amp;page=1_500&amp;season1=2025&amp;season=2025&amp;pageitems=2000000000&amp;type=8&amp;month=33&amp;qual=10" TargetMode="External"/><Relationship Id="rId482" Type="http://schemas.openxmlformats.org/officeDocument/2006/relationships/hyperlink" Target="https://www.fangraphs.com/players/didier-fuentes/30661/stats?position=P" TargetMode="External"/><Relationship Id="rId81" Type="http://schemas.openxmlformats.org/officeDocument/2006/relationships/hyperlink" Target="https://www.fangraphs.com/players/jack-flaherty/17479/stats?position=P" TargetMode="External"/><Relationship Id="rId135" Type="http://schemas.openxmlformats.org/officeDocument/2006/relationships/hyperlink" Target="https://www.fangraphs.com/players/cole-ragans/21846/stats?position=P" TargetMode="External"/><Relationship Id="rId177" Type="http://schemas.openxmlformats.org/officeDocument/2006/relationships/hyperlink" Target="https://www.fangraphs.com/players/jeffrey-springs/17677/stats?position=P" TargetMode="External"/><Relationship Id="rId342" Type="http://schemas.openxmlformats.org/officeDocument/2006/relationships/hyperlink" Target="https://www.fangraphs.com/players/cal-quantrill/19312/stats?position=P" TargetMode="External"/><Relationship Id="rId384" Type="http://schemas.openxmlformats.org/officeDocument/2006/relationships/hyperlink" Target="https://www.fangraphs.com/players/hayden-birdsong/31635/stats?position=P" TargetMode="External"/><Relationship Id="rId202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244" Type="http://schemas.openxmlformats.org/officeDocument/2006/relationships/hyperlink" Target="https://www.fangraphs.com/leaders/major-league?pos=all&amp;stats=sta&amp;lg=all&amp;ind=0&amp;team=21&amp;rost=0&amp;filter=&amp;players=0&amp;page=1_500&amp;season1=2025&amp;season=2025&amp;pageitems=2000000000&amp;type=8&amp;month=33&amp;qual=10" TargetMode="External"/><Relationship Id="rId39" Type="http://schemas.openxmlformats.org/officeDocument/2006/relationships/hyperlink" Target="https://www.fangraphs.com/leaders/major-league?pos=all&amp;stats=sta&amp;lg=all&amp;ind=0&amp;team=8&amp;rost=0&amp;filter=&amp;players=0&amp;page=1_500&amp;season1=2025&amp;season=2025&amp;pageitems=2000000000&amp;type=8&amp;month=33&amp;qual=10" TargetMode="External"/><Relationship Id="rId286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451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50" Type="http://schemas.openxmlformats.org/officeDocument/2006/relationships/hyperlink" Target="https://www.fangraphs.com/players/kris-bubic/21455/stats?position=P" TargetMode="External"/><Relationship Id="rId104" Type="http://schemas.openxmlformats.org/officeDocument/2006/relationships/hyperlink" Target="https://www.fangraphs.com/players/edward-cabrera/21690/stats?position=P" TargetMode="External"/><Relationship Id="rId146" Type="http://schemas.openxmlformats.org/officeDocument/2006/relationships/hyperlink" Target="https://www.fangraphs.com/leaders/major-league?pos=all&amp;stats=sta&amp;lg=all&amp;ind=0&amp;team=23&amp;rost=0&amp;filter=&amp;players=0&amp;page=1_500&amp;season1=2025&amp;season=2025&amp;pageitems=2000000000&amp;type=8&amp;month=33&amp;qual=10" TargetMode="External"/><Relationship Id="rId188" Type="http://schemas.openxmlformats.org/officeDocument/2006/relationships/hyperlink" Target="https://www.fangraphs.com/leaders/major-league?pos=all&amp;stats=sta&amp;lg=all&amp;ind=0&amp;team=22&amp;rost=0&amp;filter=&amp;players=0&amp;page=1_500&amp;season1=2025&amp;season=2025&amp;pageitems=2000000000&amp;type=8&amp;month=33&amp;qual=10" TargetMode="External"/><Relationship Id="rId311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353" Type="http://schemas.openxmlformats.org/officeDocument/2006/relationships/hyperlink" Target="https://www.fangraphs.com/players/andrew-alvarez/29914/stats?position=P" TargetMode="External"/><Relationship Id="rId395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409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92" Type="http://schemas.openxmlformats.org/officeDocument/2006/relationships/hyperlink" Target="https://www.fangraphs.com/players/chad-patrick/30113/stats?position=P" TargetMode="External"/><Relationship Id="rId213" Type="http://schemas.openxmlformats.org/officeDocument/2006/relationships/hyperlink" Target="https://www.fangraphs.com/players/mike-soroka/18383/stats?position=P" TargetMode="External"/><Relationship Id="rId420" Type="http://schemas.openxmlformats.org/officeDocument/2006/relationships/hyperlink" Target="https://www.fangraphs.com/players/brandon-young/27819/stats?position=P" TargetMode="External"/><Relationship Id="rId255" Type="http://schemas.openxmlformats.org/officeDocument/2006/relationships/hyperlink" Target="https://www.fangraphs.com/leaders/major-league?pos=all&amp;stats=sta&amp;lg=all&amp;ind=0&amp;team=16&amp;rost=0&amp;filter=&amp;players=0&amp;page=1_500&amp;season1=2025&amp;season=2025&amp;pageitems=2000000000&amp;type=8&amp;month=33&amp;qual=10" TargetMode="External"/><Relationship Id="rId297" Type="http://schemas.openxmlformats.org/officeDocument/2006/relationships/hyperlink" Target="https://www.fangraphs.com/players/yoendrys-gomez/22872/stats?position=P" TargetMode="External"/><Relationship Id="rId462" Type="http://schemas.openxmlformats.org/officeDocument/2006/relationships/hyperlink" Target="https://www.fangraphs.com/players/jake-irvin/21504/stats?position=P" TargetMode="External"/><Relationship Id="rId115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157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322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364" Type="http://schemas.openxmlformats.org/officeDocument/2006/relationships/hyperlink" Target="https://www.fangraphs.com/players/cade-cavalli/27473/stats?position=P" TargetMode="External"/><Relationship Id="rId61" Type="http://schemas.openxmlformats.org/officeDocument/2006/relationships/hyperlink" Target="https://www.fangraphs.com/leaders/major-league?pos=all&amp;stats=sta&amp;lg=all&amp;ind=0&amp;team=24&amp;rost=0&amp;filter=&amp;players=0&amp;page=1_500&amp;season1=2025&amp;season=2025&amp;pageitems=2000000000&amp;type=8&amp;month=33&amp;qual=10" TargetMode="External"/><Relationship Id="rId199" Type="http://schemas.openxmlformats.org/officeDocument/2006/relationships/hyperlink" Target="https://www.fangraphs.com/players/nolan-mclean/33703/stats?position=P" TargetMode="External"/><Relationship Id="rId19" Type="http://schemas.openxmlformats.org/officeDocument/2006/relationships/hyperlink" Target="https://www.fangraphs.com/leaders/major-league?pos=all&amp;stats=sta&amp;lg=all&amp;ind=0&amp;team=26&amp;rost=0&amp;filter=&amp;players=0&amp;page=1_500&amp;season1=2025&amp;season=2025&amp;pageitems=2000000000&amp;type=8&amp;month=33&amp;qual=10" TargetMode="External"/><Relationship Id="rId224" Type="http://schemas.openxmlformats.org/officeDocument/2006/relationships/hyperlink" Target="https://www.fangraphs.com/players/luis-l-ortiz/27646/stats?position=P" TargetMode="External"/><Relationship Id="rId266" Type="http://schemas.openxmlformats.org/officeDocument/2006/relationships/hyperlink" Target="https://www.fangraphs.com/players/mitchell-parker/27636/stats?position=P" TargetMode="External"/><Relationship Id="rId431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73" Type="http://schemas.openxmlformats.org/officeDocument/2006/relationships/hyperlink" Target="https://www.fangraphs.com/players/emerson-hancock/27470/stats?position=P" TargetMode="External"/><Relationship Id="rId30" Type="http://schemas.openxmlformats.org/officeDocument/2006/relationships/hyperlink" Target="https://www.fangraphs.com/players/trevor-rogers/22286/stats?position=P" TargetMode="External"/><Relationship Id="rId126" Type="http://schemas.openxmlformats.org/officeDocument/2006/relationships/hyperlink" Target="https://www.fangraphs.com/players/taj-bradley/22543/stats?position=P" TargetMode="External"/><Relationship Id="rId168" Type="http://schemas.openxmlformats.org/officeDocument/2006/relationships/hyperlink" Target="https://www.fangraphs.com/players/kyle-hendricks/12049/stats?position=P" TargetMode="External"/><Relationship Id="rId333" Type="http://schemas.openxmlformats.org/officeDocument/2006/relationships/hyperlink" Target="https://www.fangraphs.com/leaders/major-league?pos=all&amp;stats=sta&amp;lg=all&amp;ind=0&amp;team=25&amp;rost=0&amp;filter=&amp;players=0&amp;page=1_500&amp;season1=2025&amp;season=2025&amp;pageitems=2000000000&amp;type=8&amp;month=33&amp;qual=10" TargetMode="External"/><Relationship Id="rId72" Type="http://schemas.openxmlformats.org/officeDocument/2006/relationships/hyperlink" Target="https://www.fangraphs.com/leaders/major-league?pos=all&amp;stats=sta&amp;lg=all&amp;ind=0&amp;team=18&amp;rost=0&amp;filter=&amp;players=0&amp;page=1_500&amp;season1=2025&amp;season=2025&amp;pageitems=2000000000&amp;type=8&amp;month=33&amp;qual=10" TargetMode="External"/><Relationship Id="rId375" Type="http://schemas.openxmlformats.org/officeDocument/2006/relationships/hyperlink" Target="https://www.fangraphs.com/leaders/major-league?pos=all&amp;stats=sta&amp;lg=all&amp;ind=0&amp;team=2&amp;rost=0&amp;filter=&amp;players=0&amp;page=1_500&amp;season1=2025&amp;season=2025&amp;pageitems=2000000000&amp;type=8&amp;month=33&amp;qual=10" TargetMode="External"/><Relationship Id="rId3" Type="http://schemas.openxmlformats.org/officeDocument/2006/relationships/hyperlink" Target="https://www.fangraphs.com/leaders/major-league?pos=all&amp;stats=sta&amp;lg=all&amp;ind=0&amp;team=6&amp;rost=0&amp;filter=&amp;players=0&amp;page=1_500&amp;season1=2025&amp;season=2025&amp;pageitems=2000000000&amp;type=8&amp;month=33&amp;qual=10" TargetMode="External"/><Relationship Id="rId235" Type="http://schemas.openxmlformats.org/officeDocument/2006/relationships/hyperlink" Target="https://www.fangraphs.com/players/tanner-gordon/27669/stats?position=P" TargetMode="External"/><Relationship Id="rId277" Type="http://schemas.openxmlformats.org/officeDocument/2006/relationships/hyperlink" Target="https://www.fangraphs.com/players/jordan-hicks/19618/stats?position=P" TargetMode="External"/><Relationship Id="rId400" Type="http://schemas.openxmlformats.org/officeDocument/2006/relationships/hyperlink" Target="https://www.fangraphs.com/players/javier-assad/21741/stats?position=P" TargetMode="External"/><Relationship Id="rId442" Type="http://schemas.openxmlformats.org/officeDocument/2006/relationships/hyperlink" Target="https://www.fangraphs.com/leaders/major-league?pos=all&amp;stats=sta&amp;lg=all&amp;ind=0&amp;team=4&amp;rost=0&amp;filter=&amp;players=0&amp;page=1_500&amp;season1=2025&amp;season=2025&amp;pageitems=2000000000&amp;type=8&amp;month=33&amp;qual=10" TargetMode="External"/><Relationship Id="rId484" Type="http://schemas.openxmlformats.org/officeDocument/2006/relationships/hyperlink" Target="https://www.fangraphs.com/players/jack-kochanowicz/27688/stats?position=P" TargetMode="External"/><Relationship Id="rId137" Type="http://schemas.openxmlformats.org/officeDocument/2006/relationships/hyperlink" Target="https://www.fangraphs.com/players/noah-cameron/30184/stats?position=P" TargetMode="External"/><Relationship Id="rId302" Type="http://schemas.openxmlformats.org/officeDocument/2006/relationships/hyperlink" Target="https://www.fangraphs.com/leaders/major-league?pos=all&amp;stats=sta&amp;lg=all&amp;ind=0&amp;team=17&amp;rost=0&amp;filter=&amp;players=0&amp;page=1_500&amp;season1=2025&amp;season=2025&amp;pageitems=2000000000&amp;type=8&amp;month=33&amp;qual=10" TargetMode="External"/><Relationship Id="rId344" Type="http://schemas.openxmlformats.org/officeDocument/2006/relationships/hyperlink" Target="https://www.fangraphs.com/leaders/major-league?pos=all&amp;stats=sta&amp;lg=all&amp;ind=0&amp;team=15&amp;rost=0&amp;filter=&amp;players=0&amp;page=1_500&amp;season1=2025&amp;season=2025&amp;pageitems=2000000000&amp;type=8&amp;month=33&amp;qual=10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graphs.com/leaders/splits-leaderboards?splitArr=2&amp;splitArrPitch=&amp;position=B&amp;autoPt=false&amp;splitTeams=false&amp;statType=team&amp;statgroup=2&amp;startDate=2025-3-1&amp;endDate=2025-11-1&amp;players=&amp;filter=&amp;groupBy=season&amp;sort=-1,1&amp;wxTemperature=&amp;wxPressure=&amp;wxAirDensity=&amp;wxElevation=&amp;wxWindSpeed=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graphs.com/leaders/splits-leaderboards?splitArr=2&amp;splitArrPitch=&amp;position=B&amp;autoPt=false&amp;splitTeams=false&amp;statType=team&amp;statgroup=2&amp;startDate=2025-5-5&amp;endDate=2025-5-11&amp;players=&amp;filter=&amp;groupBy=season&amp;sort=-1,1&amp;wxTemperature=&amp;wxPressure=&amp;wxAirDensity=&amp;wxElevation=&amp;wxWindSpeed=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graphs.com/leaders/splits-leaderboards?splitArr=1&amp;splitArrPitch=&amp;position=B&amp;autoPt=false&amp;splitTeams=false&amp;statType=team&amp;statgroup=2&amp;startDate=2025-3-1&amp;endDate=2025-11-1&amp;players=&amp;filter=&amp;groupBy=season&amp;sort=-1,1&amp;wxTemperature=&amp;wxPressure=&amp;wxAirDensity=&amp;wxElevation=&amp;wxWindSpeed=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graphs.com/leaders/splits-leaderboards?splitArr=1&amp;splitArrPitch=&amp;position=B&amp;autoPt=false&amp;splitTeams=false&amp;statType=team&amp;statgroup=2&amp;startDate=2021-08-18&amp;endDate=2021-09-01&amp;players=&amp;filter=&amp;groupBy=season&amp;sort=-1,1" TargetMode="External"/></Relationships>
</file>

<file path=xl/worksheets/_rels/sheet4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ngraphs.com/teams/orioles" TargetMode="External"/><Relationship Id="rId21" Type="http://schemas.openxmlformats.org/officeDocument/2006/relationships/hyperlink" Target="https://www.fangraphs.com/teams/athletics" TargetMode="External"/><Relationship Id="rId34" Type="http://schemas.openxmlformats.org/officeDocument/2006/relationships/hyperlink" Target="https://www.fangraphs.com/depthcharts.aspx?position=ALL&amp;teamid=14" TargetMode="External"/><Relationship Id="rId42" Type="http://schemas.openxmlformats.org/officeDocument/2006/relationships/hyperlink" Target="https://www.fangraphs.com/depthcharts.aspx?position=ALL&amp;teamid=4" TargetMode="External"/><Relationship Id="rId47" Type="http://schemas.openxmlformats.org/officeDocument/2006/relationships/hyperlink" Target="https://www.fangraphs.com/depthcharts.aspx?position=ALL&amp;teamid=10" TargetMode="External"/><Relationship Id="rId50" Type="http://schemas.openxmlformats.org/officeDocument/2006/relationships/hyperlink" Target="https://www.fangraphs.com/depthcharts.aspx?position=ALL&amp;teamid=26" TargetMode="External"/><Relationship Id="rId55" Type="http://schemas.openxmlformats.org/officeDocument/2006/relationships/hyperlink" Target="https://www.fangraphs.com/depthcharts.aspx?position=Standings" TargetMode="External"/><Relationship Id="rId63" Type="http://schemas.openxmlformats.org/officeDocument/2006/relationships/hyperlink" Target="https://www.fangraphs.com/depthcharts.aspx?position=ALL&amp;teamid=30" TargetMode="External"/><Relationship Id="rId7" Type="http://schemas.openxmlformats.org/officeDocument/2006/relationships/hyperlink" Target="https://www.fangraphs.com/teams/mets" TargetMode="External"/><Relationship Id="rId2" Type="http://schemas.openxmlformats.org/officeDocument/2006/relationships/hyperlink" Target="https://www.fangraphs.com/teams/brewers" TargetMode="External"/><Relationship Id="rId16" Type="http://schemas.openxmlformats.org/officeDocument/2006/relationships/hyperlink" Target="https://www.fangraphs.com/teams/astros" TargetMode="External"/><Relationship Id="rId29" Type="http://schemas.openxmlformats.org/officeDocument/2006/relationships/hyperlink" Target="https://www.fangraphs.com/teams/nationals" TargetMode="External"/><Relationship Id="rId11" Type="http://schemas.openxmlformats.org/officeDocument/2006/relationships/hyperlink" Target="https://www.fangraphs.com/teams/blue-jays" TargetMode="External"/><Relationship Id="rId24" Type="http://schemas.openxmlformats.org/officeDocument/2006/relationships/hyperlink" Target="https://www.fangraphs.com/teams/marlins" TargetMode="External"/><Relationship Id="rId32" Type="http://schemas.openxmlformats.org/officeDocument/2006/relationships/hyperlink" Target="https://www.fangraphs.com/depthcharts.aspx?position=ALL&amp;teamid=9" TargetMode="External"/><Relationship Id="rId37" Type="http://schemas.openxmlformats.org/officeDocument/2006/relationships/hyperlink" Target="https://www.fangraphs.com/depthcharts.aspx?position=Standings" TargetMode="External"/><Relationship Id="rId40" Type="http://schemas.openxmlformats.org/officeDocument/2006/relationships/hyperlink" Target="https://www.fangraphs.com/depthcharts.aspx?position=ALL&amp;teamid=7" TargetMode="External"/><Relationship Id="rId45" Type="http://schemas.openxmlformats.org/officeDocument/2006/relationships/hyperlink" Target="https://www.fangraphs.com/depthcharts.aspx?position=ALL&amp;teamid=21" TargetMode="External"/><Relationship Id="rId53" Type="http://schemas.openxmlformats.org/officeDocument/2006/relationships/hyperlink" Target="https://www.fangraphs.com/depthcharts.aspx?position=ALL&amp;teamid=24" TargetMode="External"/><Relationship Id="rId58" Type="http://schemas.openxmlformats.org/officeDocument/2006/relationships/hyperlink" Target="https://www.fangraphs.com/depthcharts.aspx?position=ALL&amp;teamid=23" TargetMode="External"/><Relationship Id="rId66" Type="http://schemas.openxmlformats.org/officeDocument/2006/relationships/hyperlink" Target="https://www.fangraphs.com/depthcharts.aspx?position=ALL&amp;teamid=19" TargetMode="External"/><Relationship Id="rId5" Type="http://schemas.openxmlformats.org/officeDocument/2006/relationships/hyperlink" Target="https://www.fangraphs.com/teams/phillies" TargetMode="External"/><Relationship Id="rId61" Type="http://schemas.openxmlformats.org/officeDocument/2006/relationships/hyperlink" Target="https://www.fangraphs.com/depthcharts.aspx?position=Standings" TargetMode="External"/><Relationship Id="rId19" Type="http://schemas.openxmlformats.org/officeDocument/2006/relationships/hyperlink" Target="https://www.fangraphs.com/teams/braves" TargetMode="External"/><Relationship Id="rId14" Type="http://schemas.openxmlformats.org/officeDocument/2006/relationships/hyperlink" Target="https://www.fangraphs.com/teams/royals" TargetMode="External"/><Relationship Id="rId22" Type="http://schemas.openxmlformats.org/officeDocument/2006/relationships/hyperlink" Target="https://www.fangraphs.com/teams/twins" TargetMode="External"/><Relationship Id="rId27" Type="http://schemas.openxmlformats.org/officeDocument/2006/relationships/hyperlink" Target="https://www.fangraphs.com/teams/white-sox" TargetMode="External"/><Relationship Id="rId30" Type="http://schemas.openxmlformats.org/officeDocument/2006/relationships/hyperlink" Target="https://www.fangraphs.com/teams/rockies" TargetMode="External"/><Relationship Id="rId35" Type="http://schemas.openxmlformats.org/officeDocument/2006/relationships/hyperlink" Target="https://www.fangraphs.com/depthcharts.aspx?position=ALL&amp;teamid=12" TargetMode="External"/><Relationship Id="rId43" Type="http://schemas.openxmlformats.org/officeDocument/2006/relationships/hyperlink" Target="https://www.fangraphs.com/depthcharts.aspx?position=Standings" TargetMode="External"/><Relationship Id="rId48" Type="http://schemas.openxmlformats.org/officeDocument/2006/relationships/hyperlink" Target="https://www.fangraphs.com/depthcharts.aspx?position=ALL&amp;teamid=1" TargetMode="External"/><Relationship Id="rId56" Type="http://schemas.openxmlformats.org/officeDocument/2006/relationships/hyperlink" Target="https://www.fangraphs.com/depthcharts.aspx?position=ALL&amp;teamid=17" TargetMode="External"/><Relationship Id="rId64" Type="http://schemas.openxmlformats.org/officeDocument/2006/relationships/hyperlink" Target="https://www.fangraphs.com/depthcharts.aspx?position=ALL&amp;teamid=29" TargetMode="External"/><Relationship Id="rId8" Type="http://schemas.openxmlformats.org/officeDocument/2006/relationships/hyperlink" Target="https://www.fangraphs.com/teams/mariners" TargetMode="External"/><Relationship Id="rId51" Type="http://schemas.openxmlformats.org/officeDocument/2006/relationships/hyperlink" Target="https://www.fangraphs.com/depthcharts.aspx?position=ALL&amp;teamid=25" TargetMode="External"/><Relationship Id="rId3" Type="http://schemas.openxmlformats.org/officeDocument/2006/relationships/hyperlink" Target="https://www.fangraphs.com/teams/cubs" TargetMode="External"/><Relationship Id="rId12" Type="http://schemas.openxmlformats.org/officeDocument/2006/relationships/hyperlink" Target="https://www.fangraphs.com/teams/rangers" TargetMode="External"/><Relationship Id="rId17" Type="http://schemas.openxmlformats.org/officeDocument/2006/relationships/hyperlink" Target="https://www.fangraphs.com/teams/reds" TargetMode="External"/><Relationship Id="rId25" Type="http://schemas.openxmlformats.org/officeDocument/2006/relationships/hyperlink" Target="https://www.fangraphs.com/teams/cardinals" TargetMode="External"/><Relationship Id="rId33" Type="http://schemas.openxmlformats.org/officeDocument/2006/relationships/hyperlink" Target="https://www.fangraphs.com/depthcharts.aspx?position=ALL&amp;teamid=3" TargetMode="External"/><Relationship Id="rId38" Type="http://schemas.openxmlformats.org/officeDocument/2006/relationships/hyperlink" Target="https://www.fangraphs.com/depthcharts.aspx?position=ALL&amp;teamid=6" TargetMode="External"/><Relationship Id="rId46" Type="http://schemas.openxmlformats.org/officeDocument/2006/relationships/hyperlink" Target="https://www.fangraphs.com/depthcharts.aspx?position=ALL&amp;teamid=13" TargetMode="External"/><Relationship Id="rId59" Type="http://schemas.openxmlformats.org/officeDocument/2006/relationships/hyperlink" Target="https://www.fangraphs.com/depthcharts.aspx?position=ALL&amp;teamid=18" TargetMode="External"/><Relationship Id="rId20" Type="http://schemas.openxmlformats.org/officeDocument/2006/relationships/hyperlink" Target="https://www.fangraphs.com/teams/guardians" TargetMode="External"/><Relationship Id="rId41" Type="http://schemas.openxmlformats.org/officeDocument/2006/relationships/hyperlink" Target="https://www.fangraphs.com/depthcharts.aspx?position=ALL&amp;teamid=5" TargetMode="External"/><Relationship Id="rId54" Type="http://schemas.openxmlformats.org/officeDocument/2006/relationships/hyperlink" Target="https://www.fangraphs.com/depthcharts.aspx?position=ALL&amp;teamid=20" TargetMode="External"/><Relationship Id="rId62" Type="http://schemas.openxmlformats.org/officeDocument/2006/relationships/hyperlink" Target="https://www.fangraphs.com/depthcharts.aspx?position=ALL&amp;teamid=22" TargetMode="External"/><Relationship Id="rId1" Type="http://schemas.openxmlformats.org/officeDocument/2006/relationships/hyperlink" Target="https://www.fangraphs.com/teams/yankees" TargetMode="External"/><Relationship Id="rId6" Type="http://schemas.openxmlformats.org/officeDocument/2006/relationships/hyperlink" Target="https://www.fangraphs.com/teams/red-sox" TargetMode="External"/><Relationship Id="rId15" Type="http://schemas.openxmlformats.org/officeDocument/2006/relationships/hyperlink" Target="https://www.fangraphs.com/teams/diamondbacks" TargetMode="External"/><Relationship Id="rId23" Type="http://schemas.openxmlformats.org/officeDocument/2006/relationships/hyperlink" Target="https://www.fangraphs.com/teams/pirates" TargetMode="External"/><Relationship Id="rId28" Type="http://schemas.openxmlformats.org/officeDocument/2006/relationships/hyperlink" Target="https://www.fangraphs.com/teams/angels" TargetMode="External"/><Relationship Id="rId36" Type="http://schemas.openxmlformats.org/officeDocument/2006/relationships/hyperlink" Target="https://www.fangraphs.com/depthcharts.aspx?position=ALL&amp;teamid=2" TargetMode="External"/><Relationship Id="rId49" Type="http://schemas.openxmlformats.org/officeDocument/2006/relationships/hyperlink" Target="https://www.fangraphs.com/depthcharts.aspx?position=Standings" TargetMode="External"/><Relationship Id="rId57" Type="http://schemas.openxmlformats.org/officeDocument/2006/relationships/hyperlink" Target="https://www.fangraphs.com/depthcharts.aspx?position=ALL&amp;teamid=28" TargetMode="External"/><Relationship Id="rId10" Type="http://schemas.openxmlformats.org/officeDocument/2006/relationships/hyperlink" Target="https://www.fangraphs.com/teams/tigers" TargetMode="External"/><Relationship Id="rId31" Type="http://schemas.openxmlformats.org/officeDocument/2006/relationships/hyperlink" Target="https://www.fangraphs.com/depthcharts.aspx?position=Standings" TargetMode="External"/><Relationship Id="rId44" Type="http://schemas.openxmlformats.org/officeDocument/2006/relationships/hyperlink" Target="https://www.fangraphs.com/depthcharts.aspx?position=ALL&amp;teamid=11" TargetMode="External"/><Relationship Id="rId52" Type="http://schemas.openxmlformats.org/officeDocument/2006/relationships/hyperlink" Target="https://www.fangraphs.com/depthcharts.aspx?position=ALL&amp;teamid=16" TargetMode="External"/><Relationship Id="rId60" Type="http://schemas.openxmlformats.org/officeDocument/2006/relationships/hyperlink" Target="https://www.fangraphs.com/depthcharts.aspx?position=ALL&amp;teamid=27" TargetMode="External"/><Relationship Id="rId65" Type="http://schemas.openxmlformats.org/officeDocument/2006/relationships/hyperlink" Target="https://www.fangraphs.com/depthcharts.aspx?position=ALL&amp;teamid=15" TargetMode="External"/><Relationship Id="rId4" Type="http://schemas.openxmlformats.org/officeDocument/2006/relationships/hyperlink" Target="https://www.fangraphs.com/teams/dodgers" TargetMode="External"/><Relationship Id="rId9" Type="http://schemas.openxmlformats.org/officeDocument/2006/relationships/hyperlink" Target="https://www.fangraphs.com/teams/padres" TargetMode="External"/><Relationship Id="rId13" Type="http://schemas.openxmlformats.org/officeDocument/2006/relationships/hyperlink" Target="https://www.fangraphs.com/teams/rays" TargetMode="External"/><Relationship Id="rId18" Type="http://schemas.openxmlformats.org/officeDocument/2006/relationships/hyperlink" Target="https://www.fangraphs.com/teams/giants" TargetMode="External"/><Relationship Id="rId39" Type="http://schemas.openxmlformats.org/officeDocument/2006/relationships/hyperlink" Target="https://www.fangraphs.com/depthcharts.aspx?position=ALL&amp;teamid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"/>
  <sheetViews>
    <sheetView workbookViewId="0"/>
  </sheetViews>
  <sheetFormatPr defaultColWidth="12.5703125" defaultRowHeight="15" customHeight="1"/>
  <sheetData>
    <row r="1" spans="1:1">
      <c r="A1" s="1" t="s">
        <v>232</v>
      </c>
    </row>
    <row r="2" spans="1:1">
      <c r="A2" s="1" t="s">
        <v>233</v>
      </c>
    </row>
    <row r="3" spans="1:1">
      <c r="A3" s="1" t="s">
        <v>234</v>
      </c>
    </row>
    <row r="4" spans="1:1">
      <c r="A4" s="1" t="s">
        <v>235</v>
      </c>
    </row>
    <row r="5" spans="1:1">
      <c r="A5" s="1" t="s">
        <v>236</v>
      </c>
    </row>
    <row r="6" spans="1:1">
      <c r="A6" s="1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07"/>
  <sheetViews>
    <sheetView workbookViewId="0">
      <selection activeCell="H36" sqref="H36"/>
    </sheetView>
  </sheetViews>
  <sheetFormatPr defaultColWidth="12.5703125" defaultRowHeight="15" customHeight="1"/>
  <cols>
    <col min="1" max="1" width="1.7109375" customWidth="1"/>
    <col min="2" max="2" width="6.42578125" customWidth="1"/>
    <col min="3" max="3" width="21" customWidth="1"/>
    <col min="4" max="4" width="25.85546875" customWidth="1"/>
    <col min="5" max="5" width="5.5703125" customWidth="1"/>
    <col min="6" max="6" width="7.5703125" customWidth="1"/>
    <col min="7" max="7" width="7.5703125" hidden="1" customWidth="1"/>
    <col min="8" max="10" width="7.5703125" customWidth="1"/>
    <col min="11" max="14" width="7.5703125" hidden="1" customWidth="1"/>
    <col min="15" max="16" width="7.5703125" customWidth="1"/>
    <col min="17" max="19" width="7.5703125" hidden="1" customWidth="1"/>
    <col min="20" max="20" width="9.7109375" hidden="1" customWidth="1"/>
    <col min="21" max="21" width="8.140625" customWidth="1"/>
    <col min="22" max="23" width="8.140625" hidden="1" customWidth="1"/>
    <col min="24" max="24" width="38" customWidth="1"/>
    <col min="25" max="25" width="32.140625" hidden="1" customWidth="1"/>
    <col min="26" max="26" width="20" customWidth="1"/>
    <col min="27" max="27" width="21.7109375" hidden="1" customWidth="1"/>
    <col min="28" max="28" width="7" hidden="1" customWidth="1"/>
    <col min="29" max="29" width="11.42578125" customWidth="1"/>
  </cols>
  <sheetData>
    <row r="1" spans="1:32" ht="12.75" customHeight="1">
      <c r="A1" s="2"/>
      <c r="B1" s="3">
        <f>Bets!D1</f>
        <v>0</v>
      </c>
      <c r="C1" s="4" t="str">
        <f>Bets!E1</f>
        <v>W</v>
      </c>
      <c r="D1" s="4" t="str">
        <f>Bets!F1</f>
        <v>L</v>
      </c>
      <c r="E1" s="4" t="str">
        <f>Bets!G1</f>
        <v>P</v>
      </c>
      <c r="F1" s="4"/>
      <c r="G1" s="4"/>
      <c r="H1" s="4"/>
      <c r="I1" s="4"/>
      <c r="J1" s="4"/>
      <c r="K1" s="4"/>
      <c r="L1" s="4" t="str">
        <f>Bets!H1</f>
        <v>Units P/L</v>
      </c>
      <c r="M1" s="4" t="str">
        <f>Bets!I1</f>
        <v>CLV</v>
      </c>
      <c r="N1" s="4" t="str">
        <f>Bets!I1</f>
        <v>CLV</v>
      </c>
      <c r="O1" s="4"/>
      <c r="P1" s="4" t="str">
        <f>Bets!J1</f>
        <v>Edge</v>
      </c>
      <c r="Q1" s="4"/>
      <c r="R1" s="4" t="str">
        <f>Bets!K1</f>
        <v>Yield</v>
      </c>
      <c r="S1" s="5" t="str">
        <f>Bets!L1</f>
        <v>ROI</v>
      </c>
      <c r="T1" s="4" t="s">
        <v>238</v>
      </c>
      <c r="U1" s="6">
        <f>SUMIFS(Bets!$L$10:$L$979, Bets!$A$10:$A$979, T1, Bets!$B$10:$B$979,$B$3)</f>
        <v>8.0814273535978032</v>
      </c>
      <c r="V1" s="4"/>
      <c r="W1" s="4"/>
      <c r="X1" s="4" t="str">
        <f>Bets!M1</f>
        <v>BTL</v>
      </c>
      <c r="Y1" s="4"/>
      <c r="Z1" s="5" t="str">
        <f>Bets!N1</f>
        <v>xBTL</v>
      </c>
      <c r="AA1" s="3" t="str">
        <f>Bets!P1</f>
        <v>Number of Bets</v>
      </c>
      <c r="AB1" s="3">
        <f>Bets!R1</f>
        <v>334</v>
      </c>
      <c r="AC1" s="2"/>
      <c r="AD1" s="2"/>
      <c r="AE1" s="2"/>
      <c r="AF1" s="2"/>
    </row>
    <row r="2" spans="1:32" ht="12.75" customHeight="1">
      <c r="A2" s="2"/>
      <c r="B2" s="5" t="s">
        <v>239</v>
      </c>
      <c r="C2" s="5">
        <f>C4+C3</f>
        <v>168</v>
      </c>
      <c r="D2" s="5">
        <f>D4+D3</f>
        <v>151</v>
      </c>
      <c r="E2" s="5">
        <f>E4+E3</f>
        <v>44</v>
      </c>
      <c r="F2" s="5"/>
      <c r="G2" s="5"/>
      <c r="H2" s="5"/>
      <c r="I2" s="5"/>
      <c r="J2" s="5"/>
      <c r="K2" s="5"/>
      <c r="L2" s="7">
        <f>L4+L3</f>
        <v>22.709303067313062</v>
      </c>
      <c r="M2" s="8">
        <f ca="1">AVERAGE(M3:M4)</f>
        <v>4.5312669852586298E-3</v>
      </c>
      <c r="N2" s="5"/>
      <c r="O2" s="5"/>
      <c r="P2" s="8">
        <f ca="1">AVERAGE(P3:P4)</f>
        <v>0.10042535471035846</v>
      </c>
      <c r="Q2" s="5"/>
      <c r="R2" s="8">
        <f>AVERAGE(R3:R4)</f>
        <v>6.5339193297310583E-2</v>
      </c>
      <c r="S2" s="9"/>
      <c r="T2" s="10" t="s">
        <v>240</v>
      </c>
      <c r="U2" s="6">
        <f>SUMIFS(Bets!$L$10:$L$979, Bets!$A$10:$A$979, T2, Bets!$B$10:$B$979,$B$3)</f>
        <v>12.721984938356929</v>
      </c>
      <c r="V2" s="10"/>
      <c r="W2" s="10"/>
      <c r="X2" s="11">
        <f>Bets!M2</f>
        <v>0.56298200514138819</v>
      </c>
      <c r="Y2" s="12"/>
      <c r="Z2" s="8">
        <f>Bets!N2</f>
        <v>0.99673202614379086</v>
      </c>
      <c r="AA2" s="3" t="str">
        <f>Bets!P2</f>
        <v>Yield</v>
      </c>
      <c r="AB2" s="13">
        <f>Bets!R2</f>
        <v>6.2133431382821173E-2</v>
      </c>
      <c r="AC2" s="2"/>
      <c r="AD2" s="2"/>
      <c r="AE2" s="2"/>
      <c r="AF2" s="2"/>
    </row>
    <row r="3" spans="1:32" ht="12.75" customHeight="1">
      <c r="A3" s="2"/>
      <c r="B3" s="4" t="str">
        <f>Bets!D3</f>
        <v>1st 5 ML</v>
      </c>
      <c r="C3" s="4">
        <f>Bets!E3</f>
        <v>150</v>
      </c>
      <c r="D3" s="4">
        <f>Bets!F3</f>
        <v>140</v>
      </c>
      <c r="E3" s="4">
        <f>Bets!G3</f>
        <v>44</v>
      </c>
      <c r="F3" s="4"/>
      <c r="G3" s="4"/>
      <c r="H3" s="4"/>
      <c r="I3" s="4"/>
      <c r="J3" s="4"/>
      <c r="K3" s="4"/>
      <c r="L3" s="14">
        <f>Bets!H3</f>
        <v>20.72149936617086</v>
      </c>
      <c r="M3" s="15">
        <f ca="1">Bets!I3</f>
        <v>1.07633632484138E-2</v>
      </c>
      <c r="N3" s="15">
        <f ca="1">Bets!I3</f>
        <v>1.07633632484138E-2</v>
      </c>
      <c r="O3" s="4"/>
      <c r="P3" s="15">
        <f ca="1">Bets!J3</f>
        <v>0.10890829703639</v>
      </c>
      <c r="Q3" s="4"/>
      <c r="R3" s="15">
        <f>Bets!K3</f>
        <v>6.2133431382821173E-2</v>
      </c>
      <c r="S3" s="8">
        <f>Bets!L3</f>
        <v>0.20721499366170859</v>
      </c>
      <c r="T3" s="4" t="s">
        <v>241</v>
      </c>
      <c r="U3" s="6">
        <f>SUMIFS(Bets!$L$10:$L$979, Bets!$A$10:$A$979, T3, Bets!$B$10:$B$979,$B$3)</f>
        <v>-2.8600335148722245</v>
      </c>
      <c r="V3" s="4"/>
      <c r="W3" s="4"/>
      <c r="X3" s="15">
        <f>Bets!M3</f>
        <v>0.58682634730538918</v>
      </c>
      <c r="Y3" s="4"/>
      <c r="Z3" s="8">
        <f>Bets!N3</f>
        <v>0.99638989169675085</v>
      </c>
      <c r="AA3" s="3" t="str">
        <f>Bets!P3</f>
        <v>Average Odds</v>
      </c>
      <c r="AB3" s="16">
        <f>Bets!R3</f>
        <v>2.1795368927266972</v>
      </c>
      <c r="AC3" s="2"/>
      <c r="AD3" s="2"/>
      <c r="AE3" s="2"/>
      <c r="AF3" s="2"/>
    </row>
    <row r="4" spans="1:32" ht="12.75" customHeight="1">
      <c r="A4" s="2"/>
      <c r="B4" s="5" t="str">
        <f>Bets!D4</f>
        <v>1st 5 RL</v>
      </c>
      <c r="C4" s="5">
        <f>Bets!E4</f>
        <v>18</v>
      </c>
      <c r="D4" s="5">
        <f>Bets!F4</f>
        <v>11</v>
      </c>
      <c r="E4" s="5">
        <f>Bets!G4</f>
        <v>0</v>
      </c>
      <c r="F4" s="5"/>
      <c r="G4" s="5"/>
      <c r="H4" s="5"/>
      <c r="I4" s="5"/>
      <c r="J4" s="5"/>
      <c r="K4" s="5"/>
      <c r="L4" s="7">
        <f>Bets!H4</f>
        <v>1.9878037011422001</v>
      </c>
      <c r="M4" s="8">
        <f ca="1">Bets!I4</f>
        <v>-1.70082927789654E-3</v>
      </c>
      <c r="N4" s="5" t="s">
        <v>242</v>
      </c>
      <c r="O4" s="5"/>
      <c r="P4" s="8">
        <f ca="1">Bets!J4</f>
        <v>9.1942412384326905E-2</v>
      </c>
      <c r="Q4" s="5"/>
      <c r="R4" s="8">
        <f>Bets!K4</f>
        <v>6.8544955211799999E-2</v>
      </c>
      <c r="S4" s="17">
        <f>Bets!L4</f>
        <v>1.9878037011422E-2</v>
      </c>
      <c r="T4" s="4" t="s">
        <v>243</v>
      </c>
      <c r="U4" s="6">
        <f>SUMIFS(Bets!$L$10:$L$979, Bets!$A$10:$A$979, T4, Bets!$B$10:$B$979,$B$3)</f>
        <v>3.9905015414692837</v>
      </c>
      <c r="V4" s="18"/>
      <c r="W4" s="18"/>
      <c r="X4" s="19">
        <f>Bets!M4</f>
        <v>0.48275862068965519</v>
      </c>
      <c r="Y4" s="18"/>
      <c r="Z4" s="18"/>
      <c r="AA4" s="3" t="str">
        <f>Bets!P4</f>
        <v>Standard Deviation</v>
      </c>
      <c r="AB4" s="20">
        <f>Bets!R4</f>
        <v>0.92814165414438343</v>
      </c>
      <c r="AC4" s="2"/>
      <c r="AD4" s="2"/>
      <c r="AE4" s="2"/>
      <c r="AF4" s="2"/>
    </row>
    <row r="5" spans="1:32" ht="12.75" customHeight="1">
      <c r="A5" s="2"/>
      <c r="B5" s="4" t="s">
        <v>244</v>
      </c>
      <c r="C5" s="15">
        <f>C3/(C3+D3)</f>
        <v>0.51724137931034486</v>
      </c>
      <c r="D5" s="21">
        <f>Bets!F5</f>
        <v>14</v>
      </c>
      <c r="E5" s="21">
        <f>Bets!G5</f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4" t="s">
        <v>245</v>
      </c>
      <c r="U5" s="6">
        <f>SUMIFS(Bets!$L$10:$L$979, Bets!$A$10:$A$979, T5, Bets!$B$10:$B$979,$B$3)</f>
        <v>-2.1666666666666665</v>
      </c>
      <c r="V5" s="3"/>
      <c r="W5" s="3"/>
      <c r="X5" s="3"/>
      <c r="Y5" s="3"/>
      <c r="Z5" s="3"/>
      <c r="AA5" s="3" t="str">
        <f>Bets!P5</f>
        <v>t-statistic</v>
      </c>
      <c r="AB5" s="20">
        <f>Bets!R5</f>
        <v>1.2234445993760816</v>
      </c>
      <c r="AC5" s="2"/>
      <c r="AD5" s="2"/>
      <c r="AE5" s="2"/>
      <c r="AF5" s="2"/>
    </row>
    <row r="6" spans="1:32" ht="12.75" customHeight="1">
      <c r="A6" s="2"/>
      <c r="B6" s="4">
        <f>Bets!D6</f>
        <v>0</v>
      </c>
      <c r="C6" s="22">
        <f>Bets!E6</f>
        <v>0</v>
      </c>
      <c r="D6" s="23">
        <f>Bets!F6</f>
        <v>0</v>
      </c>
      <c r="E6" s="23" t="s">
        <v>246</v>
      </c>
      <c r="F6" s="23" t="s">
        <v>247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 t="s">
        <v>248</v>
      </c>
      <c r="U6" s="6">
        <f>SUMIFS(Bets!$L$10:$L$979, Bets!$A$10:$A$979, T6, Bets!$B$10:$B$979,$B$3)</f>
        <v>0.95428571428571418</v>
      </c>
      <c r="V6" s="3"/>
      <c r="W6" s="3"/>
      <c r="X6" s="3"/>
      <c r="Y6" s="3"/>
      <c r="Z6" s="3"/>
      <c r="AA6" s="3" t="str">
        <f>Bets!P6</f>
        <v>p-value</v>
      </c>
      <c r="AB6" s="20">
        <f>Bets!R6</f>
        <v>0.22202683737606826</v>
      </c>
      <c r="AC6" s="2"/>
      <c r="AD6" s="2"/>
      <c r="AE6" s="2"/>
      <c r="AF6" s="2"/>
    </row>
    <row r="7" spans="1:32" ht="12.75" customHeight="1">
      <c r="A7" s="2"/>
      <c r="B7" s="3" t="s">
        <v>249</v>
      </c>
      <c r="C7" s="24">
        <f ca="1">TODAY()</f>
        <v>46109</v>
      </c>
      <c r="D7" s="23" t="s">
        <v>250</v>
      </c>
      <c r="E7" s="23">
        <v>1</v>
      </c>
      <c r="F7" s="23">
        <v>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 t="s">
        <v>251</v>
      </c>
      <c r="U7" s="25">
        <f>SUM(U1:U6)</f>
        <v>20.721499366170839</v>
      </c>
      <c r="V7" s="3"/>
      <c r="W7" s="3"/>
      <c r="X7" s="3"/>
      <c r="Y7" s="3"/>
      <c r="Z7" s="3"/>
      <c r="AA7" s="3" t="str">
        <f>Bets!P7</f>
        <v>1-in-x probability</v>
      </c>
      <c r="AB7" s="20">
        <f>Bets!R7</f>
        <v>4.5039600249144813</v>
      </c>
      <c r="AC7" s="2"/>
      <c r="AD7" s="2"/>
      <c r="AE7" s="2"/>
      <c r="AF7" s="2"/>
    </row>
    <row r="8" spans="1:32" ht="12.75" customHeight="1">
      <c r="A8" s="2"/>
      <c r="B8" s="397" t="s">
        <v>252</v>
      </c>
      <c r="C8" s="390"/>
      <c r="D8" s="390"/>
      <c r="E8" s="390"/>
      <c r="F8" s="390"/>
      <c r="G8" s="390"/>
      <c r="H8" s="391"/>
      <c r="I8" s="393" t="s">
        <v>253</v>
      </c>
      <c r="J8" s="390"/>
      <c r="K8" s="390"/>
      <c r="L8" s="390"/>
      <c r="M8" s="390"/>
      <c r="N8" s="391"/>
      <c r="O8" s="395" t="s">
        <v>254</v>
      </c>
      <c r="P8" s="390"/>
      <c r="Q8" s="390"/>
      <c r="R8" s="390"/>
      <c r="S8" s="390"/>
      <c r="T8" s="391"/>
      <c r="U8" s="394" t="s">
        <v>255</v>
      </c>
      <c r="V8" s="390"/>
      <c r="W8" s="390"/>
      <c r="X8" s="26" t="s">
        <v>256</v>
      </c>
      <c r="Y8" s="27" t="s">
        <v>256</v>
      </c>
      <c r="Z8" s="389" t="s">
        <v>257</v>
      </c>
      <c r="AA8" s="390"/>
      <c r="AB8" s="391"/>
      <c r="AC8" s="2"/>
      <c r="AD8" s="2"/>
      <c r="AE8" s="2"/>
      <c r="AF8" s="2"/>
    </row>
    <row r="9" spans="1:32" ht="25.5" customHeight="1">
      <c r="A9" s="2"/>
      <c r="B9" s="28" t="s">
        <v>258</v>
      </c>
      <c r="C9" s="29" t="s">
        <v>259</v>
      </c>
      <c r="D9" s="29" t="s">
        <v>260</v>
      </c>
      <c r="E9" s="29" t="s">
        <v>261</v>
      </c>
      <c r="F9" s="30" t="s">
        <v>262</v>
      </c>
      <c r="G9" s="29" t="s">
        <v>263</v>
      </c>
      <c r="H9" s="29" t="s">
        <v>264</v>
      </c>
      <c r="I9" s="31" t="s">
        <v>265</v>
      </c>
      <c r="J9" s="31" t="s">
        <v>266</v>
      </c>
      <c r="K9" s="31" t="s">
        <v>267</v>
      </c>
      <c r="L9" s="31" t="s">
        <v>268</v>
      </c>
      <c r="M9" s="31" t="s">
        <v>269</v>
      </c>
      <c r="N9" s="31" t="s">
        <v>270</v>
      </c>
      <c r="O9" s="32" t="s">
        <v>271</v>
      </c>
      <c r="P9" s="32" t="s">
        <v>272</v>
      </c>
      <c r="Q9" s="32" t="s">
        <v>267</v>
      </c>
      <c r="R9" s="32" t="s">
        <v>268</v>
      </c>
      <c r="S9" s="32" t="s">
        <v>269</v>
      </c>
      <c r="T9" s="32" t="s">
        <v>270</v>
      </c>
      <c r="U9" s="33" t="s">
        <v>273</v>
      </c>
      <c r="V9" s="33" t="s">
        <v>274</v>
      </c>
      <c r="W9" s="33" t="s">
        <v>275</v>
      </c>
      <c r="X9" s="34" t="s">
        <v>276</v>
      </c>
      <c r="Y9" s="34" t="s">
        <v>277</v>
      </c>
      <c r="Z9" s="34" t="s">
        <v>276</v>
      </c>
      <c r="AA9" s="34" t="s">
        <v>278</v>
      </c>
      <c r="AB9" s="34" t="s">
        <v>279</v>
      </c>
      <c r="AC9" s="2"/>
      <c r="AD9" s="2"/>
      <c r="AE9" s="2"/>
      <c r="AF9" s="2"/>
    </row>
    <row r="10" spans="1:32" ht="13.5" customHeight="1">
      <c r="A10" s="35"/>
      <c r="B10" s="388">
        <v>1</v>
      </c>
      <c r="C10" s="37" t="str">
        <f>IFERROR(_xlfn.XLOOKUP('First 5 Innings'!D5,Validations!$E$2:$E$31,Validations!$H$2:$H$31),"")</f>
        <v>Tampa Bay Rays</v>
      </c>
      <c r="D10" s="37" t="str">
        <f>IFERROR('First 5 Innings'!B5,"")</f>
        <v>Joe Boyle</v>
      </c>
      <c r="E10" s="37" t="str">
        <f>'First 5 Innings'!C5</f>
        <v>R</v>
      </c>
      <c r="F10" s="38">
        <f t="array" ref="F10">IFERROR(_xlfn.XLOOKUP(D10,'Starting Pitchers'!$B$4:$B1007,'Starting Pitchers'!$Z$4:$Z1007),"")</f>
        <v>153</v>
      </c>
      <c r="G10" s="39" t="str">
        <f t="array" ref="G10">IFERROR(_xlfn.XLOOKUP(D10,'Starting Pitchers'!$B$4:$B1007,'Starting Pitchers'!#REF!),"")</f>
        <v/>
      </c>
      <c r="H10" s="40">
        <f>IF('First 5 Innings'!G5=0,"",'First 5 Innings'!G5)</f>
        <v>2.0592547604653251</v>
      </c>
      <c r="I10" s="41">
        <f>IF(C10="","", 'First 5 Innings'!H5)</f>
        <v>0.40830186660962831</v>
      </c>
      <c r="J10" s="36">
        <f>IF(C10="","",
  _xlfn.LET(
    _xlpm.prob, 'First 5 Innings'!H5,
    _xlpm.dec, 1 / _xlpm.prob,
    IF(ABS(_xlpm.prob - 0.5) &lt; 0.0001,
       100,
       IF(_xlpm.dec &gt;= 2,
          ROUND((_xlpm.dec - 1) * 100, 0),
          ROUND(-100 / (_xlpm.dec - 1), 0)
       )
    )
  ))</f>
        <v>145</v>
      </c>
      <c r="K10" s="42">
        <f>IFERROR('First 5 Innings'!AH5,"")</f>
        <v>0.49997681935551408</v>
      </c>
      <c r="L10" s="43">
        <f>IFERROR(
  _xlfn.LET(
    _xlpm.prob, K10,
    _xlpm.dec, 1 / _xlpm.prob,
    IF(ABS(_xlpm.prob - 0.5) &lt; 0.0001,
       100,
       IF(_xlpm.dec &gt;= 2,
          ROUND((_xlpm.dec - 1) * 100, 0),
          ROUND(-100 / (_xlpm.dec - 1), 0)
       )
    )
  ),
"")</f>
        <v>100</v>
      </c>
      <c r="M10" s="41">
        <f>IFERROR('First 5 Innings'!AI5,"")</f>
        <v>0.31384221897980508</v>
      </c>
      <c r="N10" s="43" t="str">
        <f>IFERROR(N7
  _xlfn.LET(
    _xlpm.prob, M10,
    _xlpm.dec, 1 /_xlfn.SINGLE( _xlpm.prob),
    IF(ABS(_xlfn.SINGLE(_xlpm.prob) - 0.5) &lt; 0.0001,
       100,
       IF(_xlfn.SINGLE(_xlpm.dec) &gt;= 2,
          ROUND((_xlfn.SINGLE(_xlpm.dec) - 1) * 100, 0),
          ROUND(-100 / (_xlfn.SINGLE(_xlpm.dec) - 1), 0)
       )
    )
  ),
"")</f>
        <v/>
      </c>
      <c r="O10" s="42">
        <f>'First 5 Innings'!S5</f>
        <v>0</v>
      </c>
      <c r="P10" s="38" t="str">
        <f>IFERROR(
  _xlfn.LET(
    _xlpm.prob, 'First 5 Innings'!S5,
    _xlpm.dec, 1 / _xlpm.prob,
    IF(ABS(_xlpm.prob - 0.5) &lt; 0.0001,
       100,
       IF(_xlpm.dec &gt;= 2,
          ROUND((_xlpm.dec - 1) * 100, 0),
          ROUND(-100 / (_xlpm.dec - 1), 0)
       )
    )
  ),
"")</f>
        <v/>
      </c>
      <c r="Q10" s="41" t="str">
        <f ca="1">IFERROR(1/'First 5 Innings'!AD5,"")</f>
        <v/>
      </c>
      <c r="R10" s="38" t="str">
        <f ca="1">IFERROR(
  _xludf.LET(
    prob, Q10,
    dec, 1 / prob,
    IF(ABS(prob - 0.5) &lt; 0.0001,
       100,
       IF(dec &gt;= 2,
          ROUND((dec - 1) * 100, 0),
          ROUND(-100 / (dec - 1), 0)
       )
    )
  ),
"")</f>
        <v/>
      </c>
      <c r="S10" s="41" t="str">
        <f ca="1">IFERROR(1/'First 5 Innings'!AE5,"")</f>
        <v/>
      </c>
      <c r="T10" s="38" t="str">
        <f ca="1">IFERROR(
  _xludf.LET(
    prob, S10,
    dec, 1 / prob,
    IF(ABS(prob - 0.5) &lt; 0.0001,
       100,
       IF(dec &gt;= 2,
          ROUND((dec - 1) * 100, 0),
          ROUND(-100 / (dec - 1), 0)
       )
    )
  ),
"")</f>
        <v/>
      </c>
      <c r="U10" s="44">
        <f>IF(C10="","", 'First 5 Innings'!T5)</f>
        <v>10</v>
      </c>
      <c r="V10" s="44">
        <f ca="1">IF(C10="","", 'First 5 Innings'!AJ5)</f>
        <v>10</v>
      </c>
      <c r="W10" s="44">
        <f ca="1">IF(C10="","", 'First 5 Innings'!AK5)</f>
        <v>10</v>
      </c>
      <c r="X10" s="45" t="str">
        <f>IF(
  OR(D10="Average", D10="", D11=""),
  "",
  IF(AND(U10 &gt;= $E$7, U10 &lt;= 9.99),
     C10 &amp; " f5 " &amp; ROUND(P10, 0) &amp; " " &amp; 'First 5 Innings'!Q5,
     ""
  )
)</f>
        <v/>
      </c>
      <c r="Y10" s="46" t="e">
        <f t="array" aca="1" ref="Y10" ca="1">IF(
  OR(D10="Average", D10="", D11=""),
  "",
  _xludf.TEXTJOIN(CHAR(10), TRUE,
    IF(AND(V10 &gt;= $F$7, V10 &lt;= 9.99),
      _xludf.XLOOKUP('First 5 Innings'!D5, Validations!$E$2:$E$31, Validations!$H$2:$H$31)
      &amp; " " &amp; 'First 5 Innings'!$AJ$4
      &amp; " " &amp; IF('First 5 Innings'!AD5 &gt;= 2,
                ROUND(('First 5 Innings'!AD5 - 1) * 100, 0),
                ROUND(-100 / ('First 5 Innings'!AD5 - 1), 0)
              ) &amp; " " &amp; 'First 5 Innings'!AL5,
      ""
    ),
    IF(AND(W10 &gt;= $F$7, W10 &lt;= 9.99),
      _xludf.XLOOKUP('First 5 Innings'!D5, Validations!$E$2:$E$31, Validations!$H$2:$H$31)
      &amp; " " &amp; 'First 5 Innings'!$AK$4
      &amp; " " &amp; IF('First 5 Innings'!AE5 &gt;= 2,
                ROUND(('First 5 Innings'!AE5 - 1) * 100, 0),
                ROUND(-100 / ('First 5 Innings'!AE5 - 1), 0)
              ) &amp; " " &amp; 'First 5 Innings'!AM5,
      ""
    )
  )
)</f>
        <v>#NAME?</v>
      </c>
      <c r="Z10" s="47">
        <f>IF('First 5 Innings'!W5&lt;2, -100/('First 5 Innings'!W5-1), ('First 5 Innings'!W5-1)*100)</f>
        <v>191.92168373718596</v>
      </c>
      <c r="AA10" s="48">
        <f>IF('First 5 Innings'!AN5&lt;2, -100/('First 5 Innings'!AN5-1), ('First 5 Innings'!AN5-1)*100)</f>
        <v>100.01159099395976</v>
      </c>
      <c r="AB10" s="48">
        <f>IF('First 5 Innings'!AO5&lt;2, -100/('First 5 Innings'!AO5-1), ('First 5 Innings'!AO5-1)*100)</f>
        <v>320.87105357104184</v>
      </c>
      <c r="AC10" s="35"/>
      <c r="AD10" s="2"/>
      <c r="AE10" s="2"/>
      <c r="AF10" s="2"/>
    </row>
    <row r="11" spans="1:32" ht="13.5" customHeight="1">
      <c r="A11" s="35"/>
      <c r="B11" s="387"/>
      <c r="C11" s="37" t="str">
        <f>IFERROR(_xlfn.XLOOKUP('First 5 Innings'!D6,Validations!$E$2:$E$31,Validations!$H$2:$H$31),"")</f>
        <v>St. Louis Cardinals</v>
      </c>
      <c r="D11" s="37" t="str">
        <f>IFERROR('First 5 Innings'!B6,"")</f>
        <v>Michael McGreevy</v>
      </c>
      <c r="E11" s="37" t="str">
        <f>'First 5 Innings'!C6</f>
        <v>R</v>
      </c>
      <c r="F11" s="38">
        <f t="array" ref="F11">IFERROR(_xlfn.XLOOKUP(D11,'Starting Pitchers'!$B$4:$B1007,'Starting Pitchers'!$Z$4:$Z1007),"")</f>
        <v>96</v>
      </c>
      <c r="G11" s="39" t="str">
        <f t="array" aca="1" ref="G11" ca="1">IFERROR(_xludf.XLOOKUP(D11,'Starting Pitchers'!$B$4:$B1007,'Starting Pitchers'!#REF!),"")</f>
        <v/>
      </c>
      <c r="H11" s="40">
        <f>IF('First 5 Innings'!G6=0,"",'First 5 Innings'!G6)</f>
        <v>2.5805188991313051</v>
      </c>
      <c r="I11" s="41">
        <f>IF(C11="","", 'First 5 Innings'!H6)</f>
        <v>0.59169813339037169</v>
      </c>
      <c r="J11" s="36">
        <f>IF(C11="","",
  _xlfn.LET(
    _xlpm.prob, 'First 5 Innings'!H6,
    _xlpm.dec, 1 / _xlpm.prob,
    IF(ABS(_xlpm.prob - 0.5) &lt; 0.0001,
       100,
       IF(_xlpm.dec &gt;= 2,
          ROUND((_xlpm.dec - 1) * 100, 0),
          ROUND(-100 / (_xlpm.dec - 1), 0)
       )
    )
  ))</f>
        <v>-145</v>
      </c>
      <c r="K11" s="42">
        <f>IFERROR('First 5 Innings'!AH6,"")</f>
        <v>0.68615778102019487</v>
      </c>
      <c r="L11" s="43">
        <f>IFERROR(
  _xlfn.LET(
    _xlpm.prob, K11,
    _xlpm.dec, 1 / _xlpm.prob,
    IF(ABS(_xlpm.prob - 0.5) &lt; 0.0001,
       100,
       IF(_xlpm.dec &gt;= 2,
          ROUND((_xlpm.dec - 1) * 100, 0),
          ROUND(-100 / (_xlpm.dec - 1), 0)
       )
    )
  ),
"")</f>
        <v>-219</v>
      </c>
      <c r="M11" s="41">
        <f>IFERROR('First 5 Innings'!AI6,"")</f>
        <v>0.50002318064448592</v>
      </c>
      <c r="N11" s="43" t="str">
        <f ca="1">IFERROR(
  _xludf.LET(
    prob, M11,
    dec, 1 / prob,
    IF(ABS(prob - 0.5) &lt; 0.0001,
       100,
       IF(dec &gt;= 2,
          ROUND((dec - 1) * 100, 0),
          ROUND(-100 / (dec - 1), 0)
       )
    )
  ),
"")</f>
        <v/>
      </c>
      <c r="O11" s="42">
        <f>'First 5 Innings'!S6</f>
        <v>0</v>
      </c>
      <c r="P11" s="38" t="str">
        <f>IFERROR(
  _xlfn.LET(
    _xlpm.prob, 'First 5 Innings'!S6,
    _xlpm.dec, 1 / _xlpm.prob,
    IF(ABS(_xlpm.prob - 0.5) &lt; 0.0001,
       100,
       IF(_xlpm.dec &gt;= 2,
          ROUND((_xlpm.dec - 1) * 100, 0),
          ROUND(-100 / (_xlpm.dec - 1), 0)
       )
    )
  ),
"")</f>
        <v/>
      </c>
      <c r="Q11" s="41" t="str">
        <f ca="1">IFERROR(1/'First 5 Innings'!AD6,"")</f>
        <v/>
      </c>
      <c r="R11" s="38" t="str">
        <f ca="1">IFERROR(
_xludf.LET(
prob, Q11,
dec, 1 / prob,
IF(ABS(prob - 0.5) &lt; 0.0001,
100,
IF(dec &gt;= 2,
ROUND((dec - 1) * 100, 0),
ROUND(-100 / (dec - 1), 0)
)
)
),
"")</f>
        <v/>
      </c>
      <c r="S11" s="41" t="str">
        <f ca="1">IFERROR(1/'First 5 Innings'!AE6,"")</f>
        <v/>
      </c>
      <c r="T11" s="38" t="str">
        <f ca="1">IFERROR(
_xludf.LET(
prob, S11,
dec, 1 / prob,
IF(ABS(prob - 0.5) &lt; 0.0001,
100,
IF(dec &gt;= 2,
ROUND((dec - 1) * 100, 0),
ROUND(-100 / (dec - 1), 0)
)
)
),
"")</f>
        <v/>
      </c>
      <c r="U11" s="44">
        <f>IF(C11="","", 'First 5 Innings'!T6)</f>
        <v>10</v>
      </c>
      <c r="V11" s="44">
        <f ca="1">IF(C11="","", 'First 5 Innings'!AJ6)</f>
        <v>10</v>
      </c>
      <c r="W11" s="44">
        <f ca="1">IF(C11="","", 'First 5 Innings'!AK6)</f>
        <v>10</v>
      </c>
      <c r="X11" s="45" t="str">
        <f>IF(
  OR(D11="Average", D11="", D12=""),
  "",
  IF(AND(U11 &gt;= $E$7, U11 &lt;= 9.99),
     C11 &amp; " f5 " &amp; ROUND(P11, 0) &amp; " " &amp; 'First 5 Innings'!Q6,
     ""
  )
)</f>
        <v/>
      </c>
      <c r="Y11" s="46" t="e">
        <f t="array" aca="1" ref="Y11" ca="1">IF(
  OR(D11="Average", D11="", D12=""),
  "",
  _xludf.TEXTJOIN(CHAR(10), TRUE,
    IF(AND(V11 &gt;= $F$7, V11 &lt;= 9.99),
      _xludf.XLOOKUP('First 5 Innings'!D6, Validations!$E$2:$E$31, Validations!$H$2:$H$31)
      &amp; " " &amp; 'First 5 Innings'!$AJ$4
      &amp; " " &amp; IF('First 5 Innings'!AD6 &gt;= 2,
                ROUND(('First 5 Innings'!AD6 - 1) * 100, 0),
                ROUND(-100 / ('First 5 Innings'!AD6 - 1), 0)
              ) &amp; " " &amp; 'First 5 Innings'!AL6,
      ""
    ),
    IF(AND(W11 &gt;= $F$7, W11 &lt;= 9.99),
      _xludf.XLOOKUP('First 5 Innings'!D6, Validations!$E$2:$E$31, Validations!$H$2:$H$31)
      &amp; " " &amp; 'First 5 Innings'!$AK$4
      &amp; " " &amp; IF('First 5 Innings'!AE6 &gt;= 2,
                ROUND(('First 5 Innings'!AE6 - 1) * 100, 0),
                ROUND(-100 / ('First 5 Innings'!AE6 - 1), 0)
              ) &amp; " " &amp; 'First 5 Innings'!AM6,
      ""
    )
  )
)</f>
        <v>#NAME?</v>
      </c>
      <c r="Z11" s="47">
        <f>IF('First 5 Innings'!W6&lt;2, -100/('First 5 Innings'!W6-1), ('First 5 Innings'!W6-1)*100)</f>
        <v>-120.42514952802735</v>
      </c>
      <c r="AA11" s="48">
        <f>IF('First 5 Innings'!AN6&lt;2, -100/('First 5 Innings'!AN6-1), ('First 5 Innings'!AN6-1)*100)</f>
        <v>-274.10760317425928</v>
      </c>
      <c r="AB11" s="48">
        <f>IF('First 5 Innings'!AO6&lt;2, -100/('First 5 Innings'!AO6-1), ('First 5 Innings'!AO6-1)*100)</f>
        <v>124.98696164307046</v>
      </c>
      <c r="AC11" s="35"/>
      <c r="AD11" s="2"/>
      <c r="AE11" s="2"/>
      <c r="AF11" s="2"/>
    </row>
    <row r="12" spans="1:32" ht="13.5" customHeight="1">
      <c r="A12" s="35"/>
      <c r="B12" s="386">
        <v>2</v>
      </c>
      <c r="C12" s="50" t="str">
        <f>IFERROR(_xlfn.XLOOKUP('First 5 Innings'!D7,Validations!$E$2:$E$31,Validations!$H$2:$H$31),"")</f>
        <v>Washington Nationals</v>
      </c>
      <c r="D12" s="50" t="str">
        <f>IFERROR('First 5 Innings'!B7,"")</f>
        <v>Miles Mikolas</v>
      </c>
      <c r="E12" s="50" t="str">
        <f>'First 5 Innings'!C7</f>
        <v>R</v>
      </c>
      <c r="F12" s="51">
        <f t="array" ref="F12">IFERROR(_xlfn.XLOOKUP(D12,'Starting Pitchers'!$B$4:$B1007,'Starting Pitchers'!$Z$4:$Z1007),"")</f>
        <v>132</v>
      </c>
      <c r="G12" s="52" t="str">
        <f t="array" aca="1" ref="G12" ca="1">IFERROR(_xludf.XLOOKUP(D12,'Starting Pitchers'!$B$4:$B1007,'Starting Pitchers'!#REF!),"")</f>
        <v/>
      </c>
      <c r="H12" s="53">
        <f>IF('First 5 Innings'!G7=0,"",'First 5 Innings'!G7)</f>
        <v>1.2815108987336001</v>
      </c>
      <c r="I12" s="54">
        <f>IF(C12="","", 'First 5 Innings'!H7)</f>
        <v>0.66310085557052389</v>
      </c>
      <c r="J12" s="49">
        <f>IF(C12="","",
  _xlfn.LET(
    _xlpm.prob, 'First 5 Innings'!H7,
    _xlpm.dec, 1 / _xlpm.prob,
    IF(ABS(_xlpm.prob - 0.5) &lt; 0.0001,
       100,
       IF(_xlpm.dec &gt;= 2,
          ROUND((_xlpm.dec - 1) * 100, 0),
          ROUND(-100 / (_xlpm.dec - 1), 0)
       )
    )
  ))</f>
        <v>-197</v>
      </c>
      <c r="K12" s="55">
        <f>IFERROR('First 5 Innings'!AH7,"")</f>
        <v>0.77467570372782446</v>
      </c>
      <c r="L12" s="56">
        <f>IFERROR(
  _xlfn.LET(
    _xlpm.prob, K12,
    _xlpm.dec, 1 / _xlpm.prob,
    IF(ABS(_xlpm.prob - 0.5) &lt; 0.0001,
       100,
       IF(_xlpm.dec &gt;= 2,
          ROUND((_xlpm.dec - 1) * 100, 0),
          ROUND(-100 / (_xlpm.dec - 1), 0)
       )
    )
  ),
"")</f>
        <v>-344</v>
      </c>
      <c r="M12" s="54">
        <f>IFERROR('First 5 Innings'!AI7,"")</f>
        <v>0.48449763334523838</v>
      </c>
      <c r="N12" s="56" t="str">
        <f ca="1">IFERROR(
_xludf.LET(
prob, M12,
dec, 1 / prob,
IF(ABS(prob - 0.5) &lt; 0.0001,
100,
IF(dec &gt;= 2,
ROUND((dec - 1) * 100, 0),
ROUND(-100 / (dec - 1), 0)
)
)
),
"")</f>
        <v/>
      </c>
      <c r="O12" s="57">
        <f>'First 5 Innings'!S7</f>
        <v>0</v>
      </c>
      <c r="P12" s="58" t="str">
        <f>IFERROR(
  _xlfn.LET(
    _xlpm.prob, 'First 5 Innings'!S7,
    _xlpm.dec, 1 / _xlpm.prob,
    IF(ABS(_xlpm.prob - 0.5) &lt; 0.0001,
       100,
       IF(_xlpm.dec &gt;= 2,
          ROUND((_xlpm.dec - 1) * 100, 0),
          ROUND(-100 / (_xlpm.dec - 1), 0)
       )
    )
  ),
"")</f>
        <v/>
      </c>
      <c r="Q12" s="54" t="str">
        <f ca="1">IFERROR(1/'First 5 Innings'!AD7,"")</f>
        <v/>
      </c>
      <c r="R12" s="51" t="str">
        <f ca="1">IFERROR(
_xludf.LET(
prob, Q12,
dec, 1 / prob,
IF(ABS(prob - 0.5) &lt; 0.0001,
100,
IF(dec &gt;= 2,
ROUND((dec - 1) * 100, 0),
ROUND(-100 / (dec - 1), 0)
)
)
),
"")</f>
        <v/>
      </c>
      <c r="S12" s="54" t="str">
        <f ca="1">IFERROR(1/'First 5 Innings'!AE7,"")</f>
        <v/>
      </c>
      <c r="T12" s="51" t="str">
        <f ca="1">IFERROR(
_xludf.LET(
prob, S12,
dec, 1 / prob,
IF(ABS(prob - 0.5) &lt; 0.0001,
100,
IF(dec &gt;= 2,
ROUND((dec - 1) * 100, 0),
ROUND(-100 / (dec - 1), 0)
)
)
),
"")</f>
        <v/>
      </c>
      <c r="U12" s="59">
        <f>IF(C12="","", 'First 5 Innings'!T7)</f>
        <v>10</v>
      </c>
      <c r="V12" s="59">
        <f ca="1">IF(C12="","", 'First 5 Innings'!AJ7)</f>
        <v>10</v>
      </c>
      <c r="W12" s="59">
        <f ca="1">IF(C12="","", 'First 5 Innings'!AK7)</f>
        <v>10</v>
      </c>
      <c r="X12" s="60" t="str">
        <f>IF(
  OR(D12="Average", D12="", D13=""),
  "",
  IF(AND(U12 &gt;= $E$7, U12 &lt;= 9.99),
     C12 &amp; " f5 " &amp; ROUND(P12, 0) &amp; " " &amp; 'First 5 Innings'!Q7,
     ""
  )
)</f>
        <v/>
      </c>
      <c r="Y12" s="61" t="e">
        <f t="array" aca="1" ref="Y12" ca="1">IF(
  OR(D12="Average", D12="", D13=""),
  "",
  _xludf.TEXTJOIN(CHAR(10), TRUE,
    IF(AND(V12 &gt;= $F$7, V12 &lt;= 9.99),
      _xludf.XLOOKUP('First 5 Innings'!D7, Validations!$E$2:$E$31, Validations!$H$2:$H$31)
      &amp; " " &amp; 'First 5 Innings'!$AJ$4
      &amp; " " &amp; IF('First 5 Innings'!AD7 &gt;= 2,
                ROUND(('First 5 Innings'!AD7 - 1) * 100, 0),
                ROUND(-100 / ('First 5 Innings'!AD7 - 1), 0)
              ) &amp; " " &amp; 'First 5 Innings'!AL7,
      ""
    ),
    IF(AND(W12 &gt;= $F$7, W12 &lt;= 9.99),
      _xludf.XLOOKUP('First 5 Innings'!D7, Validations!$E$2:$E$31, Validations!$H$2:$H$31)
      &amp; " " &amp; 'First 5 Innings'!$AK$4
      &amp; " " &amp; IF('First 5 Innings'!AE7 &gt;= 2,
                ROUND(('First 5 Innings'!AE7 - 1) * 100, 0),
                ROUND(-100 / ('First 5 Innings'!AE7 - 1), 0)
              ) &amp; " " &amp; 'First 5 Innings'!AM7,
      ""
    )
  )
)</f>
        <v>#NAME?</v>
      </c>
      <c r="Z12" s="62">
        <f>IF('First 5 Innings'!W7&lt;2, -100/('First 5 Innings'!W7-1), ('First 5 Innings'!W7-1)*100)</f>
        <v>-167.14226345813682</v>
      </c>
      <c r="AA12" s="63">
        <f>IF('First 5 Innings'!AN7&lt;2, -100/('First 5 Innings'!AN7-1), ('First 5 Innings'!AN7-1)*100)</f>
        <v>-538.34389962388775</v>
      </c>
      <c r="AB12" s="63">
        <f>IF('First 5 Innings'!AO7&lt;2, -100/('First 5 Innings'!AO7-1), ('First 5 Innings'!AO7-1)*100)</f>
        <v>134.0716618122575</v>
      </c>
      <c r="AC12" s="35"/>
      <c r="AD12" s="2"/>
      <c r="AE12" s="2"/>
      <c r="AF12" s="2"/>
    </row>
    <row r="13" spans="1:32" ht="13.5" customHeight="1">
      <c r="A13" s="35"/>
      <c r="B13" s="387"/>
      <c r="C13" s="50" t="str">
        <f>IFERROR(_xlfn.XLOOKUP('First 5 Innings'!D8,Validations!$E$2:$E$31,Validations!$H$2:$H$31),"")</f>
        <v>Chicago Cubs</v>
      </c>
      <c r="D13" s="50" t="str">
        <f>IFERROR('First 5 Innings'!B8,"")</f>
        <v>Cade Horton</v>
      </c>
      <c r="E13" s="50" t="str">
        <f>'First 5 Innings'!C8</f>
        <v>R</v>
      </c>
      <c r="F13" s="51">
        <f t="array" ref="F13">IFERROR(_xlfn.XLOOKUP(D13,'Starting Pitchers'!$B$4:$B1007,'Starting Pitchers'!$Z$4:$Z1007),"")</f>
        <v>2</v>
      </c>
      <c r="G13" s="52" t="str">
        <f t="array" aca="1" ref="G13" ca="1">IFERROR(_xludf.XLOOKUP(D13,'Starting Pitchers'!$B$4:$B1007,'Starting Pitchers'!#REF!),"")</f>
        <v/>
      </c>
      <c r="H13" s="53">
        <f>IF('First 5 Innings'!G8=0,"",'First 5 Innings'!G8)</f>
        <v>0.77474742001497776</v>
      </c>
      <c r="I13" s="54">
        <f>IF(C13="","", 'First 5 Innings'!H8)</f>
        <v>0.33689914442947611</v>
      </c>
      <c r="J13" s="49">
        <f>IF(C13="","",
  _xlfn.LET(
    _xlpm.prob, 'First 5 Innings'!H8,
    _xlpm.dec, 1 / _xlpm.prob,
    IF(ABS(_xlpm.prob - 0.5) &lt; 0.0001,
       100,
       IF(_xlpm.dec &gt;= 2,
          ROUND((_xlpm.dec - 1) * 100, 0),
          ROUND(-100 / (_xlpm.dec - 1), 0)
       )
    )
  ))</f>
        <v>197</v>
      </c>
      <c r="K13" s="55">
        <f>IFERROR('First 5 Innings'!AH8,"")</f>
        <v>0.51550236665476157</v>
      </c>
      <c r="L13" s="56">
        <f>IFERROR(
  _xlfn.LET(
    _xlpm.prob, K13,
    _xlpm.dec, 1 / _xlpm.prob,
    IF(ABS(_xlpm.prob - 0.5) &lt; 0.0001,
       100,
       IF(_xlpm.dec &gt;= 2,
          ROUND((_xlpm.dec - 1) * 100, 0),
          ROUND(-100 / (_xlpm.dec - 1), 0)
       )
    )
  ),
"")</f>
        <v>-106</v>
      </c>
      <c r="M13" s="54">
        <f>IFERROR('First 5 Innings'!AI8,"")</f>
        <v>0.22532429627217551</v>
      </c>
      <c r="N13" s="56" t="str">
        <f ca="1">IFERROR(
_xludf.LET(
prob, M13,
dec, 1 / prob,
IF(ABS(prob - 0.5) &lt; 0.0001,
100,
IF(dec &gt;= 2,
ROUND((dec - 1) * 100, 0),
ROUND(-100 / (dec - 1), 0)
)
)
),
"")</f>
        <v/>
      </c>
      <c r="O13" s="57">
        <f>'First 5 Innings'!S8</f>
        <v>0</v>
      </c>
      <c r="P13" s="58" t="str">
        <f>IFERROR(
  _xlfn.LET(
    _xlpm.prob, 'First 5 Innings'!S8,
    _xlpm.dec, 1 / _xlpm.prob,
    IF(ABS(_xlpm.prob - 0.5) &lt; 0.0001,
       100,
       IF(_xlpm.dec &gt;= 2,
          ROUND((_xlpm.dec - 1) * 100, 0),
          ROUND(-100 / (_xlpm.dec - 1), 0)
       )
    )
  ),
"")</f>
        <v/>
      </c>
      <c r="Q13" s="54" t="str">
        <f ca="1">IFERROR(1/'First 5 Innings'!AD8,"")</f>
        <v/>
      </c>
      <c r="R13" s="51" t="str">
        <f ca="1">IFERROR(
_xludf.LET(
prob, Q13,
dec, 1 / prob,
IF(ABS(prob - 0.5) &lt; 0.0001,
100,
IF(dec &gt;= 2,
ROUND((dec - 1) * 100, 0),
ROUND(-100 / (dec - 1), 0)
)
)
),
"")</f>
        <v/>
      </c>
      <c r="S13" s="54" t="str">
        <f ca="1">IFERROR(1/'First 5 Innings'!AE8,"")</f>
        <v/>
      </c>
      <c r="T13" s="51" t="str">
        <f ca="1">IFERROR(
_xludf.LET(
prob, S13,
dec, 1 / prob,
IF(ABS(prob - 0.5) &lt; 0.0001,
100,
IF(dec &gt;= 2,
ROUND((dec - 1) * 100, 0),
ROUND(-100 / (dec - 1), 0)
)
)
),
"")</f>
        <v/>
      </c>
      <c r="U13" s="59">
        <f>IF(C13="","", 'First 5 Innings'!T8)</f>
        <v>10</v>
      </c>
      <c r="V13" s="59">
        <f ca="1">IF(C13="","", 'First 5 Innings'!AJ8)</f>
        <v>10</v>
      </c>
      <c r="W13" s="59">
        <f ca="1">IF(C13="","", 'First 5 Innings'!AK8)</f>
        <v>10</v>
      </c>
      <c r="X13" s="60" t="str">
        <f>IF(
  OR(D13="Average", D13="", D14=""),
  "",
  IF(AND(U13 &gt;= $E$7, U13 &lt;= 9.99),
     C13 &amp; " f5 " &amp; ROUND(P13, 0) &amp; " " &amp; 'First 5 Innings'!Q8,
     ""
  )
)</f>
        <v/>
      </c>
      <c r="Y13" s="61" t="e">
        <f t="array" aca="1" ref="Y13" ca="1">IF(
  OR(D13="Average", D13="", D14=""),
  "",
  _xludf.TEXTJOIN(CHAR(10), TRUE,
    IF(AND(V13 &gt;= $F$7, V13 &lt;= 9.99),
      _xludf.XLOOKUP('First 5 Innings'!D8, Validations!$E$2:$E$31, Validations!$H$2:$H$31)
      &amp; " " &amp; 'First 5 Innings'!$AJ$4
      &amp; " " &amp; IF('First 5 Innings'!AD8 &gt;= 2,
                ROUND(('First 5 Innings'!AD8 - 1) * 100, 0),
                ROUND(-100 / ('First 5 Innings'!AD8 - 1), 0)
              ) &amp; " " &amp; 'First 5 Innings'!AL8,
      ""
    ),
    IF(AND(W13 &gt;= $F$7, W13 &lt;= 9.99),
      _xludf.XLOOKUP('First 5 Innings'!D8, Validations!$E$2:$E$31, Validations!$H$2:$H$31)
      &amp; " " &amp; 'First 5 Innings'!$AK$4
      &amp; " " &amp; IF('First 5 Innings'!AE8 &gt;= 2,
                ROUND(('First 5 Innings'!AE8 - 1) * 100, 0),
                ROUND(-100 / ('First 5 Innings'!AE8 - 1), 0)
              ) &amp; " " &amp; 'First 5 Innings'!AM8,
      ""
    )
  )
)</f>
        <v>#NAME?</v>
      </c>
      <c r="Z13" s="62">
        <f>IF('First 5 Innings'!W8&lt;2, -100/('First 5 Innings'!W8-1), ('First 5 Innings'!W8-1)*100)</f>
        <v>279.90850586120473</v>
      </c>
      <c r="AA13" s="63">
        <f>IF('First 5 Innings'!AN8&lt;2, -100/('First 5 Innings'!AN8-1), ('First 5 Innings'!AN8-1)*100)</f>
        <v>-108.06369938867327</v>
      </c>
      <c r="AB13" s="63">
        <f>IF('First 5 Innings'!AO8&lt;2, -100/('First 5 Innings'!AO8-1), ('First 5 Innings'!AO8-1)*100)</f>
        <v>618.13688707687402</v>
      </c>
      <c r="AC13" s="35"/>
      <c r="AD13" s="2"/>
      <c r="AE13" s="2"/>
      <c r="AF13" s="2"/>
    </row>
    <row r="14" spans="1:32" ht="13.5" customHeight="1">
      <c r="A14" s="35"/>
      <c r="B14" s="388">
        <v>3</v>
      </c>
      <c r="C14" s="37" t="str">
        <f>IFERROR(_xlfn.XLOOKUP('First 5 Innings'!D9,Validations!$E$2:$E$31,Validations!$H$2:$H$31),"")</f>
        <v>Oakland Athletics</v>
      </c>
      <c r="D14" s="37" t="str">
        <f>IFERROR('First 5 Innings'!B9,"")</f>
        <v>Jeffrey Springs</v>
      </c>
      <c r="E14" s="37" t="str">
        <f>'First 5 Innings'!C9</f>
        <v>L</v>
      </c>
      <c r="F14" s="38">
        <f t="array" ref="F14">IFERROR(_xlfn.XLOOKUP(D14,'Starting Pitchers'!$B$4:$B1007,'Starting Pitchers'!$Z$4:$Z1007),"")</f>
        <v>107</v>
      </c>
      <c r="G14" s="39" t="str">
        <f t="array" aca="1" ref="G14" ca="1">IFERROR(_xludf.XLOOKUP(D14,'Starting Pitchers'!$B$4:$B1007,'Starting Pitchers'!#REF!),"")</f>
        <v/>
      </c>
      <c r="H14" s="40">
        <f>IF('First 5 Innings'!G9=0,"",'First 5 Innings'!G9)</f>
        <v>2.7819080350664733</v>
      </c>
      <c r="I14" s="41">
        <f>IF(C14="","", 'First 5 Innings'!H9)</f>
        <v>0.50082020427425145</v>
      </c>
      <c r="J14" s="36">
        <f>IF(C14="","",
  _xlfn.LET(
    _xlpm.prob, 'First 5 Innings'!H9,
    _xlpm.dec, 1 / _xlpm.prob,
    IF(ABS(_xlpm.prob - 0.5) &lt; 0.0001,
       100,
       IF(_xlpm.dec &gt;= 2,
          ROUND((_xlpm.dec - 1) * 100, 0),
          ROUND(-100 / (_xlpm.dec - 1), 0)
       )
    )
  ))</f>
        <v>-100</v>
      </c>
      <c r="K14" s="42">
        <f>IFERROR('First 5 Innings'!AH9,"")</f>
        <v>0.58763066947721909</v>
      </c>
      <c r="L14" s="43">
        <f>IFERROR(
  _xlfn.LET(
    _xlpm.prob, K14,
    _xlpm.dec, 1 / _xlpm.prob,
    IF(ABS(_xlpm.prob - 0.5) &lt; 0.0001,
       100,
       IF(_xlpm.dec &gt;= 2,
          ROUND((_xlpm.dec - 1) * 100, 0),
          ROUND(-100 / (_xlpm.dec - 1), 0)
       )
    )
  ),
"")</f>
        <v>-143</v>
      </c>
      <c r="M14" s="41">
        <f>IFERROR('First 5 Innings'!AI9,"")</f>
        <v>0.41412143835680554</v>
      </c>
      <c r="N14" s="43" t="str">
        <f ca="1">IFERROR(
_xludf.LET(
prob, M14,
dec, 1 / prob,
IF(ABS(prob - 0.5) &lt; 0.0001,
100,
IF(dec &gt;= 2,
ROUND((dec - 1) * 100, 0),
ROUND(-100 / (dec - 1), 0)
)
)
),
"")</f>
        <v/>
      </c>
      <c r="O14" s="42">
        <f>'First 5 Innings'!S9</f>
        <v>0</v>
      </c>
      <c r="P14" s="38" t="str">
        <f>IFERROR(
  _xlfn.LET(
    _xlpm.prob, 'First 5 Innings'!S9,
    _xlpm.dec, 1 / _xlpm.prob,
    IF(ABS(_xlpm.prob - 0.5) &lt; 0.0001,
       100,
       IF(_xlpm.dec &gt;= 2,
          ROUND((_xlpm.dec - 1) * 100, 0),
          ROUND(-100 / (_xlpm.dec - 1), 0)
       )
    )
  ),
"")</f>
        <v/>
      </c>
      <c r="Q14" s="41" t="str">
        <f ca="1">IFERROR(1/'First 5 Innings'!AD9,"")</f>
        <v/>
      </c>
      <c r="R14" s="38" t="str">
        <f ca="1">IFERROR(
_xludf.LET(
prob, Q14,
dec, 1 / prob,
IF(ABS(prob - 0.5) &lt; 0.0001,
100,
IF(dec &gt;= 2,
ROUND((dec - 1) * 100, 0),
ROUND(-100 / (dec - 1), 0)
)
)
),
"")</f>
        <v/>
      </c>
      <c r="S14" s="41" t="str">
        <f ca="1">IFERROR(1/'First 5 Innings'!AE9,"")</f>
        <v/>
      </c>
      <c r="T14" s="38" t="str">
        <f ca="1">IFERROR(
_xludf.LET(
prob, S14,
dec, 1 / prob,
IF(ABS(prob - 0.5) &lt; 0.0001,
100,
IF(dec &gt;= 2,
ROUND((dec - 1) * 100, 0),
ROUND(-100 / (dec - 1), 0)
)
)
),
"")</f>
        <v/>
      </c>
      <c r="U14" s="44">
        <f>IF(C14="","", 'First 5 Innings'!T9)</f>
        <v>10</v>
      </c>
      <c r="V14" s="44">
        <f ca="1">IF(C14="","", 'First 5 Innings'!AJ9)</f>
        <v>10</v>
      </c>
      <c r="W14" s="44">
        <f ca="1">IF(C14="","", 'First 5 Innings'!AK9)</f>
        <v>10</v>
      </c>
      <c r="X14" s="45" t="str">
        <f>IF(
  OR(D14="Average", D14="", D15=""),
  "",
  IF(AND(U14 &gt;= $E$7, U14 &lt;= 9.99),
     C14 &amp; " f5 " &amp; ROUND(P14, 0) &amp; " " &amp; 'First 5 Innings'!Q9,
     ""
  )
)</f>
        <v/>
      </c>
      <c r="Y14" s="46" t="e">
        <f t="array" aca="1" ref="Y14" ca="1">IF(
  OR(D14="Average", D14="", D15=""),
  "",
  _xludf.TEXTJOIN(CHAR(10), TRUE,
    IF(AND(V14 &gt;= $F$7, V14 &lt;= 9.99),
      _xludf.XLOOKUP('First 5 Innings'!D9, Validations!$E$2:$E$31, Validations!$H$2:$H$31)
      &amp; " " &amp; 'First 5 Innings'!$AJ$4
      &amp; " " &amp; IF('First 5 Innings'!AD9 &gt;= 2,
                ROUND(('First 5 Innings'!AD9 - 1) * 100, 0),
                ROUND(-100 / ('First 5 Innings'!AD9 - 1), 0)
              ) &amp; " " &amp; 'First 5 Innings'!AL9,
      ""
    ),
    IF(AND(W14 &gt;= $F$7, W14 &lt;= 9.99),
      _xludf.XLOOKUP('First 5 Innings'!D9, Validations!$E$2:$E$31, Validations!$H$2:$H$31)
      &amp; " " &amp; 'First 5 Innings'!$AK$4
      &amp; " " &amp; IF('First 5 Innings'!AE9 &gt;= 2,
                ROUND(('First 5 Innings'!AE9 - 1) * 100, 0),
                ROUND(-100 / ('First 5 Innings'!AE9 - 1), 0)
              ) &amp; " " &amp; 'First 5 Innings'!AM9,
      ""
    )
  )
)</f>
        <v>#NAME?</v>
      </c>
      <c r="Z14" s="47">
        <f>IF('First 5 Innings'!W9&lt;2, -100/('First 5 Innings'!W9-1), ('First 5 Innings'!W9-1)*100)</f>
        <v>124.53957919351714</v>
      </c>
      <c r="AA14" s="48">
        <f>IF('First 5 Innings'!AN9&lt;2, -100/('First 5 Innings'!AN9-1), ('First 5 Innings'!AN9-1)*100)</f>
        <v>-156.10708921427116</v>
      </c>
      <c r="AB14" s="48">
        <f>IF('First 5 Innings'!AO9&lt;2, -100/('First 5 Innings'!AO9-1), ('First 5 Innings'!AO9-1)*100)</f>
        <v>186.51339580894967</v>
      </c>
      <c r="AC14" s="35"/>
      <c r="AD14" s="2"/>
      <c r="AE14" s="2"/>
      <c r="AF14" s="2"/>
    </row>
    <row r="15" spans="1:32" ht="13.5" customHeight="1">
      <c r="A15" s="35"/>
      <c r="B15" s="387"/>
      <c r="C15" s="37" t="str">
        <f>IFERROR(_xlfn.XLOOKUP('First 5 Innings'!D10,Validations!$E$2:$E$31,Validations!$H$2:$H$31),"")</f>
        <v>Toronto Blue Jays</v>
      </c>
      <c r="D15" s="37" t="str">
        <f>IFERROR('First 5 Innings'!B10,"")</f>
        <v>Dylan Cease</v>
      </c>
      <c r="E15" s="37" t="str">
        <f>'First 5 Innings'!C10</f>
        <v>R</v>
      </c>
      <c r="F15" s="38">
        <f t="array" ref="F15">IFERROR(_xlfn.XLOOKUP(D15,'Starting Pitchers'!$B$4:$B1007,'Starting Pitchers'!$Z$4:$Z1007),"")</f>
        <v>85</v>
      </c>
      <c r="G15" s="39" t="str">
        <f t="array" aca="1" ref="G15" ca="1">IFERROR(_xludf.XLOOKUP(D15,'Starting Pitchers'!$B$4:$B1007,'Starting Pitchers'!#REF!),"")</f>
        <v/>
      </c>
      <c r="H15" s="40">
        <f>IF('First 5 Innings'!G10=0,"",'First 5 Innings'!G10)</f>
        <v>2.7766069472561337</v>
      </c>
      <c r="I15" s="41">
        <f>IF(C15="","", 'First 5 Innings'!H10)</f>
        <v>0.49917979572574855</v>
      </c>
      <c r="J15" s="36">
        <f>IF(C15="","",
  _xlfn.LET(
    _xlpm.prob, 'First 5 Innings'!H10,
    _xlpm.dec, 1 / _xlpm.prob,
    IF(ABS(_xlpm.prob - 0.5) &lt; 0.0001,
       100,
       IF(_xlpm.dec &gt;= 2,
          ROUND((_xlpm.dec - 1) * 100, 0),
          ROUND(-100 / (_xlpm.dec - 1), 0)
       )
    )
  ))</f>
        <v>100</v>
      </c>
      <c r="K15" s="42">
        <f>IFERROR('First 5 Innings'!AH10,"")</f>
        <v>0.58587856164319441</v>
      </c>
      <c r="L15" s="43">
        <f t="shared" ref="L15:L39" si="0">IFERROR(
_xlfn.LET(
_xlpm.prob, K15,
_xlpm.dec, 1 / _xlpm.prob,
IF(ABS(_xlpm.prob - 0.5) &lt; 0.0001,
100,
IF(_xlpm.dec &gt;= 2,
ROUND((_xlpm.dec - 1) * 100, 0),
ROUND(-100 / (_xlpm.dec - 1), 0)
)
)
),
"")</f>
        <v>-141</v>
      </c>
      <c r="M15" s="41">
        <f>IFERROR('First 5 Innings'!AI10,"")</f>
        <v>0.41236933052278085</v>
      </c>
      <c r="N15" s="43" t="str">
        <f ca="1">IFERROR(
_xludf.LET(
prob, M15,
dec, 1 / prob,
IF(ABS(prob - 0.5) &lt; 0.0001,
100,
IF(dec &gt;= 2,
ROUND((dec - 1) * 100, 0),
ROUND(-100 / (dec - 1), 0)
)
)
),
"")</f>
        <v/>
      </c>
      <c r="O15" s="42">
        <f>'First 5 Innings'!S10</f>
        <v>0</v>
      </c>
      <c r="P15" s="38" t="str">
        <f>IFERROR(
  _xlfn.LET(
    _xlpm.prob, 'First 5 Innings'!S10,
    _xlpm.dec, 1 / _xlpm.prob,
    IF(ABS(_xlpm.prob - 0.5) &lt; 0.0001,
       100,
       IF(_xlpm.dec &gt;= 2,
          ROUND((_xlpm.dec - 1) * 100, 0),
          ROUND(-100 / (_xlpm.dec - 1), 0)
       )
    )
  ),
"")</f>
        <v/>
      </c>
      <c r="Q15" s="41" t="str">
        <f ca="1">IFERROR(1/'First 5 Innings'!AD10,"")</f>
        <v/>
      </c>
      <c r="R15" s="38" t="str">
        <f ca="1">IFERROR(
_xludf.LET(
prob, Q15,
dec, 1 / prob,
IF(ABS(prob - 0.5) &lt; 0.0001,
100,
IF(dec &gt;= 2,
ROUND((dec - 1) * 100, 0),
ROUND(-100 / (dec - 1), 0)
)
)
),
"")</f>
        <v/>
      </c>
      <c r="S15" s="41" t="str">
        <f ca="1">IFERROR(1/'First 5 Innings'!AE10,"")</f>
        <v/>
      </c>
      <c r="T15" s="38" t="str">
        <f ca="1">IFERROR(
_xludf.LET(
prob, S15,
dec, 1 / prob,
IF(ABS(prob - 0.5) &lt; 0.0001,
100,
IF(dec &gt;= 2,
ROUND((dec - 1) * 100, 0),
ROUND(-100 / (dec - 1), 0)
)
)
),
"")</f>
        <v/>
      </c>
      <c r="U15" s="44">
        <f>IF(C15="","", 'First 5 Innings'!T10)</f>
        <v>10</v>
      </c>
      <c r="V15" s="44">
        <f ca="1">IF(C15="","", 'First 5 Innings'!AJ10)</f>
        <v>10</v>
      </c>
      <c r="W15" s="44">
        <f ca="1">IF(C15="","", 'First 5 Innings'!AK10)</f>
        <v>10</v>
      </c>
      <c r="X15" s="45" t="str">
        <f>IF(
  OR(D15="Average", D15="", D16=""),
  "",
  IF(AND(U15 &gt;= $E$7, U15 &lt;= 9.99),
     C15 &amp; " f5 " &amp; ROUND(P15, 0) &amp; " " &amp; 'First 5 Innings'!Q10,
     ""
  )
)</f>
        <v/>
      </c>
      <c r="Y15" s="46" t="e">
        <f t="array" aca="1" ref="Y15" ca="1">IF(
  OR(D15="Average", D15="", D16=""),
  "",
  _xludf.TEXTJOIN(CHAR(10), TRUE,
    IF(AND(V15 &gt;= $F$7, V15 &lt;= 9.99),
      _xludf.XLOOKUP('First 5 Innings'!D10, Validations!$E$2:$E$31, Validations!$H$2:$H$31)
      &amp; " " &amp; 'First 5 Innings'!$AJ$4
      &amp; " " &amp; IF('First 5 Innings'!AD10 &gt;= 2,
                ROUND(('First 5 Innings'!AD10 - 1) * 100, 0),
                ROUND(-100 / ('First 5 Innings'!AD10 - 1), 0)
              ) &amp; " " &amp; 'First 5 Innings'!AL10,
      ""
    ),
    IF(AND(W15 &gt;= $F$7, W15 &lt;= 9.99),
      _xludf.XLOOKUP('First 5 Innings'!D10, Validations!$E$2:$E$31, Validations!$H$2:$H$31)
      &amp; " " &amp; 'First 5 Innings'!$AK$4
      &amp; " " &amp; IF('First 5 Innings'!AE10 &gt;= 2,
                ROUND(('First 5 Innings'!AE10 - 1) * 100, 0),
                ROUND(-100 / ('First 5 Innings'!AE10 - 1), 0)
              ) &amp; " " &amp; 'First 5 Innings'!AM10,
      ""
    )
  )
)</f>
        <v>#NAME?</v>
      </c>
      <c r="Z15" s="47">
        <f>IF('First 5 Innings'!W10&lt;2, -100/('First 5 Innings'!W10-1), ('First 5 Innings'!W10-1)*100)</f>
        <v>125.46231288177059</v>
      </c>
      <c r="AA15" s="48">
        <f>IF('First 5 Innings'!AN10&lt;2, -100/('First 5 Innings'!AN10-1), ('First 5 Innings'!AN10-1)*100)</f>
        <v>-154.67857405239965</v>
      </c>
      <c r="AB15" s="48">
        <f>IF('First 5 Innings'!AO10&lt;2, -100/('First 5 Innings'!AO10-1), ('First 5 Innings'!AO10-1)*100)</f>
        <v>188.12047536605513</v>
      </c>
      <c r="AC15" s="35"/>
      <c r="AD15" s="2"/>
      <c r="AE15" s="2"/>
      <c r="AF15" s="2"/>
    </row>
    <row r="16" spans="1:32" ht="13.5" customHeight="1">
      <c r="A16" s="35"/>
      <c r="B16" s="386">
        <v>4</v>
      </c>
      <c r="C16" s="50" t="str">
        <f>IFERROR(_xlfn.XLOOKUP('First 5 Innings'!D11,Validations!$E$2:$E$31,Validations!$H$2:$H$31),"")</f>
        <v>Minnesota Twins</v>
      </c>
      <c r="D16" s="50" t="str">
        <f>IFERROR('First 5 Innings'!B11,"")</f>
        <v>Taj Bradley</v>
      </c>
      <c r="E16" s="50" t="str">
        <f>'First 5 Innings'!C11</f>
        <v>R</v>
      </c>
      <c r="F16" s="51">
        <f t="array" ref="F16">IFERROR(_xlfn.XLOOKUP(D16,'Starting Pitchers'!$B$4:$B1007,'Starting Pitchers'!$Z$4:$Z1007),"")</f>
        <v>127</v>
      </c>
      <c r="G16" s="52" t="str">
        <f t="array" aca="1" ref="G16" ca="1">IFERROR(_xludf.XLOOKUP(D16,'Starting Pitchers'!$B$4:$B1007,'Starting Pitchers'!#REF!),"")</f>
        <v/>
      </c>
      <c r="H16" s="53">
        <f>IF('First 5 Innings'!G11=0,"",'First 5 Innings'!G11)</f>
        <v>1.826642062696648</v>
      </c>
      <c r="I16" s="54">
        <f>IF(C16="","", 'First 5 Innings'!H11)</f>
        <v>0.66486562650903946</v>
      </c>
      <c r="J16" s="49">
        <f>IF(C16="","",
  _xlfn.LET(
    _xlpm.prob, 'First 5 Innings'!H11,
    _xlpm.dec, 1 / _xlpm.prob,
    IF(ABS(_xlpm.prob - 0.5) &lt; 0.0001,
       100,
       IF(_xlpm.dec &gt;= 2,
          ROUND((_xlpm.dec - 1) * 100, 0),
          ROUND(-100 / (_xlpm.dec - 1), 0)
       )
    )
  ))</f>
        <v>-198</v>
      </c>
      <c r="K16" s="55">
        <f>IFERROR('First 5 Innings'!AH11,"")</f>
        <v>0.76239149341748513</v>
      </c>
      <c r="L16" s="56">
        <f t="shared" si="0"/>
        <v>-321</v>
      </c>
      <c r="M16" s="54">
        <f>IFERROR('First 5 Innings'!AI11,"")</f>
        <v>0.53316403758019726</v>
      </c>
      <c r="N16" s="56" t="str">
        <f ca="1">IFERROR(
_xludf.LET(
prob, M16,
dec, 1 / prob,
IF(ABS(prob - 0.5) &lt; 0.0001,
100,
IF(dec &gt;= 2,
ROUND((dec - 1) * 100, 0),
ROUND(-100 / (dec - 1), 0)
)
)
),
"")</f>
        <v/>
      </c>
      <c r="O16" s="57">
        <f>'First 5 Innings'!S11</f>
        <v>0</v>
      </c>
      <c r="P16" s="58" t="str">
        <f>IFERROR(
  _xlfn.LET(
    _xlpm.prob, 'First 5 Innings'!S11,
    _xlpm.dec, 1 / _xlpm.prob,
    IF(ABS(_xlpm.prob - 0.5) &lt; 0.0001,
       100,
       IF(_xlpm.dec &gt;= 2,
          ROUND((_xlpm.dec - 1) * 100, 0),
          ROUND(-100 / (_xlpm.dec - 1), 0)
       )
    )
  ),
"")</f>
        <v/>
      </c>
      <c r="Q16" s="54" t="str">
        <f ca="1">IFERROR(1/'First 5 Innings'!AD11,"")</f>
        <v/>
      </c>
      <c r="R16" s="51" t="str">
        <f ca="1">IFERROR(
_xludf.LET(
prob, Q16,
dec, 1 / prob,
IF(ABS(prob - 0.5) &lt; 0.0001,
100,
IF(dec &gt;= 2,
ROUND((dec - 1) * 100, 0),
ROUND(-100 / (dec - 1), 0)
)
)
),
"")</f>
        <v/>
      </c>
      <c r="S16" s="54" t="str">
        <f ca="1">IFERROR(1/'First 5 Innings'!AE11,"")</f>
        <v/>
      </c>
      <c r="T16" s="51" t="str">
        <f ca="1">IFERROR(
_xludf.LET(
prob, S16,
dec, 1 / prob,
IF(ABS(prob - 0.5) &lt; 0.0001,
100,
IF(dec &gt;= 2,
ROUND((dec - 1) * 100, 0),
ROUND(-100 / (dec - 1), 0)
)
)
),
"")</f>
        <v/>
      </c>
      <c r="U16" s="59">
        <f>IF(C16="","", 'First 5 Innings'!T11)</f>
        <v>10</v>
      </c>
      <c r="V16" s="59">
        <f ca="1">IF(C16="","", 'First 5 Innings'!AJ11)</f>
        <v>10</v>
      </c>
      <c r="W16" s="59">
        <f ca="1">IF(C16="","", 'First 5 Innings'!AK11)</f>
        <v>10</v>
      </c>
      <c r="X16" s="60" t="str">
        <f>IF(
  OR(D16="Average", D16="", D17=""),
  "",
  IF(AND(U16 &gt;= $E$7, U16 &lt;= 9.99),
     C16 &amp; " f5 " &amp; ROUND(P16, 0) &amp; " " &amp; 'First 5 Innings'!Q11,
     ""
  )
)</f>
        <v/>
      </c>
      <c r="Y16" s="61" t="e">
        <f t="array" aca="1" ref="Y16" ca="1">IF(
  OR(D16="Average", D16="", D17=""),
  "",
  _xludf.TEXTJOIN(CHAR(10), TRUE,
    IF(AND(V16 &gt;= $F$7, V16 &lt;= 9.99),
      _xludf.XLOOKUP('First 5 Innings'!D11, Validations!$E$2:$E$31, Validations!$H$2:$H$31)
      &amp; " " &amp; 'First 5 Innings'!$AJ$4
      &amp; " " &amp; IF('First 5 Innings'!AD11 &gt;= 2,
                ROUND(('First 5 Innings'!AD11 - 1) * 100, 0),
                ROUND(-100 / ('First 5 Innings'!AD11 - 1), 0)
              ) &amp; " " &amp; 'First 5 Innings'!AL11,
      ""
    ),
    IF(AND(W16 &gt;= $F$7, W16 &lt;= 9.99),
      _xludf.XLOOKUP('First 5 Innings'!D11, Validations!$E$2:$E$31, Validations!$H$2:$H$31)
      &amp; " " &amp; 'First 5 Innings'!$AK$4
      &amp; " " &amp; IF('First 5 Innings'!AE11 &gt;= 2,
                ROUND(('First 5 Innings'!AE11 - 1) * 100, 0),
                ROUND(-100 / ('First 5 Innings'!AE11 - 1), 0)
              ) &amp; " " &amp; 'First 5 Innings'!AM11,
      ""
    )
  )
)</f>
        <v>#NAME?</v>
      </c>
      <c r="Z16" s="62">
        <f>IF('First 5 Innings'!W11&lt;2, -100/('First 5 Innings'!W11-1), ('First 5 Innings'!W11-1)*100)</f>
        <v>-168.54899741410009</v>
      </c>
      <c r="AA16" s="63">
        <f>IF('First 5 Innings'!AN11&lt;2, -100/('First 5 Innings'!AN11-1), ('First 5 Innings'!AN11-1)*100)</f>
        <v>-481.35940856264739</v>
      </c>
      <c r="AB16" s="63">
        <f>IF('First 5 Innings'!AO11&lt;2, -100/('First 5 Innings'!AO11-1), ('First 5 Innings'!AO11-1)*100)</f>
        <v>107.77348115686345</v>
      </c>
      <c r="AC16" s="35"/>
      <c r="AD16" s="2"/>
      <c r="AE16" s="2"/>
      <c r="AF16" s="2"/>
    </row>
    <row r="17" spans="1:32" ht="13.5" customHeight="1">
      <c r="A17" s="35"/>
      <c r="B17" s="387"/>
      <c r="C17" s="50" t="str">
        <f>IFERROR(_xlfn.XLOOKUP('First 5 Innings'!D12,Validations!$E$2:$E$31,Validations!$H$2:$H$31),"")</f>
        <v>Baltimore Orioles</v>
      </c>
      <c r="D17" s="50" t="str">
        <f>IFERROR('First 5 Innings'!B12,"")</f>
        <v>Kyle Bradish</v>
      </c>
      <c r="E17" s="50" t="str">
        <f>'First 5 Innings'!C12</f>
        <v>R</v>
      </c>
      <c r="F17" s="51">
        <f t="array" ref="F17">IFERROR(_xlfn.XLOOKUP(D17,'Starting Pitchers'!$B$4:$B1007,'Starting Pitchers'!$Z$4:$Z1007),"")</f>
        <v>39</v>
      </c>
      <c r="G17" s="52" t="str">
        <f t="array" aca="1" ref="G17" ca="1">IFERROR(_xludf.XLOOKUP(D17,'Starting Pitchers'!$B$4:$B1007,'Starting Pitchers'!#REF!),"")</f>
        <v/>
      </c>
      <c r="H17" s="53">
        <f>IF('First 5 Innings'!G12=0,"",'First 5 Innings'!G12)</f>
        <v>1.145226521098774</v>
      </c>
      <c r="I17" s="54">
        <f>IF(C17="","", 'First 5 Innings'!H12)</f>
        <v>0.33513437349096048</v>
      </c>
      <c r="J17" s="49">
        <f>IF(C17="","",
  _xlfn.LET(
    _xlpm.prob, 'First 5 Innings'!H12,
    _xlpm.dec, 1 / _xlpm.prob,
    IF(ABS(_xlpm.prob - 0.5) &lt; 0.0001,
       100,
       IF(_xlpm.dec &gt;= 2,
          ROUND((_xlpm.dec - 1) * 100, 0),
          ROUND(-100 / (_xlpm.dec - 1), 0)
       )
    )
  ))</f>
        <v>198</v>
      </c>
      <c r="K17" s="55">
        <f>IFERROR('First 5 Innings'!AH12,"")</f>
        <v>0.46683596241980274</v>
      </c>
      <c r="L17" s="56">
        <f t="shared" si="0"/>
        <v>114</v>
      </c>
      <c r="M17" s="54">
        <f>IFERROR('First 5 Innings'!AI12,"")</f>
        <v>0.23760850658251487</v>
      </c>
      <c r="N17" s="56" t="str">
        <f ca="1">IFERROR(
_xludf.LET(
prob, M17,
dec, 1 / prob,
IF(ABS(prob - 0.5) &lt; 0.0001,
100,
IF(dec &gt;= 2,
ROUND((dec - 1) * 100, 0),
ROUND(-100 / (dec - 1), 0)
)
)
),
"")</f>
        <v/>
      </c>
      <c r="O17" s="57">
        <f>'First 5 Innings'!S12</f>
        <v>0</v>
      </c>
      <c r="P17" s="58" t="str">
        <f>IFERROR(
  _xlfn.LET(
    _xlpm.prob, 'First 5 Innings'!S12,
    _xlpm.dec, 1 / _xlpm.prob,
    IF(ABS(_xlpm.prob - 0.5) &lt; 0.0001,
       100,
       IF(_xlpm.dec &gt;= 2,
          ROUND((_xlpm.dec - 1) * 100, 0),
          ROUND(-100 / (_xlpm.dec - 1), 0)
       )
    )
  ),
"")</f>
        <v/>
      </c>
      <c r="Q17" s="54" t="str">
        <f ca="1">IFERROR(1/'First 5 Innings'!AD12,"")</f>
        <v/>
      </c>
      <c r="R17" s="51" t="str">
        <f ca="1">IFERROR(
_xludf.LET(
prob, Q17,
dec, 1 / prob,
IF(ABS(prob - 0.5) &lt; 0.0001,
100,
IF(dec &gt;= 2,
ROUND((dec - 1) * 100, 0),
ROUND(-100 / (dec - 1), 0)
)
)
),
"")</f>
        <v/>
      </c>
      <c r="S17" s="54" t="str">
        <f ca="1">IFERROR(1/'First 5 Innings'!AE12,"")</f>
        <v/>
      </c>
      <c r="T17" s="51" t="str">
        <f ca="1">IFERROR(
_xludf.LET(
prob, S17,
dec, 1 / prob,
IF(ABS(prob - 0.5) &lt; 0.0001,
100,
IF(dec &gt;= 2,
ROUND((dec - 1) * 100, 0),
ROUND(-100 / (dec - 1), 0)
)
)
),
"")</f>
        <v/>
      </c>
      <c r="U17" s="59">
        <f>IF(C17="","", 'First 5 Innings'!T12)</f>
        <v>10</v>
      </c>
      <c r="V17" s="59">
        <f ca="1">IF(C17="","", 'First 5 Innings'!AJ12)</f>
        <v>10</v>
      </c>
      <c r="W17" s="59">
        <f ca="1">IF(C17="","", 'First 5 Innings'!AK12)</f>
        <v>10</v>
      </c>
      <c r="X17" s="60" t="str">
        <f>IF(
  OR(D17="Average", D17="", D18=""),
  "",
  IF(AND(U17 &gt;= $E$7, U17 &lt;= 9.99),
     C17 &amp; " f5 " &amp; ROUND(P17, 0) &amp; " " &amp; 'First 5 Innings'!Q12,
     ""
  )
)</f>
        <v/>
      </c>
      <c r="Y17" s="61" t="e">
        <f t="array" aca="1" ref="Y17" ca="1">IF(
  OR(D17="Average", D17="", D18=""),
  "",
  _xludf.TEXTJOIN(CHAR(10), TRUE,
    IF(AND(V17 &gt;= $F$7, V17 &lt;= 9.99),
      _xludf.XLOOKUP('First 5 Innings'!D12, Validations!$E$2:$E$31, Validations!$H$2:$H$31)
      &amp; " " &amp; 'First 5 Innings'!$AJ$4
      &amp; " " &amp; IF('First 5 Innings'!AD12 &gt;= 2,
                ROUND(('First 5 Innings'!AD12 - 1) * 100, 0),
                ROUND(-100 / ('First 5 Innings'!AD12 - 1), 0)
              ) &amp; " " &amp; 'First 5 Innings'!AL12,
      ""
    ),
    IF(AND(W17 &gt;= $F$7, W17 &lt;= 9.99),
      _xludf.XLOOKUP('First 5 Innings'!D12, Validations!$E$2:$E$31, Validations!$H$2:$H$31)
      &amp; " " &amp; 'First 5 Innings'!$AK$4
      &amp; " " &amp; IF('First 5 Innings'!AE12 &gt;= 2,
                ROUND(('First 5 Innings'!AE12 - 1) * 100, 0),
                ROUND(-100 / ('First 5 Innings'!AE12 - 1), 0)
              ) &amp; " " &amp; 'First 5 Innings'!AM12,
      ""
    )
  )
)</f>
        <v>#NAME?</v>
      </c>
      <c r="Z17" s="62">
        <f>IF('First 5 Innings'!W12&lt;2, -100/('First 5 Innings'!W12-1), ('First 5 Innings'!W12-1)*100)</f>
        <v>282.75986051635266</v>
      </c>
      <c r="AA17" s="63">
        <f>IF('First 5 Innings'!AN12&lt;2, -100/('First 5 Innings'!AN12-1), ('First 5 Innings'!AN12-1)*100)</f>
        <v>118.0811267038452</v>
      </c>
      <c r="AB17" s="63">
        <f>IF('First 5 Innings'!AO12&lt;2, -100/('First 5 Innings'!AO12-1), ('First 5 Innings'!AO12-1)*100)</f>
        <v>554.02933463297825</v>
      </c>
      <c r="AC17" s="35"/>
      <c r="AD17" s="2"/>
      <c r="AE17" s="2"/>
      <c r="AF17" s="2"/>
    </row>
    <row r="18" spans="1:32" ht="13.5" customHeight="1">
      <c r="A18" s="35"/>
      <c r="B18" s="388">
        <v>5</v>
      </c>
      <c r="C18" s="37" t="str">
        <f>IFERROR(_xlfn.XLOOKUP('First 5 Innings'!D13,Validations!$E$2:$E$31,Validations!$H$2:$H$31),"")</f>
        <v>Texas Rangers</v>
      </c>
      <c r="D18" s="37" t="str">
        <f>IFERROR('First 5 Innings'!B13,"")</f>
        <v>Jacob deGrom</v>
      </c>
      <c r="E18" s="37" t="str">
        <f>'First 5 Innings'!C13</f>
        <v>R</v>
      </c>
      <c r="F18" s="38">
        <f t="array" ref="F18">IFERROR(_xlfn.XLOOKUP(D18,'Starting Pitchers'!$B$4:$B1007,'Starting Pitchers'!$Z$4:$Z1007),"")</f>
        <v>48</v>
      </c>
      <c r="G18" s="39" t="str">
        <f t="array" aca="1" ref="G18" ca="1">IFERROR(_xludf.XLOOKUP(D18,'Starting Pitchers'!$B$4:$B1007,'Starting Pitchers'!#REF!),"")</f>
        <v/>
      </c>
      <c r="H18" s="40">
        <f>IF('First 5 Innings'!G13=0,"",'First 5 Innings'!G13)</f>
        <v>1.545381866307149</v>
      </c>
      <c r="I18" s="41">
        <f>IF(C18="","", 'First 5 Innings'!H13)</f>
        <v>0.19615724833609169</v>
      </c>
      <c r="J18" s="36">
        <f>IF(C18="","",
  _xlfn.LET(
    _xlpm.prob, 'First 5 Innings'!H13,
    _xlpm.dec, 1 / _xlpm.prob,
    IF(ABS(_xlpm.prob - 0.5) &lt; 0.0001,
       100,
       IF(_xlpm.dec &gt;= 2,
          ROUND((_xlpm.dec - 1) * 100, 0),
          ROUND(-100 / (_xlpm.dec - 1), 0)
       )
    )
  ))</f>
        <v>410</v>
      </c>
      <c r="K18" s="42">
        <f>IFERROR('First 5 Innings'!AH13,"")</f>
        <v>0.24754946428825342</v>
      </c>
      <c r="L18" s="43">
        <f t="shared" si="0"/>
        <v>304</v>
      </c>
      <c r="M18" s="41">
        <f>IFERROR('First 5 Innings'!AI13,"")</f>
        <v>0.12337602979847266</v>
      </c>
      <c r="N18" s="43" t="str">
        <f ca="1">IFERROR(
_xludf.LET(
prob, M18,
dec, 1 / prob,
IF(ABS(prob - 0.5) &lt; 0.0001,
100,
IF(dec &gt;= 2,
ROUND((dec - 1) * 100, 0),
ROUND(-100 / (dec - 1), 0)
)
)
),
"")</f>
        <v/>
      </c>
      <c r="O18" s="42">
        <f>'First 5 Innings'!S13</f>
        <v>0</v>
      </c>
      <c r="P18" s="38" t="str">
        <f>IFERROR(
  _xlfn.LET(
    _xlpm.prob, 'First 5 Innings'!S13,
    _xlpm.dec, 1 / _xlpm.prob,
    IF(ABS(_xlpm.prob - 0.5) &lt; 0.0001,
       100,
       IF(_xlpm.dec &gt;= 2,
          ROUND((_xlpm.dec - 1) * 100, 0),
          ROUND(-100 / (_xlpm.dec - 1), 0)
       )
    )
  ),
"")</f>
        <v/>
      </c>
      <c r="Q18" s="41" t="str">
        <f ca="1">IFERROR(1/'First 5 Innings'!AD13,"")</f>
        <v/>
      </c>
      <c r="R18" s="38" t="str">
        <f ca="1">IFERROR(
_xludf.LET(
prob, Q18,
dec, 1 / prob,
IF(ABS(prob - 0.5) &lt; 0.0001,
100,
IF(dec &gt;= 2,
ROUND((dec - 1) * 100, 0),
ROUND(-100 / (dec - 1), 0)
)
)
),
"")</f>
        <v/>
      </c>
      <c r="S18" s="41" t="str">
        <f ca="1">IFERROR(1/'First 5 Innings'!AE13,"")</f>
        <v/>
      </c>
      <c r="T18" s="38" t="str">
        <f ca="1">IFERROR(
_xludf.LET(
prob, S18,
dec, 1 / prob,
IF(ABS(prob - 0.5) &lt; 0.0001,
100,
IF(dec &gt;= 2,
ROUND((dec - 1) * 100, 0),
ROUND(-100 / (dec - 1), 0)
)
)
),
"")</f>
        <v/>
      </c>
      <c r="U18" s="44">
        <f>IF(C18="","", 'First 5 Innings'!T13)</f>
        <v>10</v>
      </c>
      <c r="V18" s="44">
        <f ca="1">IF(C18="","", 'First 5 Innings'!AJ13)</f>
        <v>10</v>
      </c>
      <c r="W18" s="44">
        <f ca="1">IF(C18="","", 'First 5 Innings'!AK13)</f>
        <v>10</v>
      </c>
      <c r="X18" s="45" t="str">
        <f>IF(
  OR(D18="Average", D18="", D19=""),
  "",
  IF(AND(U18 &gt;= $E$7, U18 &lt;= 9.99),
     C18 &amp; " f5 " &amp; ROUND(P18, 0) &amp; " " &amp; 'First 5 Innings'!Q13,
     ""
  )
)</f>
        <v/>
      </c>
      <c r="Y18" s="46" t="e">
        <f t="array" aca="1" ref="Y18" ca="1">IF(
  OR(D18="Average", D18="", D19=""),
  "",
  _xludf.TEXTJOIN(CHAR(10), TRUE,
    IF(AND(V18 &gt;= $F$7, V18 &lt;= 9.99),
      _xludf.XLOOKUP('First 5 Innings'!D13, Validations!$E$2:$E$31, Validations!$H$2:$H$31)
      &amp; " " &amp; 'First 5 Innings'!$AJ$4
      &amp; " " &amp; IF('First 5 Innings'!AD13 &gt;= 2,
                ROUND(('First 5 Innings'!AD13 - 1) * 100, 0),
                ROUND(-100 / ('First 5 Innings'!AD13 - 1), 0)
              ) &amp; " " &amp; 'First 5 Innings'!AL13,
      ""
    ),
    IF(AND(W18 &gt;= $F$7, W18 &lt;= 9.99),
      _xludf.XLOOKUP('First 5 Innings'!D13, Validations!$E$2:$E$31, Validations!$H$2:$H$31)
      &amp; " " &amp; 'First 5 Innings'!$AK$4
      &amp; " " &amp; IF('First 5 Innings'!AE13 &gt;= 2,
                ROUND(('First 5 Innings'!AE13 - 1) * 100, 0),
                ROUND(-100 / ('First 5 Innings'!AE13 - 1), 0)
              ) &amp; " " &amp; 'First 5 Innings'!AM13,
      ""
    )
  )
)</f>
        <v>#NAME?</v>
      </c>
      <c r="Z18" s="47">
        <f>IF('First 5 Innings'!W13&lt;2, -100/('First 5 Innings'!W13-1), ('First 5 Innings'!W13-1)*100)</f>
        <v>835.96688296891898</v>
      </c>
      <c r="AA18" s="48">
        <f>IF('First 5 Innings'!AN13&lt;2, -100/('First 5 Innings'!AN13-1), ('First 5 Innings'!AN13-1)*100)</f>
        <v>442.19105698487374</v>
      </c>
      <c r="AB18" s="48">
        <f>IF('First 5 Innings'!AO13&lt;2, -100/('First 5 Innings'!AO13-1), ('First 5 Innings'!AO13-1)*100)</f>
        <v>3750.0977615061229</v>
      </c>
      <c r="AC18" s="35"/>
      <c r="AD18" s="2"/>
      <c r="AE18" s="2"/>
      <c r="AF18" s="2"/>
    </row>
    <row r="19" spans="1:32" ht="24.75" customHeight="1">
      <c r="A19" s="35"/>
      <c r="B19" s="387"/>
      <c r="C19" s="37" t="str">
        <f>IFERROR(_xlfn.XLOOKUP('First 5 Innings'!D14,Validations!$E$2:$E$31,Validations!$H$2:$H$31),"")</f>
        <v>Philadelphia Phillies</v>
      </c>
      <c r="D19" s="37" t="str">
        <f>IFERROR('First 5 Innings'!B14,"")</f>
        <v>Aaron Nola</v>
      </c>
      <c r="E19" s="37" t="str">
        <f>'First 5 Innings'!C14</f>
        <v>R</v>
      </c>
      <c r="F19" s="38">
        <f t="array" ref="F19">IFERROR(_xlfn.XLOOKUP(D19,'Starting Pitchers'!$B$4:$B1007,'Starting Pitchers'!$Z$4:$Z1007),"")</f>
        <v>74</v>
      </c>
      <c r="G19" s="39" t="str">
        <f t="array" aca="1" ref="G19" ca="1">IFERROR(_xludf.XLOOKUP(D19,'Starting Pitchers'!$B$4:$B1007,'Starting Pitchers'!#REF!),"")</f>
        <v/>
      </c>
      <c r="H19" s="40">
        <f>IF('First 5 Innings'!G14=0,"",'First 5 Innings'!G14)</f>
        <v>3.585309627595878</v>
      </c>
      <c r="I19" s="41">
        <f>IF(C19="","", 'First 5 Innings'!H14)</f>
        <v>0.80384275166390839</v>
      </c>
      <c r="J19" s="36">
        <f>IF(C19="","",
  _xlfn.LET(
    _xlpm.prob, 'First 5 Innings'!H14,
    _xlpm.dec, 1 / _xlpm.prob,
    IF(ABS(_xlpm.prob - 0.5) &lt; 0.0001,
       100,
       IF(_xlpm.dec &gt;= 2,
          ROUND((_xlpm.dec - 1) * 100, 0),
          ROUND(-100 / (_xlpm.dec - 1), 0)
       )
    )
  ))</f>
        <v>-410</v>
      </c>
      <c r="K19" s="42">
        <f>IFERROR('First 5 Innings'!AH14,"")</f>
        <v>0.87662397020152738</v>
      </c>
      <c r="L19" s="43">
        <f t="shared" si="0"/>
        <v>-711</v>
      </c>
      <c r="M19" s="41">
        <f>IFERROR('First 5 Innings'!AI14,"")</f>
        <v>0.75245053571174658</v>
      </c>
      <c r="N19" s="43" t="str">
        <f ca="1">IFERROR(
_xludf.LET(
prob, M19,
dec, 1 / prob,
IF(ABS(prob - 0.5) &lt; 0.0001,
100,
IF(dec &gt;= 2,
ROUND((dec - 1) * 100, 0),
ROUND(-100 / (dec - 1), 0)
)
)
),
"")</f>
        <v/>
      </c>
      <c r="O19" s="42">
        <f>'First 5 Innings'!S14</f>
        <v>0</v>
      </c>
      <c r="P19" s="38" t="str">
        <f>IFERROR(
  _xlfn.LET(
    _xlpm.prob, 'First 5 Innings'!S14,
    _xlpm.dec, 1 / _xlpm.prob,
    IF(ABS(_xlpm.prob - 0.5) &lt; 0.0001,
       100,
       IF(_xlpm.dec &gt;= 2,
          ROUND((_xlpm.dec - 1) * 100, 0),
          ROUND(-100 / (_xlpm.dec - 1), 0)
       )
    )
  ),
"")</f>
        <v/>
      </c>
      <c r="Q19" s="41" t="str">
        <f ca="1">IFERROR(1/'First 5 Innings'!AD14,"")</f>
        <v/>
      </c>
      <c r="R19" s="38" t="str">
        <f ca="1">IFERROR(
_xludf.LET(
prob, Q19,
dec, 1 / prob,
IF(ABS(prob - 0.5) &lt; 0.0001,
100,
IF(dec &gt;= 2,
ROUND((dec - 1) * 100, 0),
ROUND(-100 / (dec - 1), 0)
)
)
),
"")</f>
        <v/>
      </c>
      <c r="S19" s="41" t="str">
        <f ca="1">IFERROR(1/'First 5 Innings'!AE14,"")</f>
        <v/>
      </c>
      <c r="T19" s="38" t="str">
        <f ca="1">IFERROR(
_xludf.LET(
prob, S19,
dec, 1 / prob,
IF(ABS(prob - 0.5) &lt; 0.0001,
100,
IF(dec &gt;= 2,
ROUND((dec - 1) * 100, 0),
ROUND(-100 / (dec - 1), 0)
)
)
),
"")</f>
        <v/>
      </c>
      <c r="U19" s="44">
        <f>IF(C19="","", 'First 5 Innings'!T14)</f>
        <v>10</v>
      </c>
      <c r="V19" s="44">
        <f ca="1">IF(C19="","", 'First 5 Innings'!AJ14)</f>
        <v>10</v>
      </c>
      <c r="W19" s="44">
        <f ca="1">IF(C19="","", 'First 5 Innings'!AK14)</f>
        <v>10</v>
      </c>
      <c r="X19" s="45" t="str">
        <f>IF(
  OR(D19="Average", D19="", D20=""),
  "",
  IF(AND(U19 &gt;= $E$7, U19 &lt;= 9.99),
     C19 &amp; " f5 " &amp; ROUND(P19, 0) &amp; " " &amp; 'First 5 Innings'!Q14,
     ""
  )
)</f>
        <v/>
      </c>
      <c r="Y19" s="46" t="e">
        <f t="array" aca="1" ref="Y19" ca="1">IF(
  OR(D19="Average", D19="", D20=""),
  "",
  _xludf.TEXTJOIN(CHAR(10), TRUE,
    IF(AND(V19 &gt;= $F$7, V19 &lt;= 9.99),
      _xludf.XLOOKUP('First 5 Innings'!D14, Validations!$E$2:$E$31, Validations!$H$2:$H$31)
      &amp; " " &amp; 'First 5 Innings'!$AJ$4
      &amp; " " &amp; IF('First 5 Innings'!AD14 &gt;= 2,
                ROUND(('First 5 Innings'!AD14 - 1) * 100, 0),
                ROUND(-100 / ('First 5 Innings'!AD14 - 1), 0)
              ) &amp; " " &amp; 'First 5 Innings'!AL14,
      ""
    ),
    IF(AND(W19 &gt;= $F$7, W19 &lt;= 9.99),
      _xludf.XLOOKUP('First 5 Innings'!D14, Validations!$E$2:$E$31, Validations!$H$2:$H$31)
      &amp; " " &amp; 'First 5 Innings'!$AK$4
      &amp; " " &amp; IF('First 5 Innings'!AE14 &gt;= 2,
                ROUND(('First 5 Innings'!AE14 - 1) * 100, 0),
                ROUND(-100 / ('First 5 Innings'!AE14 - 1), 0)
              ) &amp; " " &amp; 'First 5 Innings'!AM14,
      ""
    )
  )
)</f>
        <v>#NAME?</v>
      </c>
      <c r="Z19" s="47">
        <f>IF('First 5 Innings'!W14&lt;2, -100/('First 5 Innings'!W14-1), ('First 5 Innings'!W14-1)*100)</f>
        <v>-358.81557150412266</v>
      </c>
      <c r="AA19" s="48">
        <f>IF('First 5 Innings'!AN14&lt;2, -100/('First 5 Innings'!AN14-1), ('First 5 Innings'!AN14-1)*100)</f>
        <v>-3322.3091213387734</v>
      </c>
      <c r="AB19" s="48">
        <f>IF('First 5 Innings'!AO14&lt;2, -100/('First 5 Innings'!AO14-1), ('First 5 Innings'!AO14-1)*100)</f>
        <v>-263.56370335425777</v>
      </c>
      <c r="AC19" s="35"/>
      <c r="AD19" s="2"/>
      <c r="AE19" s="2"/>
      <c r="AF19" s="2"/>
    </row>
    <row r="20" spans="1:32" ht="13.5" customHeight="1">
      <c r="A20" s="35"/>
      <c r="B20" s="386">
        <v>6</v>
      </c>
      <c r="C20" s="50" t="str">
        <f>IFERROR(_xlfn.XLOOKUP('First 5 Innings'!D15,Validations!$E$2:$E$31,Validations!$H$2:$H$31),"")</f>
        <v>Boston Red Sox</v>
      </c>
      <c r="D20" s="50" t="str">
        <f>IFERROR('First 5 Innings'!B15,"")</f>
        <v>Sonny Gray</v>
      </c>
      <c r="E20" s="50" t="str">
        <f>'First 5 Innings'!C15</f>
        <v>R</v>
      </c>
      <c r="F20" s="51">
        <f t="array" ref="F20">IFERROR(_xlfn.XLOOKUP(D20,'Starting Pitchers'!$B$4:$B1007,'Starting Pitchers'!$Z$4:$Z1007),"")</f>
        <v>102</v>
      </c>
      <c r="G20" s="52" t="str">
        <f t="array" aca="1" ref="G20" ca="1">IFERROR(_xludf.XLOOKUP(D20,'Starting Pitchers'!$B$4:$B1007,'Starting Pitchers'!#REF!),"")</f>
        <v/>
      </c>
      <c r="H20" s="53">
        <f>IF('First 5 Innings'!G15=0,"",'First 5 Innings'!G15)</f>
        <v>2.7907438072104722</v>
      </c>
      <c r="I20" s="54">
        <f>IF(C20="","", 'First 5 Innings'!H15)</f>
        <v>0.6149264665223495</v>
      </c>
      <c r="J20" s="49">
        <f>IF(C20="","",
  _xlfn.LET(
    _xlpm.prob, 'First 5 Innings'!H15,
    _xlpm.dec, 1 / _xlpm.prob,
    IF(ABS(_xlpm.prob - 0.5) &lt; 0.0001,
       100,
       IF(_xlpm.dec &gt;= 2,
          ROUND((_xlpm.dec - 1) * 100, 0),
          ROUND(-100 / (_xlpm.dec - 1), 0)
       )
    )
  ))</f>
        <v>-160</v>
      </c>
      <c r="K20" s="55">
        <f>IFERROR('First 5 Innings'!AH15,"")</f>
        <v>0.7073094894578329</v>
      </c>
      <c r="L20" s="56">
        <f t="shared" si="0"/>
        <v>-242</v>
      </c>
      <c r="M20" s="54">
        <f>IFERROR('First 5 Innings'!AI15,"")</f>
        <v>0.5294907488709264</v>
      </c>
      <c r="N20" s="56" t="str">
        <f ca="1">IFERROR(
_xludf.LET(
prob, M20,
dec, 1 / prob,
IF(ABS(prob - 0.5) &lt; 0.0001,
100,
IF(dec &gt;= 2,
ROUND((dec - 1) * 100, 0),
ROUND(-100 / (dec - 1), 0)
)
)
),
"")</f>
        <v/>
      </c>
      <c r="O20" s="57">
        <f>'First 5 Innings'!S15</f>
        <v>0</v>
      </c>
      <c r="P20" s="58" t="str">
        <f>IFERROR(
  _xlfn.LET(
    _xlpm.prob, 'First 5 Innings'!S15,
    _xlpm.dec, 1 / _xlpm.prob,
    IF(ABS(_xlpm.prob - 0.5) &lt; 0.0001,
       100,
       IF(_xlpm.dec &gt;= 2,
          ROUND((_xlpm.dec - 1) * 100, 0),
          ROUND(-100 / (_xlpm.dec - 1), 0)
       )
    )
  ),
"")</f>
        <v/>
      </c>
      <c r="Q20" s="54" t="str">
        <f ca="1">IFERROR(1/'First 5 Innings'!AD15,"")</f>
        <v/>
      </c>
      <c r="R20" s="51" t="str">
        <f ca="1">IFERROR(
_xludf.LET(
prob, Q20,
dec, 1 / prob,
IF(ABS(prob - 0.5) &lt; 0.0001,
100,
IF(dec &gt;= 2,
ROUND((dec - 1) * 100, 0),
ROUND(-100 / (dec - 1), 0)
)
)
),
"")</f>
        <v/>
      </c>
      <c r="S20" s="54" t="str">
        <f ca="1">IFERROR(1/'First 5 Innings'!AE15,"")</f>
        <v/>
      </c>
      <c r="T20" s="51" t="str">
        <f ca="1">IFERROR(
_xludf.LET(
prob, S20,
dec, 1 / prob,
IF(ABS(prob - 0.5) &lt; 0.0001,
100,
IF(dec &gt;= 2,
ROUND((dec - 1) * 100, 0),
ROUND(-100 / (dec - 1), 0)
)
)
),
"")</f>
        <v/>
      </c>
      <c r="U20" s="59">
        <f>IF(C20="","", 'First 5 Innings'!T15)</f>
        <v>10</v>
      </c>
      <c r="V20" s="59">
        <f ca="1">IF(C20="","", 'First 5 Innings'!AJ15)</f>
        <v>10</v>
      </c>
      <c r="W20" s="59">
        <f ca="1">IF(C20="","", 'First 5 Innings'!AK15)</f>
        <v>10</v>
      </c>
      <c r="X20" s="60" t="str">
        <f>IF(
  OR(D20="Average", D20="", D21=""),
  "",
  IF(AND(U20 &gt;= $E$7, U20 &lt;= 9.99),
     C20 &amp; " f5 " &amp; ROUND(P20, 0) &amp; " " &amp; 'First 5 Innings'!Q15,
     ""
  )
)</f>
        <v/>
      </c>
      <c r="Y20" s="61" t="e">
        <f t="array" aca="1" ref="Y20" ca="1">IF(
  OR(D20="Average", D20="", D21=""),
  "",
  _xludf.TEXTJOIN(CHAR(10), TRUE,
    IF(AND(V20 &gt;= $F$7, V20 &lt;= 9.99),
      _xludf.XLOOKUP('First 5 Innings'!D15, Validations!$E$2:$E$31, Validations!$H$2:$H$31)
      &amp; " " &amp; 'First 5 Innings'!$AJ$4
      &amp; " " &amp; IF('First 5 Innings'!AD15 &gt;= 2,
                ROUND(('First 5 Innings'!AD15 - 1) * 100, 0),
                ROUND(-100 / ('First 5 Innings'!AD15 - 1), 0)
              ) &amp; " " &amp; 'First 5 Innings'!AL15,
      ""
    ),
    IF(AND(W20 &gt;= $F$7, W20 &lt;= 9.99),
      _xludf.XLOOKUP('First 5 Innings'!D15, Validations!$E$2:$E$31, Validations!$H$2:$H$31)
      &amp; " " &amp; 'First 5 Innings'!$AK$4
      &amp; " " &amp; IF('First 5 Innings'!AE15 &gt;= 2,
                ROUND(('First 5 Innings'!AE15 - 1) * 100, 0),
                ROUND(-100 / ('First 5 Innings'!AE15 - 1), 0)
              ) &amp; " " &amp; 'First 5 Innings'!AM15,
      ""
    )
  )
)</f>
        <v>#NAME?</v>
      </c>
      <c r="Z20" s="62">
        <f>IF('First 5 Innings'!W15&lt;2, -100/('First 5 Innings'!W15-1), ('First 5 Innings'!W15-1)*100)</f>
        <v>-133.72159386597667</v>
      </c>
      <c r="AA20" s="63">
        <f>IF('First 5 Innings'!AN15&lt;2, -100/('First 5 Innings'!AN15-1), ('First 5 Innings'!AN15-1)*100)</f>
        <v>-315.17353280608671</v>
      </c>
      <c r="AB20" s="63">
        <f>IF('First 5 Innings'!AO15&lt;2, -100/('First 5 Innings'!AO15-1), ('First 5 Innings'!AO15-1)*100)</f>
        <v>109.55049727287012</v>
      </c>
      <c r="AC20" s="35"/>
      <c r="AD20" s="2"/>
      <c r="AE20" s="2"/>
      <c r="AF20" s="2"/>
    </row>
    <row r="21" spans="1:32" ht="13.5" customHeight="1">
      <c r="A21" s="35"/>
      <c r="B21" s="387"/>
      <c r="C21" s="50" t="str">
        <f>IFERROR(_xlfn.XLOOKUP('First 5 Innings'!D16,Validations!$E$2:$E$31,Validations!$H$2:$H$31),"")</f>
        <v>Cincinnati Reds</v>
      </c>
      <c r="D21" s="50" t="str">
        <f>IFERROR('First 5 Innings'!B16,"")</f>
        <v>Brady Singer</v>
      </c>
      <c r="E21" s="50" t="str">
        <f>'First 5 Innings'!C16</f>
        <v>R</v>
      </c>
      <c r="F21" s="51">
        <f t="array" ref="F21">IFERROR(_xlfn.XLOOKUP(D21,'Starting Pitchers'!$B$4:$B1007,'Starting Pitchers'!$Z$4:$Z1007),"")</f>
        <v>43</v>
      </c>
      <c r="G21" s="52" t="str">
        <f t="array" aca="1" ref="G21" ca="1">IFERROR(_xludf.XLOOKUP(D21,'Starting Pitchers'!$B$4:$B1007,'Starting Pitchers'!#REF!),"")</f>
        <v/>
      </c>
      <c r="H21" s="53">
        <f>IF('First 5 Innings'!G16=0,"",'First 5 Innings'!G16)</f>
        <v>2.1072283818818565</v>
      </c>
      <c r="I21" s="54">
        <f>IF(C21="","", 'First 5 Innings'!H16)</f>
        <v>0.38507353347765055</v>
      </c>
      <c r="J21" s="49">
        <f>IF(C21="","",
  _xlfn.LET(
    _xlpm.prob, 'First 5 Innings'!H16,
    _xlpm.dec, 1 / _xlpm.prob,
    IF(ABS(_xlpm.prob - 0.5) &lt; 0.0001,
       100,
       IF(_xlpm.dec &gt;= 2,
          ROUND((_xlpm.dec - 1) * 100, 0),
          ROUND(-100 / (_xlpm.dec - 1), 0)
       )
    )
  ))</f>
        <v>160</v>
      </c>
      <c r="K21" s="55">
        <f>IFERROR('First 5 Innings'!AH16,"")</f>
        <v>0.4705092511290736</v>
      </c>
      <c r="L21" s="56">
        <f t="shared" si="0"/>
        <v>113</v>
      </c>
      <c r="M21" s="54">
        <f>IFERROR('First 5 Innings'!AI16,"")</f>
        <v>0.2926905105421671</v>
      </c>
      <c r="N21" s="56" t="str">
        <f ca="1">IFERROR(
_xludf.LET(
prob, M21,
dec, 1 / prob,
IF(ABS(prob - 0.5) &lt; 0.0001,
100,
IF(dec &gt;= 2,
ROUND((dec - 1) * 100, 0),
ROUND(-100 / (dec - 1), 0)
)
)
),
"")</f>
        <v/>
      </c>
      <c r="O21" s="57">
        <f>'First 5 Innings'!S16</f>
        <v>0</v>
      </c>
      <c r="P21" s="58" t="str">
        <f>IFERROR(
  _xlfn.LET(
    _xlpm.prob, 'First 5 Innings'!S16,
    _xlpm.dec, 1 / _xlpm.prob,
    IF(ABS(_xlpm.prob - 0.5) &lt; 0.0001,
       100,
       IF(_xlpm.dec &gt;= 2,
          ROUND((_xlpm.dec - 1) * 100, 0),
          ROUND(-100 / (_xlpm.dec - 1), 0)
       )
    )
  ),
"")</f>
        <v/>
      </c>
      <c r="Q21" s="54" t="str">
        <f ca="1">IFERROR(1/'First 5 Innings'!AD16,"")</f>
        <v/>
      </c>
      <c r="R21" s="51" t="str">
        <f ca="1">IFERROR(
_xludf.LET(
prob, Q21,
dec, 1 / prob,
IF(ABS(prob - 0.5) &lt; 0.0001,
100,
IF(dec &gt;= 2,
ROUND((dec - 1) * 100, 0),
ROUND(-100 / (dec - 1), 0)
)
)
),
"")</f>
        <v/>
      </c>
      <c r="S21" s="54" t="str">
        <f ca="1">IFERROR(1/'First 5 Innings'!AE16,"")</f>
        <v/>
      </c>
      <c r="T21" s="51" t="str">
        <f ca="1">IFERROR(
_xludf.LET(
prob, S21,
dec, 1 / prob,
IF(ABS(prob - 0.5) &lt; 0.0001,
100,
IF(dec &gt;= 2,
ROUND((dec - 1) * 100, 0),
ROUND(-100 / (dec - 1), 0)
)
)
),
"")</f>
        <v/>
      </c>
      <c r="U21" s="59">
        <f>IF(C21="","", 'First 5 Innings'!T16)</f>
        <v>10</v>
      </c>
      <c r="V21" s="59">
        <f ca="1">IF(C21="","", 'First 5 Innings'!AJ16)</f>
        <v>10</v>
      </c>
      <c r="W21" s="59">
        <f ca="1">IF(C21="","", 'First 5 Innings'!AK16)</f>
        <v>10</v>
      </c>
      <c r="X21" s="60" t="str">
        <f>IF(
  OR(D21="Average", D21="", D22=""),
  "",
  IF(AND(U21 &gt;= $E$7, U21 &lt;= 9.99),
     C21 &amp; " f5 " &amp; ROUND(P21, 0) &amp; " " &amp; 'First 5 Innings'!Q16,
     ""
  )
)</f>
        <v/>
      </c>
      <c r="Y21" s="61" t="e">
        <f t="array" aca="1" ref="Y21" ca="1">IF(
  OR(D21="Average", D21="", D22=""),
  "",
  _xludf.TEXTJOIN(CHAR(10), TRUE,
    IF(AND(V21 &gt;= $F$7, V21 &lt;= 9.99),
      _xludf.XLOOKUP('First 5 Innings'!D16, Validations!$E$2:$E$31, Validations!$H$2:$H$31)
      &amp; " " &amp; 'First 5 Innings'!$AJ$4
      &amp; " " &amp; IF('First 5 Innings'!AD16 &gt;= 2,
                ROUND(('First 5 Innings'!AD16 - 1) * 100, 0),
                ROUND(-100 / ('First 5 Innings'!AD16 - 1), 0)
              ) &amp; " " &amp; 'First 5 Innings'!AL16,
      ""
    ),
    IF(AND(W21 &gt;= $F$7, W21 &lt;= 9.99),
      _xludf.XLOOKUP('First 5 Innings'!D16, Validations!$E$2:$E$31, Validations!$H$2:$H$31)
      &amp; " " &amp; 'First 5 Innings'!$AK$4
      &amp; " " &amp; IF('First 5 Innings'!AE16 &gt;= 2,
                ROUND(('First 5 Innings'!AE16 - 1) * 100, 0),
                ROUND(-100 / ('First 5 Innings'!AE16 - 1), 0)
              ) &amp; " " &amp; 'First 5 Innings'!AM16,
      ""
    )
  )
)</f>
        <v>#NAME?</v>
      </c>
      <c r="Z21" s="62">
        <f>IF('First 5 Innings'!W16&lt;2, -100/('First 5 Innings'!W16-1), ('First 5 Innings'!W16-1)*100)</f>
        <v>215.70801716342393</v>
      </c>
      <c r="AA21" s="63">
        <f>IF('First 5 Innings'!AN16&lt;2, -100/('First 5 Innings'!AN16-1), ('First 5 Innings'!AN16-1)*100)</f>
        <v>115.91903510158387</v>
      </c>
      <c r="AB21" s="63">
        <f>IF('First 5 Innings'!AO16&lt;2, -100/('First 5 Innings'!AO16-1), ('First 5 Innings'!AO16-1)*100)</f>
        <v>367.0702244068475</v>
      </c>
      <c r="AC21" s="35"/>
      <c r="AD21" s="2"/>
      <c r="AE21" s="2"/>
      <c r="AF21" s="2"/>
    </row>
    <row r="22" spans="1:32" ht="13.5" customHeight="1">
      <c r="A22" s="35"/>
      <c r="B22" s="388">
        <v>7</v>
      </c>
      <c r="C22" s="37" t="str">
        <f>IFERROR(_xlfn.XLOOKUP('First 5 Innings'!D17,Validations!$E$2:$E$31,Validations!$H$2:$H$31),"")</f>
        <v>Pittsburgh Pirates</v>
      </c>
      <c r="D22" s="37" t="str">
        <f>IFERROR('First 5 Innings'!B17,"")</f>
        <v>Mitch Keller</v>
      </c>
      <c r="E22" s="37" t="str">
        <f>'First 5 Innings'!C17</f>
        <v>R</v>
      </c>
      <c r="F22" s="38">
        <f t="array" ref="F22">IFERROR(_xlfn.XLOOKUP(D22,'Starting Pitchers'!$B$4:$B1007,'Starting Pitchers'!$Z$4:$Z1007),"")</f>
        <v>140</v>
      </c>
      <c r="G22" s="39" t="str">
        <f t="array" aca="1" ref="G22" ca="1">IFERROR(_xludf.XLOOKUP(D22,'Starting Pitchers'!$B$4:$B1007,'Starting Pitchers'!#REF!),"")</f>
        <v/>
      </c>
      <c r="H22" s="40">
        <f>IF('First 5 Innings'!G17=0,"",'First 5 Innings'!G17)</f>
        <v>2.6219045834201022</v>
      </c>
      <c r="I22" s="41">
        <f>IF(C22="","", 'First 5 Innings'!H17)</f>
        <v>0.75190149141964713</v>
      </c>
      <c r="J22" s="36">
        <f>IF(C22="","",
  _xlfn.LET(
    _xlpm.prob, 'First 5 Innings'!H17,
    _xlpm.dec, 1 / _xlpm.prob,
    IF(ABS(_xlpm.prob - 0.5) &lt; 0.0001,
       100,
       IF(_xlpm.dec &gt;= 2,
          ROUND((_xlpm.dec - 1) * 100, 0),
          ROUND(-100 / (_xlpm.dec - 1), 0)
       )
    )
  ))</f>
        <v>-303</v>
      </c>
      <c r="K22" s="42">
        <f>IFERROR('First 5 Innings'!AH17,"")</f>
        <v>0.83065963273595167</v>
      </c>
      <c r="L22" s="43">
        <f t="shared" si="0"/>
        <v>-491</v>
      </c>
      <c r="M22" s="41">
        <f>IFERROR('First 5 Innings'!AI17,"")</f>
        <v>0.65901674739380256</v>
      </c>
      <c r="N22" s="43" t="str">
        <f ca="1">IFERROR(
_xludf.LET(
prob, M22,
dec, 1 / prob,
IF(ABS(prob - 0.5) &lt; 0.0001,
100,
IF(dec &gt;= 2,
ROUND((dec - 1) * 100, 0),
ROUND(-100 / (dec - 1), 0)
)
)
),
"")</f>
        <v/>
      </c>
      <c r="O22" s="42">
        <f>'First 5 Innings'!S17</f>
        <v>0</v>
      </c>
      <c r="P22" s="38" t="str">
        <f>IFERROR(
  _xlfn.LET(
    _xlpm.prob, 'First 5 Innings'!S17,
    _xlpm.dec, 1 / _xlpm.prob,
    IF(ABS(_xlpm.prob - 0.5) &lt; 0.0001,
       100,
       IF(_xlpm.dec &gt;= 2,
          ROUND((_xlpm.dec - 1) * 100, 0),
          ROUND(-100 / (_xlpm.dec - 1), 0)
       )
    )
  ),
"")</f>
        <v/>
      </c>
      <c r="Q22" s="41" t="str">
        <f ca="1">IFERROR(1/'First 5 Innings'!AD17,"")</f>
        <v/>
      </c>
      <c r="R22" s="38" t="str">
        <f ca="1">IFERROR(
_xludf.LET(
prob, Q22,
dec, 1 / prob,
IF(ABS(prob - 0.5) &lt; 0.0001,
100,
IF(dec &gt;= 2,
ROUND((dec - 1) * 100, 0),
ROUND(-100 / (dec - 1), 0)
)
)
),
"")</f>
        <v/>
      </c>
      <c r="S22" s="41" t="str">
        <f ca="1">IFERROR(1/'First 5 Innings'!AE17,"")</f>
        <v/>
      </c>
      <c r="T22" s="38" t="str">
        <f ca="1">IFERROR(
_xludf.LET(
prob, S22,
dec, 1 / prob,
IF(ABS(prob - 0.5) &lt; 0.0001,
100,
IF(dec &gt;= 2,
ROUND((dec - 1) * 100, 0),
ROUND(-100 / (dec - 1), 0)
)
)
),
"")</f>
        <v/>
      </c>
      <c r="U22" s="44">
        <f>IF(C22="","", 'First 5 Innings'!T17)</f>
        <v>10</v>
      </c>
      <c r="V22" s="44">
        <f ca="1">IF(C22="","", 'First 5 Innings'!AJ17)</f>
        <v>10</v>
      </c>
      <c r="W22" s="44">
        <f ca="1">IF(C22="","", 'First 5 Innings'!AK17)</f>
        <v>10</v>
      </c>
      <c r="X22" s="45" t="str">
        <f>IF(
  OR(D22="Average", D22="", D23=""),
  "",
  IF(AND(U22 &gt;= $E$7, U22 &lt;= 9.99),
     C22 &amp; " f5 " &amp; ROUND(P22, 0) &amp; " " &amp; 'First 5 Innings'!Q17,
     ""
  )
)</f>
        <v/>
      </c>
      <c r="Y22" s="46" t="e">
        <f t="array" aca="1" ref="Y22" ca="1">IF(
  OR(D22="Average", D22="", D23=""),
  "",
  _xludf.TEXTJOIN(CHAR(10), TRUE,
    IF(AND(V22 &gt;= $F$7, V22 &lt;= 9.99),
      _xludf.XLOOKUP('First 5 Innings'!D17, Validations!$E$2:$E$31, Validations!$H$2:$H$31)
      &amp; " " &amp; 'First 5 Innings'!$AJ$4
      &amp; " " &amp; IF('First 5 Innings'!AD17 &gt;= 2,
                ROUND(('First 5 Innings'!AD17 - 1) * 100, 0),
                ROUND(-100 / ('First 5 Innings'!AD17 - 1), 0)
              ) &amp; " " &amp; 'First 5 Innings'!AL17,
      ""
    ),
    IF(AND(W22 &gt;= $F$7, W22 &lt;= 9.99),
      _xludf.XLOOKUP('First 5 Innings'!D17, Validations!$E$2:$E$31, Validations!$H$2:$H$31)
      &amp; " " &amp; 'First 5 Innings'!$AK$4
      &amp; " " &amp; IF('First 5 Innings'!AE17 &gt;= 2,
                ROUND(('First 5 Innings'!AE17 - 1) * 100, 0),
                ROUND(-100 / ('First 5 Innings'!AE17 - 1), 0)
              ) &amp; " " &amp; 'First 5 Innings'!AM17,
      ""
    )
  )
)</f>
        <v>#NAME?</v>
      </c>
      <c r="Z22" s="47">
        <f>IF('First 5 Innings'!W17&lt;2, -100/('First 5 Innings'!W17-1), ('First 5 Innings'!W17-1)*100)</f>
        <v>-262.75913351914102</v>
      </c>
      <c r="AA22" s="48">
        <f>IF('First 5 Innings'!AN17&lt;2, -100/('First 5 Innings'!AN17-1), ('First 5 Innings'!AN17-1)*100)</f>
        <v>-1053.7291069624669</v>
      </c>
      <c r="AB22" s="48">
        <f>IF('First 5 Innings'!AO17&lt;2, -100/('First 5 Innings'!AO17-1), ('First 5 Innings'!AO17-1)*100)</f>
        <v>-163.94258167259983</v>
      </c>
      <c r="AC22" s="35"/>
      <c r="AD22" s="2"/>
      <c r="AE22" s="2"/>
      <c r="AF22" s="2"/>
    </row>
    <row r="23" spans="1:32" ht="13.5" customHeight="1">
      <c r="A23" s="35"/>
      <c r="B23" s="387"/>
      <c r="C23" s="37" t="str">
        <f>IFERROR(_xlfn.XLOOKUP('First 5 Innings'!D18,Validations!$E$2:$E$31,Validations!$H$2:$H$31),"")</f>
        <v>New York Mets</v>
      </c>
      <c r="D23" s="37" t="str">
        <f>IFERROR('First 5 Innings'!B18,"")</f>
        <v>David Peterson</v>
      </c>
      <c r="E23" s="37" t="str">
        <f>'First 5 Innings'!C18</f>
        <v>L</v>
      </c>
      <c r="F23" s="38">
        <f t="array" ref="F23">IFERROR(_xlfn.XLOOKUP(D23,'Starting Pitchers'!$B$4:$B1007,'Starting Pitchers'!$Z$4:$Z1007),"")</f>
        <v>139</v>
      </c>
      <c r="G23" s="39" t="str">
        <f t="array" aca="1" ref="G23" ca="1">IFERROR(_xludf.XLOOKUP(D23,'Starting Pitchers'!$B$4:$B1007,'Starting Pitchers'!#REF!),"")</f>
        <v/>
      </c>
      <c r="H23" s="40">
        <f>IF('First 5 Innings'!G18=0,"",'First 5 Innings'!G18)</f>
        <v>1.2917355733137645</v>
      </c>
      <c r="I23" s="41">
        <f>IF(C23="","", 'First 5 Innings'!H18)</f>
        <v>0.2480985085803529</v>
      </c>
      <c r="J23" s="36">
        <f>IF(C23="","",
  _xlfn.LET(
    _xlpm.prob, 'First 5 Innings'!H18,
    _xlpm.dec, 1 / _xlpm.prob,
    IF(ABS(_xlpm.prob - 0.5) &lt; 0.0001,
       100,
       IF(_xlpm.dec &gt;= 2,
          ROUND((_xlpm.dec - 1) * 100, 0),
          ROUND(-100 / (_xlpm.dec - 1), 0)
       )
    )
  ))</f>
        <v>303</v>
      </c>
      <c r="K23" s="42">
        <f>IFERROR('First 5 Innings'!AH18,"")</f>
        <v>0.3409832526061975</v>
      </c>
      <c r="L23" s="43">
        <f t="shared" si="0"/>
        <v>193</v>
      </c>
      <c r="M23" s="41">
        <f>IFERROR('First 5 Innings'!AI18,"")</f>
        <v>0.16934036726404839</v>
      </c>
      <c r="N23" s="43" t="str">
        <f ca="1">IFERROR(
_xludf.LET(
prob, M23,
dec, 1 / prob,
IF(ABS(prob - 0.5) &lt; 0.0001,
100,
IF(dec &gt;= 2,
ROUND((dec - 1) * 100, 0),
ROUND(-100 / (dec - 1), 0)
)
)
),
"")</f>
        <v/>
      </c>
      <c r="O23" s="42">
        <f>'First 5 Innings'!S18</f>
        <v>0</v>
      </c>
      <c r="P23" s="38" t="str">
        <f>IFERROR(
  _xlfn.LET(
    _xlpm.prob, 'First 5 Innings'!S18,
    _xlpm.dec, 1 / _xlpm.prob,
    IF(ABS(_xlpm.prob - 0.5) &lt; 0.0001,
       100,
       IF(_xlpm.dec &gt;= 2,
          ROUND((_xlpm.dec - 1) * 100, 0),
          ROUND(-100 / (_xlpm.dec - 1), 0)
       )
    )
  ),
"")</f>
        <v/>
      </c>
      <c r="Q23" s="41" t="str">
        <f ca="1">IFERROR(1/'First 5 Innings'!AD18,"")</f>
        <v/>
      </c>
      <c r="R23" s="38" t="str">
        <f ca="1">IFERROR(
_xludf.LET(
prob, Q23,
dec, 1 / prob,
IF(ABS(prob - 0.5) &lt; 0.0001,
100,
IF(dec &gt;= 2,
ROUND((dec - 1) * 100, 0),
ROUND(-100 / (dec - 1), 0)
)
)
),
"")</f>
        <v/>
      </c>
      <c r="S23" s="41" t="str">
        <f ca="1">IFERROR(1/'First 5 Innings'!AE18,"")</f>
        <v/>
      </c>
      <c r="T23" s="38" t="str">
        <f ca="1">IFERROR(
_xludf.LET(
prob, S23,
dec, 1 / prob,
IF(ABS(prob - 0.5) &lt; 0.0001,
100,
IF(dec &gt;= 2,
ROUND((dec - 1) * 100, 0),
ROUND(-100 / (dec - 1), 0)
)
)
),
"")</f>
        <v/>
      </c>
      <c r="U23" s="44">
        <f>IF(C23="","", 'First 5 Innings'!T18)</f>
        <v>10</v>
      </c>
      <c r="V23" s="44">
        <f ca="1">IF(C23="","", 'First 5 Innings'!AJ18)</f>
        <v>10</v>
      </c>
      <c r="W23" s="44">
        <f ca="1">IF(C23="","", 'First 5 Innings'!AK18)</f>
        <v>10</v>
      </c>
      <c r="X23" s="45" t="str">
        <f>IF(
  OR(D23="Average", D23="", D24=""),
  "",
  IF(AND(U23 &gt;= $E$7, U23 &lt;= 9.99),
     C23 &amp; " f5 " &amp; ROUND(P23, 0) &amp; " " &amp; 'First 5 Innings'!Q18,
     ""
  )
)</f>
        <v/>
      </c>
      <c r="Y23" s="46" t="e">
        <f t="array" aca="1" ref="Y23" ca="1">IF(
  OR(D23="Average", D23="", D24=""),
  "",
  _xludf.TEXTJOIN(CHAR(10), TRUE,
    IF(AND(V23 &gt;= $F$7, V23 &lt;= 9.99),
      _xludf.XLOOKUP('First 5 Innings'!D18, Validations!$E$2:$E$31, Validations!$H$2:$H$31)
      &amp; " " &amp; 'First 5 Innings'!$AJ$4
      &amp; " " &amp; IF('First 5 Innings'!AD18 &gt;= 2,
                ROUND(('First 5 Innings'!AD18 - 1) * 100, 0),
                ROUND(-100 / ('First 5 Innings'!AD18 - 1), 0)
              ) &amp; " " &amp; 'First 5 Innings'!AL18,
      ""
    ),
    IF(AND(W23 &gt;= $F$7, W23 &lt;= 9.99),
      _xludf.XLOOKUP('First 5 Innings'!D18, Validations!$E$2:$E$31, Validations!$H$2:$H$31)
      &amp; " " &amp; 'First 5 Innings'!$AK$4
      &amp; " " &amp; IF('First 5 Innings'!AE18 &gt;= 2,
                ROUND(('First 5 Innings'!AE18 - 1) * 100, 0),
                ROUND(-100 / ('First 5 Innings'!AE18 - 1), 0)
              ) &amp; " " &amp; 'First 5 Innings'!AM18,
      ""
    )
  )
)</f>
        <v>#NAME?</v>
      </c>
      <c r="Z23" s="47">
        <f>IF('First 5 Innings'!W18&lt;2, -100/('First 5 Innings'!W18-1), ('First 5 Innings'!W18-1)*100)</f>
        <v>507.70362147954557</v>
      </c>
      <c r="AA23" s="48">
        <f>IF('First 5 Innings'!AN18&lt;2, -100/('First 5 Innings'!AN18-1), ('First 5 Innings'!AN18-1)*100)</f>
        <v>231.97327671036092</v>
      </c>
      <c r="AB23" s="48">
        <f>IF('First 5 Innings'!AO18&lt;2, -100/('First 5 Innings'!AO18-1), ('First 5 Innings'!AO18-1)*100)</f>
        <v>1197.9452453327751</v>
      </c>
      <c r="AC23" s="35"/>
      <c r="AD23" s="2"/>
      <c r="AE23" s="2"/>
      <c r="AF23" s="2"/>
    </row>
    <row r="24" spans="1:32" ht="13.5" customHeight="1">
      <c r="A24" s="35"/>
      <c r="B24" s="386">
        <v>8</v>
      </c>
      <c r="C24" s="50" t="str">
        <f>IFERROR(_xlfn.XLOOKUP('First 5 Innings'!D19,Validations!$E$2:$E$31,Validations!$H$2:$H$31),"")</f>
        <v>Colorado Rockies</v>
      </c>
      <c r="D24" s="50" t="str">
        <f>IFERROR('First 5 Innings'!B19,"")</f>
        <v>Michael Lorenzen</v>
      </c>
      <c r="E24" s="50" t="str">
        <f>'First 5 Innings'!C19</f>
        <v>R</v>
      </c>
      <c r="F24" s="51">
        <f t="array" ref="F24">IFERROR(_xlfn.XLOOKUP(D24,'Starting Pitchers'!$B$4:$B1007,'Starting Pitchers'!$Z$4:$Z1007),"")</f>
        <v>135</v>
      </c>
      <c r="G24" s="52" t="str">
        <f t="array" aca="1" ref="G24" ca="1">IFERROR(_xludf.XLOOKUP(D24,'Starting Pitchers'!$B$4:$B1007,'Starting Pitchers'!#REF!),"")</f>
        <v/>
      </c>
      <c r="H24" s="53">
        <f>IF('First 5 Innings'!G19=0,"",'First 5 Innings'!G19)</f>
        <v>2.0217493368403221</v>
      </c>
      <c r="I24" s="54">
        <f>IF(C24="","", 'First 5 Innings'!H19)</f>
        <v>0.52756979299158635</v>
      </c>
      <c r="J24" s="49">
        <f>IF(C24="","",
  _xlfn.LET(
    _xlpm.prob, 'First 5 Innings'!H19,
    _xlpm.dec, 1 / _xlpm.prob,
    IF(ABS(_xlpm.prob - 0.5) &lt; 0.0001,
       100,
       IF(_xlpm.dec &gt;= 2,
          ROUND((_xlpm.dec - 1) * 100, 0),
          ROUND(-100 / (_xlpm.dec - 1), 0)
       )
    )
  ))</f>
        <v>-112</v>
      </c>
      <c r="K24" s="55">
        <f>IFERROR('First 5 Innings'!AH19,"")</f>
        <v>0.63129076459235511</v>
      </c>
      <c r="L24" s="56">
        <f t="shared" si="0"/>
        <v>-171</v>
      </c>
      <c r="M24" s="54">
        <f>IFERROR('First 5 Innings'!AI19,"")</f>
        <v>0.42203165712223606</v>
      </c>
      <c r="N24" s="56" t="str">
        <f ca="1">IFERROR(
_xludf.LET(
prob, M24,
dec, 1 / prob,
IF(ABS(prob - 0.5) &lt; 0.0001,
100,
IF(dec &gt;= 2,
ROUND((dec - 1) * 100, 0),
ROUND(-100 / (dec - 1), 0)
)
)
),
"")</f>
        <v/>
      </c>
      <c r="O24" s="57">
        <f>'First 5 Innings'!S19</f>
        <v>0</v>
      </c>
      <c r="P24" s="58" t="str">
        <f>IFERROR(
  _xlfn.LET(
    _xlpm.prob, 'First 5 Innings'!S19,
    _xlpm.dec, 1 / _xlpm.prob,
    IF(ABS(_xlpm.prob - 0.5) &lt; 0.0001,
       100,
       IF(_xlpm.dec &gt;= 2,
          ROUND((_xlpm.dec - 1) * 100, 0),
          ROUND(-100 / (_xlpm.dec - 1), 0)
       )
    )
  ),
"")</f>
        <v/>
      </c>
      <c r="Q24" s="54" t="str">
        <f ca="1">IFERROR(1/'First 5 Innings'!AD19,"")</f>
        <v/>
      </c>
      <c r="R24" s="51" t="str">
        <f ca="1">IFERROR(
_xludf.LET(
prob, Q24,
dec, 1 / prob,
IF(ABS(prob - 0.5) &lt; 0.0001,
100,
IF(dec &gt;= 2,
ROUND((dec - 1) * 100, 0),
ROUND(-100 / (dec - 1), 0)
)
)
),
"")</f>
        <v/>
      </c>
      <c r="S24" s="54" t="str">
        <f ca="1">IFERROR(1/'First 5 Innings'!AE19,"")</f>
        <v/>
      </c>
      <c r="T24" s="51" t="str">
        <f ca="1">IFERROR(
_xludf.LET(
prob, S24,
dec, 1 / prob,
IF(ABS(prob - 0.5) &lt; 0.0001,
100,
IF(dec &gt;= 2,
ROUND((dec - 1) * 100, 0),
ROUND(-100 / (dec - 1), 0)
)
)
),
"")</f>
        <v/>
      </c>
      <c r="U24" s="59">
        <f>IF(C24="","", 'First 5 Innings'!T19)</f>
        <v>10</v>
      </c>
      <c r="V24" s="59">
        <f ca="1">IF(C24="","", 'First 5 Innings'!AJ19)</f>
        <v>10</v>
      </c>
      <c r="W24" s="59">
        <f ca="1">IF(C24="","", 'First 5 Innings'!AK19)</f>
        <v>10</v>
      </c>
      <c r="X24" s="60" t="str">
        <f>IF(
  OR(D24="Average", D24="", D25=""),
  "",
  IF(AND(U24 &gt;= $E$7, U24 &lt;= 9.99),
     C24 &amp; " f5 " &amp; ROUND(P24, 0) &amp; " " &amp; 'First 5 Innings'!Q19,
     ""
  )
)</f>
        <v/>
      </c>
      <c r="Y24" s="61" t="e">
        <f t="array" aca="1" ref="Y24" ca="1">IF(
  OR(D24="Average", D24="", D25=""),
  "",
  _xludf.TEXTJOIN(CHAR(10), TRUE,
    IF(AND(V24 &gt;= $F$7, V24 &lt;= 9.99),
      _xludf.XLOOKUP('First 5 Innings'!D19, Validations!$E$2:$E$31, Validations!$H$2:$H$31)
      &amp; " " &amp; 'First 5 Innings'!$AJ$4
      &amp; " " &amp; IF('First 5 Innings'!AD19 &gt;= 2,
                ROUND(('First 5 Innings'!AD19 - 1) * 100, 0),
                ROUND(-100 / ('First 5 Innings'!AD19 - 1), 0)
              ) &amp; " " &amp; 'First 5 Innings'!AL19,
      ""
    ),
    IF(AND(W24 &gt;= $F$7, W24 &lt;= 9.99),
      _xludf.XLOOKUP('First 5 Innings'!D19, Validations!$E$2:$E$31, Validations!$H$2:$H$31)
      &amp; " " &amp; 'First 5 Innings'!$AK$4
      &amp; " " &amp; IF('First 5 Innings'!AE19 &gt;= 2,
                ROUND(('First 5 Innings'!AE19 - 1) * 100, 0),
                ROUND(-100 / ('First 5 Innings'!AE19 - 1), 0)
              ) &amp; " " &amp; 'First 5 Innings'!AM19,
      ""
    )
  )
)</f>
        <v>#NAME?</v>
      </c>
      <c r="Z24" s="62">
        <f>IF('First 5 Innings'!W19&lt;2, -100/('First 5 Innings'!W19-1), ('First 5 Innings'!W19-1)*100)</f>
        <v>110.49195119771009</v>
      </c>
      <c r="AA24" s="63">
        <f>IF('First 5 Innings'!AN19&lt;2, -100/('First 5 Innings'!AN19-1), ('First 5 Innings'!AN19-1)*100)</f>
        <v>-197.71957736635343</v>
      </c>
      <c r="AB24" s="63">
        <f>IF('First 5 Innings'!AO19&lt;2, -100/('First 5 Innings'!AO19-1), ('First 5 Innings'!AO19-1)*100)</f>
        <v>179.4756292106959</v>
      </c>
      <c r="AC24" s="35"/>
      <c r="AD24" s="2"/>
      <c r="AE24" s="2"/>
      <c r="AF24" s="2"/>
    </row>
    <row r="25" spans="1:32" ht="13.5" customHeight="1">
      <c r="A25" s="35"/>
      <c r="B25" s="387"/>
      <c r="C25" s="50" t="str">
        <f>IFERROR(_xlfn.XLOOKUP('First 5 Innings'!D20,Validations!$E$2:$E$31,Validations!$H$2:$H$31),"")</f>
        <v>Miami Marlins</v>
      </c>
      <c r="D25" s="50" t="str">
        <f>IFERROR('First 5 Innings'!B20,"")</f>
        <v>Eury Pérez</v>
      </c>
      <c r="E25" s="50" t="str">
        <f>'First 5 Innings'!C20</f>
        <v>R</v>
      </c>
      <c r="F25" s="51">
        <f t="array" ref="F25">IFERROR(_xlfn.XLOOKUP(D25,'Starting Pitchers'!$B$4:$B1007,'Starting Pitchers'!$Z$4:$Z1007),"")</f>
        <v>89</v>
      </c>
      <c r="G25" s="52" t="str">
        <f t="array" aca="1" ref="G25" ca="1">IFERROR(_xludf.XLOOKUP(D25,'Starting Pitchers'!$B$4:$B1007,'Starting Pitchers'!#REF!),"")</f>
        <v/>
      </c>
      <c r="H25" s="53">
        <f>IF('First 5 Innings'!G20=0,"",'First 5 Innings'!G20)</f>
        <v>1.8849384483789042</v>
      </c>
      <c r="I25" s="54">
        <f>IF(C25="","", 'First 5 Innings'!H20)</f>
        <v>0.47243020700841371</v>
      </c>
      <c r="J25" s="49">
        <f>IF(C25="","",
  _xlfn.LET(
    _xlpm.prob, 'First 5 Innings'!H20,
    _xlpm.dec, 1 / _xlpm.prob,
    IF(ABS(_xlpm.prob - 0.5) &lt; 0.0001,
       100,
       IF(_xlpm.dec &gt;= 2,
          ROUND((_xlpm.dec - 1) * 100, 0),
          ROUND(-100 / (_xlpm.dec - 1), 0)
       )
    )
  ))</f>
        <v>112</v>
      </c>
      <c r="K25" s="55">
        <f>IFERROR('First 5 Innings'!AH20,"")</f>
        <v>0.577968342877764</v>
      </c>
      <c r="L25" s="56">
        <f t="shared" si="0"/>
        <v>-137</v>
      </c>
      <c r="M25" s="54">
        <f>IFERROR('First 5 Innings'!AI20,"")</f>
        <v>0.36870923540764494</v>
      </c>
      <c r="N25" s="56" t="str">
        <f ca="1">IFERROR(
_xludf.LET(
prob, M25,
dec, 1 / prob,
IF(ABS(prob - 0.5) &lt; 0.0001,
100,
IF(dec &gt;= 2,
ROUND((dec - 1) * 100, 0),
ROUND(-100 / (dec - 1), 0)
)
)
),
"")</f>
        <v/>
      </c>
      <c r="O25" s="57">
        <f>'First 5 Innings'!S20</f>
        <v>0</v>
      </c>
      <c r="P25" s="58" t="str">
        <f>IFERROR(
  _xlfn.LET(
    _xlpm.prob, 'First 5 Innings'!S20,
    _xlpm.dec, 1 / _xlpm.prob,
    IF(ABS(_xlpm.prob - 0.5) &lt; 0.0001,
       100,
       IF(_xlpm.dec &gt;= 2,
          ROUND((_xlpm.dec - 1) * 100, 0),
          ROUND(-100 / (_xlpm.dec - 1), 0)
       )
    )
  ),
"")</f>
        <v/>
      </c>
      <c r="Q25" s="54" t="str">
        <f ca="1">IFERROR(1/'First 5 Innings'!AD20,"")</f>
        <v/>
      </c>
      <c r="R25" s="51" t="str">
        <f ca="1">IFERROR(
_xludf.LET(
prob, Q25,
dec, 1 / prob,
IF(ABS(prob - 0.5) &lt; 0.0001,
100,
IF(dec &gt;= 2,
ROUND((dec - 1) * 100, 0),
ROUND(-100 / (dec - 1), 0)
)
)
),
"")</f>
        <v/>
      </c>
      <c r="S25" s="54" t="str">
        <f ca="1">IFERROR(1/'First 5 Innings'!AE20,"")</f>
        <v/>
      </c>
      <c r="T25" s="51" t="str">
        <f ca="1">IFERROR(
_xludf.LET(
prob, S25,
dec, 1 / prob,
IF(ABS(prob - 0.5) &lt; 0.0001,
100,
IF(dec &gt;= 2,
ROUND((dec - 1) * 100, 0),
ROUND(-100 / (dec - 1), 0)
)
)
),
"")</f>
        <v/>
      </c>
      <c r="U25" s="59">
        <f>IF(C25="","", 'First 5 Innings'!T20)</f>
        <v>10</v>
      </c>
      <c r="V25" s="59">
        <f ca="1">IF(C25="","", 'First 5 Innings'!AJ20)</f>
        <v>10</v>
      </c>
      <c r="W25" s="59">
        <f ca="1">IF(C25="","", 'First 5 Innings'!AK20)</f>
        <v>10</v>
      </c>
      <c r="X25" s="60" t="str">
        <f>IF(
  OR(D25="Average", D25="", D26=""),
  "",
  IF(AND(U25 &gt;= $E$7, U25 &lt;= 9.99),
     C25 &amp; " f5 " &amp; ROUND(P25, 0) &amp; " " &amp; 'First 5 Innings'!Q20,
     ""
  )
)</f>
        <v/>
      </c>
      <c r="Y25" s="61" t="e">
        <f t="array" aca="1" ref="Y25" ca="1">IF(
  OR(D25="Average", D25="", D26=""),
  "",
  _xludf.TEXTJOIN(CHAR(10), TRUE,
    IF(AND(V25 &gt;= $F$7, V25 &lt;= 9.99),
      _xludf.XLOOKUP('First 5 Innings'!D20, Validations!$E$2:$E$31, Validations!$H$2:$H$31)
      &amp; " " &amp; 'First 5 Innings'!$AJ$4
      &amp; " " &amp; IF('First 5 Innings'!AD20 &gt;= 2,
                ROUND(('First 5 Innings'!AD20 - 1) * 100, 0),
                ROUND(-100 / ('First 5 Innings'!AD20 - 1), 0)
              ) &amp; " " &amp; 'First 5 Innings'!AL20,
      ""
    ),
    IF(AND(W25 &gt;= $F$7, W25 &lt;= 9.99),
      _xludf.XLOOKUP('First 5 Innings'!D20, Validations!$E$2:$E$31, Validations!$H$2:$H$31)
      &amp; " " &amp; 'First 5 Innings'!$AK$4
      &amp; " " &amp; IF('First 5 Innings'!AE20 &gt;= 2,
                ROUND(('First 5 Innings'!AE20 - 1) * 100, 0),
                ROUND(-100 / ('First 5 Innings'!AE20 - 1), 0)
              ) &amp; " " &amp; 'First 5 Innings'!AM20,
      ""
    )
  )
)</f>
        <v>#NAME?</v>
      </c>
      <c r="Z25" s="62">
        <f>IF('First 5 Innings'!W20&lt;2, -100/('First 5 Innings'!W20-1), ('First 5 Innings'!W20-1)*100)</f>
        <v>141.65601582893834</v>
      </c>
      <c r="AA25" s="63">
        <f>IF('First 5 Innings'!AN20&lt;2, -100/('First 5 Innings'!AN20-1), ('First 5 Innings'!AN20-1)*100)</f>
        <v>-148.4227815206186</v>
      </c>
      <c r="AB25" s="63">
        <f>IF('First 5 Innings'!AO20&lt;2, -100/('First 5 Innings'!AO20-1), ('First 5 Innings'!AO20-1)*100)</f>
        <v>234.93452453714755</v>
      </c>
      <c r="AC25" s="35"/>
      <c r="AD25" s="2"/>
      <c r="AE25" s="2"/>
      <c r="AF25" s="2"/>
    </row>
    <row r="26" spans="1:32" ht="13.5" customHeight="1">
      <c r="A26" s="35"/>
      <c r="B26" s="388">
        <v>9</v>
      </c>
      <c r="C26" s="37" t="str">
        <f>IFERROR(_xlfn.XLOOKUP('First 5 Innings'!D21,Validations!$E$2:$E$31,Validations!$H$2:$H$31),"")</f>
        <v>Los Angeles Angels</v>
      </c>
      <c r="D26" s="37" t="str">
        <f>IFERROR('First 5 Innings'!B21,"")</f>
        <v>Reid Detmers</v>
      </c>
      <c r="E26" s="37" t="str">
        <f>'First 5 Innings'!C21</f>
        <v>L</v>
      </c>
      <c r="F26" s="38" t="str">
        <f t="array" ref="F26">IFERROR(_xlfn.XLOOKUP(D26,'Starting Pitchers'!$B$4:$B1007,'Starting Pitchers'!$Z$4:$Z1007),"")</f>
        <v/>
      </c>
      <c r="G26" s="39" t="str">
        <f t="array" aca="1" ref="G26" ca="1">IFERROR(_xludf.XLOOKUP(D26,'Starting Pitchers'!$B$4:$B1007,'Starting Pitchers'!#REF!),"")</f>
        <v/>
      </c>
      <c r="H26" s="40">
        <f>IF('First 5 Innings'!G21=0,"",'First 5 Innings'!G21)</f>
        <v>2.2501747104752448</v>
      </c>
      <c r="I26" s="41">
        <f>IF(C26="","", 'First 5 Innings'!H21)</f>
        <v>0.43135333745747528</v>
      </c>
      <c r="J26" s="36">
        <f>IF(C26="","",
  _xlfn.LET(
    _xlpm.prob, 'First 5 Innings'!H21,
    _xlpm.dec, 1 / _xlpm.prob,
    IF(ABS(_xlpm.prob - 0.5) &lt; 0.0001,
       100,
       IF(_xlpm.dec &gt;= 2,
          ROUND((_xlpm.dec - 1) * 100, 0),
          ROUND(-100 / (_xlpm.dec - 1), 0)
       )
    )
  ))</f>
        <v>132</v>
      </c>
      <c r="K26" s="42">
        <f>IFERROR('First 5 Innings'!AH21,"")</f>
        <v>0.5205469815300694</v>
      </c>
      <c r="L26" s="43">
        <f t="shared" si="0"/>
        <v>-109</v>
      </c>
      <c r="M26" s="41">
        <f>IFERROR('First 5 Innings'!AI21,"")</f>
        <v>0.33788941427213692</v>
      </c>
      <c r="N26" s="43" t="str">
        <f ca="1">IFERROR(
_xludf.LET(
prob, M26,
dec, 1 / prob,
IF(ABS(prob - 0.5) &lt; 0.0001,
100,
IF(dec &gt;= 2,
ROUND((dec - 1) * 100, 0),
ROUND(-100 / (dec - 1), 0)
)
)
),
"")</f>
        <v/>
      </c>
      <c r="O26" s="42">
        <f>'First 5 Innings'!S21</f>
        <v>0</v>
      </c>
      <c r="P26" s="38" t="str">
        <f>IFERROR(
  _xlfn.LET(
    _xlpm.prob, 'First 5 Innings'!S21,
    _xlpm.dec, 1 / _xlpm.prob,
    IF(ABS(_xlpm.prob - 0.5) &lt; 0.0001,
       100,
       IF(_xlpm.dec &gt;= 2,
          ROUND((_xlpm.dec - 1) * 100, 0),
          ROUND(-100 / (_xlpm.dec - 1), 0)
       )
    )
  ),
"")</f>
        <v/>
      </c>
      <c r="Q26" s="41" t="str">
        <f ca="1">IFERROR(1/'First 5 Innings'!AD21,"")</f>
        <v/>
      </c>
      <c r="R26" s="38" t="str">
        <f ca="1">IFERROR(
_xludf.LET(
prob, Q26,
dec, 1 / prob,
IF(ABS(prob - 0.5) &lt; 0.0001,
100,
IF(dec &gt;= 2,
ROUND((dec - 1) * 100, 0),
ROUND(-100 / (dec - 1), 0)
)
)
),
"")</f>
        <v/>
      </c>
      <c r="S26" s="41" t="str">
        <f ca="1">IFERROR(1/'First 5 Innings'!AE21,"")</f>
        <v/>
      </c>
      <c r="T26" s="38" t="str">
        <f ca="1">IFERROR(
_xludf.LET(
prob, S26,
dec, 1 / prob,
IF(ABS(prob - 0.5) &lt; 0.0001,
100,
IF(dec &gt;= 2,
ROUND((dec - 1) * 100, 0),
ROUND(-100 / (dec - 1), 0)
)
)
),
"")</f>
        <v/>
      </c>
      <c r="U26" s="44">
        <f>IF(C26="","", 'First 5 Innings'!T21)</f>
        <v>10</v>
      </c>
      <c r="V26" s="44">
        <f ca="1">IF(C26="","", 'First 5 Innings'!AJ21)</f>
        <v>10</v>
      </c>
      <c r="W26" s="44">
        <f ca="1">IF(C26="","", 'First 5 Innings'!AK21)</f>
        <v>10</v>
      </c>
      <c r="X26" s="45" t="str">
        <f>IF(
  OR(D26="Average", D26="", D27=""),
  "",
  IF(AND(U26 &gt;= $E$7, U26 &lt;= 9.99),
     C26 &amp; " f5 " &amp; ROUND(P26, 0) &amp; " " &amp; 'First 5 Innings'!Q21,
     ""
  )
)</f>
        <v/>
      </c>
      <c r="Y26" s="46" t="e">
        <f t="array" aca="1" ref="Y26" ca="1">IF(
  OR(D26="Average", D26="", D27=""),
  "",
  _xludf.TEXTJOIN(CHAR(10), TRUE,
    IF(AND(V26 &gt;= $F$7, V26 &lt;= 9.99),
      _xludf.XLOOKUP('First 5 Innings'!D21, Validations!$E$2:$E$31, Validations!$H$2:$H$31)
      &amp; " " &amp; 'First 5 Innings'!$AJ$4
      &amp; " " &amp; IF('First 5 Innings'!AD21 &gt;= 2,
                ROUND(('First 5 Innings'!AD21 - 1) * 100, 0),
                ROUND(-100 / ('First 5 Innings'!AD21 - 1), 0)
              ) &amp; " " &amp; 'First 5 Innings'!AL21,
      ""
    ),
    IF(AND(W26 &gt;= $F$7, W26 &lt;= 9.99),
      _xludf.XLOOKUP('First 5 Innings'!D21, Validations!$E$2:$E$31, Validations!$H$2:$H$31)
      &amp; " " &amp; 'First 5 Innings'!$AK$4
      &amp; " " &amp; IF('First 5 Innings'!AE21 &gt;= 2,
                ROUND(('First 5 Innings'!AE21 - 1) * 100, 0),
                ROUND(-100 / ('First 5 Innings'!AE21 - 1), 0)
              ) &amp; " " &amp; 'First 5 Innings'!AM21,
      ""
    )
  )
)</f>
        <v>#NAME?</v>
      </c>
      <c r="Z26" s="47">
        <f>IF('First 5 Innings'!W21&lt;2, -100/('First 5 Innings'!W21-1), ('First 5 Innings'!W21-1)*100)</f>
        <v>171.61338011738084</v>
      </c>
      <c r="AA26" s="48">
        <f>IF('First 5 Innings'!AN21&lt;2, -100/('First 5 Innings'!AN21-1), ('First 5 Innings'!AN21-1)*100)</f>
        <v>-110.82978947587294</v>
      </c>
      <c r="AB26" s="48">
        <f>IF('First 5 Innings'!AO21&lt;2, -100/('First 5 Innings'!AO21-1), ('First 5 Innings'!AO21-1)*100)</f>
        <v>278.32704862202587</v>
      </c>
      <c r="AC26" s="35"/>
      <c r="AD26" s="2"/>
      <c r="AE26" s="2"/>
      <c r="AF26" s="2"/>
    </row>
    <row r="27" spans="1:32" ht="13.5" customHeight="1">
      <c r="A27" s="35"/>
      <c r="B27" s="387"/>
      <c r="C27" s="37" t="str">
        <f>IFERROR(_xlfn.XLOOKUP('First 5 Innings'!D22,Validations!$E$2:$E$31,Validations!$H$2:$H$31),"")</f>
        <v>Houston Astros</v>
      </c>
      <c r="D27" s="37" t="str">
        <f>IFERROR('First 5 Innings'!B22,"")</f>
        <v>Cristian Javier</v>
      </c>
      <c r="E27" s="37" t="str">
        <f>'First 5 Innings'!C22</f>
        <v>R</v>
      </c>
      <c r="F27" s="38">
        <f t="array" ref="F27">IFERROR(_xlfn.XLOOKUP(D27,'Starting Pitchers'!$B$4:$B1007,'Starting Pitchers'!$Z$4:$Z1007),"")</f>
        <v>67</v>
      </c>
      <c r="G27" s="39" t="str">
        <f t="array" aca="1" ref="G27" ca="1">IFERROR(_xludf.XLOOKUP(D27,'Starting Pitchers'!$B$4:$B1007,'Starting Pitchers'!#REF!),"")</f>
        <v/>
      </c>
      <c r="H27" s="40">
        <f>IF('First 5 Innings'!G22=0,"",'First 5 Innings'!G22)</f>
        <v>2.6557283258573658</v>
      </c>
      <c r="I27" s="41">
        <f>IF(C27="","", 'First 5 Innings'!H22)</f>
        <v>0.56864666254252483</v>
      </c>
      <c r="J27" s="36">
        <f>IF(C27="","",
  _xlfn.LET(
    _xlpm.prob, 'First 5 Innings'!H22,
    _xlpm.dec, 1 / _xlpm.prob,
    IF(ABS(_xlpm.prob - 0.5) &lt; 0.0001,
       100,
       IF(_xlpm.dec &gt;= 2,
          ROUND((_xlpm.dec - 1) * 100, 0),
          ROUND(-100 / (_xlpm.dec - 1), 0)
       )
    )
  ))</f>
        <v>-132</v>
      </c>
      <c r="K27" s="42">
        <f>IFERROR('First 5 Innings'!AH22,"")</f>
        <v>0.66211058572786308</v>
      </c>
      <c r="L27" s="43">
        <f t="shared" si="0"/>
        <v>-196</v>
      </c>
      <c r="M27" s="41">
        <f>IFERROR('First 5 Innings'!AI22,"")</f>
        <v>0.47945301846993066</v>
      </c>
      <c r="N27" s="43" t="str">
        <f ca="1">IFERROR(
_xludf.LET(
prob, M27,
dec, 1 / prob,
IF(ABS(prob - 0.5) &lt; 0.0001,
100,
IF(dec &gt;= 2,
ROUND((dec - 1) * 100, 0),
ROUND(-100 / (dec - 1), 0)
)
)
),
"")</f>
        <v/>
      </c>
      <c r="O27" s="42">
        <f>'First 5 Innings'!S22</f>
        <v>0</v>
      </c>
      <c r="P27" s="38" t="str">
        <f>IFERROR(
  _xlfn.LET(
    _xlpm.prob, 'First 5 Innings'!S22,
    _xlpm.dec, 1 / _xlpm.prob,
    IF(ABS(_xlpm.prob - 0.5) &lt; 0.0001,
       100,
       IF(_xlpm.dec &gt;= 2,
          ROUND((_xlpm.dec - 1) * 100, 0),
          ROUND(-100 / (_xlpm.dec - 1), 0)
       )
    )
  ),
"")</f>
        <v/>
      </c>
      <c r="Q27" s="41" t="str">
        <f ca="1">IFERROR(1/'First 5 Innings'!AD22,"")</f>
        <v/>
      </c>
      <c r="R27" s="38" t="str">
        <f ca="1">IFERROR(
_xludf.LET(
prob, Q27,
dec, 1 / prob,
IF(ABS(prob - 0.5) &lt; 0.0001,
100,
IF(dec &gt;= 2,
ROUND((dec - 1) * 100, 0),
ROUND(-100 / (dec - 1), 0)
)
)
),
"")</f>
        <v/>
      </c>
      <c r="S27" s="41" t="str">
        <f ca="1">IFERROR(1/'First 5 Innings'!AE22,"")</f>
        <v/>
      </c>
      <c r="T27" s="38" t="str">
        <f ca="1">IFERROR(
_xludf.LET(
prob, S27,
dec, 1 / prob,
IF(ABS(prob - 0.5) &lt; 0.0001,
100,
IF(dec &gt;= 2,
ROUND((dec - 1) * 100, 0),
ROUND(-100 / (dec - 1), 0)
)
)
),
"")</f>
        <v/>
      </c>
      <c r="U27" s="44">
        <f>IF(C27="","", 'First 5 Innings'!T22)</f>
        <v>10</v>
      </c>
      <c r="V27" s="44">
        <f ca="1">IF(C27="","", 'First 5 Innings'!AJ22)</f>
        <v>10</v>
      </c>
      <c r="W27" s="44">
        <f ca="1">IF(C27="","", 'First 5 Innings'!AK22)</f>
        <v>10</v>
      </c>
      <c r="X27" s="45" t="str">
        <f>IF(
  OR(D27="Average", D27="", D28=""),
  "",
  IF(AND(U27 &gt;= $E$7, U27 &lt;= 9.99),
     C27 &amp; " f5 " &amp; ROUND(P27, 0) &amp; " " &amp; 'First 5 Innings'!Q22,
     ""
  )
)</f>
        <v/>
      </c>
      <c r="Y27" s="46" t="e">
        <f t="array" aca="1" ref="Y27" ca="1">IF(
  OR(D27="Average", D27="", D28=""),
  "",
  _xludf.TEXTJOIN(CHAR(10), TRUE,
    IF(AND(V27 &gt;= $F$7, V27 &lt;= 9.99),
      _xludf.XLOOKUP('First 5 Innings'!D22, Validations!$E$2:$E$31, Validations!$H$2:$H$31)
      &amp; " " &amp; 'First 5 Innings'!$AJ$4
      &amp; " " &amp; IF('First 5 Innings'!AD22 &gt;= 2,
                ROUND(('First 5 Innings'!AD22 - 1) * 100, 0),
                ROUND(-100 / ('First 5 Innings'!AD22 - 1), 0)
              ) &amp; " " &amp; 'First 5 Innings'!AL22,
      ""
    ),
    IF(AND(W27 &gt;= $F$7, W27 &lt;= 9.99),
      _xludf.XLOOKUP('First 5 Innings'!D22, Validations!$E$2:$E$31, Validations!$H$2:$H$31)
      &amp; " " &amp; 'First 5 Innings'!$AK$4
      &amp; " " &amp; IF('First 5 Innings'!AE22 &gt;= 2,
                ROUND(('First 5 Innings'!AE22 - 1) * 100, 0),
                ROUND(-100 / ('First 5 Innings'!AE22 - 1), 0)
              ) &amp; " " &amp; 'First 5 Innings'!AM22,
      ""
    )
  )
)</f>
        <v>#NAME?</v>
      </c>
      <c r="Z27" s="47">
        <f>IF('First 5 Innings'!W22&lt;2, -100/('First 5 Innings'!W22-1), ('First 5 Innings'!W22-1)*100)</f>
        <v>-108.64565585718374</v>
      </c>
      <c r="AA27" s="48">
        <f>IF('First 5 Innings'!AN22&lt;2, -100/('First 5 Innings'!AN22-1), ('First 5 Innings'!AN22-1)*100)</f>
        <v>-236.2907098862452</v>
      </c>
      <c r="AB27" s="48">
        <f>IF('First 5 Innings'!AO22&lt;2, -100/('First 5 Innings'!AO22-1), ('First 5 Innings'!AO22-1)*100)</f>
        <v>137.18351316035705</v>
      </c>
      <c r="AC27" s="35"/>
      <c r="AD27" s="2"/>
      <c r="AE27" s="2"/>
      <c r="AF27" s="2"/>
    </row>
    <row r="28" spans="1:32" ht="13.5" customHeight="1">
      <c r="A28" s="35"/>
      <c r="B28" s="386">
        <v>10</v>
      </c>
      <c r="C28" s="50" t="str">
        <f>IFERROR(_xlfn.XLOOKUP('First 5 Innings'!D23,Validations!$E$2:$E$31,Validations!$H$2:$H$31),"")</f>
        <v>Chicago White Sox</v>
      </c>
      <c r="D28" s="50" t="str">
        <f>IFERROR('First 5 Innings'!B23,"")</f>
        <v>Sean Burke</v>
      </c>
      <c r="E28" s="50" t="str">
        <f>'First 5 Innings'!C23</f>
        <v>R</v>
      </c>
      <c r="F28" s="51">
        <f t="array" ref="F28">IFERROR(_xlfn.XLOOKUP(D28,'Starting Pitchers'!$B$4:$B1007,'Starting Pitchers'!$Z$4:$Z1007),"")</f>
        <v>163</v>
      </c>
      <c r="G28" s="52" t="str">
        <f t="array" aca="1" ref="G28" ca="1">IFERROR(_xludf.XLOOKUP(D28,'Starting Pitchers'!$B$4:$B1007,'Starting Pitchers'!#REF!),"")</f>
        <v/>
      </c>
      <c r="H28" s="53">
        <f>IF('First 5 Innings'!G23=0,"",'First 5 Innings'!G23)</f>
        <v>1.778999877783157</v>
      </c>
      <c r="I28" s="54">
        <f>IF(C28="","", 'First 5 Innings'!H23)</f>
        <v>0.55676540781038975</v>
      </c>
      <c r="J28" s="49">
        <f>IF(C28="","",
  _xlfn.LET(
    _xlpm.prob, 'First 5 Innings'!H23,
    _xlpm.dec, 1 / _xlpm.prob,
    IF(ABS(_xlpm.prob - 0.5) &lt; 0.0001,
       100,
       IF(_xlpm.dec &gt;= 2,
          ROUND((_xlpm.dec - 1) * 100, 0),
          ROUND(-100 / (_xlpm.dec - 1), 0)
       )
    )
  ))</f>
        <v>-126</v>
      </c>
      <c r="K28" s="55">
        <f>IFERROR('First 5 Innings'!AH23,"")</f>
        <v>0.66637508683721869</v>
      </c>
      <c r="L28" s="56">
        <f t="shared" si="0"/>
        <v>-200</v>
      </c>
      <c r="M28" s="54">
        <f>IFERROR('First 5 Innings'!AI23,"")</f>
        <v>0.43825755289606749</v>
      </c>
      <c r="N28" s="56" t="str">
        <f ca="1">IFERROR(
_xludf.LET(
prob, M28,
dec, 1 / prob,
IF(ABS(prob - 0.5) &lt; 0.0001,
100,
IF(dec &gt;= 2,
ROUND((dec - 1) * 100, 0),
ROUND(-100 / (dec - 1), 0)
)
)
),
"")</f>
        <v/>
      </c>
      <c r="O28" s="57">
        <f>'First 5 Innings'!S23</f>
        <v>0</v>
      </c>
      <c r="P28" s="58" t="str">
        <f>IFERROR(
  _xlfn.LET(
    _xlpm.prob, 'First 5 Innings'!S23,
    _xlpm.dec, 1 / _xlpm.prob,
    IF(ABS(_xlpm.prob - 0.5) &lt; 0.0001,
       100,
       IF(_xlpm.dec &gt;= 2,
          ROUND((_xlpm.dec - 1) * 100, 0),
          ROUND(-100 / (_xlpm.dec - 1), 0)
       )
    )
  ),
"")</f>
        <v/>
      </c>
      <c r="Q28" s="54" t="str">
        <f ca="1">IFERROR(1/'First 5 Innings'!AD23,"")</f>
        <v/>
      </c>
      <c r="R28" s="51" t="str">
        <f ca="1">IFERROR(
_xludf.LET(
prob, Q28,
dec, 1 / prob,
IF(ABS(prob - 0.5) &lt; 0.0001,
100,
IF(dec &gt;= 2,
ROUND((dec - 1) * 100, 0),
ROUND(-100 / (dec - 1), 0)
)
)
),
"")</f>
        <v/>
      </c>
      <c r="S28" s="54" t="str">
        <f ca="1">IFERROR(1/'First 5 Innings'!AE23,"")</f>
        <v/>
      </c>
      <c r="T28" s="51" t="str">
        <f ca="1">IFERROR(
_xludf.LET(
prob, S28,
dec, 1 / prob,
IF(ABS(prob - 0.5) &lt; 0.0001,
100,
IF(dec &gt;= 2,
ROUND((dec - 1) * 100, 0),
ROUND(-100 / (dec - 1), 0)
)
)
),
"")</f>
        <v/>
      </c>
      <c r="U28" s="59">
        <f>IF(C28="","", 'First 5 Innings'!T23)</f>
        <v>10</v>
      </c>
      <c r="V28" s="59">
        <f ca="1">IF(C28="","", 'First 5 Innings'!AJ23)</f>
        <v>10</v>
      </c>
      <c r="W28" s="59">
        <f ca="1">IF(C28="","", 'First 5 Innings'!AK23)</f>
        <v>10</v>
      </c>
      <c r="X28" s="60" t="str">
        <f>IF(
  OR(D28="Average", D28="", D29=""),
  "",
  IF(AND(U28 &gt;= $E$7, U28 &lt;= 9.99),
     C28 &amp; " f5 " &amp; ROUND(P28, 0) &amp; " " &amp; 'First 5 Innings'!Q23,
     ""
  )
)</f>
        <v/>
      </c>
      <c r="Y28" s="61" t="e">
        <f t="array" aca="1" ref="Y28" ca="1">IF(
  OR(D28="Average", D28="", D29=""),
  "",
  _xludf.TEXTJOIN(CHAR(10), TRUE,
    IF(AND(V28 &gt;= $F$7, V28 &lt;= 9.99),
      _xludf.XLOOKUP('First 5 Innings'!D23, Validations!$E$2:$E$31, Validations!$H$2:$H$31)
      &amp; " " &amp; 'First 5 Innings'!$AJ$4
      &amp; " " &amp; IF('First 5 Innings'!AD23 &gt;= 2,
                ROUND(('First 5 Innings'!AD23 - 1) * 100, 0),
                ROUND(-100 / ('First 5 Innings'!AD23 - 1), 0)
              ) &amp; " " &amp; 'First 5 Innings'!AL23,
      ""
    ),
    IF(AND(W28 &gt;= $F$7, W28 &lt;= 9.99),
      _xludf.XLOOKUP('First 5 Innings'!D23, Validations!$E$2:$E$31, Validations!$H$2:$H$31)
      &amp; " " &amp; 'First 5 Innings'!$AK$4
      &amp; " " &amp; IF('First 5 Innings'!AE23 &gt;= 2,
                ROUND(('First 5 Innings'!AE23 - 1) * 100, 0),
                ROUND(-100 / ('First 5 Innings'!AE23 - 1), 0)
              ) &amp; " " &amp; 'First 5 Innings'!AM23,
      ""
    )
  )
)</f>
        <v>#NAME?</v>
      </c>
      <c r="Z28" s="62">
        <f>IF('First 5 Innings'!W23&lt;2, -100/('First 5 Innings'!W23-1), ('First 5 Innings'!W23-1)*100)</f>
        <v>-103.05274359429762</v>
      </c>
      <c r="AA28" s="63">
        <f>IF('First 5 Innings'!AN23&lt;2, -100/('First 5 Innings'!AN23-1), ('First 5 Innings'!AN23-1)*100)</f>
        <v>-242.42923375324671</v>
      </c>
      <c r="AB28" s="63">
        <f>IF('First 5 Innings'!AO23&lt;2, -100/('First 5 Innings'!AO23-1), ('First 5 Innings'!AO23-1)*100)</f>
        <v>166.06944687397197</v>
      </c>
      <c r="AC28" s="35"/>
      <c r="AD28" s="2"/>
      <c r="AE28" s="2"/>
      <c r="AF28" s="2"/>
    </row>
    <row r="29" spans="1:32" ht="13.5" customHeight="1">
      <c r="A29" s="35"/>
      <c r="B29" s="387"/>
      <c r="C29" s="50" t="str">
        <f>IFERROR(_xlfn.XLOOKUP('First 5 Innings'!D24,Validations!$E$2:$E$31,Validations!$H$2:$H$31),"")</f>
        <v>Milwaukee Brewers</v>
      </c>
      <c r="D29" s="50" t="str">
        <f>IFERROR('First 5 Innings'!B24,"")</f>
        <v>Chad Patrick</v>
      </c>
      <c r="E29" s="50" t="str">
        <f>'First 5 Innings'!C24</f>
        <v>R</v>
      </c>
      <c r="F29" s="51">
        <f t="array" ref="F29">IFERROR(_xlfn.XLOOKUP(D29,'Starting Pitchers'!$B$4:$B1007,'Starting Pitchers'!$Z$4:$Z1007),"")</f>
        <v>97</v>
      </c>
      <c r="G29" s="52" t="str">
        <f t="array" aca="1" ref="G29" ca="1">IFERROR(_xludf.XLOOKUP(D29,'Starting Pitchers'!$B$4:$B1007,'Starting Pitchers'!#REF!),"")</f>
        <v/>
      </c>
      <c r="H29" s="53">
        <f>IF('First 5 Innings'!G24=0,"",'First 5 Innings'!G24)</f>
        <v>1.5298006976196104</v>
      </c>
      <c r="I29" s="54">
        <f>IF(C29="","", 'First 5 Innings'!H24)</f>
        <v>0.4432345921896102</v>
      </c>
      <c r="J29" s="49">
        <f>IF(C29="","",
  _xlfn.LET(
    _xlpm.prob, 'First 5 Innings'!H24,
    _xlpm.dec, 1 / _xlpm.prob,
    IF(ABS(_xlpm.prob - 0.5) &lt; 0.0001,
       100,
       IF(_xlpm.dec &gt;= 2,
          ROUND((_xlpm.dec - 1) * 100, 0),
          ROUND(-100 / (_xlpm.dec - 1), 0)
       )
    )
  ))</f>
        <v>126</v>
      </c>
      <c r="K29" s="55">
        <f>IFERROR('First 5 Innings'!AH24,"")</f>
        <v>0.56174244710393251</v>
      </c>
      <c r="L29" s="56">
        <f t="shared" si="0"/>
        <v>-128</v>
      </c>
      <c r="M29" s="54">
        <f>IFERROR('First 5 Innings'!AI24,"")</f>
        <v>0.33362491316278126</v>
      </c>
      <c r="N29" s="56" t="str">
        <f ca="1">IFERROR(
_xludf.LET(
prob, M29,
dec, 1 / prob,
IF(ABS(prob - 0.5) &lt; 0.0001,
100,
IF(dec &gt;= 2,
ROUND((dec - 1) * 100, 0),
ROUND(-100 / (dec - 1), 0)
)
)
),
"")</f>
        <v/>
      </c>
      <c r="O29" s="57">
        <f>'First 5 Innings'!S24</f>
        <v>0</v>
      </c>
      <c r="P29" s="58" t="str">
        <f>IFERROR(
  _xlfn.LET(
    _xlpm.prob, 'First 5 Innings'!S24,
    _xlpm.dec, 1 / _xlpm.prob,
    IF(ABS(_xlpm.prob - 0.5) &lt; 0.0001,
       100,
       IF(_xlpm.dec &gt;= 2,
          ROUND((_xlpm.dec - 1) * 100, 0),
          ROUND(-100 / (_xlpm.dec - 1), 0)
       )
    )
  ),
"")</f>
        <v/>
      </c>
      <c r="Q29" s="54" t="str">
        <f ca="1">IFERROR(1/'First 5 Innings'!AD24,"")</f>
        <v/>
      </c>
      <c r="R29" s="51" t="str">
        <f ca="1">IFERROR(
_xludf.LET(
prob, Q29,
dec, 1 / prob,
IF(ABS(prob - 0.5) &lt; 0.0001,
100,
IF(dec &gt;= 2,
ROUND((dec - 1) * 100, 0),
ROUND(-100 / (dec - 1), 0)
)
)
),
"")</f>
        <v/>
      </c>
      <c r="S29" s="54" t="str">
        <f ca="1">IFERROR(1/'First 5 Innings'!AE24,"")</f>
        <v/>
      </c>
      <c r="T29" s="51" t="str">
        <f ca="1">IFERROR(
_xludf.LET(
prob, S29,
dec, 1 / prob,
IF(ABS(prob - 0.5) &lt; 0.0001,
100,
IF(dec &gt;= 2,
ROUND((dec - 1) * 100, 0),
ROUND(-100 / (dec - 1), 0)
)
)
),
"")</f>
        <v/>
      </c>
      <c r="U29" s="59">
        <f>IF(C29="","", 'First 5 Innings'!T24)</f>
        <v>10</v>
      </c>
      <c r="V29" s="59">
        <f ca="1">IF(C29="","", 'First 5 Innings'!AJ24)</f>
        <v>10</v>
      </c>
      <c r="W29" s="59">
        <f ca="1">IF(C29="","", 'First 5 Innings'!AK24)</f>
        <v>10</v>
      </c>
      <c r="X29" s="60" t="str">
        <f>IF(
  OR(D29="Average", D29="", D30=""),
  "",
  IF(AND(U29 &gt;= $E$7, U29 &lt;= 9.99),
     C29 &amp; " f5 " &amp; ROUND(P29, 0) &amp; " " &amp; 'First 5 Innings'!Q24,
     ""
  )
)</f>
        <v/>
      </c>
      <c r="Y29" s="61" t="e">
        <f t="array" aca="1" ref="Y29" ca="1">IF(
  OR(D29="Average", D29="", D30=""),
  "",
  _xludf.TEXTJOIN(CHAR(10), TRUE,
    IF(AND(V29 &gt;= $F$7, V29 &lt;= 9.99),
      _xludf.XLOOKUP('First 5 Innings'!D24, Validations!$E$2:$E$31, Validations!$H$2:$H$31)
      &amp; " " &amp; 'First 5 Innings'!$AJ$4
      &amp; " " &amp; IF('First 5 Innings'!AD24 &gt;= 2,
                ROUND(('First 5 Innings'!AD24 - 1) * 100, 0),
                ROUND(-100 / ('First 5 Innings'!AD24 - 1), 0)
              ) &amp; " " &amp; 'First 5 Innings'!AL24,
      ""
    ),
    IF(AND(W29 &gt;= $F$7, W29 &lt;= 9.99),
      _xludf.XLOOKUP('First 5 Innings'!D24, Validations!$E$2:$E$31, Validations!$H$2:$H$31)
      &amp; " " &amp; 'First 5 Innings'!$AK$4
      &amp; " " &amp; IF('First 5 Innings'!AE24 &gt;= 2,
                ROUND(('First 5 Innings'!AE24 - 1) * 100, 0),
                ROUND(-100 / ('First 5 Innings'!AE24 - 1), 0)
              ) &amp; " " &amp; 'First 5 Innings'!AM24,
      ""
    )
  )
)</f>
        <v>#NAME?</v>
      </c>
      <c r="Z29" s="62">
        <f>IF('First 5 Innings'!W24&lt;2, -100/('First 5 Innings'!W24-1), ('First 5 Innings'!W24-1)*100)</f>
        <v>162.21133314640403</v>
      </c>
      <c r="AA29" s="63">
        <f>IF('First 5 Innings'!AN24&lt;2, -100/('First 5 Innings'!AN24-1), ('First 5 Innings'!AN24-1)*100)</f>
        <v>-136.50617499908623</v>
      </c>
      <c r="AB29" s="63">
        <f>IF('First 5 Innings'!AO24&lt;2, -100/('First 5 Innings'!AO24-1), ('First 5 Innings'!AO24-1)*100)</f>
        <v>285.23288797240264</v>
      </c>
      <c r="AC29" s="35"/>
      <c r="AD29" s="2"/>
      <c r="AE29" s="2"/>
      <c r="AF29" s="2"/>
    </row>
    <row r="30" spans="1:32" ht="27" customHeight="1">
      <c r="A30" s="35"/>
      <c r="B30" s="388">
        <v>11</v>
      </c>
      <c r="C30" s="37" t="str">
        <f>IFERROR(_xlfn.XLOOKUP('First 5 Innings'!D25,Validations!$E$2:$E$31,Validations!$H$2:$H$31),"")</f>
        <v>Kansas City Royals</v>
      </c>
      <c r="D30" s="37" t="str">
        <f>IFERROR('First 5 Innings'!B25,"")</f>
        <v>Michael Wacha</v>
      </c>
      <c r="E30" s="37" t="str">
        <f>'First 5 Innings'!C25</f>
        <v>R</v>
      </c>
      <c r="F30" s="38">
        <f t="array" ref="F30">IFERROR(_xlfn.XLOOKUP(D30,'Starting Pitchers'!$B$4:$B1007,'Starting Pitchers'!$Z$4:$Z1007),"")</f>
        <v>49</v>
      </c>
      <c r="G30" s="39" t="str">
        <f t="array" aca="1" ref="G30" ca="1">IFERROR(_xludf.XLOOKUP(D30,'Starting Pitchers'!$B$4:$B1007,'Starting Pitchers'!#REF!),"")</f>
        <v/>
      </c>
      <c r="H30" s="40">
        <f>IF('First 5 Innings'!G25=0,"",'First 5 Innings'!G25)</f>
        <v>3.1117188342635362</v>
      </c>
      <c r="I30" s="41">
        <f>IF(C30="","", 'First 5 Innings'!H25)</f>
        <v>0.68115150203053132</v>
      </c>
      <c r="J30" s="36">
        <f>IF(C30="","",
  _xlfn.LET(
    _xlpm.prob, 'First 5 Innings'!H25,
    _xlpm.dec, 1 / _xlpm.prob,
    IF(ABS(_xlpm.prob - 0.5) &lt; 0.0001,
       100,
       IF(_xlpm.dec &gt;= 2,
          ROUND((_xlpm.dec - 1) * 100, 0),
          ROUND(-100 / (_xlpm.dec - 1), 0)
       )
    )
  ))</f>
        <v>-214</v>
      </c>
      <c r="K30" s="42">
        <f>IFERROR('First 5 Innings'!AH25,"")</f>
        <v>0.76944417978089907</v>
      </c>
      <c r="L30" s="43">
        <f t="shared" si="0"/>
        <v>-334</v>
      </c>
      <c r="M30" s="41">
        <f>IFERROR('First 5 Innings'!AI25,"")</f>
        <v>0.60721892194409099</v>
      </c>
      <c r="N30" s="43" t="str">
        <f ca="1">IFERROR(
_xludf.LET(
prob, M30,
dec, 1 / prob,
IF(ABS(prob - 0.5) &lt; 0.0001,
100,
IF(dec &gt;= 2,
ROUND((dec - 1) * 100, 0),
ROUND(-100 / (dec - 1), 0)
)
)
),
"")</f>
        <v/>
      </c>
      <c r="O30" s="42">
        <f>'First 5 Innings'!S25</f>
        <v>0</v>
      </c>
      <c r="P30" s="38" t="str">
        <f>IFERROR(
  _xlfn.LET(
    _xlpm.prob, 'First 5 Innings'!S25,
    _xlpm.dec, 1 / _xlpm.prob,
    IF(ABS(_xlpm.prob - 0.5) &lt; 0.0001,
       100,
       IF(_xlpm.dec &gt;= 2,
          ROUND((_xlpm.dec - 1) * 100, 0),
          ROUND(-100 / (_xlpm.dec - 1), 0)
       )
    )
  ),
"")</f>
        <v/>
      </c>
      <c r="Q30" s="41" t="str">
        <f ca="1">IFERROR(1/'First 5 Innings'!AD25,"")</f>
        <v/>
      </c>
      <c r="R30" s="38" t="str">
        <f ca="1">IFERROR(
_xludf.LET(
prob, Q30,
dec, 1 / prob,
IF(ABS(prob - 0.5) &lt; 0.0001,
100,
IF(dec &gt;= 2,
ROUND((dec - 1) * 100, 0),
ROUND(-100 / (dec - 1), 0)
)
)
),
"")</f>
        <v/>
      </c>
      <c r="S30" s="41" t="str">
        <f ca="1">IFERROR(1/'First 5 Innings'!AE25,"")</f>
        <v/>
      </c>
      <c r="T30" s="38" t="str">
        <f ca="1">IFERROR(
_xludf.LET(
prob, S30,
dec, 1 / prob,
IF(ABS(prob - 0.5) &lt; 0.0001,
100,
IF(dec &gt;= 2,
ROUND((dec - 1) * 100, 0),
ROUND(-100 / (dec - 1), 0)
)
)
),
"")</f>
        <v/>
      </c>
      <c r="U30" s="44">
        <f>IF(C30="","", 'First 5 Innings'!T25)</f>
        <v>10</v>
      </c>
      <c r="V30" s="44">
        <f ca="1">IF(C30="","", 'First 5 Innings'!AJ25)</f>
        <v>10</v>
      </c>
      <c r="W30" s="44">
        <f ca="1">IF(C30="","", 'First 5 Innings'!AK25)</f>
        <v>10</v>
      </c>
      <c r="X30" s="45" t="str">
        <f>IF(
  OR(D30="Average", D30="", D31=""),
  "",
  IF(AND(U30 &gt;= $E$7, U30 &lt;= 9.99),
     C30 &amp; " f5 " &amp; ROUND(P30, 0) &amp; " " &amp; 'First 5 Innings'!Q25,
     ""
  )
)</f>
        <v/>
      </c>
      <c r="Y30" s="46" t="e">
        <f t="array" aca="1" ref="Y30" ca="1">IF(
  OR(D30="Average", D30="", D31=""),
  "",
  _xludf.TEXTJOIN(CHAR(10), TRUE,
    IF(AND(V30 &gt;= $F$7, V30 &lt;= 9.99),
      _xludf.XLOOKUP('First 5 Innings'!D25, Validations!$E$2:$E$31, Validations!$H$2:$H$31)
      &amp; " " &amp; 'First 5 Innings'!$AJ$4
      &amp; " " &amp; IF('First 5 Innings'!AD25 &gt;= 2,
                ROUND(('First 5 Innings'!AD25 - 1) * 100, 0),
                ROUND(-100 / ('First 5 Innings'!AD25 - 1), 0)
              ) &amp; " " &amp; 'First 5 Innings'!AL25,
      ""
    ),
    IF(AND(W30 &gt;= $F$7, W30 &lt;= 9.99),
      _xludf.XLOOKUP('First 5 Innings'!D25, Validations!$E$2:$E$31, Validations!$H$2:$H$31)
      &amp; " " &amp; 'First 5 Innings'!$AK$4
      &amp; " " &amp; IF('First 5 Innings'!AE25 &gt;= 2,
                ROUND(('First 5 Innings'!AE25 - 1) * 100, 0),
                ROUND(-100 / ('First 5 Innings'!AE25 - 1), 0)
              ) &amp; " " &amp; 'First 5 Innings'!AM25,
      ""
    )
  )
)</f>
        <v>#NAME?</v>
      </c>
      <c r="Z30" s="47">
        <f>IF('First 5 Innings'!W25&lt;2, -100/('First 5 Innings'!W25-1), ('First 5 Innings'!W25-1)*100)</f>
        <v>-182.26571733330837</v>
      </c>
      <c r="AA30" s="48">
        <f>IF('First 5 Innings'!AN25&lt;2, -100/('First 5 Innings'!AN25-1), ('First 5 Innings'!AN25-1)*100)</f>
        <v>-512.76471524396754</v>
      </c>
      <c r="AB30" s="48">
        <f>IF('First 5 Innings'!AO25&lt;2, -100/('First 5 Innings'!AO25-1), ('First 5 Innings'!AO25-1)*100)</f>
        <v>-129.13527414675835</v>
      </c>
      <c r="AC30" s="35"/>
      <c r="AD30" s="2"/>
      <c r="AE30" s="2"/>
      <c r="AF30" s="2"/>
    </row>
    <row r="31" spans="1:32" ht="13.5" customHeight="1">
      <c r="A31" s="35"/>
      <c r="B31" s="387"/>
      <c r="C31" s="37" t="str">
        <f>IFERROR(_xlfn.XLOOKUP('First 5 Innings'!D26,Validations!$E$2:$E$31,Validations!$H$2:$H$31),"")</f>
        <v>Atlanta Braves</v>
      </c>
      <c r="D31" s="37" t="str">
        <f>IFERROR('First 5 Innings'!B26,"")</f>
        <v>Reynaldo López</v>
      </c>
      <c r="E31" s="37" t="str">
        <f>'First 5 Innings'!C26</f>
        <v>R</v>
      </c>
      <c r="F31" s="38" t="str">
        <f t="array" ref="F31">IFERROR(_xlfn.XLOOKUP(D31,'Starting Pitchers'!$B$4:$B1007,'Starting Pitchers'!$Z$4:$Z1007),"")</f>
        <v/>
      </c>
      <c r="G31" s="39" t="str">
        <f t="array" aca="1" ref="G31" ca="1">IFERROR(_xludf.XLOOKUP(D31,'Starting Pitchers'!$B$4:$B1007,'Starting Pitchers'!#REF!),"")</f>
        <v/>
      </c>
      <c r="H31" s="40">
        <f>IF('First 5 Innings'!G26=0,"",'First 5 Innings'!G26)</f>
        <v>1.9808153809433779</v>
      </c>
      <c r="I31" s="41">
        <f>IF(C31="","", 'First 5 Innings'!H26)</f>
        <v>0.31884849796946874</v>
      </c>
      <c r="J31" s="36">
        <f>IF(C31="","",
  _xlfn.LET(
    _xlpm.prob, 'First 5 Innings'!H26,
    _xlpm.dec, 1 / _xlpm.prob,
    IF(ABS(_xlpm.prob - 0.5) &lt; 0.0001,
       100,
       IF(_xlpm.dec &gt;= 2,
          ROUND((_xlpm.dec - 1) * 100, 0),
          ROUND(-100 / (_xlpm.dec - 1), 0)
       )
    )
  ))</f>
        <v>214</v>
      </c>
      <c r="K31" s="42">
        <f>IFERROR('First 5 Innings'!AH26,"")</f>
        <v>0.39278107805590901</v>
      </c>
      <c r="L31" s="43">
        <f t="shared" si="0"/>
        <v>155</v>
      </c>
      <c r="M31" s="41">
        <f>IFERROR('First 5 Innings'!AI26,"")</f>
        <v>0.2305558202191009</v>
      </c>
      <c r="N31" s="43" t="str">
        <f ca="1">IFERROR(
_xludf.LET(
prob, M31,
dec, 1 / prob,
IF(ABS(prob - 0.5) &lt; 0.0001,
100,
IF(dec &gt;= 2,
ROUND((dec - 1) * 100, 0),
ROUND(-100 / (dec - 1), 0)
)
)
),
"")</f>
        <v/>
      </c>
      <c r="O31" s="42">
        <f>'First 5 Innings'!S26</f>
        <v>0</v>
      </c>
      <c r="P31" s="38" t="str">
        <f>IFERROR(
  _xlfn.LET(
    _xlpm.prob, 'First 5 Innings'!S26,
    _xlpm.dec, 1 / _xlpm.prob,
    IF(ABS(_xlpm.prob - 0.5) &lt; 0.0001,
       100,
       IF(_xlpm.dec &gt;= 2,
          ROUND((_xlpm.dec - 1) * 100, 0),
          ROUND(-100 / (_xlpm.dec - 1), 0)
       )
    )
  ),
"")</f>
        <v/>
      </c>
      <c r="Q31" s="41" t="str">
        <f ca="1">IFERROR(1/'First 5 Innings'!AD26,"")</f>
        <v/>
      </c>
      <c r="R31" s="38" t="str">
        <f ca="1">IFERROR(
_xludf.LET(
prob, Q31,
dec, 1 / prob,
IF(ABS(prob - 0.5) &lt; 0.0001,
100,
IF(dec &gt;= 2,
ROUND((dec - 1) * 100, 0),
ROUND(-100 / (dec - 1), 0)
)
)
),
"")</f>
        <v/>
      </c>
      <c r="S31" s="41" t="str">
        <f ca="1">IFERROR(1/'First 5 Innings'!AE26,"")</f>
        <v/>
      </c>
      <c r="T31" s="38" t="str">
        <f ca="1">IFERROR(
_xludf.LET(
prob, S31,
dec, 1 / prob,
IF(ABS(prob - 0.5) &lt; 0.0001,
100,
IF(dec &gt;= 2,
ROUND((dec - 1) * 100, 0),
ROUND(-100 / (dec - 1), 0)
)
)
),
"")</f>
        <v/>
      </c>
      <c r="U31" s="44">
        <f>IF(C31="","", 'First 5 Innings'!T26)</f>
        <v>10</v>
      </c>
      <c r="V31" s="44">
        <f ca="1">IF(C31="","", 'First 5 Innings'!AJ26)</f>
        <v>10</v>
      </c>
      <c r="W31" s="44">
        <f ca="1">IF(C31="","", 'First 5 Innings'!AK26)</f>
        <v>10</v>
      </c>
      <c r="X31" s="45" t="str">
        <f>IF(
  OR(D31="Average", D31="", D32=""),
  "",
  IF(AND(U31 &gt;= $E$7, U31 &lt;= 9.99),
     C31 &amp; " f5 " &amp; ROUND(P31, 0) &amp; " " &amp; 'First 5 Innings'!Q26,
     ""
  )
)</f>
        <v/>
      </c>
      <c r="Y31" s="46" t="e">
        <f t="array" aca="1" ref="Y31" ca="1">IF(
  OR(D31="Average", D31="", D32=""),
  "",
  _xludf.TEXTJOIN(CHAR(10), TRUE,
    IF(AND(V31 &gt;= $F$7, V31 &lt;= 9.99),
      _xludf.XLOOKUP('First 5 Innings'!D26, Validations!$E$2:$E$31, Validations!$H$2:$H$31)
      &amp; " " &amp; 'First 5 Innings'!$AJ$4
      &amp; " " &amp; IF('First 5 Innings'!AD26 &gt;= 2,
                ROUND(('First 5 Innings'!AD26 - 1) * 100, 0),
                ROUND(-100 / ('First 5 Innings'!AD26 - 1), 0)
              ) &amp; " " &amp; 'First 5 Innings'!AL26,
      ""
    ),
    IF(AND(W31 &gt;= $F$7, W31 &lt;= 9.99),
      _xludf.XLOOKUP('First 5 Innings'!D26, Validations!$E$2:$E$31, Validations!$H$2:$H$31)
      &amp; " " &amp; 'First 5 Innings'!$AK$4
      &amp; " " &amp; IF('First 5 Innings'!AE26 &gt;= 2,
                ROUND(('First 5 Innings'!AE26 - 1) * 100, 0),
                ROUND(-100 / ('First 5 Innings'!AE26 - 1), 0)
              ) &amp; " " &amp; 'First 5 Innings'!AM26,
      ""
    )
  )
)</f>
        <v>#NAME?</v>
      </c>
      <c r="Z31" s="47">
        <f>IF('First 5 Innings'!W26&lt;2, -100/('First 5 Innings'!W26-1), ('First 5 Innings'!W26-1)*100)</f>
        <v>311.24339821859684</v>
      </c>
      <c r="AA31" s="48">
        <f>IF('First 5 Innings'!AN26&lt;2, -100/('First 5 Innings'!AN26-1), ('First 5 Innings'!AN26-1)*100)</f>
        <v>173.24170172200587</v>
      </c>
      <c r="AB31" s="48">
        <f>IF('First 5 Innings'!AO26&lt;2, -100/('First 5 Innings'!AO26-1), ('First 5 Innings'!AO26-1)*100)</f>
        <v>589.36030464946373</v>
      </c>
      <c r="AC31" s="35"/>
      <c r="AD31" s="2"/>
      <c r="AE31" s="2"/>
      <c r="AF31" s="2"/>
    </row>
    <row r="32" spans="1:32" ht="13.5" customHeight="1">
      <c r="A32" s="35"/>
      <c r="B32" s="386">
        <v>12</v>
      </c>
      <c r="C32" s="50" t="str">
        <f>IFERROR(_xlfn.XLOOKUP('First 5 Innings'!D27,Validations!$E$2:$E$31,Validations!$H$2:$H$31),"")</f>
        <v>New York Yankees</v>
      </c>
      <c r="D32" s="50" t="str">
        <f>IFERROR('First 5 Innings'!B27,"")</f>
        <v>Will Warren</v>
      </c>
      <c r="E32" s="50" t="str">
        <f>'First 5 Innings'!C27</f>
        <v>R</v>
      </c>
      <c r="F32" s="51">
        <f t="array" ref="F32">IFERROR(_xlfn.XLOOKUP(D32,'Starting Pitchers'!$B$4:$B1007,'Starting Pitchers'!$Z$4:$Z1007),"")</f>
        <v>109</v>
      </c>
      <c r="G32" s="52" t="str">
        <f t="array" aca="1" ref="G32" ca="1">IFERROR(_xludf.XLOOKUP(D32,'Starting Pitchers'!$B$4:$B1007,'Starting Pitchers'!#REF!),"")</f>
        <v/>
      </c>
      <c r="H32" s="53">
        <f>IF('First 5 Innings'!G27=0,"",'First 5 Innings'!G27)</f>
        <v>2.3086946189697204</v>
      </c>
      <c r="I32" s="54">
        <f>IF(C32="","", 'First 5 Innings'!H27)</f>
        <v>0.49668441953419995</v>
      </c>
      <c r="J32" s="49">
        <f>IF(C32="","",
  _xlfn.LET(
    _xlpm.prob, 'First 5 Innings'!H27,
    _xlpm.dec, 1 / _xlpm.prob,
    IF(ABS(_xlpm.prob - 0.5) &lt; 0.0001,
       100,
       IF(_xlpm.dec &gt;= 2,
          ROUND((_xlpm.dec - 1) * 100, 0),
          ROUND(-100 / (_xlpm.dec - 1), 0)
       )
    )
  ))</f>
        <v>101</v>
      </c>
      <c r="K32" s="55">
        <f>IFERROR('First 5 Innings'!AH27,"")</f>
        <v>0.59218736286681861</v>
      </c>
      <c r="L32" s="56">
        <f t="shared" si="0"/>
        <v>-145</v>
      </c>
      <c r="M32" s="54">
        <f>IFERROR('First 5 Innings'!AI27,"")</f>
        <v>0.40108147448676723</v>
      </c>
      <c r="N32" s="56" t="str">
        <f ca="1">IFERROR(
_xludf.LET(
prob, M32,
dec, 1 / prob,
IF(ABS(prob - 0.5) &lt; 0.0001,
100,
IF(dec &gt;= 2,
ROUND((dec - 1) * 100, 0),
ROUND(-100 / (dec - 1), 0)
)
)
),
"")</f>
        <v/>
      </c>
      <c r="O32" s="57">
        <f>'First 5 Innings'!S27</f>
        <v>0</v>
      </c>
      <c r="P32" s="58" t="str">
        <f>IFERROR(
  _xlfn.LET(
    _xlpm.prob, 'First 5 Innings'!S27,
    _xlpm.dec, 1 / _xlpm.prob,
    IF(ABS(_xlpm.prob - 0.5) &lt; 0.0001,
       100,
       IF(_xlpm.dec &gt;= 2,
          ROUND((_xlpm.dec - 1) * 100, 0),
          ROUND(-100 / (_xlpm.dec - 1), 0)
       )
    )
  ),
"")</f>
        <v/>
      </c>
      <c r="Q32" s="54" t="str">
        <f ca="1">IFERROR(1/'First 5 Innings'!AD27,"")</f>
        <v/>
      </c>
      <c r="R32" s="51" t="str">
        <f ca="1">IFERROR(
_xludf.LET(
prob, Q32,
dec, 1 / prob,
IF(ABS(prob - 0.5) &lt; 0.0001,
100,
IF(dec &gt;= 2,
ROUND((dec - 1) * 100, 0),
ROUND(-100 / (dec - 1), 0)
)
)
),
"")</f>
        <v/>
      </c>
      <c r="S32" s="54" t="str">
        <f ca="1">IFERROR(1/'First 5 Innings'!AE27,"")</f>
        <v/>
      </c>
      <c r="T32" s="51" t="str">
        <f ca="1">IFERROR(
_xludf.LET(
prob, S32,
dec, 1 / prob,
IF(ABS(prob - 0.5) &lt; 0.0001,
100,
IF(dec &gt;= 2,
ROUND((dec - 1) * 100, 0),
ROUND(-100 / (dec - 1), 0)
)
)
),
"")</f>
        <v/>
      </c>
      <c r="U32" s="59">
        <f>IF(C32="","", 'First 5 Innings'!T27)</f>
        <v>10</v>
      </c>
      <c r="V32" s="59">
        <f ca="1">IF(C32="","", 'First 5 Innings'!AJ27)</f>
        <v>10</v>
      </c>
      <c r="W32" s="59">
        <f ca="1">IF(C32="","", 'First 5 Innings'!AK27)</f>
        <v>10</v>
      </c>
      <c r="X32" s="60" t="str">
        <f>IF(
  OR(D32="Average", D32="", D33=""),
  "",
  IF(AND(U32 &gt;= $E$7, U32 &lt;= 9.99),
     C32 &amp; " f5 " &amp; ROUND(P32, 0) &amp; " " &amp; 'First 5 Innings'!Q27,
     ""
  )
)</f>
        <v/>
      </c>
      <c r="Y32" s="61" t="e">
        <f t="array" aca="1" ref="Y32" ca="1">IF(
  OR(D32="Average", D32="", D33=""),
  "",
  _xludf.TEXTJOIN(CHAR(10), TRUE,
    IF(AND(V32 &gt;= $F$7, V32 &lt;= 9.99),
      _xludf.XLOOKUP('First 5 Innings'!D27, Validations!$E$2:$E$31, Validations!$H$2:$H$31)
      &amp; " " &amp; 'First 5 Innings'!$AJ$4
      &amp; " " &amp; IF('First 5 Innings'!AD27 &gt;= 2,
                ROUND(('First 5 Innings'!AD27 - 1) * 100, 0),
                ROUND(-100 / ('First 5 Innings'!AD27 - 1), 0)
              ) &amp; " " &amp; 'First 5 Innings'!AL27,
      ""
    ),
    IF(AND(W32 &gt;= $F$7, W32 &lt;= 9.99),
      _xludf.XLOOKUP('First 5 Innings'!D27, Validations!$E$2:$E$31, Validations!$H$2:$H$31)
      &amp; " " &amp; 'First 5 Innings'!$AK$4
      &amp; " " &amp; IF('First 5 Innings'!AE27 &gt;= 2,
                ROUND(('First 5 Innings'!AE27 - 1) * 100, 0),
                ROUND(-100 / ('First 5 Innings'!AE27 - 1), 0)
              ) &amp; " " &amp; 'First 5 Innings'!AM27,
      ""
    )
  )
)</f>
        <v>#NAME?</v>
      </c>
      <c r="Z32" s="62">
        <f>IF('First 5 Innings'!W27&lt;2, -100/('First 5 Innings'!W27-1), ('First 5 Innings'!W27-1)*100)</f>
        <v>126.88060223207404</v>
      </c>
      <c r="AA32" s="63">
        <f>IF('First 5 Innings'!AN27&lt;2, -100/('First 5 Innings'!AN27-1), ('First 5 Innings'!AN27-1)*100)</f>
        <v>-159.89836137035002</v>
      </c>
      <c r="AB32" s="63">
        <f>IF('First 5 Innings'!AO27&lt;2, -100/('First 5 Innings'!AO27-1), ('First 5 Innings'!AO27-1)*100)</f>
        <v>198.9224101330604</v>
      </c>
      <c r="AC32" s="35"/>
      <c r="AD32" s="2"/>
      <c r="AE32" s="2"/>
      <c r="AF32" s="2"/>
    </row>
    <row r="33" spans="1:32" ht="18.75" customHeight="1">
      <c r="A33" s="35"/>
      <c r="B33" s="387"/>
      <c r="C33" s="50" t="str">
        <f>IFERROR(_xlfn.XLOOKUP('First 5 Innings'!D28,Validations!$E$2:$E$31,Validations!$H$2:$H$31),"")</f>
        <v>San Francisco Giants</v>
      </c>
      <c r="D33" s="50" t="str">
        <f>IFERROR('First 5 Innings'!B28,"")</f>
        <v>Tyler Mahle</v>
      </c>
      <c r="E33" s="50" t="str">
        <f>'First 5 Innings'!C28</f>
        <v>R</v>
      </c>
      <c r="F33" s="51" t="str">
        <f t="array" ref="F33">IFERROR(_xlfn.XLOOKUP(D33,'Starting Pitchers'!$B$4:$B1007,'Starting Pitchers'!$Z$4:$Z1007),"")</f>
        <v/>
      </c>
      <c r="G33" s="52" t="str">
        <f t="array" aca="1" ref="G33" ca="1">IFERROR(_xludf.XLOOKUP(D33,'Starting Pitchers'!$B$4:$B1007,'Starting Pitchers'!#REF!),"")</f>
        <v/>
      </c>
      <c r="H33" s="53">
        <f>IF('First 5 Innings'!G28=0,"",'First 5 Innings'!G28)</f>
        <v>2.327387636390323</v>
      </c>
      <c r="I33" s="54">
        <f>IF(C33="","", 'First 5 Innings'!H28)</f>
        <v>0.50331558046580005</v>
      </c>
      <c r="J33" s="49">
        <f>IF(C33="","",
  _xlfn.LET(
    _xlpm.prob, 'First 5 Innings'!H28,
    _xlpm.dec, 1 / _xlpm.prob,
    IF(ABS(_xlpm.prob - 0.5) &lt; 0.0001,
       100,
       IF(_xlpm.dec &gt;= 2,
          ROUND((_xlpm.dec - 1) * 100, 0),
          ROUND(-100 / (_xlpm.dec - 1), 0)
       )
    )
  ))</f>
        <v>-101</v>
      </c>
      <c r="K33" s="55">
        <f>IFERROR('First 5 Innings'!AH28,"")</f>
        <v>0.59891852551323277</v>
      </c>
      <c r="L33" s="56">
        <f t="shared" si="0"/>
        <v>-149</v>
      </c>
      <c r="M33" s="54">
        <f>IFERROR('First 5 Innings'!AI28,"")</f>
        <v>0.40781263713318144</v>
      </c>
      <c r="N33" s="56" t="str">
        <f ca="1">IFERROR(
_xludf.LET(
prob, M33,
dec, 1 / prob,
IF(ABS(prob - 0.5) &lt; 0.0001,
100,
IF(dec &gt;= 2,
ROUND((dec - 1) * 100, 0),
ROUND(-100 / (dec - 1), 0)
)
)
),
"")</f>
        <v/>
      </c>
      <c r="O33" s="57">
        <f>'First 5 Innings'!S28</f>
        <v>0</v>
      </c>
      <c r="P33" s="58" t="str">
        <f>IFERROR(
  _xlfn.LET(
    _xlpm.prob, 'First 5 Innings'!S28,
    _xlpm.dec, 1 / _xlpm.prob,
    IF(ABS(_xlpm.prob - 0.5) &lt; 0.0001,
       100,
       IF(_xlpm.dec &gt;= 2,
          ROUND((_xlpm.dec - 1) * 100, 0),
          ROUND(-100 / (_xlpm.dec - 1), 0)
       )
    )
  ),
"")</f>
        <v/>
      </c>
      <c r="Q33" s="54" t="str">
        <f ca="1">IFERROR(1/'First 5 Innings'!AD28,"")</f>
        <v/>
      </c>
      <c r="R33" s="51" t="str">
        <f ca="1">IFERROR(
_xludf.LET(
prob, Q33,
dec, 1 / prob,
IF(ABS(prob - 0.5) &lt; 0.0001,
100,
IF(dec &gt;= 2,
ROUND((dec - 1) * 100, 0),
ROUND(-100 / (dec - 1), 0)
)
)
),
"")</f>
        <v/>
      </c>
      <c r="S33" s="54" t="str">
        <f ca="1">IFERROR(1/'First 5 Innings'!AE28,"")</f>
        <v/>
      </c>
      <c r="T33" s="51" t="str">
        <f ca="1">IFERROR(
_xludf.LET(
prob, S33,
dec, 1 / prob,
IF(ABS(prob - 0.5) &lt; 0.0001,
100,
IF(dec &gt;= 2,
ROUND((dec - 1) * 100, 0),
ROUND(-100 / (dec - 1), 0)
)
)
),
"")</f>
        <v/>
      </c>
      <c r="U33" s="59">
        <f>IF(C33="","", 'First 5 Innings'!T28)</f>
        <v>10</v>
      </c>
      <c r="V33" s="59">
        <f ca="1">IF(C33="","", 'First 5 Innings'!AJ28)</f>
        <v>10</v>
      </c>
      <c r="W33" s="59">
        <f ca="1">IF(C33="","", 'First 5 Innings'!AK28)</f>
        <v>10</v>
      </c>
      <c r="X33" s="60" t="str">
        <f>IF(
  OR(D33="Average", D33="", D34=""),
  "",
  IF(AND(U33 &gt;= $E$7, U33 &lt;= 9.99),
     C33 &amp; " f5 " &amp; ROUND(P33, 0) &amp; " " &amp; 'First 5 Innings'!Q28,
     ""
  )
)</f>
        <v/>
      </c>
      <c r="Y33" s="61" t="e">
        <f t="array" aca="1" ref="Y33" ca="1">IF(
  OR(D33="Average", D33="", D34=""),
  "",
  _xludf.TEXTJOIN(CHAR(10), TRUE,
    IF(AND(V33 &gt;= $F$7, V33 &lt;= 9.99),
      _xludf.XLOOKUP('First 5 Innings'!D28, Validations!$E$2:$E$31, Validations!$H$2:$H$31)
      &amp; " " &amp; 'First 5 Innings'!$AJ$4
      &amp; " " &amp; IF('First 5 Innings'!AD28 &gt;= 2,
                ROUND(('First 5 Innings'!AD28 - 1) * 100, 0),
                ROUND(-100 / ('First 5 Innings'!AD28 - 1), 0)
              ) &amp; " " &amp; 'First 5 Innings'!AL28,
      ""
    ),
    IF(AND(W33 &gt;= $F$7, W33 &lt;= 9.99),
      _xludf.XLOOKUP('First 5 Innings'!D28, Validations!$E$2:$E$31, Validations!$H$2:$H$31)
      &amp; " " &amp; 'First 5 Innings'!$AK$4
      &amp; " " &amp; IF('First 5 Innings'!AE28 &gt;= 2,
                ROUND(('First 5 Innings'!AE28 - 1) * 100, 0),
                ROUND(-100 / ('First 5 Innings'!AE28 - 1), 0)
              ) &amp; " " &amp; 'First 5 Innings'!AM28,
      ""
    )
  )
)</f>
        <v>#NAME?</v>
      </c>
      <c r="Z33" s="62">
        <f>IF('First 5 Innings'!W28&lt;2, -100/('First 5 Innings'!W28-1), ('First 5 Innings'!W28-1)*100)</f>
        <v>123.15031791248074</v>
      </c>
      <c r="AA33" s="63">
        <f>IF('First 5 Innings'!AN28&lt;2, -100/('First 5 Innings'!AN28-1), ('First 5 Innings'!AN28-1)*100)</f>
        <v>-165.7088090071648</v>
      </c>
      <c r="AB33" s="63">
        <f>IF('First 5 Innings'!AO28&lt;2, -100/('First 5 Innings'!AO28-1), ('First 5 Innings'!AO28-1)*100)</f>
        <v>192.38565654164375</v>
      </c>
      <c r="AC33" s="35"/>
      <c r="AD33" s="2"/>
      <c r="AE33" s="2"/>
      <c r="AF33" s="2"/>
    </row>
    <row r="34" spans="1:32" ht="13.5" customHeight="1">
      <c r="A34" s="35"/>
      <c r="B34" s="388">
        <v>13</v>
      </c>
      <c r="C34" s="37" t="str">
        <f>IFERROR(_xlfn.XLOOKUP('First 5 Innings'!D29,Validations!$E$2:$E$31,Validations!$H$2:$H$31),"")</f>
        <v>Detroit Tigers</v>
      </c>
      <c r="D34" s="37" t="str">
        <f>IFERROR('First 5 Innings'!B29,"")</f>
        <v>Jack Flaherty</v>
      </c>
      <c r="E34" s="37" t="str">
        <f>'First 5 Innings'!C29</f>
        <v>R</v>
      </c>
      <c r="F34" s="38">
        <f t="array" ref="F34">IFERROR(_xlfn.XLOOKUP(D34,'Starting Pitchers'!$B$4:$B1007,'Starting Pitchers'!$Z$4:$Z1007),"")</f>
        <v>70</v>
      </c>
      <c r="G34" s="39" t="str">
        <f t="array" aca="1" ref="G34" ca="1">IFERROR(_xludf.XLOOKUP(D34,'Starting Pitchers'!$B$4:$B1007,'Starting Pitchers'!#REF!),"")</f>
        <v/>
      </c>
      <c r="H34" s="40">
        <f>IF('First 5 Innings'!G29=0,"",'First 5 Innings'!G29)</f>
        <v>2.2923966987800308</v>
      </c>
      <c r="I34" s="41">
        <f>IF(C34="","", 'First 5 Innings'!H29)</f>
        <v>0.54822678448695639</v>
      </c>
      <c r="J34" s="36">
        <f>IF(C34="","",
  _xlfn.LET(
    _xlpm.prob, 'First 5 Innings'!H29,
    _xlpm.dec, 1 / _xlpm.prob,
    IF(ABS(_xlpm.prob - 0.5) &lt; 0.0001,
       100,
       IF(_xlpm.dec &gt;= 2,
          ROUND((_xlpm.dec - 1) * 100, 0),
          ROUND(-100 / (_xlpm.dec - 1), 0)
       )
    )
  ))</f>
        <v>-121</v>
      </c>
      <c r="K34" s="42">
        <f>IFERROR('First 5 Innings'!AH29,"")</f>
        <v>0.6465280473855608</v>
      </c>
      <c r="L34" s="43">
        <f t="shared" si="0"/>
        <v>-183</v>
      </c>
      <c r="M34" s="41">
        <f>IFERROR('First 5 Innings'!AI29,"")</f>
        <v>0.44949442641486381</v>
      </c>
      <c r="N34" s="43" t="str">
        <f ca="1">IFERROR(
_xludf.LET(
prob, M34,
dec, 1 / prob,
IF(ABS(prob - 0.5) &lt; 0.0001,
100,
IF(dec &gt;= 2,
ROUND((dec - 1) * 100, 0),
ROUND(-100 / (dec - 1), 0)
)
)
),
"")</f>
        <v/>
      </c>
      <c r="O34" s="42">
        <f>'First 5 Innings'!S29</f>
        <v>0</v>
      </c>
      <c r="P34" s="38" t="str">
        <f>IFERROR(
  _xlfn.LET(
    _xlpm.prob, 'First 5 Innings'!S29,
    _xlpm.dec, 1 / _xlpm.prob,
    IF(ABS(_xlpm.prob - 0.5) &lt; 0.0001,
       100,
       IF(_xlpm.dec &gt;= 2,
          ROUND((_xlpm.dec - 1) * 100, 0),
          ROUND(-100 / (_xlpm.dec - 1), 0)
       )
    )
  ),
"")</f>
        <v/>
      </c>
      <c r="Q34" s="41" t="str">
        <f ca="1">IFERROR(1/'First 5 Innings'!AD29,"")</f>
        <v/>
      </c>
      <c r="R34" s="38" t="str">
        <f ca="1">IFERROR(
_xludf.LET(
prob, Q34,
dec, 1 / prob,
IF(ABS(prob - 0.5) &lt; 0.0001,
100,
IF(dec &gt;= 2,
ROUND((dec - 1) * 100, 0),
ROUND(-100 / (dec - 1), 0)
)
)
),
"")</f>
        <v/>
      </c>
      <c r="S34" s="41" t="str">
        <f ca="1">IFERROR(1/'First 5 Innings'!AE29,"")</f>
        <v/>
      </c>
      <c r="T34" s="38" t="str">
        <f ca="1">IFERROR(
_xludf.LET(
prob, S34,
dec, 1 / prob,
IF(ABS(prob - 0.5) &lt; 0.0001,
100,
IF(dec &gt;= 2,
ROUND((dec - 1) * 100, 0),
ROUND(-100 / (dec - 1), 0)
)
)
),
"")</f>
        <v/>
      </c>
      <c r="U34" s="44">
        <f>IF(C34="","", 'First 5 Innings'!T29)</f>
        <v>10</v>
      </c>
      <c r="V34" s="44">
        <f ca="1">IF(C34="","", 'First 5 Innings'!AJ29)</f>
        <v>10</v>
      </c>
      <c r="W34" s="44">
        <f ca="1">IF(C34="","", 'First 5 Innings'!AK29)</f>
        <v>10</v>
      </c>
      <c r="X34" s="45" t="str">
        <f>IF(
  OR(D34="Average", D34="", D35=""),
  "",
  IF(AND(U34 &gt;= $E$7, U34 &lt;= 9.99),
     C34 &amp; " f5 " &amp; ROUND(P34, 0) &amp; " " &amp; 'First 5 Innings'!Q29,
     ""
  )
)</f>
        <v/>
      </c>
      <c r="Y34" s="46" t="e">
        <f t="array" aca="1" ref="Y34" ca="1">IF(
  OR(D34="Average", D34="", D35=""),
  "",
  _xludf.TEXTJOIN(CHAR(10), TRUE,
    IF(AND(V34 &gt;= $F$7, V34 &lt;= 9.99),
      _xludf.XLOOKUP('First 5 Innings'!D29, Validations!$E$2:$E$31, Validations!$H$2:$H$31)
      &amp; " " &amp; 'First 5 Innings'!$AJ$4
      &amp; " " &amp; IF('First 5 Innings'!AD29 &gt;= 2,
                ROUND(('First 5 Innings'!AD29 - 1) * 100, 0),
                ROUND(-100 / ('First 5 Innings'!AD29 - 1), 0)
              ) &amp; " " &amp; 'First 5 Innings'!AL29,
      ""
    ),
    IF(AND(W34 &gt;= $F$7, W34 &lt;= 9.99),
      _xludf.XLOOKUP('First 5 Innings'!D29, Validations!$E$2:$E$31, Validations!$H$2:$H$31)
      &amp; " " &amp; 'First 5 Innings'!$AK$4
      &amp; " " &amp; IF('First 5 Innings'!AE29 &gt;= 2,
                ROUND(('First 5 Innings'!AE29 - 1) * 100, 0),
                ROUND(-100 / ('First 5 Innings'!AE29 - 1), 0)
              ) &amp; " " &amp; 'First 5 Innings'!AM29,
      ""
    )
  )
)</f>
        <v>#NAME?</v>
      </c>
      <c r="Z34" s="47">
        <f>IF('First 5 Innings'!W29&lt;2, -100/('First 5 Innings'!W29-1), ('First 5 Innings'!W29-1)*100)</f>
        <v>100.79121354386409</v>
      </c>
      <c r="AA34" s="48">
        <f>IF('First 5 Innings'!AN29&lt;2, -100/('First 5 Innings'!AN29-1), ('First 5 Innings'!AN29-1)*100)</f>
        <v>-215.61677406450346</v>
      </c>
      <c r="AB34" s="48">
        <f>IF('First 5 Innings'!AO29&lt;2, -100/('First 5 Innings'!AO29-1), ('First 5 Innings'!AO29-1)*100)</f>
        <v>157.51483628287227</v>
      </c>
      <c r="AC34" s="35"/>
      <c r="AD34" s="2"/>
      <c r="AE34" s="2"/>
      <c r="AF34" s="2"/>
    </row>
    <row r="35" spans="1:32" ht="13.5" customHeight="1">
      <c r="A35" s="35"/>
      <c r="B35" s="387"/>
      <c r="C35" s="37" t="str">
        <f>IFERROR(_xlfn.XLOOKUP('First 5 Innings'!D30,Validations!$E$2:$E$31,Validations!$H$2:$H$31),"")</f>
        <v>San Diego Padres</v>
      </c>
      <c r="D35" s="37" t="str">
        <f>IFERROR('First 5 Innings'!B30,"")</f>
        <v>Randy Vásquez</v>
      </c>
      <c r="E35" s="37" t="str">
        <f>'First 5 Innings'!C30</f>
        <v>R</v>
      </c>
      <c r="F35" s="38">
        <f t="array" ref="F35">IFERROR(_xlfn.XLOOKUP(D35,'Starting Pitchers'!$B$4:$B1007,'Starting Pitchers'!$Z$4:$Z1007),"")</f>
        <v>44</v>
      </c>
      <c r="G35" s="39" t="str">
        <f t="array" aca="1" ref="G35" ca="1">IFERROR(_xludf.XLOOKUP(D35,'Starting Pitchers'!$B$4:$B1007,'Starting Pitchers'!#REF!),"")</f>
        <v/>
      </c>
      <c r="H35" s="40">
        <f>IF('First 5 Innings'!G30=0,"",'First 5 Innings'!G30)</f>
        <v>2.0337119775393169</v>
      </c>
      <c r="I35" s="41">
        <f>IF(C35="","", 'First 5 Innings'!H30)</f>
        <v>0.4517732155130435</v>
      </c>
      <c r="J35" s="36">
        <f>IF(C35="","",
  _xlfn.LET(
    _xlpm.prob, 'First 5 Innings'!H30,
    _xlpm.dec, 1 / _xlpm.prob,
    IF(ABS(_xlpm.prob - 0.5) &lt; 0.0001,
       100,
       IF(_xlpm.dec &gt;= 2,
          ROUND((_xlpm.dec - 1) * 100, 0),
          ROUND(-100 / (_xlpm.dec - 1), 0)
       )
    )
  ))</f>
        <v>121</v>
      </c>
      <c r="K35" s="42">
        <f>IFERROR('First 5 Innings'!AH30,"")</f>
        <v>0.55050557358513619</v>
      </c>
      <c r="L35" s="43">
        <f t="shared" si="0"/>
        <v>-122</v>
      </c>
      <c r="M35" s="41">
        <f>IFERROR('First 5 Innings'!AI30,"")</f>
        <v>0.3534719526144392</v>
      </c>
      <c r="N35" s="43" t="str">
        <f ca="1">IFERROR(
_xludf.LET(
prob, M35,
dec, 1 / prob,
IF(ABS(prob - 0.5) &lt; 0.0001,
100,
IF(dec &gt;= 2,
ROUND((dec - 1) * 100, 0),
ROUND(-100 / (dec - 1), 0)
)
)
),
"")</f>
        <v/>
      </c>
      <c r="O35" s="42">
        <f>'First 5 Innings'!S30</f>
        <v>0</v>
      </c>
      <c r="P35" s="38" t="str">
        <f>IFERROR(
  _xlfn.LET(
    _xlpm.prob, 'First 5 Innings'!S30,
    _xlpm.dec, 1 / _xlpm.prob,
    IF(ABS(_xlpm.prob - 0.5) &lt; 0.0001,
       100,
       IF(_xlpm.dec &gt;= 2,
          ROUND((_xlpm.dec - 1) * 100, 0),
          ROUND(-100 / (_xlpm.dec - 1), 0)
       )
    )
  ),
"")</f>
        <v/>
      </c>
      <c r="Q35" s="41" t="str">
        <f ca="1">IFERROR(1/'First 5 Innings'!AD30,"")</f>
        <v/>
      </c>
      <c r="R35" s="38" t="str">
        <f ca="1">IFERROR(
_xludf.LET(
prob, Q35,
dec, 1 / prob,
IF(ABS(prob - 0.5) &lt; 0.0001,
100,
IF(dec &gt;= 2,
ROUND((dec - 1) * 100, 0),
ROUND(-100 / (dec - 1), 0)
)
)
),
"")</f>
        <v/>
      </c>
      <c r="S35" s="41" t="str">
        <f ca="1">IFERROR(1/'First 5 Innings'!AE30,"")</f>
        <v/>
      </c>
      <c r="T35" s="38" t="str">
        <f ca="1">IFERROR(
_xludf.LET(
prob, S35,
dec, 1 / prob,
IF(ABS(prob - 0.5) &lt; 0.0001,
100,
IF(dec &gt;= 2,
ROUND((dec - 1) * 100, 0),
ROUND(-100 / (dec - 1), 0)
)
)
),
"")</f>
        <v/>
      </c>
      <c r="U35" s="44">
        <f>IF(C35="","", 'First 5 Innings'!T30)</f>
        <v>10</v>
      </c>
      <c r="V35" s="44">
        <f ca="1">IF(C35="","", 'First 5 Innings'!AJ30)</f>
        <v>10</v>
      </c>
      <c r="W35" s="44">
        <f ca="1">IF(C35="","", 'First 5 Innings'!AK30)</f>
        <v>10</v>
      </c>
      <c r="X35" s="45" t="str">
        <f>IF(
  OR(D35="Average", D35="", D36=""),
  "",
  IF(AND(U35 &gt;= $E$7, U35 &lt;= 9.99),
     C35 &amp; " f5 " &amp; ROUND(P35, 0) &amp; " " &amp; 'First 5 Innings'!Q30,
     ""
  )
)</f>
        <v/>
      </c>
      <c r="Y35" s="46" t="e">
        <f t="array" aca="1" ref="Y35" ca="1">IF(
  OR(D35="Average", D35="", D36=""),
  "",
  _xludf.TEXTJOIN(CHAR(10), TRUE,
    IF(AND(V35 &gt;= $F$7, V35 &lt;= 9.99),
      _xludf.XLOOKUP('First 5 Innings'!D30, Validations!$E$2:$E$31, Validations!$H$2:$H$31)
      &amp; " " &amp; 'First 5 Innings'!$AJ$4
      &amp; " " &amp; IF('First 5 Innings'!AD30 &gt;= 2,
                ROUND(('First 5 Innings'!AD30 - 1) * 100, 0),
                ROUND(-100 / ('First 5 Innings'!AD30 - 1), 0)
              ) &amp; " " &amp; 'First 5 Innings'!AL30,
      ""
    ),
    IF(AND(W35 &gt;= $F$7, W35 &lt;= 9.99),
      _xludf.XLOOKUP('First 5 Innings'!D30, Validations!$E$2:$E$31, Validations!$H$2:$H$31)
      &amp; " " &amp; 'First 5 Innings'!$AK$4
      &amp; " " &amp; IF('First 5 Innings'!AE30 &gt;= 2,
                ROUND(('First 5 Innings'!AE30 - 1) * 100, 0),
                ROUND(-100 / ('First 5 Innings'!AE30 - 1), 0)
              ) &amp; " " &amp; 'First 5 Innings'!AM30,
      ""
    )
  )
)</f>
        <v>#NAME?</v>
      </c>
      <c r="Z35" s="47">
        <f>IF('First 5 Innings'!W30&lt;2, -100/('First 5 Innings'!W30-1), ('First 5 Innings'!W30-1)*100)</f>
        <v>155.84665355700699</v>
      </c>
      <c r="AA35" s="48">
        <f>IF('First 5 Innings'!AN30&lt;2, -100/('First 5 Innings'!AN30-1), ('First 5 Innings'!AN30-1)*100)</f>
        <v>-128.90207669588642</v>
      </c>
      <c r="AB35" s="48">
        <f>IF('First 5 Innings'!AO30&lt;2, -100/('First 5 Innings'!AO30-1), ('First 5 Innings'!AO30-1)*100)</f>
        <v>255.06887082256645</v>
      </c>
      <c r="AC35" s="35"/>
      <c r="AD35" s="2"/>
      <c r="AE35" s="2"/>
      <c r="AF35" s="2"/>
    </row>
    <row r="36" spans="1:32" ht="13.5" customHeight="1">
      <c r="A36" s="35"/>
      <c r="B36" s="386">
        <v>14</v>
      </c>
      <c r="C36" s="50" t="str">
        <f>IFERROR(_xlfn.XLOOKUP('First 5 Innings'!D31,Validations!$E$2:$E$31,Validations!$H$2:$H$31),"")</f>
        <v>Arizona Diamondbacks</v>
      </c>
      <c r="D36" s="50" t="str">
        <f>IFERROR('First 5 Innings'!B31,"")</f>
        <v>Eduardo Rodriguez</v>
      </c>
      <c r="E36" s="50" t="str">
        <f>'First 5 Innings'!C31</f>
        <v>L</v>
      </c>
      <c r="F36" s="51">
        <f t="array" ref="F36">IFERROR(_xlfn.XLOOKUP(D36,'Starting Pitchers'!$B$4:$B1007,'Starting Pitchers'!$Z$4:$Z1007),"")</f>
        <v>100</v>
      </c>
      <c r="G36" s="52" t="str">
        <f t="array" aca="1" ref="G36" ca="1">IFERROR(_xludf.XLOOKUP(D36,'Starting Pitchers'!$B$4:$B1007,'Starting Pitchers'!#REF!),"")</f>
        <v/>
      </c>
      <c r="H36" s="53">
        <f>IF('First 5 Innings'!G31=0,"",'First 5 Innings'!G31)</f>
        <v>1.8852230246595205</v>
      </c>
      <c r="I36" s="54">
        <f>IF(C36="","", 'First 5 Innings'!H31)</f>
        <v>0.58263951608442677</v>
      </c>
      <c r="J36" s="49">
        <f>IF(C36="","",
  _xlfn.LET(
    _xlpm.prob, 'First 5 Innings'!H31,
    _xlpm.dec, 1 / _xlpm.prob,
    IF(ABS(_xlpm.prob - 0.5) &lt; 0.0001,
       100,
       IF(_xlpm.dec &gt;= 2,
          ROUND((_xlpm.dec - 1) * 100, 0),
          ROUND(-100 / (_xlpm.dec - 1), 0)
       )
    )
  ))</f>
        <v>-140</v>
      </c>
      <c r="K36" s="55">
        <f>IFERROR('First 5 Innings'!AH31,"")</f>
        <v>0.68813508952609326</v>
      </c>
      <c r="L36" s="56">
        <f t="shared" si="0"/>
        <v>-221</v>
      </c>
      <c r="M36" s="54">
        <f>IFERROR('First 5 Innings'!AI31,"")</f>
        <v>0.46548503578802097</v>
      </c>
      <c r="N36" s="56" t="str">
        <f ca="1">IFERROR(
_xludf.LET(
prob, M36,
dec, 1 / prob,
IF(ABS(prob - 0.5) &lt; 0.0001,
100,
IF(dec &gt;= 2,
ROUND((dec - 1) * 100, 0),
ROUND(-100 / (dec - 1), 0)
)
)
),
"")</f>
        <v/>
      </c>
      <c r="O36" s="57">
        <f>'First 5 Innings'!S31</f>
        <v>0</v>
      </c>
      <c r="P36" s="58" t="str">
        <f>IFERROR(
  _xlfn.LET(
    _xlpm.prob, 'First 5 Innings'!S31,
    _xlpm.dec, 1 / _xlpm.prob,
    IF(ABS(_xlpm.prob - 0.5) &lt; 0.0001,
       100,
       IF(_xlpm.dec &gt;= 2,
          ROUND((_xlpm.dec - 1) * 100, 0),
          ROUND(-100 / (_xlpm.dec - 1), 0)
       )
    )
  ),
"")</f>
        <v/>
      </c>
      <c r="Q36" s="54" t="str">
        <f ca="1">IFERROR(1/'First 5 Innings'!AD31,"")</f>
        <v/>
      </c>
      <c r="R36" s="51" t="str">
        <f ca="1">IFERROR(
_xludf.LET(
prob, Q36,
dec, 1 / prob,
IF(ABS(prob - 0.5) &lt; 0.0001,
100,
IF(dec &gt;= 2,
ROUND((dec - 1) * 100, 0),
ROUND(-100 / (dec - 1), 0)
)
)
),
"")</f>
        <v/>
      </c>
      <c r="S36" s="54" t="str">
        <f ca="1">IFERROR(1/'First 5 Innings'!AE31,"")</f>
        <v/>
      </c>
      <c r="T36" s="51" t="str">
        <f ca="1">IFERROR(
_xludf.LET(
prob, S36,
dec, 1 / prob,
IF(ABS(prob - 0.5) &lt; 0.0001,
100,
IF(dec &gt;= 2,
ROUND((dec - 1) * 100, 0),
ROUND(-100 / (dec - 1), 0)
)
)
),
"")</f>
        <v/>
      </c>
      <c r="U36" s="59">
        <f>IF(C36="","", 'First 5 Innings'!T31)</f>
        <v>10</v>
      </c>
      <c r="V36" s="59">
        <f ca="1">IF(C36="","", 'First 5 Innings'!AJ31)</f>
        <v>10</v>
      </c>
      <c r="W36" s="59">
        <f ca="1">IF(C36="","", 'First 5 Innings'!AK31)</f>
        <v>10</v>
      </c>
      <c r="X36" s="60" t="str">
        <f>IF(
  OR(D36="Average", D36="", D37=""),
  "",
  IF(AND(U36 &gt;= $E$7, U36 &lt;= 9.99),
     C36 &amp; " f5 " &amp; ROUND(P36, 0) &amp; " " &amp; 'First 5 Innings'!Q31,
     ""
  )
)</f>
        <v/>
      </c>
      <c r="Y36" s="61" t="e">
        <f t="array" aca="1" ref="Y36" ca="1">IF(
  OR(D36="Average", D36="", D37=""),
  "",
  _xludf.TEXTJOIN(CHAR(10), TRUE,
    IF(AND(V36 &gt;= $F$7, V36 &lt;= 9.99),
      _xludf.XLOOKUP('First 5 Innings'!D31, Validations!$E$2:$E$31, Validations!$H$2:$H$31)
      &amp; " " &amp; 'First 5 Innings'!$AJ$4
      &amp; " " &amp; IF('First 5 Innings'!AD31 &gt;= 2,
                ROUND(('First 5 Innings'!AD31 - 1) * 100, 0),
                ROUND(-100 / ('First 5 Innings'!AD31 - 1), 0)
              ) &amp; " " &amp; 'First 5 Innings'!AL31,
      ""
    ),
    IF(AND(W36 &gt;= $F$7, W36 &lt;= 9.99),
      _xludf.XLOOKUP('First 5 Innings'!D31, Validations!$E$2:$E$31, Validations!$H$2:$H$31)
      &amp; " " &amp; 'First 5 Innings'!$AK$4
      &amp; " " &amp; IF('First 5 Innings'!AE31 &gt;= 2,
                ROUND(('First 5 Innings'!AE31 - 1) * 100, 0),
                ROUND(-100 / ('First 5 Innings'!AE31 - 1), 0)
              ) &amp; " " &amp; 'First 5 Innings'!AM31,
      ""
    )
  )
)</f>
        <v>#NAME?</v>
      </c>
      <c r="Z36" s="62">
        <f>IF('First 5 Innings'!W31&lt;2, -100/('First 5 Innings'!W31-1), ('First 5 Innings'!W31-1)*100)</f>
        <v>-115.64092305922729</v>
      </c>
      <c r="AA36" s="63">
        <f>IF('First 5 Innings'!AN31&lt;2, -100/('First 5 Innings'!AN31-1), ('First 5 Innings'!AN31-1)*100)</f>
        <v>-277.59910228198356</v>
      </c>
      <c r="AB36" s="63">
        <f>IF('First 5 Innings'!AO31&lt;2, -100/('First 5 Innings'!AO31-1), ('First 5 Innings'!AO31-1)*100)</f>
        <v>146.2481119259817</v>
      </c>
      <c r="AC36" s="35"/>
      <c r="AD36" s="2"/>
      <c r="AE36" s="2"/>
      <c r="AF36" s="2"/>
    </row>
    <row r="37" spans="1:32" ht="13.5" customHeight="1">
      <c r="A37" s="35"/>
      <c r="B37" s="387"/>
      <c r="C37" s="50" t="str">
        <f>IFERROR(_xlfn.XLOOKUP('First 5 Innings'!D32,Validations!$E$2:$E$31,Validations!$H$2:$H$31),"")</f>
        <v>Los Angeles Dodgers</v>
      </c>
      <c r="D37" s="50" t="str">
        <f>IFERROR('First 5 Innings'!B32,"")</f>
        <v>Tyler Glasnow</v>
      </c>
      <c r="E37" s="50" t="str">
        <f>'First 5 Innings'!C32</f>
        <v>R</v>
      </c>
      <c r="F37" s="51">
        <f t="array" ref="F37">IFERROR(_xlfn.XLOOKUP(D37,'Starting Pitchers'!$B$4:$B1007,'Starting Pitchers'!$Z$4:$Z1007),"")</f>
        <v>18</v>
      </c>
      <c r="G37" s="52" t="str">
        <f t="array" aca="1" ref="G37" ca="1">IFERROR(_xludf.XLOOKUP(D37,'Starting Pitchers'!$B$4:$B1007,'Starting Pitchers'!#REF!),"")</f>
        <v/>
      </c>
      <c r="H37" s="53">
        <f>IF('First 5 Innings'!G32=0,"",'First 5 Innings'!G32)</f>
        <v>1.513856076234483</v>
      </c>
      <c r="I37" s="54">
        <f>IF(C37="","", 'First 5 Innings'!H32)</f>
        <v>0.41736048391557323</v>
      </c>
      <c r="J37" s="49">
        <f>IF(C37="","",
  _xlfn.LET(
    _xlpm.prob, 'First 5 Innings'!H32,
    _xlpm.dec, 1 / _xlpm.prob,
    IF(ABS(_xlpm.prob - 0.5) &lt; 0.0001,
       100,
       IF(_xlpm.dec &gt;= 2,
          ROUND((_xlpm.dec - 1) * 100, 0),
          ROUND(-100 / (_xlpm.dec - 1), 0)
       )
    )
  ))</f>
        <v>140</v>
      </c>
      <c r="K37" s="55">
        <f>IFERROR('First 5 Innings'!AH32,"")</f>
        <v>0.53451496421197908</v>
      </c>
      <c r="L37" s="56">
        <f t="shared" si="0"/>
        <v>-115</v>
      </c>
      <c r="M37" s="54">
        <f>IFERROR('First 5 Innings'!AI32,"")</f>
        <v>0.31186491047390674</v>
      </c>
      <c r="N37" s="56" t="str">
        <f ca="1">IFERROR(
_xludf.LET(
prob, M37,
dec, 1 / prob,
IF(ABS(prob - 0.5) &lt; 0.0001,
100,
IF(dec &gt;= 2,
ROUND((dec - 1) * 100, 0),
ROUND(-100 / (dec - 1), 0)
)
)
),
"")</f>
        <v/>
      </c>
      <c r="O37" s="57">
        <f>'First 5 Innings'!S32</f>
        <v>0</v>
      </c>
      <c r="P37" s="58" t="str">
        <f>IFERROR(
  _xlfn.LET(
    _xlpm.prob, 'First 5 Innings'!S32,
    _xlpm.dec, 1 / _xlpm.prob,
    IF(ABS(_xlpm.prob - 0.5) &lt; 0.0001,
       100,
       IF(_xlpm.dec &gt;= 2,
          ROUND((_xlpm.dec - 1) * 100, 0),
          ROUND(-100 / (_xlpm.dec - 1), 0)
       )
    )
  ),
"")</f>
        <v/>
      </c>
      <c r="Q37" s="54" t="str">
        <f ca="1">IFERROR(1/'First 5 Innings'!AD32,"")</f>
        <v/>
      </c>
      <c r="R37" s="51" t="str">
        <f ca="1">IFERROR(
_xludf.LET(
prob, Q37,
dec, 1 / prob,
IF(ABS(prob - 0.5) &lt; 0.0001,
100,
IF(dec &gt;= 2,
ROUND((dec - 1) * 100, 0),
ROUND(-100 / (dec - 1), 0)
)
)
),
"")</f>
        <v/>
      </c>
      <c r="S37" s="54" t="str">
        <f ca="1">IFERROR(1/'First 5 Innings'!AE32,"")</f>
        <v/>
      </c>
      <c r="T37" s="51" t="str">
        <f ca="1">IFERROR(
_xludf.LET(
prob, S37,
dec, 1 / prob,
IF(ABS(prob - 0.5) &lt; 0.0001,
100,
IF(dec &gt;= 2,
ROUND((dec - 1) * 100, 0),
ROUND(-100 / (dec - 1), 0)
)
)
),
"")</f>
        <v/>
      </c>
      <c r="U37" s="59">
        <f>IF(C37="","", 'First 5 Innings'!T32)</f>
        <v>10</v>
      </c>
      <c r="V37" s="59">
        <f ca="1">IF(C37="","", 'First 5 Innings'!AJ32)</f>
        <v>10</v>
      </c>
      <c r="W37" s="59">
        <f ca="1">IF(C37="","", 'First 5 Innings'!AK32)</f>
        <v>10</v>
      </c>
      <c r="X37" s="60" t="str">
        <f>IF(
  OR(D37="Average", D37="", D38=""),
  "",
  IF(AND(U37 &gt;= $E$7, U37 &lt;= 9.99),
     C37 &amp; " f5 " &amp; ROUND(P37, 0) &amp; " " &amp; 'First 5 Innings'!Q32,
     ""
  )
)</f>
        <v/>
      </c>
      <c r="Y37" s="61" t="e">
        <f t="array" aca="1" ref="Y37" ca="1">IF(
  OR(D37="Average", D37="", D38=""),
  "",
  _xludf.TEXTJOIN(CHAR(10), TRUE,
    IF(AND(V37 &gt;= $F$7, V37 &lt;= 9.99),
      _xludf.XLOOKUP('First 5 Innings'!D32, Validations!$E$2:$E$31, Validations!$H$2:$H$31)
      &amp; " " &amp; 'First 5 Innings'!$AJ$4
      &amp; " " &amp; IF('First 5 Innings'!AD32 &gt;= 2,
                ROUND(('First 5 Innings'!AD32 - 1) * 100, 0),
                ROUND(-100 / ('First 5 Innings'!AD32 - 1), 0)
              ) &amp; " " &amp; 'First 5 Innings'!AL32,
      ""
    ),
    IF(AND(W37 &gt;= $F$7, W37 &lt;= 9.99),
      _xludf.XLOOKUP('First 5 Innings'!D32, Validations!$E$2:$E$31, Validations!$H$2:$H$31)
      &amp; " " &amp; 'First 5 Innings'!$AK$4
      &amp; " " &amp; IF('First 5 Innings'!AE32 &gt;= 2,
                ROUND(('First 5 Innings'!AE32 - 1) * 100, 0),
                ROUND(-100 / ('First 5 Innings'!AE32 - 1), 0)
              ) &amp; " " &amp; 'First 5 Innings'!AM32,
      ""
    )
  )
)</f>
        <v>#NAME?</v>
      </c>
      <c r="Z37" s="62">
        <f>IF('First 5 Innings'!W32&lt;2, -100/('First 5 Innings'!W32-1), ('First 5 Innings'!W32-1)*100)</f>
        <v>183.5891818968316</v>
      </c>
      <c r="AA37" s="63">
        <f>IF('First 5 Innings'!AN32&lt;2, -100/('First 5 Innings'!AN32-1), ('First 5 Innings'!AN32-1)*100)</f>
        <v>-118.88721060087261</v>
      </c>
      <c r="AB37" s="63">
        <f>IF('First 5 Innings'!AO32&lt;2, -100/('First 5 Innings'!AO32-1), ('First 5 Innings'!AO32-1)*100)</f>
        <v>324.7989900672315</v>
      </c>
      <c r="AC37" s="35"/>
      <c r="AD37" s="2"/>
      <c r="AE37" s="2"/>
      <c r="AF37" s="2"/>
    </row>
    <row r="38" spans="1:32" ht="13.5" customHeight="1">
      <c r="A38" s="35"/>
      <c r="B38" s="388">
        <v>15</v>
      </c>
      <c r="C38" s="37" t="str">
        <f>IFERROR(_xlfn.XLOOKUP('First 5 Innings'!D33,Validations!$E$2:$E$31,Validations!$H$2:$H$31),"")</f>
        <v>Cleveland Guardians</v>
      </c>
      <c r="D38" s="37" t="str">
        <f>IFERROR('First 5 Innings'!B33,"")</f>
        <v>Joey Cantillo</v>
      </c>
      <c r="E38" s="37" t="str">
        <f>'First 5 Innings'!C33</f>
        <v>L</v>
      </c>
      <c r="F38" s="38">
        <f t="array" ref="F38">IFERROR(_xlfn.XLOOKUP(D38,'Starting Pitchers'!$B$4:$B1007,'Starting Pitchers'!$Z$4:$Z1007),"")</f>
        <v>14</v>
      </c>
      <c r="G38" s="39" t="str">
        <f t="array" aca="1" ref="G38" ca="1">IFERROR(_xludf.XLOOKUP(D38,'Starting Pitchers'!$B$4:$B1007,'Starting Pitchers'!#REF!),"")</f>
        <v/>
      </c>
      <c r="H38" s="40">
        <f>IF('First 5 Innings'!G33=0,"",'First 5 Innings'!G33)</f>
        <v>1.5819340230731458</v>
      </c>
      <c r="I38" s="41">
        <f>IF(C38="","", 'First 5 Innings'!H33)</f>
        <v>0.52758183392611246</v>
      </c>
      <c r="J38" s="36">
        <f>IF(C38="","",
  _xlfn.LET(
    _xlpm.prob, 'First 5 Innings'!H33,
    _xlpm.dec, 1 / _xlpm.prob,
    IF(ABS(_xlpm.prob - 0.5) &lt; 0.0001,
       100,
       IF(_xlpm.dec &gt;= 2,
          ROUND((_xlpm.dec - 1) * 100, 0),
          ROUND(-100 / (_xlpm.dec - 1), 0)
       )
    )
  ))</f>
        <v>-112</v>
      </c>
      <c r="K38" s="41">
        <f>IFERROR('First 5 Innings'!AH33,"")</f>
        <v>0.64494418691508837</v>
      </c>
      <c r="L38" s="43">
        <f t="shared" si="0"/>
        <v>-182</v>
      </c>
      <c r="M38" s="41">
        <f>IFERROR('First 5 Innings'!AI33,"")</f>
        <v>0.40464406283732701</v>
      </c>
      <c r="N38" s="38" t="str">
        <f ca="1">IFERROR(
_xludf.LET(
prob, M38,
dec, 1 / prob,
IF(ABS(prob - 0.5) &lt; 0.0001,
100,
IF(dec &gt;= 2,
ROUND((dec - 1) * 100, 0),
ROUND(-100 / (dec - 1), 0)
)
)
),
"")</f>
        <v/>
      </c>
      <c r="O38" s="41">
        <f>'First 5 Innings'!S33</f>
        <v>0</v>
      </c>
      <c r="P38" s="38" t="str">
        <f>IFERROR(
  _xlfn.LET(
    _xlpm.prob, 'First 5 Innings'!S33,
    _xlpm.dec, 1 / _xlpm.prob,
    IF(ABS(_xlpm.prob - 0.5) &lt; 0.0001,
       100,
       IF(_xlpm.dec &gt;= 2,
          ROUND((_xlpm.dec - 1) * 100, 0),
          ROUND(-100 / (_xlpm.dec - 1), 0)
       )
    )
  ),
"")</f>
        <v/>
      </c>
      <c r="Q38" s="41" t="str">
        <f ca="1">IFERROR(1/'First 5 Innings'!AD33,"")</f>
        <v/>
      </c>
      <c r="R38" s="38" t="str">
        <f ca="1">IFERROR(
_xludf.LET(
prob, Q38,
dec, 1 / prob,
IF(ABS(prob - 0.5) &lt; 0.0001,
100,
IF(dec &gt;= 2,
ROUND((dec - 1) * 100, 0),
ROUND(-100 / (dec - 1), 0)
)
)
),
"")</f>
        <v/>
      </c>
      <c r="S38" s="41" t="str">
        <f ca="1">IFERROR(1/'First 5 Innings'!AE33,"")</f>
        <v/>
      </c>
      <c r="T38" s="38" t="str">
        <f ca="1">IFERROR(
_xludf.LET(
prob, S38,
dec, 1 / prob,
IF(ABS(prob - 0.5) &lt; 0.0001,
100,
IF(dec &gt;= 2,
ROUND((dec - 1) * 100, 0),
ROUND(-100 / (dec - 1), 0)
)
)
),
"")</f>
        <v/>
      </c>
      <c r="U38" s="44">
        <f>IF(C38="","", 'First 5 Innings'!T33)</f>
        <v>10</v>
      </c>
      <c r="V38" s="44">
        <f ca="1">IF(C38="","", 'First 5 Innings'!AJ33)</f>
        <v>10</v>
      </c>
      <c r="W38" s="44">
        <f ca="1">IF(C38="","", 'First 5 Innings'!AK33)</f>
        <v>10</v>
      </c>
      <c r="X38" s="45" t="str">
        <f>IF(
  OR(D38="Average", D38="", D39=""),
  "",
  IF(AND(U38 &gt;= $E$7, U38 &lt;= 9.99),
     C38 &amp; " f5 " &amp; ROUND(P38, 0) &amp; " " &amp; 'First 5 Innings'!Q33,
     ""
  )
)</f>
        <v/>
      </c>
      <c r="Y38" s="46" t="e">
        <f t="array" aca="1" ref="Y38" ca="1">IF(
  OR(D38="Average", D38="", D39=""),
  "",
  _xludf.TEXTJOIN(CHAR(10), TRUE,
    IF(AND(V38 &gt;= $F$7, V38 &lt;= 9.99),
      _xludf.XLOOKUP('First 5 Innings'!D33, Validations!$E$2:$E$31, Validations!$H$2:$H$31)
      &amp; " " &amp; 'First 5 Innings'!$AJ$4
      &amp; " " &amp; IF('First 5 Innings'!AD33 &gt;= 2,
                ROUND(('First 5 Innings'!AD33 - 1) * 100, 0),
                ROUND(-100 / ('First 5 Innings'!AD33 - 1), 0)
              ) &amp; " " &amp; 'First 5 Innings'!AL33,
      ""
    ),
    IF(AND(W38 &gt;= $F$7, W38 &lt;= 9.99),
      _xludf.XLOOKUP('First 5 Innings'!D33, Validations!$E$2:$E$31, Validations!$H$2:$H$31)
      &amp; " " &amp; 'First 5 Innings'!$AK$4
      &amp; " " &amp; IF('First 5 Innings'!AE33 &gt;= 2,
                ROUND(('First 5 Innings'!AE33 - 1) * 100, 0),
                ROUND(-100 / ('First 5 Innings'!AE33 - 1), 0)
              ) &amp; " " &amp; 'First 5 Innings'!AM33,
      ""
    )
  )
)</f>
        <v>#NAME?</v>
      </c>
      <c r="Z38" s="47">
        <f>IF('First 5 Innings'!W33&lt;2, -100/('First 5 Innings'!W33-1), ('First 5 Innings'!W33-1)*100)</f>
        <v>110.48602363109813</v>
      </c>
      <c r="AA38" s="48">
        <f>IF('First 5 Innings'!AN33&lt;2, -100/('First 5 Innings'!AN33-1), ('First 5 Innings'!AN33-1)*100)</f>
        <v>-213.65683860483855</v>
      </c>
      <c r="AB38" s="48">
        <f>IF('First 5 Innings'!AO33&lt;2, -100/('First 5 Innings'!AO33-1), ('First 5 Innings'!AO33-1)*100)</f>
        <v>195.42673230450563</v>
      </c>
      <c r="AC38" s="35"/>
      <c r="AD38" s="2"/>
      <c r="AE38" s="2"/>
      <c r="AF38" s="2"/>
    </row>
    <row r="39" spans="1:32" ht="13.5" customHeight="1">
      <c r="A39" s="35"/>
      <c r="B39" s="387"/>
      <c r="C39" s="37" t="str">
        <f>IFERROR(_xlfn.XLOOKUP('First 5 Innings'!D34,Validations!$E$2:$E$31,Validations!$H$2:$H$31),"")</f>
        <v>Seattle Mariners</v>
      </c>
      <c r="D39" s="37" t="str">
        <f>IFERROR('First 5 Innings'!B34,"")</f>
        <v>Bryan Woo</v>
      </c>
      <c r="E39" s="37" t="str">
        <f>'First 5 Innings'!C34</f>
        <v>R</v>
      </c>
      <c r="F39" s="38">
        <f t="array" ref="F39">IFERROR(_xlfn.XLOOKUP(D39,'Starting Pitchers'!$B$4:$B1007,'Starting Pitchers'!$Z$4:$Z1007),"")</f>
        <v>6</v>
      </c>
      <c r="G39" s="39" t="str">
        <f t="array" aca="1" ref="G39" ca="1">IFERROR(_xludf.XLOOKUP(D39,'Starting Pitchers'!$B$4:$B1007,'Starting Pitchers'!#REF!),"")</f>
        <v/>
      </c>
      <c r="H39" s="40">
        <f>IF('First 5 Innings'!G34=0,"",'First 5 Innings'!G34)</f>
        <v>1.4682906927348096</v>
      </c>
      <c r="I39" s="41">
        <f>IF(C39="","", 'First 5 Innings'!H34)</f>
        <v>0.47241816607388748</v>
      </c>
      <c r="J39" s="36">
        <f>IF(C39="","",
  _xlfn.LET(
    _xlpm.prob, 'First 5 Innings'!H34,
    _xlpm.dec, 1 / _xlpm.prob,
    IF(ABS(_xlpm.prob - 0.5) &lt; 0.0001,
       100,
       IF(_xlpm.dec &gt;= 2,
          ROUND((_xlpm.dec - 1) * 100, 0),
          ROUND(-100 / (_xlpm.dec - 1), 0)
       )
    )
  ))</f>
        <v>112</v>
      </c>
      <c r="K39" s="41">
        <f>IFERROR('First 5 Innings'!AH34,"")</f>
        <v>0.59535593716267299</v>
      </c>
      <c r="L39" s="43">
        <f t="shared" si="0"/>
        <v>-147</v>
      </c>
      <c r="M39" s="41">
        <f>IFERROR('First 5 Innings'!AI34,"")</f>
        <v>0.35505581308491163</v>
      </c>
      <c r="N39" s="38" t="str">
        <f ca="1">IFERROR(
_xludf.LET(
prob, M39,
dec, 1 / prob,
IF(ABS(prob - 0.5) &lt; 0.0001,
100,
IF(dec &gt;= 2,
ROUND((dec - 1) * 100, 0),
ROUND(-100 / (dec - 1), 0)
)
)
),
"")</f>
        <v/>
      </c>
      <c r="O39" s="41">
        <f>'First 5 Innings'!S34</f>
        <v>0</v>
      </c>
      <c r="P39" s="38" t="str">
        <f>IFERROR(
  _xlfn.LET(
    _xlpm.prob, 'First 5 Innings'!S34,
    _xlpm.dec, 1 / _xlpm.prob,
    IF(ABS(_xlpm.prob - 0.5) &lt; 0.0001,
       100,
       IF(_xlpm.dec &gt;= 2,
          ROUND((_xlpm.dec - 1) * 100, 0),
          ROUND(-100 / (_xlpm.dec - 1), 0)
       )
    )
  ),
"")</f>
        <v/>
      </c>
      <c r="Q39" s="41" t="str">
        <f ca="1">IFERROR(1/'First 5 Innings'!AD34,"")</f>
        <v/>
      </c>
      <c r="R39" s="38" t="str">
        <f ca="1">IFERROR(
_xludf.LET(
prob, Q39,
dec, 1 / prob,
IF(ABS(prob - 0.5) &lt; 0.0001,
100,
IF(dec &gt;= 2,
ROUND((dec - 1) * 100, 0),
ROUND(-100 / (dec - 1), 0)
)
)
),
"")</f>
        <v/>
      </c>
      <c r="S39" s="41" t="str">
        <f ca="1">IFERROR(1/'First 5 Innings'!AE34,"")</f>
        <v/>
      </c>
      <c r="T39" s="38" t="str">
        <f ca="1">IFERROR(
_xludf.LET(
prob, S39,
dec, 1 / prob,
IF(ABS(prob - 0.5) &lt; 0.0001,
100,
IF(dec &gt;= 2,
ROUND((dec - 1) * 100, 0),
ROUND(-100 / (dec - 1), 0)
)
)
),
"")</f>
        <v/>
      </c>
      <c r="U39" s="44">
        <f>IF(C39="","", 'First 5 Innings'!T34)</f>
        <v>10</v>
      </c>
      <c r="V39" s="44">
        <f ca="1">IF(C39="","", 'First 5 Innings'!AJ34)</f>
        <v>10</v>
      </c>
      <c r="W39" s="44">
        <f ca="1">IF(C39="","", 'First 5 Innings'!AK34)</f>
        <v>10</v>
      </c>
      <c r="X39" s="45" t="str">
        <f>IF(
  OR(D39="Average", D39="", D40=""),
  "",
  IF(AND(U39 &gt;= $E$7, U39 &lt;= 9.99),
     C39 &amp; " f5 " &amp; ROUND(P39, 0) &amp; " " &amp; 'First 5 Innings'!Q34,
     ""
  )
)</f>
        <v/>
      </c>
      <c r="Y39" s="46" t="str">
        <f t="array" ref="Y39">IF(
  OR(D39="Average", D39="", D40=""),
  "",
  _xludf.TEXTJOIN(CHAR(10), TRUE,
    IF(AND(V39 &gt;= $F$7, V39 &lt;= 9.99),
      _xludf.XLOOKUP('First 5 Innings'!D34, Validations!$E$2:$E$31, Validations!$H$2:$H$31)
      &amp; " " &amp; 'First 5 Innings'!$AJ$4
      &amp; " " &amp; IF('First 5 Innings'!AD34 &gt;= 2,
                ROUND(('First 5 Innings'!AD34 - 1) * 100, 0),
                ROUND(-100 / ('First 5 Innings'!AD34 - 1), 0)
              ) &amp; " " &amp; 'First 5 Innings'!AL34,
      ""
    ),
    IF(AND(W39 &gt;= $F$7, W39 &lt;= 9.99),
      _xludf.XLOOKUP('First 5 Innings'!D34, Validations!$E$2:$E$31, Validations!$H$2:$H$31)
      &amp; " " &amp; 'First 5 Innings'!$AK$4
      &amp; " " &amp; IF('First 5 Innings'!AE34 &gt;= 2,
                ROUND(('First 5 Innings'!AE34 - 1) * 100, 0),
                ROUND(-100 / ('First 5 Innings'!AE34 - 1), 0)
              ) &amp; " " &amp; 'First 5 Innings'!AM34,
      ""
    )
  )
)</f>
        <v/>
      </c>
      <c r="Z39" s="47">
        <f>IF('First 5 Innings'!W34&lt;2, -100/('First 5 Innings'!W34-1), ('First 5 Innings'!W34-1)*100)</f>
        <v>141.66382899308965</v>
      </c>
      <c r="AA39" s="48">
        <f>IF('First 5 Innings'!AN34&lt;2, -100/('First 5 Innings'!AN34-1), ('First 5 Innings'!AN34-1)*100)</f>
        <v>-162.60153982622725</v>
      </c>
      <c r="AB39" s="48">
        <f>IF('First 5 Innings'!AO34&lt;2, -100/('First 5 Innings'!AO34-1), ('First 5 Innings'!AO34-1)*100)</f>
        <v>252.86394343044338</v>
      </c>
      <c r="AC39" s="35"/>
      <c r="AD39" s="2"/>
      <c r="AE39" s="2"/>
      <c r="AF39" s="2"/>
    </row>
    <row r="40" spans="1:32" ht="12.75" customHeight="1">
      <c r="A40" s="2"/>
      <c r="B40" s="396"/>
      <c r="C40" s="2"/>
      <c r="D40" s="2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2"/>
      <c r="T40" s="2"/>
      <c r="U40" s="2"/>
      <c r="V40" s="2"/>
      <c r="W40" s="2"/>
      <c r="X40" s="2"/>
      <c r="Y40" s="64"/>
      <c r="Z40" s="64"/>
      <c r="AA40" s="2"/>
      <c r="AB40" s="392"/>
      <c r="AC40" s="2"/>
      <c r="AD40" s="2"/>
      <c r="AE40" s="2"/>
      <c r="AF40" s="2"/>
    </row>
    <row r="41" spans="1:32" ht="12.75" customHeight="1">
      <c r="A41" s="2"/>
      <c r="B41" s="377"/>
      <c r="C41" s="2"/>
      <c r="D41" s="2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 t="s">
        <v>280</v>
      </c>
      <c r="R41" s="64"/>
      <c r="S41" s="2"/>
      <c r="T41" s="2"/>
      <c r="U41" s="2"/>
      <c r="V41" s="2"/>
      <c r="W41" s="2"/>
      <c r="X41" s="2"/>
      <c r="Y41" s="64"/>
      <c r="Z41" s="64"/>
      <c r="AA41" s="2"/>
      <c r="AB41" s="377"/>
      <c r="AC41" s="2"/>
      <c r="AD41" s="2"/>
      <c r="AE41" s="2"/>
      <c r="AF41" s="2"/>
    </row>
    <row r="42" spans="1:32" ht="12.75" customHeight="1">
      <c r="A42" s="2"/>
      <c r="B42" s="35"/>
      <c r="C42" s="2"/>
      <c r="D42" s="2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2"/>
      <c r="T42" s="2"/>
      <c r="U42" s="2"/>
      <c r="V42" s="2"/>
      <c r="W42" s="2"/>
      <c r="X42" s="2"/>
      <c r="Y42" s="64"/>
      <c r="Z42" s="64"/>
      <c r="AA42" s="2"/>
      <c r="AB42" s="2"/>
      <c r="AC42" s="2"/>
      <c r="AD42" s="2"/>
      <c r="AE42" s="2"/>
      <c r="AF42" s="2"/>
    </row>
    <row r="43" spans="1:32" ht="12.75" customHeight="1">
      <c r="A43" s="2"/>
      <c r="B43" s="35"/>
      <c r="C43" s="2"/>
      <c r="D43" s="2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2"/>
      <c r="T43" s="2"/>
      <c r="U43" s="2"/>
      <c r="V43" s="2"/>
      <c r="W43" s="2"/>
      <c r="X43" s="2"/>
      <c r="Y43" s="64"/>
      <c r="Z43" s="64"/>
      <c r="AA43" s="2"/>
      <c r="AB43" s="2"/>
      <c r="AC43" s="2"/>
      <c r="AD43" s="2"/>
      <c r="AE43" s="2"/>
      <c r="AF43" s="2"/>
    </row>
    <row r="44" spans="1:32" ht="12.75" customHeight="1">
      <c r="A44" s="2"/>
      <c r="B44" s="35"/>
      <c r="C44" s="2"/>
      <c r="D44" s="2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2"/>
      <c r="T44" s="2"/>
      <c r="U44" s="2"/>
      <c r="V44" s="2"/>
      <c r="W44" s="2"/>
      <c r="X44" s="2"/>
      <c r="Y44" s="64"/>
      <c r="Z44" s="64"/>
      <c r="AA44" s="2"/>
      <c r="AB44" s="2"/>
      <c r="AC44" s="2"/>
      <c r="AD44" s="2"/>
      <c r="AE44" s="2"/>
      <c r="AF44" s="2"/>
    </row>
    <row r="45" spans="1:32" ht="12.75" customHeight="1">
      <c r="A45" s="2"/>
      <c r="B45" s="35"/>
      <c r="C45" s="2"/>
      <c r="D45" s="2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2"/>
      <c r="T45" s="2"/>
      <c r="U45" s="2"/>
      <c r="V45" s="2"/>
      <c r="W45" s="2"/>
      <c r="X45" s="2"/>
      <c r="Y45" s="64"/>
      <c r="Z45" s="64"/>
      <c r="AA45" s="2"/>
      <c r="AB45" s="2"/>
      <c r="AC45" s="2"/>
      <c r="AD45" s="2"/>
      <c r="AE45" s="2"/>
      <c r="AF45" s="2"/>
    </row>
    <row r="46" spans="1:32" ht="12.75" customHeight="1">
      <c r="A46" s="2"/>
      <c r="B46" s="35"/>
      <c r="C46" s="2"/>
      <c r="D46" s="2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2"/>
      <c r="T46" s="2"/>
      <c r="U46" s="2"/>
      <c r="V46" s="2"/>
      <c r="W46" s="2"/>
      <c r="X46" s="2"/>
      <c r="Y46" s="64"/>
      <c r="Z46" s="64"/>
      <c r="AA46" s="2"/>
      <c r="AB46" s="2"/>
      <c r="AC46" s="2"/>
      <c r="AD46" s="2"/>
      <c r="AE46" s="2"/>
      <c r="AF46" s="2"/>
    </row>
    <row r="47" spans="1:32" ht="12.75" customHeight="1">
      <c r="A47" s="2"/>
      <c r="B47" s="35"/>
      <c r="C47" s="2"/>
      <c r="D47" s="2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2"/>
      <c r="T47" s="2"/>
      <c r="U47" s="2"/>
      <c r="V47" s="2"/>
      <c r="W47" s="2"/>
      <c r="X47" s="2"/>
      <c r="Y47" s="64"/>
      <c r="Z47" s="64"/>
      <c r="AA47" s="2"/>
      <c r="AB47" s="2"/>
      <c r="AC47" s="2"/>
      <c r="AD47" s="2"/>
      <c r="AE47" s="2"/>
      <c r="AF47" s="2"/>
    </row>
    <row r="48" spans="1:32" ht="12.75" customHeight="1">
      <c r="A48" s="2"/>
      <c r="B48" s="35"/>
      <c r="C48" s="2"/>
      <c r="D48" s="2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2"/>
      <c r="T48" s="2"/>
      <c r="U48" s="2"/>
      <c r="V48" s="2"/>
      <c r="W48" s="2"/>
      <c r="X48" s="2"/>
      <c r="Y48" s="64"/>
      <c r="Z48" s="64"/>
      <c r="AA48" s="2"/>
      <c r="AB48" s="2"/>
      <c r="AC48" s="2"/>
      <c r="AD48" s="2"/>
      <c r="AE48" s="2"/>
      <c r="AF48" s="2"/>
    </row>
    <row r="49" spans="1:32" ht="12.75" customHeight="1">
      <c r="A49" s="2"/>
      <c r="B49" s="35"/>
      <c r="C49" s="2"/>
      <c r="D49" s="2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2"/>
      <c r="T49" s="2"/>
      <c r="U49" s="2"/>
      <c r="V49" s="2"/>
      <c r="W49" s="2"/>
      <c r="X49" s="2"/>
      <c r="Y49" s="64"/>
      <c r="Z49" s="64"/>
      <c r="AA49" s="2"/>
      <c r="AB49" s="2"/>
      <c r="AC49" s="2"/>
      <c r="AD49" s="2"/>
      <c r="AE49" s="2"/>
      <c r="AF49" s="2"/>
    </row>
    <row r="50" spans="1:32" ht="12.75" customHeight="1">
      <c r="A50" s="2"/>
      <c r="B50" s="35"/>
      <c r="C50" s="2"/>
      <c r="D50" s="2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2"/>
      <c r="T50" s="2"/>
      <c r="U50" s="2"/>
      <c r="V50" s="2"/>
      <c r="W50" s="2"/>
      <c r="X50" s="2"/>
      <c r="Y50" s="64"/>
      <c r="Z50" s="64"/>
      <c r="AA50" s="2"/>
      <c r="AB50" s="2"/>
      <c r="AC50" s="2"/>
      <c r="AD50" s="2"/>
      <c r="AE50" s="2"/>
      <c r="AF50" s="2"/>
    </row>
    <row r="51" spans="1:32" ht="12.75" customHeight="1">
      <c r="A51" s="2"/>
      <c r="B51" s="35"/>
      <c r="C51" s="2"/>
      <c r="D51" s="2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2"/>
      <c r="T51" s="2"/>
      <c r="U51" s="2"/>
      <c r="V51" s="2"/>
      <c r="W51" s="2"/>
      <c r="X51" s="2"/>
      <c r="Y51" s="64"/>
      <c r="Z51" s="64"/>
      <c r="AA51" s="2"/>
      <c r="AB51" s="2"/>
      <c r="AC51" s="2"/>
      <c r="AD51" s="2"/>
      <c r="AE51" s="2"/>
      <c r="AF51" s="2"/>
    </row>
    <row r="52" spans="1:32" ht="12.75" customHeight="1">
      <c r="A52" s="2"/>
      <c r="B52" s="35"/>
      <c r="C52" s="2"/>
      <c r="D52" s="2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2"/>
      <c r="T52" s="2"/>
      <c r="U52" s="2"/>
      <c r="V52" s="2"/>
      <c r="W52" s="2"/>
      <c r="X52" s="2"/>
      <c r="Y52" s="64"/>
      <c r="Z52" s="64"/>
      <c r="AA52" s="2"/>
      <c r="AB52" s="2"/>
      <c r="AC52" s="2"/>
      <c r="AD52" s="2"/>
      <c r="AE52" s="2"/>
      <c r="AF52" s="2"/>
    </row>
    <row r="53" spans="1:32" ht="12.75" customHeight="1">
      <c r="A53" s="2"/>
      <c r="B53" s="35"/>
      <c r="C53" s="2"/>
      <c r="D53" s="2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2"/>
      <c r="T53" s="2"/>
      <c r="U53" s="2"/>
      <c r="V53" s="2"/>
      <c r="W53" s="2"/>
      <c r="X53" s="2"/>
      <c r="Y53" s="64"/>
      <c r="Z53" s="64"/>
      <c r="AA53" s="2"/>
      <c r="AB53" s="2"/>
      <c r="AC53" s="2"/>
      <c r="AD53" s="2"/>
      <c r="AE53" s="2"/>
      <c r="AF53" s="2"/>
    </row>
    <row r="54" spans="1:32" ht="12.75" customHeight="1">
      <c r="A54" s="2"/>
      <c r="B54" s="35"/>
      <c r="C54" s="2"/>
      <c r="D54" s="2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2"/>
      <c r="T54" s="2"/>
      <c r="U54" s="2"/>
      <c r="V54" s="2"/>
      <c r="W54" s="2"/>
      <c r="X54" s="2"/>
      <c r="Y54" s="64"/>
      <c r="Z54" s="64"/>
      <c r="AA54" s="2"/>
      <c r="AB54" s="2"/>
      <c r="AC54" s="2"/>
      <c r="AD54" s="2"/>
      <c r="AE54" s="2"/>
      <c r="AF54" s="2"/>
    </row>
    <row r="55" spans="1:32" ht="12.75" customHeight="1">
      <c r="A55" s="2"/>
      <c r="B55" s="35"/>
      <c r="C55" s="2"/>
      <c r="D55" s="2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2"/>
      <c r="T55" s="2"/>
      <c r="U55" s="2"/>
      <c r="V55" s="2"/>
      <c r="W55" s="2"/>
      <c r="X55" s="2"/>
      <c r="Y55" s="64"/>
      <c r="Z55" s="64"/>
      <c r="AA55" s="2"/>
      <c r="AB55" s="2"/>
      <c r="AC55" s="2"/>
      <c r="AD55" s="2"/>
      <c r="AE55" s="2"/>
      <c r="AF55" s="2"/>
    </row>
    <row r="56" spans="1:32" ht="12.75" customHeight="1">
      <c r="A56" s="2"/>
      <c r="B56" s="35"/>
      <c r="C56" s="2"/>
      <c r="D56" s="2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2"/>
      <c r="T56" s="2"/>
      <c r="U56" s="2"/>
      <c r="V56" s="2"/>
      <c r="W56" s="2"/>
      <c r="X56" s="2"/>
      <c r="Y56" s="64"/>
      <c r="Z56" s="64"/>
      <c r="AA56" s="2"/>
      <c r="AB56" s="2"/>
      <c r="AC56" s="2"/>
      <c r="AD56" s="2"/>
      <c r="AE56" s="2"/>
      <c r="AF56" s="2"/>
    </row>
    <row r="57" spans="1:32" ht="12.75" customHeight="1">
      <c r="A57" s="2"/>
      <c r="B57" s="35"/>
      <c r="C57" s="2"/>
      <c r="D57" s="2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2"/>
      <c r="T57" s="2"/>
      <c r="U57" s="2"/>
      <c r="V57" s="2"/>
      <c r="W57" s="2"/>
      <c r="X57" s="2"/>
      <c r="Y57" s="64"/>
      <c r="Z57" s="64"/>
      <c r="AA57" s="2"/>
      <c r="AB57" s="2"/>
      <c r="AC57" s="2"/>
      <c r="AD57" s="2"/>
      <c r="AE57" s="2"/>
      <c r="AF57" s="2"/>
    </row>
    <row r="58" spans="1:32" ht="12.75" customHeight="1">
      <c r="A58" s="2"/>
      <c r="B58" s="35"/>
      <c r="C58" s="2"/>
      <c r="D58" s="2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2"/>
      <c r="T58" s="2"/>
      <c r="U58" s="2"/>
      <c r="V58" s="2"/>
      <c r="W58" s="2"/>
      <c r="X58" s="2"/>
      <c r="Y58" s="64"/>
      <c r="Z58" s="64"/>
      <c r="AA58" s="2"/>
      <c r="AB58" s="2"/>
      <c r="AC58" s="2"/>
      <c r="AD58" s="2"/>
      <c r="AE58" s="2"/>
      <c r="AF58" s="2"/>
    </row>
    <row r="59" spans="1:32" ht="12.75" customHeight="1">
      <c r="A59" s="2"/>
      <c r="B59" s="35"/>
      <c r="C59" s="2"/>
      <c r="D59" s="2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2"/>
      <c r="T59" s="2"/>
      <c r="U59" s="2"/>
      <c r="V59" s="2"/>
      <c r="W59" s="2"/>
      <c r="X59" s="2"/>
      <c r="Y59" s="64"/>
      <c r="Z59" s="64"/>
      <c r="AA59" s="2"/>
      <c r="AB59" s="2"/>
      <c r="AC59" s="2"/>
      <c r="AD59" s="2"/>
      <c r="AE59" s="2"/>
      <c r="AF59" s="2"/>
    </row>
    <row r="60" spans="1:32" ht="12.75" customHeight="1">
      <c r="A60" s="2"/>
      <c r="B60" s="35"/>
      <c r="C60" s="2"/>
      <c r="D60" s="2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2"/>
      <c r="T60" s="2"/>
      <c r="U60" s="2"/>
      <c r="V60" s="2"/>
      <c r="W60" s="2"/>
      <c r="X60" s="2"/>
      <c r="Y60" s="64"/>
      <c r="Z60" s="64"/>
      <c r="AA60" s="2"/>
      <c r="AB60" s="2"/>
      <c r="AC60" s="2"/>
      <c r="AD60" s="2"/>
      <c r="AE60" s="2"/>
      <c r="AF60" s="2"/>
    </row>
    <row r="61" spans="1:32" ht="12.75" customHeight="1">
      <c r="A61" s="2"/>
      <c r="B61" s="35"/>
      <c r="C61" s="2"/>
      <c r="D61" s="2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2"/>
      <c r="T61" s="2"/>
      <c r="U61" s="2"/>
      <c r="V61" s="2"/>
      <c r="W61" s="2"/>
      <c r="X61" s="2"/>
      <c r="Y61" s="64"/>
      <c r="Z61" s="64"/>
      <c r="AA61" s="2"/>
      <c r="AB61" s="2"/>
      <c r="AC61" s="2"/>
      <c r="AD61" s="2"/>
      <c r="AE61" s="2"/>
      <c r="AF61" s="2"/>
    </row>
    <row r="62" spans="1:32" ht="12.75" customHeight="1">
      <c r="A62" s="2"/>
      <c r="B62" s="35"/>
      <c r="C62" s="2"/>
      <c r="D62" s="2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2"/>
      <c r="T62" s="2"/>
      <c r="U62" s="2"/>
      <c r="V62" s="2"/>
      <c r="W62" s="2"/>
      <c r="X62" s="2"/>
      <c r="Y62" s="64"/>
      <c r="Z62" s="64"/>
      <c r="AA62" s="2"/>
      <c r="AB62" s="2"/>
      <c r="AC62" s="2"/>
      <c r="AD62" s="2"/>
      <c r="AE62" s="2"/>
      <c r="AF62" s="2"/>
    </row>
    <row r="63" spans="1:32" ht="12.75" customHeight="1">
      <c r="A63" s="2"/>
      <c r="B63" s="35"/>
      <c r="C63" s="2"/>
      <c r="D63" s="2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2"/>
      <c r="T63" s="2"/>
      <c r="U63" s="2"/>
      <c r="V63" s="2"/>
      <c r="W63" s="2"/>
      <c r="X63" s="2"/>
      <c r="Y63" s="64"/>
      <c r="Z63" s="64"/>
      <c r="AA63" s="2"/>
      <c r="AB63" s="2"/>
      <c r="AC63" s="2"/>
      <c r="AD63" s="2"/>
      <c r="AE63" s="2"/>
      <c r="AF63" s="2"/>
    </row>
    <row r="64" spans="1:32" ht="12.75" customHeight="1">
      <c r="A64" s="2"/>
      <c r="B64" s="35"/>
      <c r="C64" s="2"/>
      <c r="D64" s="2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2"/>
      <c r="T64" s="2"/>
      <c r="U64" s="2"/>
      <c r="V64" s="2"/>
      <c r="W64" s="2"/>
      <c r="X64" s="2"/>
      <c r="Y64" s="64"/>
      <c r="Z64" s="64"/>
      <c r="AA64" s="2"/>
      <c r="AB64" s="2"/>
      <c r="AC64" s="2"/>
      <c r="AD64" s="2"/>
      <c r="AE64" s="2"/>
      <c r="AF64" s="2"/>
    </row>
    <row r="65" spans="1:32" ht="12.75" customHeight="1">
      <c r="A65" s="2"/>
      <c r="B65" s="35"/>
      <c r="C65" s="2"/>
      <c r="D65" s="2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2"/>
      <c r="T65" s="2"/>
      <c r="U65" s="2"/>
      <c r="V65" s="2"/>
      <c r="W65" s="2"/>
      <c r="X65" s="2"/>
      <c r="Y65" s="64"/>
      <c r="Z65" s="64"/>
      <c r="AA65" s="2"/>
      <c r="AB65" s="2"/>
      <c r="AC65" s="2"/>
      <c r="AD65" s="2"/>
      <c r="AE65" s="2"/>
      <c r="AF65" s="2"/>
    </row>
    <row r="66" spans="1:32" ht="12.75" customHeight="1">
      <c r="A66" s="2"/>
      <c r="B66" s="35"/>
      <c r="C66" s="2"/>
      <c r="D66" s="2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2"/>
      <c r="T66" s="2"/>
      <c r="U66" s="2"/>
      <c r="V66" s="2"/>
      <c r="W66" s="2"/>
      <c r="X66" s="2"/>
      <c r="Y66" s="64"/>
      <c r="Z66" s="64"/>
      <c r="AA66" s="2"/>
      <c r="AB66" s="2"/>
      <c r="AC66" s="2"/>
      <c r="AD66" s="2"/>
      <c r="AE66" s="2"/>
      <c r="AF66" s="2"/>
    </row>
    <row r="67" spans="1:32" ht="12.75" customHeight="1">
      <c r="A67" s="2"/>
      <c r="B67" s="35"/>
      <c r="C67" s="2"/>
      <c r="D67" s="2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2"/>
      <c r="T67" s="2"/>
      <c r="U67" s="2"/>
      <c r="V67" s="2"/>
      <c r="W67" s="2"/>
      <c r="X67" s="2"/>
      <c r="Y67" s="64"/>
      <c r="Z67" s="64"/>
      <c r="AA67" s="2"/>
      <c r="AB67" s="2"/>
      <c r="AC67" s="2"/>
      <c r="AD67" s="2"/>
      <c r="AE67" s="2"/>
      <c r="AF67" s="2"/>
    </row>
    <row r="68" spans="1:32" ht="12.75" customHeight="1">
      <c r="A68" s="2"/>
      <c r="B68" s="35"/>
      <c r="C68" s="2"/>
      <c r="D68" s="2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2"/>
      <c r="T68" s="2"/>
      <c r="U68" s="2"/>
      <c r="V68" s="2"/>
      <c r="W68" s="2"/>
      <c r="X68" s="2"/>
      <c r="Y68" s="64"/>
      <c r="Z68" s="64"/>
      <c r="AA68" s="2"/>
      <c r="AB68" s="2"/>
      <c r="AC68" s="2"/>
      <c r="AD68" s="2"/>
      <c r="AE68" s="2"/>
      <c r="AF68" s="2"/>
    </row>
    <row r="69" spans="1:32" ht="12.75" customHeight="1">
      <c r="A69" s="2"/>
      <c r="B69" s="35"/>
      <c r="C69" s="2"/>
      <c r="D69" s="2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2"/>
      <c r="T69" s="2"/>
      <c r="U69" s="2"/>
      <c r="V69" s="2"/>
      <c r="W69" s="2"/>
      <c r="X69" s="2"/>
      <c r="Y69" s="64"/>
      <c r="Z69" s="64"/>
      <c r="AA69" s="2"/>
      <c r="AB69" s="2"/>
      <c r="AC69" s="2"/>
      <c r="AD69" s="2"/>
      <c r="AE69" s="2"/>
      <c r="AF69" s="2"/>
    </row>
    <row r="70" spans="1:32" ht="12.75" customHeight="1">
      <c r="A70" s="2"/>
      <c r="B70" s="35"/>
      <c r="C70" s="2"/>
      <c r="D70" s="2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2"/>
      <c r="T70" s="2"/>
      <c r="U70" s="2"/>
      <c r="V70" s="2"/>
      <c r="W70" s="2"/>
      <c r="X70" s="2"/>
      <c r="Y70" s="64"/>
      <c r="Z70" s="64"/>
      <c r="AA70" s="2"/>
      <c r="AB70" s="2"/>
      <c r="AC70" s="2"/>
      <c r="AD70" s="2"/>
      <c r="AE70" s="2"/>
      <c r="AF70" s="2"/>
    </row>
    <row r="71" spans="1:32" ht="12.75" customHeight="1">
      <c r="A71" s="2"/>
      <c r="B71" s="35"/>
      <c r="C71" s="2"/>
      <c r="D71" s="2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2"/>
      <c r="T71" s="2"/>
      <c r="U71" s="2"/>
      <c r="V71" s="2"/>
      <c r="W71" s="2"/>
      <c r="X71" s="2"/>
      <c r="Y71" s="64"/>
      <c r="Z71" s="64"/>
      <c r="AA71" s="2"/>
      <c r="AB71" s="2"/>
      <c r="AC71" s="2"/>
      <c r="AD71" s="2"/>
      <c r="AE71" s="2"/>
      <c r="AF71" s="2"/>
    </row>
    <row r="72" spans="1:32" ht="12.75" customHeight="1">
      <c r="A72" s="2"/>
      <c r="B72" s="35"/>
      <c r="C72" s="2"/>
      <c r="D72" s="2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2"/>
      <c r="T72" s="2"/>
      <c r="U72" s="2"/>
      <c r="V72" s="2"/>
      <c r="W72" s="2"/>
      <c r="X72" s="2"/>
      <c r="Y72" s="64"/>
      <c r="Z72" s="64"/>
      <c r="AA72" s="2"/>
      <c r="AB72" s="2"/>
      <c r="AC72" s="2"/>
      <c r="AD72" s="2"/>
      <c r="AE72" s="2"/>
      <c r="AF72" s="2"/>
    </row>
    <row r="73" spans="1:32" ht="12.75" customHeight="1">
      <c r="A73" s="2"/>
      <c r="B73" s="35"/>
      <c r="C73" s="2"/>
      <c r="D73" s="2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2"/>
      <c r="T73" s="2"/>
      <c r="U73" s="2"/>
      <c r="V73" s="2"/>
      <c r="W73" s="2"/>
      <c r="X73" s="2"/>
      <c r="Y73" s="64"/>
      <c r="Z73" s="64"/>
      <c r="AA73" s="2"/>
      <c r="AB73" s="2"/>
      <c r="AC73" s="2"/>
      <c r="AD73" s="2"/>
      <c r="AE73" s="2"/>
      <c r="AF73" s="2"/>
    </row>
    <row r="74" spans="1:32" ht="12.75" customHeight="1">
      <c r="A74" s="2"/>
      <c r="B74" s="35"/>
      <c r="C74" s="2"/>
      <c r="D74" s="2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2"/>
      <c r="T74" s="2"/>
      <c r="U74" s="2"/>
      <c r="V74" s="2"/>
      <c r="W74" s="2"/>
      <c r="X74" s="2"/>
      <c r="Y74" s="64"/>
      <c r="Z74" s="64"/>
      <c r="AA74" s="2"/>
      <c r="AB74" s="2"/>
      <c r="AC74" s="2"/>
      <c r="AD74" s="2"/>
      <c r="AE74" s="2"/>
      <c r="AF74" s="2"/>
    </row>
    <row r="75" spans="1:32" ht="12.75" customHeight="1">
      <c r="A75" s="2"/>
      <c r="B75" s="35"/>
      <c r="C75" s="2"/>
      <c r="D75" s="2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2"/>
      <c r="T75" s="2"/>
      <c r="U75" s="2"/>
      <c r="V75" s="2"/>
      <c r="W75" s="2"/>
      <c r="X75" s="2"/>
      <c r="Y75" s="64"/>
      <c r="Z75" s="64"/>
      <c r="AA75" s="2"/>
      <c r="AB75" s="2"/>
      <c r="AC75" s="2"/>
      <c r="AD75" s="2"/>
      <c r="AE75" s="2"/>
      <c r="AF75" s="2"/>
    </row>
    <row r="76" spans="1:32" ht="12.75" customHeight="1">
      <c r="A76" s="2"/>
      <c r="B76" s="35"/>
      <c r="C76" s="2"/>
      <c r="D76" s="2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2"/>
      <c r="T76" s="2"/>
      <c r="U76" s="2"/>
      <c r="V76" s="2"/>
      <c r="W76" s="2"/>
      <c r="X76" s="2"/>
      <c r="Y76" s="64"/>
      <c r="Z76" s="64"/>
      <c r="AA76" s="2"/>
      <c r="AB76" s="2"/>
      <c r="AC76" s="2"/>
      <c r="AD76" s="2"/>
      <c r="AE76" s="2"/>
      <c r="AF76" s="2"/>
    </row>
    <row r="77" spans="1:32" ht="12.75" customHeight="1">
      <c r="A77" s="2"/>
      <c r="B77" s="35"/>
      <c r="C77" s="2"/>
      <c r="D77" s="2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2"/>
      <c r="T77" s="2"/>
      <c r="U77" s="2"/>
      <c r="V77" s="2"/>
      <c r="W77" s="2"/>
      <c r="X77" s="2"/>
      <c r="Y77" s="64"/>
      <c r="Z77" s="64"/>
      <c r="AA77" s="2"/>
      <c r="AB77" s="2"/>
      <c r="AC77" s="2"/>
      <c r="AD77" s="2"/>
      <c r="AE77" s="2"/>
      <c r="AF77" s="2"/>
    </row>
    <row r="78" spans="1:32" ht="12.75" customHeight="1">
      <c r="A78" s="2"/>
      <c r="B78" s="35"/>
      <c r="C78" s="2"/>
      <c r="D78" s="2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2"/>
      <c r="T78" s="2"/>
      <c r="U78" s="2"/>
      <c r="V78" s="2"/>
      <c r="W78" s="2"/>
      <c r="X78" s="2"/>
      <c r="Y78" s="64"/>
      <c r="Z78" s="64"/>
      <c r="AA78" s="2"/>
      <c r="AB78" s="2"/>
      <c r="AC78" s="2"/>
      <c r="AD78" s="2"/>
      <c r="AE78" s="2"/>
      <c r="AF78" s="2"/>
    </row>
    <row r="79" spans="1:32" ht="12.75" customHeight="1">
      <c r="A79" s="2"/>
      <c r="B79" s="35"/>
      <c r="C79" s="2"/>
      <c r="D79" s="2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2"/>
      <c r="T79" s="2"/>
      <c r="U79" s="2"/>
      <c r="V79" s="2"/>
      <c r="W79" s="2"/>
      <c r="X79" s="2"/>
      <c r="Y79" s="64"/>
      <c r="Z79" s="64"/>
      <c r="AA79" s="2"/>
      <c r="AB79" s="2"/>
      <c r="AC79" s="2"/>
      <c r="AD79" s="2"/>
      <c r="AE79" s="2"/>
      <c r="AF79" s="2"/>
    </row>
    <row r="80" spans="1:32" ht="12.75" customHeight="1">
      <c r="A80" s="2"/>
      <c r="B80" s="35"/>
      <c r="C80" s="2"/>
      <c r="D80" s="2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2"/>
      <c r="T80" s="2"/>
      <c r="U80" s="2"/>
      <c r="V80" s="2"/>
      <c r="W80" s="2"/>
      <c r="X80" s="2"/>
      <c r="Y80" s="64"/>
      <c r="Z80" s="64"/>
      <c r="AA80" s="2"/>
      <c r="AB80" s="2"/>
      <c r="AC80" s="2"/>
      <c r="AD80" s="2"/>
      <c r="AE80" s="2"/>
      <c r="AF80" s="2"/>
    </row>
    <row r="81" spans="1:32" ht="12.75" customHeight="1">
      <c r="A81" s="2"/>
      <c r="B81" s="35"/>
      <c r="C81" s="2"/>
      <c r="D81" s="2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2"/>
      <c r="T81" s="2"/>
      <c r="U81" s="2"/>
      <c r="V81" s="2"/>
      <c r="W81" s="2"/>
      <c r="X81" s="2"/>
      <c r="Y81" s="64"/>
      <c r="Z81" s="64"/>
      <c r="AA81" s="2"/>
      <c r="AB81" s="2"/>
      <c r="AC81" s="2"/>
      <c r="AD81" s="2"/>
      <c r="AE81" s="2"/>
      <c r="AF81" s="2"/>
    </row>
    <row r="82" spans="1:32" ht="12.75" customHeight="1">
      <c r="A82" s="2"/>
      <c r="B82" s="35"/>
      <c r="C82" s="2"/>
      <c r="D82" s="2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2"/>
      <c r="T82" s="2"/>
      <c r="U82" s="2"/>
      <c r="V82" s="2"/>
      <c r="W82" s="2"/>
      <c r="X82" s="2"/>
      <c r="Y82" s="64"/>
      <c r="Z82" s="64"/>
      <c r="AA82" s="2"/>
      <c r="AB82" s="2"/>
      <c r="AC82" s="2"/>
      <c r="AD82" s="2"/>
      <c r="AE82" s="2"/>
      <c r="AF82" s="2"/>
    </row>
    <row r="83" spans="1:32" ht="12.75" customHeight="1">
      <c r="A83" s="2"/>
      <c r="B83" s="35"/>
      <c r="C83" s="2"/>
      <c r="D83" s="2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2"/>
      <c r="T83" s="2"/>
      <c r="U83" s="2"/>
      <c r="V83" s="2"/>
      <c r="W83" s="2"/>
      <c r="X83" s="2"/>
      <c r="Y83" s="64"/>
      <c r="Z83" s="64"/>
      <c r="AA83" s="2"/>
      <c r="AB83" s="2"/>
      <c r="AC83" s="2"/>
      <c r="AD83" s="2"/>
      <c r="AE83" s="2"/>
      <c r="AF83" s="2"/>
    </row>
    <row r="84" spans="1:32" ht="12.75" customHeight="1">
      <c r="A84" s="2"/>
      <c r="B84" s="35"/>
      <c r="C84" s="2"/>
      <c r="D84" s="2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2"/>
      <c r="T84" s="2"/>
      <c r="U84" s="2"/>
      <c r="V84" s="2"/>
      <c r="W84" s="2"/>
      <c r="X84" s="2"/>
      <c r="Y84" s="64"/>
      <c r="Z84" s="64"/>
      <c r="AA84" s="2"/>
      <c r="AB84" s="2"/>
      <c r="AC84" s="2"/>
      <c r="AD84" s="2"/>
      <c r="AE84" s="2"/>
      <c r="AF84" s="2"/>
    </row>
    <row r="85" spans="1:32" ht="12.75" customHeight="1">
      <c r="A85" s="2"/>
      <c r="B85" s="35"/>
      <c r="C85" s="2"/>
      <c r="D85" s="2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2"/>
      <c r="T85" s="2"/>
      <c r="U85" s="2"/>
      <c r="V85" s="2"/>
      <c r="W85" s="2"/>
      <c r="X85" s="2"/>
      <c r="Y85" s="64"/>
      <c r="Z85" s="64"/>
      <c r="AA85" s="2"/>
      <c r="AB85" s="2"/>
      <c r="AC85" s="2"/>
      <c r="AD85" s="2"/>
      <c r="AE85" s="2"/>
      <c r="AF85" s="2"/>
    </row>
    <row r="86" spans="1:32" ht="12.75" customHeight="1">
      <c r="A86" s="2"/>
      <c r="B86" s="35"/>
      <c r="C86" s="2"/>
      <c r="D86" s="2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2"/>
      <c r="T86" s="2"/>
      <c r="U86" s="2"/>
      <c r="V86" s="2"/>
      <c r="W86" s="2"/>
      <c r="X86" s="2"/>
      <c r="Y86" s="64"/>
      <c r="Z86" s="64"/>
      <c r="AA86" s="2"/>
      <c r="AB86" s="2"/>
      <c r="AC86" s="2"/>
      <c r="AD86" s="2"/>
      <c r="AE86" s="2"/>
      <c r="AF86" s="2"/>
    </row>
    <row r="87" spans="1:32" ht="12.75" customHeight="1">
      <c r="A87" s="2"/>
      <c r="B87" s="35"/>
      <c r="C87" s="2"/>
      <c r="D87" s="2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2"/>
      <c r="T87" s="2"/>
      <c r="U87" s="2"/>
      <c r="V87" s="2"/>
      <c r="W87" s="2"/>
      <c r="X87" s="2"/>
      <c r="Y87" s="64"/>
      <c r="Z87" s="64"/>
      <c r="AA87" s="2"/>
      <c r="AB87" s="2"/>
      <c r="AC87" s="2"/>
      <c r="AD87" s="2"/>
      <c r="AE87" s="2"/>
      <c r="AF87" s="2"/>
    </row>
    <row r="88" spans="1:32" ht="12.75" customHeight="1">
      <c r="A88" s="2"/>
      <c r="B88" s="35"/>
      <c r="C88" s="2"/>
      <c r="D88" s="2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2"/>
      <c r="T88" s="2"/>
      <c r="U88" s="2"/>
      <c r="V88" s="2"/>
      <c r="W88" s="2"/>
      <c r="X88" s="2"/>
      <c r="Y88" s="64"/>
      <c r="Z88" s="64"/>
      <c r="AA88" s="2"/>
      <c r="AB88" s="2"/>
      <c r="AC88" s="2"/>
      <c r="AD88" s="2"/>
      <c r="AE88" s="2"/>
      <c r="AF88" s="2"/>
    </row>
    <row r="89" spans="1:32" ht="12.75" customHeight="1">
      <c r="A89" s="2"/>
      <c r="B89" s="35"/>
      <c r="C89" s="2"/>
      <c r="D89" s="2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2"/>
      <c r="T89" s="2"/>
      <c r="U89" s="2"/>
      <c r="V89" s="2"/>
      <c r="W89" s="2"/>
      <c r="X89" s="2"/>
      <c r="Y89" s="64"/>
      <c r="Z89" s="64"/>
      <c r="AA89" s="2"/>
      <c r="AB89" s="2"/>
      <c r="AC89" s="2"/>
      <c r="AD89" s="2"/>
      <c r="AE89" s="2"/>
      <c r="AF89" s="2"/>
    </row>
    <row r="90" spans="1:32" ht="12.75" customHeight="1">
      <c r="A90" s="2"/>
      <c r="B90" s="35"/>
      <c r="C90" s="2"/>
      <c r="D90" s="2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2"/>
      <c r="T90" s="2"/>
      <c r="U90" s="2"/>
      <c r="V90" s="2"/>
      <c r="W90" s="2"/>
      <c r="X90" s="2"/>
      <c r="Y90" s="64"/>
      <c r="Z90" s="64"/>
      <c r="AA90" s="2"/>
      <c r="AB90" s="2"/>
      <c r="AC90" s="2"/>
      <c r="AD90" s="2"/>
      <c r="AE90" s="2"/>
      <c r="AF90" s="2"/>
    </row>
    <row r="91" spans="1:32" ht="12.75" customHeight="1">
      <c r="A91" s="2"/>
      <c r="B91" s="35"/>
      <c r="C91" s="2"/>
      <c r="D91" s="2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2"/>
      <c r="T91" s="2"/>
      <c r="U91" s="2"/>
      <c r="V91" s="2"/>
      <c r="W91" s="2"/>
      <c r="X91" s="2"/>
      <c r="Y91" s="64"/>
      <c r="Z91" s="64"/>
      <c r="AA91" s="2"/>
      <c r="AB91" s="2"/>
      <c r="AC91" s="2"/>
      <c r="AD91" s="2"/>
      <c r="AE91" s="2"/>
      <c r="AF91" s="2"/>
    </row>
    <row r="92" spans="1:32" ht="12.75" customHeight="1">
      <c r="A92" s="2"/>
      <c r="B92" s="35"/>
      <c r="C92" s="2"/>
      <c r="D92" s="2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2"/>
      <c r="T92" s="2"/>
      <c r="U92" s="2"/>
      <c r="V92" s="2"/>
      <c r="W92" s="2"/>
      <c r="X92" s="2"/>
      <c r="Y92" s="64"/>
      <c r="Z92" s="64"/>
      <c r="AA92" s="2"/>
      <c r="AB92" s="2"/>
      <c r="AC92" s="2"/>
      <c r="AD92" s="2"/>
      <c r="AE92" s="2"/>
      <c r="AF92" s="2"/>
    </row>
    <row r="93" spans="1:32" ht="12.75" customHeight="1">
      <c r="A93" s="2"/>
      <c r="B93" s="35"/>
      <c r="C93" s="2"/>
      <c r="D93" s="2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2"/>
      <c r="T93" s="2"/>
      <c r="U93" s="2"/>
      <c r="V93" s="2"/>
      <c r="W93" s="2"/>
      <c r="X93" s="2"/>
      <c r="Y93" s="64"/>
      <c r="Z93" s="64"/>
      <c r="AA93" s="2"/>
      <c r="AB93" s="2"/>
      <c r="AC93" s="2"/>
      <c r="AD93" s="2"/>
      <c r="AE93" s="2"/>
      <c r="AF93" s="2"/>
    </row>
    <row r="94" spans="1:32" ht="12.75" customHeight="1">
      <c r="A94" s="2"/>
      <c r="B94" s="35"/>
      <c r="C94" s="2"/>
      <c r="D94" s="2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2"/>
      <c r="T94" s="2"/>
      <c r="U94" s="2"/>
      <c r="V94" s="2"/>
      <c r="W94" s="2"/>
      <c r="X94" s="2"/>
      <c r="Y94" s="64"/>
      <c r="Z94" s="64"/>
      <c r="AA94" s="2"/>
      <c r="AB94" s="2"/>
      <c r="AC94" s="2"/>
      <c r="AD94" s="2"/>
      <c r="AE94" s="2"/>
      <c r="AF94" s="2"/>
    </row>
    <row r="95" spans="1:32" ht="12.75" customHeight="1">
      <c r="A95" s="2"/>
      <c r="B95" s="35"/>
      <c r="C95" s="2"/>
      <c r="D95" s="2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2"/>
      <c r="T95" s="2"/>
      <c r="U95" s="2"/>
      <c r="V95" s="2"/>
      <c r="W95" s="2"/>
      <c r="X95" s="2"/>
      <c r="Y95" s="64"/>
      <c r="Z95" s="64"/>
      <c r="AA95" s="2"/>
      <c r="AB95" s="2"/>
      <c r="AC95" s="2"/>
      <c r="AD95" s="2"/>
      <c r="AE95" s="2"/>
      <c r="AF95" s="2"/>
    </row>
    <row r="96" spans="1:32" ht="12.75" customHeight="1">
      <c r="A96" s="2"/>
      <c r="B96" s="35"/>
      <c r="C96" s="2"/>
      <c r="D96" s="2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2"/>
      <c r="T96" s="2"/>
      <c r="U96" s="2"/>
      <c r="V96" s="2"/>
      <c r="W96" s="2"/>
      <c r="X96" s="2"/>
      <c r="Y96" s="64"/>
      <c r="Z96" s="64"/>
      <c r="AA96" s="2"/>
      <c r="AB96" s="2"/>
      <c r="AC96" s="2"/>
      <c r="AD96" s="2"/>
      <c r="AE96" s="2"/>
      <c r="AF96" s="2"/>
    </row>
    <row r="97" spans="1:32" ht="12.75" customHeight="1">
      <c r="A97" s="2"/>
      <c r="B97" s="35"/>
      <c r="C97" s="2"/>
      <c r="D97" s="2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2"/>
      <c r="T97" s="2"/>
      <c r="U97" s="2"/>
      <c r="V97" s="2"/>
      <c r="W97" s="2"/>
      <c r="X97" s="2"/>
      <c r="Y97" s="64"/>
      <c r="Z97" s="64"/>
      <c r="AA97" s="2"/>
      <c r="AB97" s="2"/>
      <c r="AC97" s="2"/>
      <c r="AD97" s="2"/>
      <c r="AE97" s="2"/>
      <c r="AF97" s="2"/>
    </row>
    <row r="98" spans="1:32" ht="12.75" customHeight="1">
      <c r="A98" s="2"/>
      <c r="B98" s="35"/>
      <c r="C98" s="2"/>
      <c r="D98" s="2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2"/>
      <c r="T98" s="2"/>
      <c r="U98" s="2"/>
      <c r="V98" s="2"/>
      <c r="W98" s="2"/>
      <c r="X98" s="2"/>
      <c r="Y98" s="64"/>
      <c r="Z98" s="64"/>
      <c r="AA98" s="2"/>
      <c r="AB98" s="2"/>
      <c r="AC98" s="2"/>
      <c r="AD98" s="2"/>
      <c r="AE98" s="2"/>
      <c r="AF98" s="2"/>
    </row>
    <row r="99" spans="1:32" ht="12.75" customHeight="1">
      <c r="A99" s="2"/>
      <c r="B99" s="35"/>
      <c r="C99" s="2"/>
      <c r="D99" s="2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2"/>
      <c r="T99" s="2"/>
      <c r="U99" s="2"/>
      <c r="V99" s="2"/>
      <c r="W99" s="2"/>
      <c r="X99" s="2"/>
      <c r="Y99" s="64"/>
      <c r="Z99" s="64"/>
      <c r="AA99" s="2"/>
      <c r="AB99" s="2"/>
      <c r="AC99" s="2"/>
      <c r="AD99" s="2"/>
      <c r="AE99" s="2"/>
      <c r="AF99" s="2"/>
    </row>
    <row r="100" spans="1:32" ht="12.75" customHeight="1">
      <c r="A100" s="2"/>
      <c r="B100" s="35"/>
      <c r="C100" s="2"/>
      <c r="D100" s="2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2"/>
      <c r="T100" s="2"/>
      <c r="U100" s="2"/>
      <c r="V100" s="2"/>
      <c r="W100" s="2"/>
      <c r="X100" s="2"/>
      <c r="Y100" s="64"/>
      <c r="Z100" s="64"/>
      <c r="AA100" s="2"/>
      <c r="AB100" s="2"/>
      <c r="AC100" s="2"/>
      <c r="AD100" s="2"/>
      <c r="AE100" s="2"/>
      <c r="AF100" s="2"/>
    </row>
    <row r="101" spans="1:32" ht="12.75" customHeight="1">
      <c r="A101" s="2"/>
      <c r="B101" s="35"/>
      <c r="C101" s="2"/>
      <c r="D101" s="2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2"/>
      <c r="T101" s="2"/>
      <c r="U101" s="2"/>
      <c r="V101" s="2"/>
      <c r="W101" s="2"/>
      <c r="X101" s="2"/>
      <c r="Y101" s="64"/>
      <c r="Z101" s="64"/>
      <c r="AA101" s="2"/>
      <c r="AB101" s="2"/>
      <c r="AC101" s="2"/>
      <c r="AD101" s="2"/>
      <c r="AE101" s="2"/>
      <c r="AF101" s="2"/>
    </row>
    <row r="102" spans="1:32" ht="12.75" customHeight="1">
      <c r="A102" s="2"/>
      <c r="B102" s="35"/>
      <c r="C102" s="2"/>
      <c r="D102" s="2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2"/>
      <c r="T102" s="2"/>
      <c r="U102" s="2"/>
      <c r="V102" s="2"/>
      <c r="W102" s="2"/>
      <c r="X102" s="2"/>
      <c r="Y102" s="64"/>
      <c r="Z102" s="64"/>
      <c r="AA102" s="2"/>
      <c r="AB102" s="2"/>
      <c r="AC102" s="2"/>
      <c r="AD102" s="2"/>
      <c r="AE102" s="2"/>
      <c r="AF102" s="2"/>
    </row>
    <row r="103" spans="1:32" ht="12.75" customHeight="1">
      <c r="A103" s="2"/>
      <c r="B103" s="35"/>
      <c r="C103" s="2"/>
      <c r="D103" s="2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2"/>
      <c r="T103" s="2"/>
      <c r="U103" s="2"/>
      <c r="V103" s="2"/>
      <c r="W103" s="2"/>
      <c r="X103" s="2"/>
      <c r="Y103" s="64"/>
      <c r="Z103" s="64"/>
      <c r="AA103" s="2"/>
      <c r="AB103" s="2"/>
      <c r="AC103" s="2"/>
      <c r="AD103" s="2"/>
      <c r="AE103" s="2"/>
      <c r="AF103" s="2"/>
    </row>
    <row r="104" spans="1:32" ht="12.75" customHeight="1">
      <c r="A104" s="2"/>
      <c r="B104" s="35"/>
      <c r="C104" s="2"/>
      <c r="D104" s="2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2"/>
      <c r="T104" s="2"/>
      <c r="U104" s="2"/>
      <c r="V104" s="2"/>
      <c r="W104" s="2"/>
      <c r="X104" s="2"/>
      <c r="Y104" s="64"/>
      <c r="Z104" s="64"/>
      <c r="AA104" s="2"/>
      <c r="AB104" s="2"/>
      <c r="AC104" s="2"/>
      <c r="AD104" s="2"/>
      <c r="AE104" s="2"/>
      <c r="AF104" s="2"/>
    </row>
    <row r="105" spans="1:32" ht="12.75" customHeight="1">
      <c r="A105" s="2"/>
      <c r="B105" s="35"/>
      <c r="C105" s="2"/>
      <c r="D105" s="2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2"/>
      <c r="T105" s="2"/>
      <c r="U105" s="2"/>
      <c r="V105" s="2"/>
      <c r="W105" s="2"/>
      <c r="X105" s="2"/>
      <c r="Y105" s="64"/>
      <c r="Z105" s="64"/>
      <c r="AA105" s="2"/>
      <c r="AB105" s="2"/>
      <c r="AC105" s="2"/>
      <c r="AD105" s="2"/>
      <c r="AE105" s="2"/>
      <c r="AF105" s="2"/>
    </row>
    <row r="106" spans="1:32" ht="12.75" customHeight="1">
      <c r="A106" s="2"/>
      <c r="B106" s="35"/>
      <c r="C106" s="2"/>
      <c r="D106" s="2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2"/>
      <c r="T106" s="2"/>
      <c r="U106" s="2"/>
      <c r="V106" s="2"/>
      <c r="W106" s="2"/>
      <c r="X106" s="2"/>
      <c r="Y106" s="64"/>
      <c r="Z106" s="64"/>
      <c r="AA106" s="2"/>
      <c r="AB106" s="2"/>
      <c r="AC106" s="2"/>
      <c r="AD106" s="2"/>
      <c r="AE106" s="2"/>
      <c r="AF106" s="2"/>
    </row>
    <row r="107" spans="1:32" ht="12.75" customHeight="1">
      <c r="A107" s="2"/>
      <c r="B107" s="35"/>
      <c r="C107" s="2"/>
      <c r="D107" s="2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2"/>
      <c r="T107" s="2"/>
      <c r="U107" s="2"/>
      <c r="V107" s="2"/>
      <c r="W107" s="2"/>
      <c r="X107" s="2"/>
      <c r="Y107" s="64"/>
      <c r="Z107" s="64"/>
      <c r="AA107" s="2"/>
      <c r="AB107" s="2"/>
      <c r="AC107" s="2"/>
      <c r="AD107" s="2"/>
      <c r="AE107" s="2"/>
      <c r="AF107" s="2"/>
    </row>
    <row r="108" spans="1:32" ht="12.75" customHeight="1">
      <c r="A108" s="2"/>
      <c r="B108" s="35"/>
      <c r="C108" s="2"/>
      <c r="D108" s="2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2"/>
      <c r="T108" s="2"/>
      <c r="U108" s="2"/>
      <c r="V108" s="2"/>
      <c r="W108" s="2"/>
      <c r="X108" s="2"/>
      <c r="Y108" s="64"/>
      <c r="Z108" s="64"/>
      <c r="AA108" s="2"/>
      <c r="AB108" s="2"/>
      <c r="AC108" s="2"/>
      <c r="AD108" s="2"/>
      <c r="AE108" s="2"/>
      <c r="AF108" s="2"/>
    </row>
    <row r="109" spans="1:32" ht="12.75" customHeight="1">
      <c r="A109" s="2"/>
      <c r="B109" s="35"/>
      <c r="C109" s="2"/>
      <c r="D109" s="2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2"/>
      <c r="T109" s="2"/>
      <c r="U109" s="2"/>
      <c r="V109" s="2"/>
      <c r="W109" s="2"/>
      <c r="X109" s="2"/>
      <c r="Y109" s="64"/>
      <c r="Z109" s="64"/>
      <c r="AA109" s="2"/>
      <c r="AB109" s="2"/>
      <c r="AC109" s="2"/>
      <c r="AD109" s="2"/>
      <c r="AE109" s="2"/>
      <c r="AF109" s="2"/>
    </row>
    <row r="110" spans="1:32" ht="12.75" customHeight="1">
      <c r="A110" s="2"/>
      <c r="B110" s="35"/>
      <c r="C110" s="2"/>
      <c r="D110" s="2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2"/>
      <c r="T110" s="2"/>
      <c r="U110" s="2"/>
      <c r="V110" s="2"/>
      <c r="W110" s="2"/>
      <c r="X110" s="2"/>
      <c r="Y110" s="64"/>
      <c r="Z110" s="64"/>
      <c r="AA110" s="2"/>
      <c r="AB110" s="2"/>
      <c r="AC110" s="2"/>
      <c r="AD110" s="2"/>
      <c r="AE110" s="2"/>
      <c r="AF110" s="2"/>
    </row>
    <row r="111" spans="1:32" ht="12.75" customHeight="1">
      <c r="A111" s="2"/>
      <c r="B111" s="35"/>
      <c r="C111" s="2"/>
      <c r="D111" s="2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2"/>
      <c r="T111" s="2"/>
      <c r="U111" s="2"/>
      <c r="V111" s="2"/>
      <c r="W111" s="2"/>
      <c r="X111" s="2"/>
      <c r="Y111" s="64"/>
      <c r="Z111" s="64"/>
      <c r="AA111" s="2"/>
      <c r="AB111" s="2"/>
      <c r="AC111" s="2"/>
      <c r="AD111" s="2"/>
      <c r="AE111" s="2"/>
      <c r="AF111" s="2"/>
    </row>
    <row r="112" spans="1:32" ht="12.75" customHeight="1">
      <c r="A112" s="2"/>
      <c r="B112" s="35"/>
      <c r="C112" s="2"/>
      <c r="D112" s="2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2"/>
      <c r="T112" s="2"/>
      <c r="U112" s="2"/>
      <c r="V112" s="2"/>
      <c r="W112" s="2"/>
      <c r="X112" s="2"/>
      <c r="Y112" s="64"/>
      <c r="Z112" s="64"/>
      <c r="AA112" s="2"/>
      <c r="AB112" s="2"/>
      <c r="AC112" s="2"/>
      <c r="AD112" s="2"/>
      <c r="AE112" s="2"/>
      <c r="AF112" s="2"/>
    </row>
    <row r="113" spans="1:32" ht="12.75" customHeight="1">
      <c r="A113" s="2"/>
      <c r="B113" s="35"/>
      <c r="C113" s="2"/>
      <c r="D113" s="2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2"/>
      <c r="T113" s="2"/>
      <c r="U113" s="2"/>
      <c r="V113" s="2"/>
      <c r="W113" s="2"/>
      <c r="X113" s="2"/>
      <c r="Y113" s="64"/>
      <c r="Z113" s="64"/>
      <c r="AA113" s="2"/>
      <c r="AB113" s="2"/>
      <c r="AC113" s="2"/>
      <c r="AD113" s="2"/>
      <c r="AE113" s="2"/>
      <c r="AF113" s="2"/>
    </row>
    <row r="114" spans="1:32" ht="12.75" customHeight="1">
      <c r="A114" s="2"/>
      <c r="B114" s="35"/>
      <c r="C114" s="2"/>
      <c r="D114" s="2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2"/>
      <c r="T114" s="2"/>
      <c r="U114" s="2"/>
      <c r="V114" s="2"/>
      <c r="W114" s="2"/>
      <c r="X114" s="2"/>
      <c r="Y114" s="64"/>
      <c r="Z114" s="64"/>
      <c r="AA114" s="2"/>
      <c r="AB114" s="2"/>
      <c r="AC114" s="2"/>
      <c r="AD114" s="2"/>
      <c r="AE114" s="2"/>
      <c r="AF114" s="2"/>
    </row>
    <row r="115" spans="1:32" ht="12.75" customHeight="1">
      <c r="A115" s="2"/>
      <c r="B115" s="35"/>
      <c r="C115" s="2"/>
      <c r="D115" s="2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2"/>
      <c r="T115" s="2"/>
      <c r="U115" s="2"/>
      <c r="V115" s="2"/>
      <c r="W115" s="2"/>
      <c r="X115" s="2"/>
      <c r="Y115" s="64"/>
      <c r="Z115" s="64"/>
      <c r="AA115" s="2"/>
      <c r="AB115" s="2"/>
      <c r="AC115" s="2"/>
      <c r="AD115" s="2"/>
      <c r="AE115" s="2"/>
      <c r="AF115" s="2"/>
    </row>
    <row r="116" spans="1:32" ht="12.75" customHeight="1">
      <c r="A116" s="2"/>
      <c r="B116" s="35"/>
      <c r="C116" s="2"/>
      <c r="D116" s="2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2"/>
      <c r="T116" s="2"/>
      <c r="U116" s="2"/>
      <c r="V116" s="2"/>
      <c r="W116" s="2"/>
      <c r="X116" s="2"/>
      <c r="Y116" s="64"/>
      <c r="Z116" s="64"/>
      <c r="AA116" s="2"/>
      <c r="AB116" s="2"/>
      <c r="AC116" s="2"/>
      <c r="AD116" s="2"/>
      <c r="AE116" s="2"/>
      <c r="AF116" s="2"/>
    </row>
    <row r="117" spans="1:32" ht="12.75" customHeight="1">
      <c r="A117" s="2"/>
      <c r="B117" s="35"/>
      <c r="C117" s="2"/>
      <c r="D117" s="2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2"/>
      <c r="T117" s="2"/>
      <c r="U117" s="2"/>
      <c r="V117" s="2"/>
      <c r="W117" s="2"/>
      <c r="X117" s="2"/>
      <c r="Y117" s="64"/>
      <c r="Z117" s="64"/>
      <c r="AA117" s="2"/>
      <c r="AB117" s="2"/>
      <c r="AC117" s="2"/>
      <c r="AD117" s="2"/>
      <c r="AE117" s="2"/>
      <c r="AF117" s="2"/>
    </row>
    <row r="118" spans="1:32" ht="12.75" customHeight="1">
      <c r="A118" s="2"/>
      <c r="B118" s="35"/>
      <c r="C118" s="2"/>
      <c r="D118" s="2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2"/>
      <c r="T118" s="2"/>
      <c r="U118" s="2"/>
      <c r="V118" s="2"/>
      <c r="W118" s="2"/>
      <c r="X118" s="2"/>
      <c r="Y118" s="64"/>
      <c r="Z118" s="64"/>
      <c r="AA118" s="2"/>
      <c r="AB118" s="2"/>
      <c r="AC118" s="2"/>
      <c r="AD118" s="2"/>
      <c r="AE118" s="2"/>
      <c r="AF118" s="2"/>
    </row>
    <row r="119" spans="1:32" ht="12.75" customHeight="1">
      <c r="A119" s="2"/>
      <c r="B119" s="35"/>
      <c r="C119" s="2"/>
      <c r="D119" s="2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2"/>
      <c r="T119" s="2"/>
      <c r="U119" s="2"/>
      <c r="V119" s="2"/>
      <c r="W119" s="2"/>
      <c r="X119" s="2"/>
      <c r="Y119" s="64"/>
      <c r="Z119" s="64"/>
      <c r="AA119" s="2"/>
      <c r="AB119" s="2"/>
      <c r="AC119" s="2"/>
      <c r="AD119" s="2"/>
      <c r="AE119" s="2"/>
      <c r="AF119" s="2"/>
    </row>
    <row r="120" spans="1:32" ht="12.75" customHeight="1">
      <c r="A120" s="2"/>
      <c r="B120" s="35"/>
      <c r="C120" s="2"/>
      <c r="D120" s="2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2"/>
      <c r="T120" s="2"/>
      <c r="U120" s="2"/>
      <c r="V120" s="2"/>
      <c r="W120" s="2"/>
      <c r="X120" s="2"/>
      <c r="Y120" s="64"/>
      <c r="Z120" s="64"/>
      <c r="AA120" s="2"/>
      <c r="AB120" s="2"/>
      <c r="AC120" s="2"/>
      <c r="AD120" s="2"/>
      <c r="AE120" s="2"/>
      <c r="AF120" s="2"/>
    </row>
    <row r="121" spans="1:32" ht="12.75" customHeight="1">
      <c r="A121" s="2"/>
      <c r="B121" s="35"/>
      <c r="C121" s="2"/>
      <c r="D121" s="2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2"/>
      <c r="T121" s="2"/>
      <c r="U121" s="2"/>
      <c r="V121" s="2"/>
      <c r="W121" s="2"/>
      <c r="X121" s="2"/>
      <c r="Y121" s="64"/>
      <c r="Z121" s="64"/>
      <c r="AA121" s="2"/>
      <c r="AB121" s="2"/>
      <c r="AC121" s="2"/>
      <c r="AD121" s="2"/>
      <c r="AE121" s="2"/>
      <c r="AF121" s="2"/>
    </row>
    <row r="122" spans="1:32" ht="12.75" customHeight="1">
      <c r="A122" s="2"/>
      <c r="B122" s="35"/>
      <c r="C122" s="2"/>
      <c r="D122" s="2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2"/>
      <c r="T122" s="2"/>
      <c r="U122" s="2"/>
      <c r="V122" s="2"/>
      <c r="W122" s="2"/>
      <c r="X122" s="2"/>
      <c r="Y122" s="64"/>
      <c r="Z122" s="64"/>
      <c r="AA122" s="2"/>
      <c r="AB122" s="2"/>
      <c r="AC122" s="2"/>
      <c r="AD122" s="2"/>
      <c r="AE122" s="2"/>
      <c r="AF122" s="2"/>
    </row>
    <row r="123" spans="1:32" ht="12.75" customHeight="1">
      <c r="A123" s="2"/>
      <c r="B123" s="35"/>
      <c r="C123" s="2"/>
      <c r="D123" s="2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2"/>
      <c r="T123" s="2"/>
      <c r="U123" s="2"/>
      <c r="V123" s="2"/>
      <c r="W123" s="2"/>
      <c r="X123" s="2"/>
      <c r="Y123" s="64"/>
      <c r="Z123" s="64"/>
      <c r="AA123" s="2"/>
      <c r="AB123" s="2"/>
      <c r="AC123" s="2"/>
      <c r="AD123" s="2"/>
      <c r="AE123" s="2"/>
      <c r="AF123" s="2"/>
    </row>
    <row r="124" spans="1:32" ht="12.75" customHeight="1">
      <c r="A124" s="2"/>
      <c r="B124" s="35"/>
      <c r="C124" s="2"/>
      <c r="D124" s="2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2"/>
      <c r="T124" s="2"/>
      <c r="U124" s="2"/>
      <c r="V124" s="2"/>
      <c r="W124" s="2"/>
      <c r="X124" s="2"/>
      <c r="Y124" s="64"/>
      <c r="Z124" s="64"/>
      <c r="AA124" s="2"/>
      <c r="AB124" s="2"/>
      <c r="AC124" s="2"/>
      <c r="AD124" s="2"/>
      <c r="AE124" s="2"/>
      <c r="AF124" s="2"/>
    </row>
    <row r="125" spans="1:32" ht="12.75" customHeight="1">
      <c r="A125" s="2"/>
      <c r="B125" s="35"/>
      <c r="C125" s="2"/>
      <c r="D125" s="2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2"/>
      <c r="T125" s="2"/>
      <c r="U125" s="2"/>
      <c r="V125" s="2"/>
      <c r="W125" s="2"/>
      <c r="X125" s="2"/>
      <c r="Y125" s="64"/>
      <c r="Z125" s="64"/>
      <c r="AA125" s="2"/>
      <c r="AB125" s="2"/>
      <c r="AC125" s="2"/>
      <c r="AD125" s="2"/>
      <c r="AE125" s="2"/>
      <c r="AF125" s="2"/>
    </row>
    <row r="126" spans="1:32" ht="12.75" customHeight="1">
      <c r="A126" s="2"/>
      <c r="B126" s="35"/>
      <c r="C126" s="2"/>
      <c r="D126" s="2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2"/>
      <c r="T126" s="2"/>
      <c r="U126" s="2"/>
      <c r="V126" s="2"/>
      <c r="W126" s="2"/>
      <c r="X126" s="2"/>
      <c r="Y126" s="64"/>
      <c r="Z126" s="64"/>
      <c r="AA126" s="2"/>
      <c r="AB126" s="2"/>
      <c r="AC126" s="2"/>
      <c r="AD126" s="2"/>
      <c r="AE126" s="2"/>
      <c r="AF126" s="2"/>
    </row>
    <row r="127" spans="1:32" ht="12.75" customHeight="1">
      <c r="A127" s="2"/>
      <c r="B127" s="35"/>
      <c r="C127" s="2"/>
      <c r="D127" s="2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2"/>
      <c r="T127" s="2"/>
      <c r="U127" s="2"/>
      <c r="V127" s="2"/>
      <c r="W127" s="2"/>
      <c r="X127" s="2"/>
      <c r="Y127" s="64"/>
      <c r="Z127" s="64"/>
      <c r="AA127" s="2"/>
      <c r="AB127" s="2"/>
      <c r="AC127" s="2"/>
      <c r="AD127" s="2"/>
      <c r="AE127" s="2"/>
      <c r="AF127" s="2"/>
    </row>
    <row r="128" spans="1:32" ht="12.75" customHeight="1">
      <c r="A128" s="2"/>
      <c r="B128" s="35"/>
      <c r="C128" s="2"/>
      <c r="D128" s="2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2"/>
      <c r="T128" s="2"/>
      <c r="U128" s="2"/>
      <c r="V128" s="2"/>
      <c r="W128" s="2"/>
      <c r="X128" s="2"/>
      <c r="Y128" s="64"/>
      <c r="Z128" s="64"/>
      <c r="AA128" s="2"/>
      <c r="AB128" s="2"/>
      <c r="AC128" s="2"/>
      <c r="AD128" s="2"/>
      <c r="AE128" s="2"/>
      <c r="AF128" s="2"/>
    </row>
    <row r="129" spans="1:32" ht="12.75" customHeight="1">
      <c r="A129" s="2"/>
      <c r="B129" s="35"/>
      <c r="C129" s="2"/>
      <c r="D129" s="2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2"/>
      <c r="T129" s="2"/>
      <c r="U129" s="2"/>
      <c r="V129" s="2"/>
      <c r="W129" s="2"/>
      <c r="X129" s="2"/>
      <c r="Y129" s="64"/>
      <c r="Z129" s="64"/>
      <c r="AA129" s="2"/>
      <c r="AB129" s="2"/>
      <c r="AC129" s="2"/>
      <c r="AD129" s="2"/>
      <c r="AE129" s="2"/>
      <c r="AF129" s="2"/>
    </row>
    <row r="130" spans="1:32" ht="12.75" customHeight="1">
      <c r="A130" s="2"/>
      <c r="B130" s="35"/>
      <c r="C130" s="2"/>
      <c r="D130" s="2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2"/>
      <c r="T130" s="2"/>
      <c r="U130" s="2"/>
      <c r="V130" s="2"/>
      <c r="W130" s="2"/>
      <c r="X130" s="2"/>
      <c r="Y130" s="64"/>
      <c r="Z130" s="64"/>
      <c r="AA130" s="2"/>
      <c r="AB130" s="2"/>
      <c r="AC130" s="2"/>
      <c r="AD130" s="2"/>
      <c r="AE130" s="2"/>
      <c r="AF130" s="2"/>
    </row>
    <row r="131" spans="1:32" ht="12.75" customHeight="1">
      <c r="A131" s="2"/>
      <c r="B131" s="35"/>
      <c r="C131" s="2"/>
      <c r="D131" s="2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2"/>
      <c r="T131" s="2"/>
      <c r="U131" s="2"/>
      <c r="V131" s="2"/>
      <c r="W131" s="2"/>
      <c r="X131" s="2"/>
      <c r="Y131" s="64"/>
      <c r="Z131" s="64"/>
      <c r="AA131" s="2"/>
      <c r="AB131" s="2"/>
      <c r="AC131" s="2"/>
      <c r="AD131" s="2"/>
      <c r="AE131" s="2"/>
      <c r="AF131" s="2"/>
    </row>
    <row r="132" spans="1:32" ht="12.75" customHeight="1">
      <c r="A132" s="2"/>
      <c r="B132" s="35"/>
      <c r="C132" s="2"/>
      <c r="D132" s="2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2"/>
      <c r="T132" s="2"/>
      <c r="U132" s="2"/>
      <c r="V132" s="2"/>
      <c r="W132" s="2"/>
      <c r="X132" s="2"/>
      <c r="Y132" s="64"/>
      <c r="Z132" s="64"/>
      <c r="AA132" s="2"/>
      <c r="AB132" s="2"/>
      <c r="AC132" s="2"/>
      <c r="AD132" s="2"/>
      <c r="AE132" s="2"/>
      <c r="AF132" s="2"/>
    </row>
    <row r="133" spans="1:32" ht="12.75" customHeight="1">
      <c r="A133" s="2"/>
      <c r="B133" s="35"/>
      <c r="C133" s="2"/>
      <c r="D133" s="2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2"/>
      <c r="T133" s="2"/>
      <c r="U133" s="2"/>
      <c r="V133" s="2"/>
      <c r="W133" s="2"/>
      <c r="X133" s="2"/>
      <c r="Y133" s="64"/>
      <c r="Z133" s="64"/>
      <c r="AA133" s="2"/>
      <c r="AB133" s="2"/>
      <c r="AC133" s="2"/>
      <c r="AD133" s="2"/>
      <c r="AE133" s="2"/>
      <c r="AF133" s="2"/>
    </row>
    <row r="134" spans="1:32" ht="12.75" customHeight="1">
      <c r="A134" s="2"/>
      <c r="B134" s="35"/>
      <c r="C134" s="2"/>
      <c r="D134" s="2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2"/>
      <c r="T134" s="2"/>
      <c r="U134" s="2"/>
      <c r="V134" s="2"/>
      <c r="W134" s="2"/>
      <c r="X134" s="2"/>
      <c r="Y134" s="64"/>
      <c r="Z134" s="64"/>
      <c r="AA134" s="2"/>
      <c r="AB134" s="2"/>
      <c r="AC134" s="2"/>
      <c r="AD134" s="2"/>
      <c r="AE134" s="2"/>
      <c r="AF134" s="2"/>
    </row>
    <row r="135" spans="1:32" ht="12.75" customHeight="1">
      <c r="A135" s="2"/>
      <c r="B135" s="35"/>
      <c r="C135" s="2"/>
      <c r="D135" s="2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2"/>
      <c r="T135" s="2"/>
      <c r="U135" s="2"/>
      <c r="V135" s="2"/>
      <c r="W135" s="2"/>
      <c r="X135" s="2"/>
      <c r="Y135" s="64"/>
      <c r="Z135" s="64"/>
      <c r="AA135" s="2"/>
      <c r="AB135" s="2"/>
      <c r="AC135" s="2"/>
      <c r="AD135" s="2"/>
      <c r="AE135" s="2"/>
      <c r="AF135" s="2"/>
    </row>
    <row r="136" spans="1:32" ht="12.75" customHeight="1">
      <c r="A136" s="2"/>
      <c r="B136" s="35"/>
      <c r="C136" s="2"/>
      <c r="D136" s="2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2"/>
      <c r="T136" s="2"/>
      <c r="U136" s="2"/>
      <c r="V136" s="2"/>
      <c r="W136" s="2"/>
      <c r="X136" s="2"/>
      <c r="Y136" s="64"/>
      <c r="Z136" s="64"/>
      <c r="AA136" s="2"/>
      <c r="AB136" s="2"/>
      <c r="AC136" s="2"/>
      <c r="AD136" s="2"/>
      <c r="AE136" s="2"/>
      <c r="AF136" s="2"/>
    </row>
    <row r="137" spans="1:32" ht="12.75" customHeight="1">
      <c r="A137" s="2"/>
      <c r="B137" s="35"/>
      <c r="C137" s="2"/>
      <c r="D137" s="2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2"/>
      <c r="T137" s="2"/>
      <c r="U137" s="2"/>
      <c r="V137" s="2"/>
      <c r="W137" s="2"/>
      <c r="X137" s="2"/>
      <c r="Y137" s="64"/>
      <c r="Z137" s="64"/>
      <c r="AA137" s="2"/>
      <c r="AB137" s="2"/>
      <c r="AC137" s="2"/>
      <c r="AD137" s="2"/>
      <c r="AE137" s="2"/>
      <c r="AF137" s="2"/>
    </row>
    <row r="138" spans="1:32" ht="12.75" customHeight="1">
      <c r="A138" s="2"/>
      <c r="B138" s="35"/>
      <c r="C138" s="2"/>
      <c r="D138" s="2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2"/>
      <c r="T138" s="2"/>
      <c r="U138" s="2"/>
      <c r="V138" s="2"/>
      <c r="W138" s="2"/>
      <c r="X138" s="2"/>
      <c r="Y138" s="64"/>
      <c r="Z138" s="64"/>
      <c r="AA138" s="2"/>
      <c r="AB138" s="2"/>
      <c r="AC138" s="2"/>
      <c r="AD138" s="2"/>
      <c r="AE138" s="2"/>
      <c r="AF138" s="2"/>
    </row>
    <row r="139" spans="1:32" ht="12.75" customHeight="1">
      <c r="A139" s="2"/>
      <c r="B139" s="35"/>
      <c r="C139" s="2"/>
      <c r="D139" s="2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2"/>
      <c r="T139" s="2"/>
      <c r="U139" s="2"/>
      <c r="V139" s="2"/>
      <c r="W139" s="2"/>
      <c r="X139" s="2"/>
      <c r="Y139" s="64"/>
      <c r="Z139" s="64"/>
      <c r="AA139" s="2"/>
      <c r="AB139" s="2"/>
      <c r="AC139" s="2"/>
      <c r="AD139" s="2"/>
      <c r="AE139" s="2"/>
      <c r="AF139" s="2"/>
    </row>
    <row r="140" spans="1:32" ht="12.75" customHeight="1">
      <c r="A140" s="2"/>
      <c r="B140" s="35"/>
      <c r="C140" s="2"/>
      <c r="D140" s="2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2"/>
      <c r="T140" s="2"/>
      <c r="U140" s="2"/>
      <c r="V140" s="2"/>
      <c r="W140" s="2"/>
      <c r="X140" s="2"/>
      <c r="Y140" s="64"/>
      <c r="Z140" s="64"/>
      <c r="AA140" s="2"/>
      <c r="AB140" s="2"/>
      <c r="AC140" s="2"/>
      <c r="AD140" s="2"/>
      <c r="AE140" s="2"/>
      <c r="AF140" s="2"/>
    </row>
    <row r="141" spans="1:32" ht="12.75" customHeight="1">
      <c r="A141" s="2"/>
      <c r="B141" s="35"/>
      <c r="C141" s="2"/>
      <c r="D141" s="2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2"/>
      <c r="T141" s="2"/>
      <c r="U141" s="2"/>
      <c r="V141" s="2"/>
      <c r="W141" s="2"/>
      <c r="X141" s="2"/>
      <c r="Y141" s="64"/>
      <c r="Z141" s="64"/>
      <c r="AA141" s="2"/>
      <c r="AB141" s="2"/>
      <c r="AC141" s="2"/>
      <c r="AD141" s="2"/>
      <c r="AE141" s="2"/>
      <c r="AF141" s="2"/>
    </row>
    <row r="142" spans="1:32" ht="12.75" customHeight="1">
      <c r="A142" s="2"/>
      <c r="B142" s="35"/>
      <c r="C142" s="2"/>
      <c r="D142" s="2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2"/>
      <c r="T142" s="2"/>
      <c r="U142" s="2"/>
      <c r="V142" s="2"/>
      <c r="W142" s="2"/>
      <c r="X142" s="2"/>
      <c r="Y142" s="64"/>
      <c r="Z142" s="64"/>
      <c r="AA142" s="2"/>
      <c r="AB142" s="2"/>
      <c r="AC142" s="2"/>
      <c r="AD142" s="2"/>
      <c r="AE142" s="2"/>
      <c r="AF142" s="2"/>
    </row>
    <row r="143" spans="1:32" ht="12.75" customHeight="1">
      <c r="A143" s="2"/>
      <c r="B143" s="35"/>
      <c r="C143" s="2"/>
      <c r="D143" s="2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2"/>
      <c r="T143" s="2"/>
      <c r="U143" s="2"/>
      <c r="V143" s="2"/>
      <c r="W143" s="2"/>
      <c r="X143" s="2"/>
      <c r="Y143" s="64"/>
      <c r="Z143" s="64"/>
      <c r="AA143" s="2"/>
      <c r="AB143" s="2"/>
      <c r="AC143" s="2"/>
      <c r="AD143" s="2"/>
      <c r="AE143" s="2"/>
      <c r="AF143" s="2"/>
    </row>
    <row r="144" spans="1:32" ht="12.75" customHeight="1">
      <c r="A144" s="2"/>
      <c r="B144" s="35"/>
      <c r="C144" s="2"/>
      <c r="D144" s="2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2"/>
      <c r="T144" s="2"/>
      <c r="U144" s="2"/>
      <c r="V144" s="2"/>
      <c r="W144" s="2"/>
      <c r="X144" s="2"/>
      <c r="Y144" s="64"/>
      <c r="Z144" s="64"/>
      <c r="AA144" s="2"/>
      <c r="AB144" s="2"/>
      <c r="AC144" s="2"/>
      <c r="AD144" s="2"/>
      <c r="AE144" s="2"/>
      <c r="AF144" s="2"/>
    </row>
    <row r="145" spans="1:32" ht="12.75" customHeight="1">
      <c r="A145" s="2"/>
      <c r="B145" s="35"/>
      <c r="C145" s="2"/>
      <c r="D145" s="2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2"/>
      <c r="T145" s="2"/>
      <c r="U145" s="2"/>
      <c r="V145" s="2"/>
      <c r="W145" s="2"/>
      <c r="X145" s="2"/>
      <c r="Y145" s="64"/>
      <c r="Z145" s="64"/>
      <c r="AA145" s="2"/>
      <c r="AB145" s="2"/>
      <c r="AC145" s="2"/>
      <c r="AD145" s="2"/>
      <c r="AE145" s="2"/>
      <c r="AF145" s="2"/>
    </row>
    <row r="146" spans="1:32" ht="12.75" customHeight="1">
      <c r="A146" s="2"/>
      <c r="B146" s="35"/>
      <c r="C146" s="2"/>
      <c r="D146" s="2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2"/>
      <c r="T146" s="2"/>
      <c r="U146" s="2"/>
      <c r="V146" s="2"/>
      <c r="W146" s="2"/>
      <c r="X146" s="2"/>
      <c r="Y146" s="64"/>
      <c r="Z146" s="64"/>
      <c r="AA146" s="2"/>
      <c r="AB146" s="2"/>
      <c r="AC146" s="2"/>
      <c r="AD146" s="2"/>
      <c r="AE146" s="2"/>
      <c r="AF146" s="2"/>
    </row>
    <row r="147" spans="1:32" ht="12.75" customHeight="1">
      <c r="A147" s="2"/>
      <c r="B147" s="35"/>
      <c r="C147" s="2"/>
      <c r="D147" s="2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2"/>
      <c r="T147" s="2"/>
      <c r="U147" s="2"/>
      <c r="V147" s="2"/>
      <c r="W147" s="2"/>
      <c r="X147" s="2"/>
      <c r="Y147" s="64"/>
      <c r="Z147" s="64"/>
      <c r="AA147" s="2"/>
      <c r="AB147" s="2"/>
      <c r="AC147" s="2"/>
      <c r="AD147" s="2"/>
      <c r="AE147" s="2"/>
      <c r="AF147" s="2"/>
    </row>
    <row r="148" spans="1:32" ht="12.75" customHeight="1">
      <c r="A148" s="2"/>
      <c r="B148" s="35"/>
      <c r="C148" s="2"/>
      <c r="D148" s="2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2"/>
      <c r="T148" s="2"/>
      <c r="U148" s="2"/>
      <c r="V148" s="2"/>
      <c r="W148" s="2"/>
      <c r="X148" s="2"/>
      <c r="Y148" s="64"/>
      <c r="Z148" s="64"/>
      <c r="AA148" s="2"/>
      <c r="AB148" s="2"/>
      <c r="AC148" s="2"/>
      <c r="AD148" s="2"/>
      <c r="AE148" s="2"/>
      <c r="AF148" s="2"/>
    </row>
    <row r="149" spans="1:32" ht="12.75" customHeight="1">
      <c r="A149" s="2"/>
      <c r="B149" s="35"/>
      <c r="C149" s="2"/>
      <c r="D149" s="2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2"/>
      <c r="T149" s="2"/>
      <c r="U149" s="2"/>
      <c r="V149" s="2"/>
      <c r="W149" s="2"/>
      <c r="X149" s="2"/>
      <c r="Y149" s="64"/>
      <c r="Z149" s="64"/>
      <c r="AA149" s="2"/>
      <c r="AB149" s="2"/>
      <c r="AC149" s="2"/>
      <c r="AD149" s="2"/>
      <c r="AE149" s="2"/>
      <c r="AF149" s="2"/>
    </row>
    <row r="150" spans="1:32" ht="12.75" customHeight="1">
      <c r="A150" s="2"/>
      <c r="B150" s="35"/>
      <c r="C150" s="2"/>
      <c r="D150" s="2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2"/>
      <c r="T150" s="2"/>
      <c r="U150" s="2"/>
      <c r="V150" s="2"/>
      <c r="W150" s="2"/>
      <c r="X150" s="2"/>
      <c r="Y150" s="64"/>
      <c r="Z150" s="64"/>
      <c r="AA150" s="2"/>
      <c r="AB150" s="2"/>
      <c r="AC150" s="2"/>
      <c r="AD150" s="2"/>
      <c r="AE150" s="2"/>
      <c r="AF150" s="2"/>
    </row>
    <row r="151" spans="1:32" ht="12.75" customHeight="1">
      <c r="A151" s="2"/>
      <c r="B151" s="35"/>
      <c r="C151" s="2"/>
      <c r="D151" s="2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2"/>
      <c r="T151" s="2"/>
      <c r="U151" s="2"/>
      <c r="V151" s="2"/>
      <c r="W151" s="2"/>
      <c r="X151" s="2"/>
      <c r="Y151" s="64"/>
      <c r="Z151" s="64"/>
      <c r="AA151" s="2"/>
      <c r="AB151" s="2"/>
      <c r="AC151" s="2"/>
      <c r="AD151" s="2"/>
      <c r="AE151" s="2"/>
      <c r="AF151" s="2"/>
    </row>
    <row r="152" spans="1:32" ht="12.75" customHeight="1">
      <c r="A152" s="2"/>
      <c r="B152" s="35"/>
      <c r="C152" s="2"/>
      <c r="D152" s="2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2"/>
      <c r="T152" s="2"/>
      <c r="U152" s="2"/>
      <c r="V152" s="2"/>
      <c r="W152" s="2"/>
      <c r="X152" s="2"/>
      <c r="Y152" s="64"/>
      <c r="Z152" s="64"/>
      <c r="AA152" s="2"/>
      <c r="AB152" s="2"/>
      <c r="AC152" s="2"/>
      <c r="AD152" s="2"/>
      <c r="AE152" s="2"/>
      <c r="AF152" s="2"/>
    </row>
    <row r="153" spans="1:32" ht="12.75" customHeight="1">
      <c r="A153" s="2"/>
      <c r="B153" s="35"/>
      <c r="C153" s="2"/>
      <c r="D153" s="2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2"/>
      <c r="T153" s="2"/>
      <c r="U153" s="2"/>
      <c r="V153" s="2"/>
      <c r="W153" s="2"/>
      <c r="X153" s="2"/>
      <c r="Y153" s="64"/>
      <c r="Z153" s="64"/>
      <c r="AA153" s="2"/>
      <c r="AB153" s="2"/>
      <c r="AC153" s="2"/>
      <c r="AD153" s="2"/>
      <c r="AE153" s="2"/>
      <c r="AF153" s="2"/>
    </row>
    <row r="154" spans="1:32" ht="12.75" customHeight="1">
      <c r="A154" s="2"/>
      <c r="B154" s="35"/>
      <c r="C154" s="2"/>
      <c r="D154" s="2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2"/>
      <c r="T154" s="2"/>
      <c r="U154" s="2"/>
      <c r="V154" s="2"/>
      <c r="W154" s="2"/>
      <c r="X154" s="2"/>
      <c r="Y154" s="64"/>
      <c r="Z154" s="64"/>
      <c r="AA154" s="2"/>
      <c r="AB154" s="2"/>
      <c r="AC154" s="2"/>
      <c r="AD154" s="2"/>
      <c r="AE154" s="2"/>
      <c r="AF154" s="2"/>
    </row>
    <row r="155" spans="1:32" ht="12.75" customHeight="1">
      <c r="A155" s="2"/>
      <c r="B155" s="35"/>
      <c r="C155" s="2"/>
      <c r="D155" s="2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2"/>
      <c r="T155" s="2"/>
      <c r="U155" s="2"/>
      <c r="V155" s="2"/>
      <c r="W155" s="2"/>
      <c r="X155" s="2"/>
      <c r="Y155" s="64"/>
      <c r="Z155" s="64"/>
      <c r="AA155" s="2"/>
      <c r="AB155" s="2"/>
      <c r="AC155" s="2"/>
      <c r="AD155" s="2"/>
      <c r="AE155" s="2"/>
      <c r="AF155" s="2"/>
    </row>
    <row r="156" spans="1:32" ht="12.75" customHeight="1">
      <c r="A156" s="2"/>
      <c r="B156" s="35"/>
      <c r="C156" s="2"/>
      <c r="D156" s="2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2"/>
      <c r="T156" s="2"/>
      <c r="U156" s="2"/>
      <c r="V156" s="2"/>
      <c r="W156" s="2"/>
      <c r="X156" s="2"/>
      <c r="Y156" s="64"/>
      <c r="Z156" s="64"/>
      <c r="AA156" s="2"/>
      <c r="AB156" s="2"/>
      <c r="AC156" s="2"/>
      <c r="AD156" s="2"/>
      <c r="AE156" s="2"/>
      <c r="AF156" s="2"/>
    </row>
    <row r="157" spans="1:32" ht="12.75" customHeight="1">
      <c r="A157" s="2"/>
      <c r="B157" s="35"/>
      <c r="C157" s="2"/>
      <c r="D157" s="2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2"/>
      <c r="T157" s="2"/>
      <c r="U157" s="2"/>
      <c r="V157" s="2"/>
      <c r="W157" s="2"/>
      <c r="X157" s="2"/>
      <c r="Y157" s="64"/>
      <c r="Z157" s="64"/>
      <c r="AA157" s="2"/>
      <c r="AB157" s="2"/>
      <c r="AC157" s="2"/>
      <c r="AD157" s="2"/>
      <c r="AE157" s="2"/>
      <c r="AF157" s="2"/>
    </row>
    <row r="158" spans="1:32" ht="12.75" customHeight="1">
      <c r="A158" s="2"/>
      <c r="B158" s="35"/>
      <c r="C158" s="2"/>
      <c r="D158" s="2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2"/>
      <c r="T158" s="2"/>
      <c r="U158" s="2"/>
      <c r="V158" s="2"/>
      <c r="W158" s="2"/>
      <c r="X158" s="2"/>
      <c r="Y158" s="64"/>
      <c r="Z158" s="64"/>
      <c r="AA158" s="2"/>
      <c r="AB158" s="2"/>
      <c r="AC158" s="2"/>
      <c r="AD158" s="2"/>
      <c r="AE158" s="2"/>
      <c r="AF158" s="2"/>
    </row>
    <row r="159" spans="1:32" ht="12.75" customHeight="1">
      <c r="A159" s="2"/>
      <c r="B159" s="35"/>
      <c r="C159" s="2"/>
      <c r="D159" s="2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2"/>
      <c r="T159" s="2"/>
      <c r="U159" s="2"/>
      <c r="V159" s="2"/>
      <c r="W159" s="2"/>
      <c r="X159" s="2"/>
      <c r="Y159" s="64"/>
      <c r="Z159" s="64"/>
      <c r="AA159" s="2"/>
      <c r="AB159" s="2"/>
      <c r="AC159" s="2"/>
      <c r="AD159" s="2"/>
      <c r="AE159" s="2"/>
      <c r="AF159" s="2"/>
    </row>
    <row r="160" spans="1:32" ht="12.75" customHeight="1">
      <c r="A160" s="2"/>
      <c r="B160" s="35"/>
      <c r="C160" s="2"/>
      <c r="D160" s="2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2"/>
      <c r="T160" s="2"/>
      <c r="U160" s="2"/>
      <c r="V160" s="2"/>
      <c r="W160" s="2"/>
      <c r="X160" s="2"/>
      <c r="Y160" s="64"/>
      <c r="Z160" s="64"/>
      <c r="AA160" s="2"/>
      <c r="AB160" s="2"/>
      <c r="AC160" s="2"/>
      <c r="AD160" s="2"/>
      <c r="AE160" s="2"/>
      <c r="AF160" s="2"/>
    </row>
    <row r="161" spans="1:32" ht="12.75" customHeight="1">
      <c r="A161" s="2"/>
      <c r="B161" s="35"/>
      <c r="C161" s="2"/>
      <c r="D161" s="2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2"/>
      <c r="T161" s="2"/>
      <c r="U161" s="2"/>
      <c r="V161" s="2"/>
      <c r="W161" s="2"/>
      <c r="X161" s="2"/>
      <c r="Y161" s="64"/>
      <c r="Z161" s="64"/>
      <c r="AA161" s="2"/>
      <c r="AB161" s="2"/>
      <c r="AC161" s="2"/>
      <c r="AD161" s="2"/>
      <c r="AE161" s="2"/>
      <c r="AF161" s="2"/>
    </row>
    <row r="162" spans="1:32" ht="12.75" customHeight="1">
      <c r="A162" s="2"/>
      <c r="B162" s="35"/>
      <c r="C162" s="2"/>
      <c r="D162" s="2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2"/>
      <c r="T162" s="2"/>
      <c r="U162" s="2"/>
      <c r="V162" s="2"/>
      <c r="W162" s="2"/>
      <c r="X162" s="2"/>
      <c r="Y162" s="64"/>
      <c r="Z162" s="64"/>
      <c r="AA162" s="2"/>
      <c r="AB162" s="2"/>
      <c r="AC162" s="2"/>
      <c r="AD162" s="2"/>
      <c r="AE162" s="2"/>
      <c r="AF162" s="2"/>
    </row>
    <row r="163" spans="1:32" ht="12.75" customHeight="1">
      <c r="A163" s="2"/>
      <c r="B163" s="35"/>
      <c r="C163" s="2"/>
      <c r="D163" s="2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2"/>
      <c r="T163" s="2"/>
      <c r="U163" s="2"/>
      <c r="V163" s="2"/>
      <c r="W163" s="2"/>
      <c r="X163" s="2"/>
      <c r="Y163" s="64"/>
      <c r="Z163" s="64"/>
      <c r="AA163" s="2"/>
      <c r="AB163" s="2"/>
      <c r="AC163" s="2"/>
      <c r="AD163" s="2"/>
      <c r="AE163" s="2"/>
      <c r="AF163" s="2"/>
    </row>
    <row r="164" spans="1:32" ht="12.75" customHeight="1">
      <c r="A164" s="2"/>
      <c r="B164" s="35"/>
      <c r="C164" s="2"/>
      <c r="D164" s="2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2"/>
      <c r="T164" s="2"/>
      <c r="U164" s="2"/>
      <c r="V164" s="2"/>
      <c r="W164" s="2"/>
      <c r="X164" s="2"/>
      <c r="Y164" s="64"/>
      <c r="Z164" s="64"/>
      <c r="AA164" s="2"/>
      <c r="AB164" s="2"/>
      <c r="AC164" s="2"/>
      <c r="AD164" s="2"/>
      <c r="AE164" s="2"/>
      <c r="AF164" s="2"/>
    </row>
    <row r="165" spans="1:32" ht="12.75" customHeight="1">
      <c r="A165" s="2"/>
      <c r="B165" s="35"/>
      <c r="C165" s="2"/>
      <c r="D165" s="2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2"/>
      <c r="T165" s="2"/>
      <c r="U165" s="2"/>
      <c r="V165" s="2"/>
      <c r="W165" s="2"/>
      <c r="X165" s="2"/>
      <c r="Y165" s="64"/>
      <c r="Z165" s="64"/>
      <c r="AA165" s="2"/>
      <c r="AB165" s="2"/>
      <c r="AC165" s="2"/>
      <c r="AD165" s="2"/>
      <c r="AE165" s="2"/>
      <c r="AF165" s="2"/>
    </row>
    <row r="166" spans="1:32" ht="12.75" customHeight="1">
      <c r="A166" s="2"/>
      <c r="B166" s="35"/>
      <c r="C166" s="2"/>
      <c r="D166" s="2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2"/>
      <c r="T166" s="2"/>
      <c r="U166" s="2"/>
      <c r="V166" s="2"/>
      <c r="W166" s="2"/>
      <c r="X166" s="2"/>
      <c r="Y166" s="64"/>
      <c r="Z166" s="64"/>
      <c r="AA166" s="2"/>
      <c r="AB166" s="2"/>
      <c r="AC166" s="2"/>
      <c r="AD166" s="2"/>
      <c r="AE166" s="2"/>
      <c r="AF166" s="2"/>
    </row>
    <row r="167" spans="1:32" ht="12.75" customHeight="1">
      <c r="A167" s="2"/>
      <c r="B167" s="35"/>
      <c r="C167" s="2"/>
      <c r="D167" s="2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2"/>
      <c r="T167" s="2"/>
      <c r="U167" s="2"/>
      <c r="V167" s="2"/>
      <c r="W167" s="2"/>
      <c r="X167" s="2"/>
      <c r="Y167" s="64"/>
      <c r="Z167" s="64"/>
      <c r="AA167" s="2"/>
      <c r="AB167" s="2"/>
      <c r="AC167" s="2"/>
      <c r="AD167" s="2"/>
      <c r="AE167" s="2"/>
      <c r="AF167" s="2"/>
    </row>
    <row r="168" spans="1:32" ht="12.75" customHeight="1">
      <c r="A168" s="2"/>
      <c r="B168" s="35"/>
      <c r="C168" s="2"/>
      <c r="D168" s="2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2"/>
      <c r="T168" s="2"/>
      <c r="U168" s="2"/>
      <c r="V168" s="2"/>
      <c r="W168" s="2"/>
      <c r="X168" s="2"/>
      <c r="Y168" s="64"/>
      <c r="Z168" s="64"/>
      <c r="AA168" s="2"/>
      <c r="AB168" s="2"/>
      <c r="AC168" s="2"/>
      <c r="AD168" s="2"/>
      <c r="AE168" s="2"/>
      <c r="AF168" s="2"/>
    </row>
    <row r="169" spans="1:32" ht="12.75" customHeight="1">
      <c r="A169" s="2"/>
      <c r="B169" s="35"/>
      <c r="C169" s="2"/>
      <c r="D169" s="2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2"/>
      <c r="T169" s="2"/>
      <c r="U169" s="2"/>
      <c r="V169" s="2"/>
      <c r="W169" s="2"/>
      <c r="X169" s="2"/>
      <c r="Y169" s="64"/>
      <c r="Z169" s="64"/>
      <c r="AA169" s="2"/>
      <c r="AB169" s="2"/>
      <c r="AC169" s="2"/>
      <c r="AD169" s="2"/>
      <c r="AE169" s="2"/>
      <c r="AF169" s="2"/>
    </row>
    <row r="170" spans="1:32" ht="12.75" customHeight="1">
      <c r="A170" s="2"/>
      <c r="B170" s="35"/>
      <c r="C170" s="2"/>
      <c r="D170" s="2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2"/>
      <c r="T170" s="2"/>
      <c r="U170" s="2"/>
      <c r="V170" s="2"/>
      <c r="W170" s="2"/>
      <c r="X170" s="2"/>
      <c r="Y170" s="64"/>
      <c r="Z170" s="64"/>
      <c r="AA170" s="2"/>
      <c r="AB170" s="2"/>
      <c r="AC170" s="2"/>
      <c r="AD170" s="2"/>
      <c r="AE170" s="2"/>
      <c r="AF170" s="2"/>
    </row>
    <row r="171" spans="1:32" ht="12.75" customHeight="1">
      <c r="A171" s="2"/>
      <c r="B171" s="35"/>
      <c r="C171" s="2"/>
      <c r="D171" s="2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2"/>
      <c r="T171" s="2"/>
      <c r="U171" s="2"/>
      <c r="V171" s="2"/>
      <c r="W171" s="2"/>
      <c r="X171" s="2"/>
      <c r="Y171" s="64"/>
      <c r="Z171" s="64"/>
      <c r="AA171" s="2"/>
      <c r="AB171" s="2"/>
      <c r="AC171" s="2"/>
      <c r="AD171" s="2"/>
      <c r="AE171" s="2"/>
      <c r="AF171" s="2"/>
    </row>
    <row r="172" spans="1:32" ht="12.75" customHeight="1">
      <c r="A172" s="2"/>
      <c r="B172" s="35"/>
      <c r="C172" s="2"/>
      <c r="D172" s="2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2"/>
      <c r="T172" s="2"/>
      <c r="U172" s="2"/>
      <c r="V172" s="2"/>
      <c r="W172" s="2"/>
      <c r="X172" s="2"/>
      <c r="Y172" s="64"/>
      <c r="Z172" s="64"/>
      <c r="AA172" s="2"/>
      <c r="AB172" s="2"/>
      <c r="AC172" s="2"/>
      <c r="AD172" s="2"/>
      <c r="AE172" s="2"/>
      <c r="AF172" s="2"/>
    </row>
    <row r="173" spans="1:32" ht="12.75" customHeight="1">
      <c r="A173" s="2"/>
      <c r="B173" s="35"/>
      <c r="C173" s="2"/>
      <c r="D173" s="2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2"/>
      <c r="T173" s="2"/>
      <c r="U173" s="2"/>
      <c r="V173" s="2"/>
      <c r="W173" s="2"/>
      <c r="X173" s="2"/>
      <c r="Y173" s="64"/>
      <c r="Z173" s="64"/>
      <c r="AA173" s="2"/>
      <c r="AB173" s="2"/>
      <c r="AC173" s="2"/>
      <c r="AD173" s="2"/>
      <c r="AE173" s="2"/>
      <c r="AF173" s="2"/>
    </row>
    <row r="174" spans="1:32" ht="12.75" customHeight="1">
      <c r="A174" s="2"/>
      <c r="B174" s="35"/>
      <c r="C174" s="2"/>
      <c r="D174" s="2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2"/>
      <c r="T174" s="2"/>
      <c r="U174" s="2"/>
      <c r="V174" s="2"/>
      <c r="W174" s="2"/>
      <c r="X174" s="2"/>
      <c r="Y174" s="64"/>
      <c r="Z174" s="64"/>
      <c r="AA174" s="2"/>
      <c r="AB174" s="2"/>
      <c r="AC174" s="2"/>
      <c r="AD174" s="2"/>
      <c r="AE174" s="2"/>
      <c r="AF174" s="2"/>
    </row>
    <row r="175" spans="1:32" ht="12.75" customHeight="1">
      <c r="A175" s="2"/>
      <c r="B175" s="35"/>
      <c r="C175" s="2"/>
      <c r="D175" s="2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2"/>
      <c r="T175" s="2"/>
      <c r="U175" s="2"/>
      <c r="V175" s="2"/>
      <c r="W175" s="2"/>
      <c r="X175" s="2"/>
      <c r="Y175" s="64"/>
      <c r="Z175" s="64"/>
      <c r="AA175" s="2"/>
      <c r="AB175" s="2"/>
      <c r="AC175" s="2"/>
      <c r="AD175" s="2"/>
      <c r="AE175" s="2"/>
      <c r="AF175" s="2"/>
    </row>
    <row r="176" spans="1:32" ht="12.75" customHeight="1">
      <c r="A176" s="2"/>
      <c r="B176" s="35"/>
      <c r="C176" s="2"/>
      <c r="D176" s="2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2"/>
      <c r="T176" s="2"/>
      <c r="U176" s="2"/>
      <c r="V176" s="2"/>
      <c r="W176" s="2"/>
      <c r="X176" s="2"/>
      <c r="Y176" s="64"/>
      <c r="Z176" s="64"/>
      <c r="AA176" s="2"/>
      <c r="AB176" s="2"/>
      <c r="AC176" s="2"/>
      <c r="AD176" s="2"/>
      <c r="AE176" s="2"/>
      <c r="AF176" s="2"/>
    </row>
    <row r="177" spans="1:32" ht="12.75" customHeight="1">
      <c r="A177" s="2"/>
      <c r="B177" s="35"/>
      <c r="C177" s="2"/>
      <c r="D177" s="2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2"/>
      <c r="T177" s="2"/>
      <c r="U177" s="2"/>
      <c r="V177" s="2"/>
      <c r="W177" s="2"/>
      <c r="X177" s="2"/>
      <c r="Y177" s="64"/>
      <c r="Z177" s="64"/>
      <c r="AA177" s="2"/>
      <c r="AB177" s="2"/>
      <c r="AC177" s="2"/>
      <c r="AD177" s="2"/>
      <c r="AE177" s="2"/>
      <c r="AF177" s="2"/>
    </row>
    <row r="178" spans="1:32" ht="12.75" customHeight="1">
      <c r="A178" s="2"/>
      <c r="B178" s="35"/>
      <c r="C178" s="2"/>
      <c r="D178" s="2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2"/>
      <c r="T178" s="2"/>
      <c r="U178" s="2"/>
      <c r="V178" s="2"/>
      <c r="W178" s="2"/>
      <c r="X178" s="2"/>
      <c r="Y178" s="64"/>
      <c r="Z178" s="64"/>
      <c r="AA178" s="2"/>
      <c r="AB178" s="2"/>
      <c r="AC178" s="2"/>
      <c r="AD178" s="2"/>
      <c r="AE178" s="2"/>
      <c r="AF178" s="2"/>
    </row>
    <row r="179" spans="1:32" ht="12.75" customHeight="1">
      <c r="A179" s="2"/>
      <c r="B179" s="35"/>
      <c r="C179" s="2"/>
      <c r="D179" s="2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2"/>
      <c r="T179" s="2"/>
      <c r="U179" s="2"/>
      <c r="V179" s="2"/>
      <c r="W179" s="2"/>
      <c r="X179" s="2"/>
      <c r="Y179" s="64"/>
      <c r="Z179" s="64"/>
      <c r="AA179" s="2"/>
      <c r="AB179" s="2"/>
      <c r="AC179" s="2"/>
      <c r="AD179" s="2"/>
      <c r="AE179" s="2"/>
      <c r="AF179" s="2"/>
    </row>
    <row r="180" spans="1:32" ht="12.75" customHeight="1">
      <c r="A180" s="2"/>
      <c r="B180" s="35"/>
      <c r="C180" s="2"/>
      <c r="D180" s="2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2"/>
      <c r="T180" s="2"/>
      <c r="U180" s="2"/>
      <c r="V180" s="2"/>
      <c r="W180" s="2"/>
      <c r="X180" s="2"/>
      <c r="Y180" s="64"/>
      <c r="Z180" s="64"/>
      <c r="AA180" s="2"/>
      <c r="AB180" s="2"/>
      <c r="AC180" s="2"/>
      <c r="AD180" s="2"/>
      <c r="AE180" s="2"/>
      <c r="AF180" s="2"/>
    </row>
    <row r="181" spans="1:32" ht="12.75" customHeight="1">
      <c r="A181" s="2"/>
      <c r="B181" s="35"/>
      <c r="C181" s="2"/>
      <c r="D181" s="2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2"/>
      <c r="T181" s="2"/>
      <c r="U181" s="2"/>
      <c r="V181" s="2"/>
      <c r="W181" s="2"/>
      <c r="X181" s="2"/>
      <c r="Y181" s="64"/>
      <c r="Z181" s="64"/>
      <c r="AA181" s="2"/>
      <c r="AB181" s="2"/>
      <c r="AC181" s="2"/>
      <c r="AD181" s="2"/>
      <c r="AE181" s="2"/>
      <c r="AF181" s="2"/>
    </row>
    <row r="182" spans="1:32" ht="12.75" customHeight="1">
      <c r="A182" s="2"/>
      <c r="B182" s="35"/>
      <c r="C182" s="2"/>
      <c r="D182" s="2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2"/>
      <c r="T182" s="2"/>
      <c r="U182" s="2"/>
      <c r="V182" s="2"/>
      <c r="W182" s="2"/>
      <c r="X182" s="2"/>
      <c r="Y182" s="64"/>
      <c r="Z182" s="64"/>
      <c r="AA182" s="2"/>
      <c r="AB182" s="2"/>
      <c r="AC182" s="2"/>
      <c r="AD182" s="2"/>
      <c r="AE182" s="2"/>
      <c r="AF182" s="2"/>
    </row>
    <row r="183" spans="1:32" ht="12.75" customHeight="1">
      <c r="A183" s="2"/>
      <c r="B183" s="35"/>
      <c r="C183" s="2"/>
      <c r="D183" s="2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2"/>
      <c r="T183" s="2"/>
      <c r="U183" s="2"/>
      <c r="V183" s="2"/>
      <c r="W183" s="2"/>
      <c r="X183" s="2"/>
      <c r="Y183" s="64"/>
      <c r="Z183" s="64"/>
      <c r="AA183" s="2"/>
      <c r="AB183" s="2"/>
      <c r="AC183" s="2"/>
      <c r="AD183" s="2"/>
      <c r="AE183" s="2"/>
      <c r="AF183" s="2"/>
    </row>
    <row r="184" spans="1:32" ht="12.75" customHeight="1">
      <c r="A184" s="2"/>
      <c r="B184" s="35"/>
      <c r="C184" s="2"/>
      <c r="D184" s="2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2"/>
      <c r="T184" s="2"/>
      <c r="U184" s="2"/>
      <c r="V184" s="2"/>
      <c r="W184" s="2"/>
      <c r="X184" s="2"/>
      <c r="Y184" s="64"/>
      <c r="Z184" s="64"/>
      <c r="AA184" s="2"/>
      <c r="AB184" s="2"/>
      <c r="AC184" s="2"/>
      <c r="AD184" s="2"/>
      <c r="AE184" s="2"/>
      <c r="AF184" s="2"/>
    </row>
    <row r="185" spans="1:32" ht="12.75" customHeight="1">
      <c r="A185" s="2"/>
      <c r="B185" s="35"/>
      <c r="C185" s="2"/>
      <c r="D185" s="2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2"/>
      <c r="T185" s="2"/>
      <c r="U185" s="2"/>
      <c r="V185" s="2"/>
      <c r="W185" s="2"/>
      <c r="X185" s="2"/>
      <c r="Y185" s="64"/>
      <c r="Z185" s="64"/>
      <c r="AA185" s="2"/>
      <c r="AB185" s="2"/>
      <c r="AC185" s="2"/>
      <c r="AD185" s="2"/>
      <c r="AE185" s="2"/>
      <c r="AF185" s="2"/>
    </row>
    <row r="186" spans="1:32" ht="12.75" customHeight="1">
      <c r="A186" s="2"/>
      <c r="B186" s="35"/>
      <c r="C186" s="2"/>
      <c r="D186" s="2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2"/>
      <c r="T186" s="2"/>
      <c r="U186" s="2"/>
      <c r="V186" s="2"/>
      <c r="W186" s="2"/>
      <c r="X186" s="2"/>
      <c r="Y186" s="64"/>
      <c r="Z186" s="64"/>
      <c r="AA186" s="2"/>
      <c r="AB186" s="2"/>
      <c r="AC186" s="2"/>
      <c r="AD186" s="2"/>
      <c r="AE186" s="2"/>
      <c r="AF186" s="2"/>
    </row>
    <row r="187" spans="1:32" ht="12.75" customHeight="1">
      <c r="A187" s="2"/>
      <c r="B187" s="35"/>
      <c r="C187" s="2"/>
      <c r="D187" s="2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2"/>
      <c r="T187" s="2"/>
      <c r="U187" s="2"/>
      <c r="V187" s="2"/>
      <c r="W187" s="2"/>
      <c r="X187" s="2"/>
      <c r="Y187" s="64"/>
      <c r="Z187" s="64"/>
      <c r="AA187" s="2"/>
      <c r="AB187" s="2"/>
      <c r="AC187" s="2"/>
      <c r="AD187" s="2"/>
      <c r="AE187" s="2"/>
      <c r="AF187" s="2"/>
    </row>
    <row r="188" spans="1:32" ht="12.75" customHeight="1">
      <c r="A188" s="2"/>
      <c r="B188" s="35"/>
      <c r="C188" s="2"/>
      <c r="D188" s="2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2"/>
      <c r="T188" s="2"/>
      <c r="U188" s="2"/>
      <c r="V188" s="2"/>
      <c r="W188" s="2"/>
      <c r="X188" s="2"/>
      <c r="Y188" s="64"/>
      <c r="Z188" s="64"/>
      <c r="AA188" s="2"/>
      <c r="AB188" s="2"/>
      <c r="AC188" s="2"/>
      <c r="AD188" s="2"/>
      <c r="AE188" s="2"/>
      <c r="AF188" s="2"/>
    </row>
    <row r="189" spans="1:32" ht="12.75" customHeight="1">
      <c r="A189" s="2"/>
      <c r="B189" s="35"/>
      <c r="C189" s="2"/>
      <c r="D189" s="2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2"/>
      <c r="T189" s="2"/>
      <c r="U189" s="2"/>
      <c r="V189" s="2"/>
      <c r="W189" s="2"/>
      <c r="X189" s="2"/>
      <c r="Y189" s="64"/>
      <c r="Z189" s="64"/>
      <c r="AA189" s="2"/>
      <c r="AB189" s="2"/>
      <c r="AC189" s="2"/>
      <c r="AD189" s="2"/>
      <c r="AE189" s="2"/>
      <c r="AF189" s="2"/>
    </row>
    <row r="190" spans="1:32" ht="12.75" customHeight="1">
      <c r="A190" s="2"/>
      <c r="B190" s="35"/>
      <c r="C190" s="2"/>
      <c r="D190" s="2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2"/>
      <c r="T190" s="2"/>
      <c r="U190" s="2"/>
      <c r="V190" s="2"/>
      <c r="W190" s="2"/>
      <c r="X190" s="2"/>
      <c r="Y190" s="64"/>
      <c r="Z190" s="64"/>
      <c r="AA190" s="2"/>
      <c r="AB190" s="2"/>
      <c r="AC190" s="2"/>
      <c r="AD190" s="2"/>
      <c r="AE190" s="2"/>
      <c r="AF190" s="2"/>
    </row>
    <row r="191" spans="1:32" ht="12.75" customHeight="1">
      <c r="A191" s="2"/>
      <c r="B191" s="35"/>
      <c r="C191" s="2"/>
      <c r="D191" s="2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2"/>
      <c r="T191" s="2"/>
      <c r="U191" s="2"/>
      <c r="V191" s="2"/>
      <c r="W191" s="2"/>
      <c r="X191" s="2"/>
      <c r="Y191" s="64"/>
      <c r="Z191" s="64"/>
      <c r="AA191" s="2"/>
      <c r="AB191" s="2"/>
      <c r="AC191" s="2"/>
      <c r="AD191" s="2"/>
      <c r="AE191" s="2"/>
      <c r="AF191" s="2"/>
    </row>
    <row r="192" spans="1:32" ht="12.75" customHeight="1">
      <c r="A192" s="2"/>
      <c r="B192" s="35"/>
      <c r="C192" s="2"/>
      <c r="D192" s="2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2"/>
      <c r="T192" s="2"/>
      <c r="U192" s="2"/>
      <c r="V192" s="2"/>
      <c r="W192" s="2"/>
      <c r="X192" s="2"/>
      <c r="Y192" s="64"/>
      <c r="Z192" s="64"/>
      <c r="AA192" s="2"/>
      <c r="AB192" s="2"/>
      <c r="AC192" s="2"/>
      <c r="AD192" s="2"/>
      <c r="AE192" s="2"/>
      <c r="AF192" s="2"/>
    </row>
    <row r="193" spans="1:32" ht="12.75" customHeight="1">
      <c r="A193" s="2"/>
      <c r="B193" s="35"/>
      <c r="C193" s="2"/>
      <c r="D193" s="2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2"/>
      <c r="T193" s="2"/>
      <c r="U193" s="2"/>
      <c r="V193" s="2"/>
      <c r="W193" s="2"/>
      <c r="X193" s="2"/>
      <c r="Y193" s="64"/>
      <c r="Z193" s="64"/>
      <c r="AA193" s="2"/>
      <c r="AB193" s="2"/>
      <c r="AC193" s="2"/>
      <c r="AD193" s="2"/>
      <c r="AE193" s="2"/>
      <c r="AF193" s="2"/>
    </row>
    <row r="194" spans="1:32" ht="12.75" customHeight="1">
      <c r="A194" s="2"/>
      <c r="B194" s="35"/>
      <c r="C194" s="2"/>
      <c r="D194" s="2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2"/>
      <c r="T194" s="2"/>
      <c r="U194" s="2"/>
      <c r="V194" s="2"/>
      <c r="W194" s="2"/>
      <c r="X194" s="2"/>
      <c r="Y194" s="64"/>
      <c r="Z194" s="64"/>
      <c r="AA194" s="2"/>
      <c r="AB194" s="2"/>
      <c r="AC194" s="2"/>
      <c r="AD194" s="2"/>
      <c r="AE194" s="2"/>
      <c r="AF194" s="2"/>
    </row>
    <row r="195" spans="1:32" ht="12.75" customHeight="1">
      <c r="A195" s="2"/>
      <c r="B195" s="35"/>
      <c r="C195" s="2"/>
      <c r="D195" s="2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2"/>
      <c r="T195" s="2"/>
      <c r="U195" s="2"/>
      <c r="V195" s="2"/>
      <c r="W195" s="2"/>
      <c r="X195" s="2"/>
      <c r="Y195" s="64"/>
      <c r="Z195" s="64"/>
      <c r="AA195" s="2"/>
      <c r="AB195" s="2"/>
      <c r="AC195" s="2"/>
      <c r="AD195" s="2"/>
      <c r="AE195" s="2"/>
      <c r="AF195" s="2"/>
    </row>
    <row r="196" spans="1:32" ht="12.75" customHeight="1">
      <c r="A196" s="2"/>
      <c r="B196" s="35"/>
      <c r="C196" s="2"/>
      <c r="D196" s="2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2"/>
      <c r="T196" s="2"/>
      <c r="U196" s="2"/>
      <c r="V196" s="2"/>
      <c r="W196" s="2"/>
      <c r="X196" s="2"/>
      <c r="Y196" s="64"/>
      <c r="Z196" s="64"/>
      <c r="AA196" s="2"/>
      <c r="AB196" s="2"/>
      <c r="AC196" s="2"/>
      <c r="AD196" s="2"/>
      <c r="AE196" s="2"/>
      <c r="AF196" s="2"/>
    </row>
    <row r="197" spans="1:32" ht="12.75" customHeight="1">
      <c r="A197" s="2"/>
      <c r="B197" s="35"/>
      <c r="C197" s="2"/>
      <c r="D197" s="2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2"/>
      <c r="T197" s="2"/>
      <c r="U197" s="2"/>
      <c r="V197" s="2"/>
      <c r="W197" s="2"/>
      <c r="X197" s="2"/>
      <c r="Y197" s="64"/>
      <c r="Z197" s="64"/>
      <c r="AA197" s="2"/>
      <c r="AB197" s="2"/>
      <c r="AC197" s="2"/>
      <c r="AD197" s="2"/>
      <c r="AE197" s="2"/>
      <c r="AF197" s="2"/>
    </row>
    <row r="198" spans="1:32" ht="12.75" customHeight="1">
      <c r="A198" s="2"/>
      <c r="B198" s="35"/>
      <c r="C198" s="2"/>
      <c r="D198" s="2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2"/>
      <c r="T198" s="2"/>
      <c r="U198" s="2"/>
      <c r="V198" s="2"/>
      <c r="W198" s="2"/>
      <c r="X198" s="2"/>
      <c r="Y198" s="64"/>
      <c r="Z198" s="64"/>
      <c r="AA198" s="2"/>
      <c r="AB198" s="2"/>
      <c r="AC198" s="2"/>
      <c r="AD198" s="2"/>
      <c r="AE198" s="2"/>
      <c r="AF198" s="2"/>
    </row>
    <row r="199" spans="1:32" ht="12.75" customHeight="1">
      <c r="A199" s="2"/>
      <c r="B199" s="35"/>
      <c r="C199" s="2"/>
      <c r="D199" s="2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2"/>
      <c r="T199" s="2"/>
      <c r="U199" s="2"/>
      <c r="V199" s="2"/>
      <c r="W199" s="2"/>
      <c r="X199" s="2"/>
      <c r="Y199" s="64"/>
      <c r="Z199" s="64"/>
      <c r="AA199" s="2"/>
      <c r="AB199" s="2"/>
      <c r="AC199" s="2"/>
      <c r="AD199" s="2"/>
      <c r="AE199" s="2"/>
      <c r="AF199" s="2"/>
    </row>
    <row r="200" spans="1:32" ht="12.75" customHeight="1">
      <c r="A200" s="2"/>
      <c r="B200" s="35"/>
      <c r="C200" s="2"/>
      <c r="D200" s="2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2"/>
      <c r="T200" s="2"/>
      <c r="U200" s="2"/>
      <c r="V200" s="2"/>
      <c r="W200" s="2"/>
      <c r="X200" s="2"/>
      <c r="Y200" s="64"/>
      <c r="Z200" s="64"/>
      <c r="AA200" s="2"/>
      <c r="AB200" s="2"/>
      <c r="AC200" s="2"/>
      <c r="AD200" s="2"/>
      <c r="AE200" s="2"/>
      <c r="AF200" s="2"/>
    </row>
    <row r="201" spans="1:32" ht="12.75" customHeight="1">
      <c r="A201" s="2"/>
      <c r="B201" s="35"/>
      <c r="C201" s="2"/>
      <c r="D201" s="2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2"/>
      <c r="T201" s="2"/>
      <c r="U201" s="2"/>
      <c r="V201" s="2"/>
      <c r="W201" s="2"/>
      <c r="X201" s="2"/>
      <c r="Y201" s="64"/>
      <c r="Z201" s="64"/>
      <c r="AA201" s="2"/>
      <c r="AB201" s="2"/>
      <c r="AC201" s="2"/>
      <c r="AD201" s="2"/>
      <c r="AE201" s="2"/>
      <c r="AF201" s="2"/>
    </row>
    <row r="202" spans="1:32" ht="12.75" customHeight="1">
      <c r="A202" s="2"/>
      <c r="B202" s="35"/>
      <c r="C202" s="2"/>
      <c r="D202" s="2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2"/>
      <c r="T202" s="2"/>
      <c r="U202" s="2"/>
      <c r="V202" s="2"/>
      <c r="W202" s="2"/>
      <c r="X202" s="2"/>
      <c r="Y202" s="64"/>
      <c r="Z202" s="64"/>
      <c r="AA202" s="2"/>
      <c r="AB202" s="2"/>
      <c r="AC202" s="2"/>
      <c r="AD202" s="2"/>
      <c r="AE202" s="2"/>
      <c r="AF202" s="2"/>
    </row>
    <row r="203" spans="1:32" ht="12.75" customHeight="1">
      <c r="A203" s="2"/>
      <c r="B203" s="35"/>
      <c r="C203" s="2"/>
      <c r="D203" s="2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2"/>
      <c r="T203" s="2"/>
      <c r="U203" s="2"/>
      <c r="V203" s="2"/>
      <c r="W203" s="2"/>
      <c r="X203" s="2"/>
      <c r="Y203" s="64"/>
      <c r="Z203" s="64"/>
      <c r="AA203" s="2"/>
      <c r="AB203" s="2"/>
      <c r="AC203" s="2"/>
      <c r="AD203" s="2"/>
      <c r="AE203" s="2"/>
      <c r="AF203" s="2"/>
    </row>
    <row r="204" spans="1:32" ht="12.75" customHeight="1">
      <c r="A204" s="2"/>
      <c r="B204" s="35"/>
      <c r="C204" s="2"/>
      <c r="D204" s="2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2"/>
      <c r="T204" s="2"/>
      <c r="U204" s="2"/>
      <c r="V204" s="2"/>
      <c r="W204" s="2"/>
      <c r="X204" s="2"/>
      <c r="Y204" s="64"/>
      <c r="Z204" s="64"/>
      <c r="AA204" s="2"/>
      <c r="AB204" s="2"/>
      <c r="AC204" s="2"/>
      <c r="AD204" s="2"/>
      <c r="AE204" s="2"/>
      <c r="AF204" s="2"/>
    </row>
    <row r="205" spans="1:32" ht="12.75" customHeight="1">
      <c r="A205" s="2"/>
      <c r="B205" s="35"/>
      <c r="C205" s="2"/>
      <c r="D205" s="2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2"/>
      <c r="T205" s="2"/>
      <c r="U205" s="2"/>
      <c r="V205" s="2"/>
      <c r="W205" s="2"/>
      <c r="X205" s="2"/>
      <c r="Y205" s="64"/>
      <c r="Z205" s="64"/>
      <c r="AA205" s="2"/>
      <c r="AB205" s="2"/>
      <c r="AC205" s="2"/>
      <c r="AD205" s="2"/>
      <c r="AE205" s="2"/>
      <c r="AF205" s="2"/>
    </row>
    <row r="206" spans="1:32" ht="12.75" customHeight="1">
      <c r="A206" s="2"/>
      <c r="B206" s="35"/>
      <c r="C206" s="2"/>
      <c r="D206" s="2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2"/>
      <c r="T206" s="2"/>
      <c r="U206" s="2"/>
      <c r="V206" s="2"/>
      <c r="W206" s="2"/>
      <c r="X206" s="2"/>
      <c r="Y206" s="64"/>
      <c r="Z206" s="64"/>
      <c r="AA206" s="2"/>
      <c r="AB206" s="2"/>
      <c r="AC206" s="2"/>
      <c r="AD206" s="2"/>
      <c r="AE206" s="2"/>
      <c r="AF206" s="2"/>
    </row>
    <row r="207" spans="1:32" ht="12.75" customHeight="1">
      <c r="A207" s="2"/>
      <c r="B207" s="35"/>
      <c r="C207" s="2"/>
      <c r="D207" s="2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2"/>
      <c r="T207" s="2"/>
      <c r="U207" s="2"/>
      <c r="V207" s="2"/>
      <c r="W207" s="2"/>
      <c r="X207" s="2"/>
      <c r="Y207" s="64"/>
      <c r="Z207" s="64"/>
      <c r="AA207" s="2"/>
      <c r="AB207" s="2"/>
      <c r="AC207" s="2"/>
      <c r="AD207" s="2"/>
      <c r="AE207" s="2"/>
      <c r="AF207" s="2"/>
    </row>
    <row r="208" spans="1:32" ht="12.75" customHeight="1">
      <c r="A208" s="2"/>
      <c r="B208" s="35"/>
      <c r="C208" s="2"/>
      <c r="D208" s="2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2"/>
      <c r="T208" s="2"/>
      <c r="U208" s="2"/>
      <c r="V208" s="2"/>
      <c r="W208" s="2"/>
      <c r="X208" s="2"/>
      <c r="Y208" s="64"/>
      <c r="Z208" s="64"/>
      <c r="AA208" s="2"/>
      <c r="AB208" s="2"/>
      <c r="AC208" s="2"/>
      <c r="AD208" s="2"/>
      <c r="AE208" s="2"/>
      <c r="AF208" s="2"/>
    </row>
    <row r="209" spans="1:32" ht="12.75" customHeight="1">
      <c r="A209" s="2"/>
      <c r="B209" s="35"/>
      <c r="C209" s="2"/>
      <c r="D209" s="2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2"/>
      <c r="T209" s="2"/>
      <c r="U209" s="2"/>
      <c r="V209" s="2"/>
      <c r="W209" s="2"/>
      <c r="X209" s="2"/>
      <c r="Y209" s="64"/>
      <c r="Z209" s="64"/>
      <c r="AA209" s="2"/>
      <c r="AB209" s="2"/>
      <c r="AC209" s="2"/>
      <c r="AD209" s="2"/>
      <c r="AE209" s="2"/>
      <c r="AF209" s="2"/>
    </row>
    <row r="210" spans="1:32" ht="12.75" customHeight="1">
      <c r="A210" s="2"/>
      <c r="B210" s="35"/>
      <c r="C210" s="2"/>
      <c r="D210" s="2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2"/>
      <c r="T210" s="2"/>
      <c r="U210" s="2"/>
      <c r="V210" s="2"/>
      <c r="W210" s="2"/>
      <c r="X210" s="2"/>
      <c r="Y210" s="64"/>
      <c r="Z210" s="64"/>
      <c r="AA210" s="2"/>
      <c r="AB210" s="2"/>
      <c r="AC210" s="2"/>
      <c r="AD210" s="2"/>
      <c r="AE210" s="2"/>
      <c r="AF210" s="2"/>
    </row>
    <row r="211" spans="1:32" ht="12.75" customHeight="1">
      <c r="A211" s="2"/>
      <c r="B211" s="35"/>
      <c r="C211" s="2"/>
      <c r="D211" s="2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2"/>
      <c r="T211" s="2"/>
      <c r="U211" s="2"/>
      <c r="V211" s="2"/>
      <c r="W211" s="2"/>
      <c r="X211" s="2"/>
      <c r="Y211" s="64"/>
      <c r="Z211" s="64"/>
      <c r="AA211" s="2"/>
      <c r="AB211" s="2"/>
      <c r="AC211" s="2"/>
      <c r="AD211" s="2"/>
      <c r="AE211" s="2"/>
      <c r="AF211" s="2"/>
    </row>
    <row r="212" spans="1:32" ht="12.75" customHeight="1">
      <c r="A212" s="2"/>
      <c r="B212" s="35"/>
      <c r="C212" s="2"/>
      <c r="D212" s="2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2"/>
      <c r="T212" s="2"/>
      <c r="U212" s="2"/>
      <c r="V212" s="2"/>
      <c r="W212" s="2"/>
      <c r="X212" s="2"/>
      <c r="Y212" s="64"/>
      <c r="Z212" s="64"/>
      <c r="AA212" s="2"/>
      <c r="AB212" s="2"/>
      <c r="AC212" s="2"/>
      <c r="AD212" s="2"/>
      <c r="AE212" s="2"/>
      <c r="AF212" s="2"/>
    </row>
    <row r="213" spans="1:32" ht="12.75" customHeight="1">
      <c r="A213" s="2"/>
      <c r="B213" s="35"/>
      <c r="C213" s="2"/>
      <c r="D213" s="2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2"/>
      <c r="T213" s="2"/>
      <c r="U213" s="2"/>
      <c r="V213" s="2"/>
      <c r="W213" s="2"/>
      <c r="X213" s="2"/>
      <c r="Y213" s="64"/>
      <c r="Z213" s="64"/>
      <c r="AA213" s="2"/>
      <c r="AB213" s="2"/>
      <c r="AC213" s="2"/>
      <c r="AD213" s="2"/>
      <c r="AE213" s="2"/>
      <c r="AF213" s="2"/>
    </row>
    <row r="214" spans="1:32" ht="12.75" customHeight="1">
      <c r="A214" s="2"/>
      <c r="B214" s="35"/>
      <c r="C214" s="2"/>
      <c r="D214" s="2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2"/>
      <c r="T214" s="2"/>
      <c r="U214" s="2"/>
      <c r="V214" s="2"/>
      <c r="W214" s="2"/>
      <c r="X214" s="2"/>
      <c r="Y214" s="64"/>
      <c r="Z214" s="64"/>
      <c r="AA214" s="2"/>
      <c r="AB214" s="2"/>
      <c r="AC214" s="2"/>
      <c r="AD214" s="2"/>
      <c r="AE214" s="2"/>
      <c r="AF214" s="2"/>
    </row>
    <row r="215" spans="1:32" ht="12.75" customHeight="1">
      <c r="A215" s="2"/>
      <c r="B215" s="35"/>
      <c r="C215" s="2"/>
      <c r="D215" s="2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2"/>
      <c r="T215" s="2"/>
      <c r="U215" s="2"/>
      <c r="V215" s="2"/>
      <c r="W215" s="2"/>
      <c r="X215" s="2"/>
      <c r="Y215" s="64"/>
      <c r="Z215" s="64"/>
      <c r="AA215" s="2"/>
      <c r="AB215" s="2"/>
      <c r="AC215" s="2"/>
      <c r="AD215" s="2"/>
      <c r="AE215" s="2"/>
      <c r="AF215" s="2"/>
    </row>
    <row r="216" spans="1:32" ht="12.75" customHeight="1">
      <c r="A216" s="2"/>
      <c r="B216" s="35"/>
      <c r="C216" s="2"/>
      <c r="D216" s="2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2"/>
      <c r="T216" s="2"/>
      <c r="U216" s="2"/>
      <c r="V216" s="2"/>
      <c r="W216" s="2"/>
      <c r="X216" s="2"/>
      <c r="Y216" s="64"/>
      <c r="Z216" s="64"/>
      <c r="AA216" s="2"/>
      <c r="AB216" s="2"/>
      <c r="AC216" s="2"/>
      <c r="AD216" s="2"/>
      <c r="AE216" s="2"/>
      <c r="AF216" s="2"/>
    </row>
    <row r="217" spans="1:32" ht="12.75" customHeight="1">
      <c r="A217" s="2"/>
      <c r="B217" s="35"/>
      <c r="C217" s="2"/>
      <c r="D217" s="2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2"/>
      <c r="T217" s="2"/>
      <c r="U217" s="2"/>
      <c r="V217" s="2"/>
      <c r="W217" s="2"/>
      <c r="X217" s="2"/>
      <c r="Y217" s="64"/>
      <c r="Z217" s="64"/>
      <c r="AA217" s="2"/>
      <c r="AB217" s="2"/>
      <c r="AC217" s="2"/>
      <c r="AD217" s="2"/>
      <c r="AE217" s="2"/>
      <c r="AF217" s="2"/>
    </row>
    <row r="218" spans="1:32" ht="12.75" customHeight="1">
      <c r="A218" s="2"/>
      <c r="B218" s="35"/>
      <c r="C218" s="2"/>
      <c r="D218" s="2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2"/>
      <c r="T218" s="2"/>
      <c r="U218" s="2"/>
      <c r="V218" s="2"/>
      <c r="W218" s="2"/>
      <c r="X218" s="2"/>
      <c r="Y218" s="64"/>
      <c r="Z218" s="64"/>
      <c r="AA218" s="2"/>
      <c r="AB218" s="2"/>
      <c r="AC218" s="2"/>
      <c r="AD218" s="2"/>
      <c r="AE218" s="2"/>
      <c r="AF218" s="2"/>
    </row>
    <row r="219" spans="1:32" ht="12.75" customHeight="1">
      <c r="A219" s="2"/>
      <c r="B219" s="35"/>
      <c r="C219" s="2"/>
      <c r="D219" s="2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2"/>
      <c r="T219" s="2"/>
      <c r="U219" s="2"/>
      <c r="V219" s="2"/>
      <c r="W219" s="2"/>
      <c r="X219" s="2"/>
      <c r="Y219" s="64"/>
      <c r="Z219" s="64"/>
      <c r="AA219" s="2"/>
      <c r="AB219" s="2"/>
      <c r="AC219" s="2"/>
      <c r="AD219" s="2"/>
      <c r="AE219" s="2"/>
      <c r="AF219" s="2"/>
    </row>
    <row r="220" spans="1:32" ht="12.75" customHeight="1">
      <c r="A220" s="2"/>
      <c r="B220" s="35"/>
      <c r="C220" s="2"/>
      <c r="D220" s="2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2"/>
      <c r="T220" s="2"/>
      <c r="U220" s="2"/>
      <c r="V220" s="2"/>
      <c r="W220" s="2"/>
      <c r="X220" s="2"/>
      <c r="Y220" s="64"/>
      <c r="Z220" s="64"/>
      <c r="AA220" s="2"/>
      <c r="AB220" s="2"/>
      <c r="AC220" s="2"/>
      <c r="AD220" s="2"/>
      <c r="AE220" s="2"/>
      <c r="AF220" s="2"/>
    </row>
    <row r="221" spans="1:32" ht="12.75" customHeight="1">
      <c r="A221" s="2"/>
      <c r="B221" s="35"/>
      <c r="C221" s="2"/>
      <c r="D221" s="2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2"/>
      <c r="T221" s="2"/>
      <c r="U221" s="2"/>
      <c r="V221" s="2"/>
      <c r="W221" s="2"/>
      <c r="X221" s="2"/>
      <c r="Y221" s="64"/>
      <c r="Z221" s="64"/>
      <c r="AA221" s="2"/>
      <c r="AB221" s="2"/>
      <c r="AC221" s="2"/>
      <c r="AD221" s="2"/>
      <c r="AE221" s="2"/>
      <c r="AF221" s="2"/>
    </row>
    <row r="222" spans="1:32" ht="12.75" customHeight="1">
      <c r="A222" s="2"/>
      <c r="B222" s="35"/>
      <c r="C222" s="2"/>
      <c r="D222" s="2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2"/>
      <c r="T222" s="2"/>
      <c r="U222" s="2"/>
      <c r="V222" s="2"/>
      <c r="W222" s="2"/>
      <c r="X222" s="2"/>
      <c r="Y222" s="64"/>
      <c r="Z222" s="64"/>
      <c r="AA222" s="2"/>
      <c r="AB222" s="2"/>
      <c r="AC222" s="2"/>
      <c r="AD222" s="2"/>
      <c r="AE222" s="2"/>
      <c r="AF222" s="2"/>
    </row>
    <row r="223" spans="1:32" ht="12.75" customHeight="1">
      <c r="A223" s="2"/>
      <c r="B223" s="35"/>
      <c r="C223" s="2"/>
      <c r="D223" s="2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2"/>
      <c r="T223" s="2"/>
      <c r="U223" s="2"/>
      <c r="V223" s="2"/>
      <c r="W223" s="2"/>
      <c r="X223" s="2"/>
      <c r="Y223" s="64"/>
      <c r="Z223" s="64"/>
      <c r="AA223" s="2"/>
      <c r="AB223" s="2"/>
      <c r="AC223" s="2"/>
      <c r="AD223" s="2"/>
      <c r="AE223" s="2"/>
      <c r="AF223" s="2"/>
    </row>
    <row r="224" spans="1:32" ht="12.75" customHeight="1">
      <c r="A224" s="2"/>
      <c r="B224" s="35"/>
      <c r="C224" s="2"/>
      <c r="D224" s="2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2"/>
      <c r="T224" s="2"/>
      <c r="U224" s="2"/>
      <c r="V224" s="2"/>
      <c r="W224" s="2"/>
      <c r="X224" s="2"/>
      <c r="Y224" s="64"/>
      <c r="Z224" s="64"/>
      <c r="AA224" s="2"/>
      <c r="AB224" s="2"/>
      <c r="AC224" s="2"/>
      <c r="AD224" s="2"/>
      <c r="AE224" s="2"/>
      <c r="AF224" s="2"/>
    </row>
    <row r="225" spans="1:32" ht="12.75" customHeight="1">
      <c r="A225" s="2"/>
      <c r="B225" s="35"/>
      <c r="C225" s="2"/>
      <c r="D225" s="2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2"/>
      <c r="T225" s="2"/>
      <c r="U225" s="2"/>
      <c r="V225" s="2"/>
      <c r="W225" s="2"/>
      <c r="X225" s="2"/>
      <c r="Y225" s="64"/>
      <c r="Z225" s="64"/>
      <c r="AA225" s="2"/>
      <c r="AB225" s="2"/>
      <c r="AC225" s="2"/>
      <c r="AD225" s="2"/>
      <c r="AE225" s="2"/>
      <c r="AF225" s="2"/>
    </row>
    <row r="226" spans="1:32" ht="12.75" customHeight="1">
      <c r="A226" s="2"/>
      <c r="B226" s="35"/>
      <c r="C226" s="2"/>
      <c r="D226" s="2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2"/>
      <c r="T226" s="2"/>
      <c r="U226" s="2"/>
      <c r="V226" s="2"/>
      <c r="W226" s="2"/>
      <c r="X226" s="2"/>
      <c r="Y226" s="64"/>
      <c r="Z226" s="64"/>
      <c r="AA226" s="2"/>
      <c r="AB226" s="2"/>
      <c r="AC226" s="2"/>
      <c r="AD226" s="2"/>
      <c r="AE226" s="2"/>
      <c r="AF226" s="2"/>
    </row>
    <row r="227" spans="1:32" ht="12.75" customHeight="1">
      <c r="A227" s="2"/>
      <c r="B227" s="35"/>
      <c r="C227" s="2"/>
      <c r="D227" s="2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2"/>
      <c r="T227" s="2"/>
      <c r="U227" s="2"/>
      <c r="V227" s="2"/>
      <c r="W227" s="2"/>
      <c r="X227" s="2"/>
      <c r="Y227" s="64"/>
      <c r="Z227" s="64"/>
      <c r="AA227" s="2"/>
      <c r="AB227" s="2"/>
      <c r="AC227" s="2"/>
      <c r="AD227" s="2"/>
      <c r="AE227" s="2"/>
      <c r="AF227" s="2"/>
    </row>
    <row r="228" spans="1:32" ht="12.75" customHeight="1">
      <c r="A228" s="2"/>
      <c r="B228" s="35"/>
      <c r="C228" s="2"/>
      <c r="D228" s="2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2"/>
      <c r="T228" s="2"/>
      <c r="U228" s="2"/>
      <c r="V228" s="2"/>
      <c r="W228" s="2"/>
      <c r="X228" s="2"/>
      <c r="Y228" s="64"/>
      <c r="Z228" s="64"/>
      <c r="AA228" s="2"/>
      <c r="AB228" s="2"/>
      <c r="AC228" s="2"/>
      <c r="AD228" s="2"/>
      <c r="AE228" s="2"/>
      <c r="AF228" s="2"/>
    </row>
    <row r="229" spans="1:32" ht="12.75" customHeight="1">
      <c r="A229" s="2"/>
      <c r="B229" s="35"/>
      <c r="C229" s="2"/>
      <c r="D229" s="2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2"/>
      <c r="T229" s="2"/>
      <c r="U229" s="2"/>
      <c r="V229" s="2"/>
      <c r="W229" s="2"/>
      <c r="X229" s="2"/>
      <c r="Y229" s="64"/>
      <c r="Z229" s="64"/>
      <c r="AA229" s="2"/>
      <c r="AB229" s="2"/>
      <c r="AC229" s="2"/>
      <c r="AD229" s="2"/>
      <c r="AE229" s="2"/>
      <c r="AF229" s="2"/>
    </row>
    <row r="230" spans="1:32" ht="12.75" customHeight="1">
      <c r="A230" s="2"/>
      <c r="B230" s="35"/>
      <c r="C230" s="2"/>
      <c r="D230" s="2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2"/>
      <c r="T230" s="2"/>
      <c r="U230" s="2"/>
      <c r="V230" s="2"/>
      <c r="W230" s="2"/>
      <c r="X230" s="2"/>
      <c r="Y230" s="64"/>
      <c r="Z230" s="64"/>
      <c r="AA230" s="2"/>
      <c r="AB230" s="2"/>
      <c r="AC230" s="2"/>
      <c r="AD230" s="2"/>
      <c r="AE230" s="2"/>
      <c r="AF230" s="2"/>
    </row>
    <row r="231" spans="1:32" ht="12.75" customHeight="1">
      <c r="A231" s="2"/>
      <c r="B231" s="35"/>
      <c r="C231" s="2"/>
      <c r="D231" s="2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2"/>
      <c r="T231" s="2"/>
      <c r="U231" s="2"/>
      <c r="V231" s="2"/>
      <c r="W231" s="2"/>
      <c r="X231" s="2"/>
      <c r="Y231" s="64"/>
      <c r="Z231" s="64"/>
      <c r="AA231" s="2"/>
      <c r="AB231" s="2"/>
      <c r="AC231" s="2"/>
      <c r="AD231" s="2"/>
      <c r="AE231" s="2"/>
      <c r="AF231" s="2"/>
    </row>
    <row r="232" spans="1:32" ht="12.75" customHeight="1">
      <c r="A232" s="2"/>
      <c r="B232" s="35"/>
      <c r="C232" s="2"/>
      <c r="D232" s="2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2"/>
      <c r="T232" s="2"/>
      <c r="U232" s="2"/>
      <c r="V232" s="2"/>
      <c r="W232" s="2"/>
      <c r="X232" s="2"/>
      <c r="Y232" s="64"/>
      <c r="Z232" s="64"/>
      <c r="AA232" s="2"/>
      <c r="AB232" s="2"/>
      <c r="AC232" s="2"/>
      <c r="AD232" s="2"/>
      <c r="AE232" s="2"/>
      <c r="AF232" s="2"/>
    </row>
    <row r="233" spans="1:32" ht="12.75" customHeight="1">
      <c r="A233" s="2"/>
      <c r="B233" s="35"/>
      <c r="C233" s="2"/>
      <c r="D233" s="2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2"/>
      <c r="T233" s="2"/>
      <c r="U233" s="2"/>
      <c r="V233" s="2"/>
      <c r="W233" s="2"/>
      <c r="X233" s="2"/>
      <c r="Y233" s="64"/>
      <c r="Z233" s="64"/>
      <c r="AA233" s="2"/>
      <c r="AB233" s="2"/>
      <c r="AC233" s="2"/>
      <c r="AD233" s="2"/>
      <c r="AE233" s="2"/>
      <c r="AF233" s="2"/>
    </row>
    <row r="234" spans="1:32" ht="12.75" customHeight="1">
      <c r="A234" s="2"/>
      <c r="B234" s="35"/>
      <c r="C234" s="2"/>
      <c r="D234" s="2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2"/>
      <c r="T234" s="2"/>
      <c r="U234" s="2"/>
      <c r="V234" s="2"/>
      <c r="W234" s="2"/>
      <c r="X234" s="2"/>
      <c r="Y234" s="64"/>
      <c r="Z234" s="64"/>
      <c r="AA234" s="2"/>
      <c r="AB234" s="2"/>
      <c r="AC234" s="2"/>
      <c r="AD234" s="2"/>
      <c r="AE234" s="2"/>
      <c r="AF234" s="2"/>
    </row>
    <row r="235" spans="1:32" ht="12.75" customHeight="1">
      <c r="A235" s="2"/>
      <c r="B235" s="35"/>
      <c r="C235" s="2"/>
      <c r="D235" s="2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2"/>
      <c r="T235" s="2"/>
      <c r="U235" s="2"/>
      <c r="V235" s="2"/>
      <c r="W235" s="2"/>
      <c r="X235" s="2"/>
      <c r="Y235" s="64"/>
      <c r="Z235" s="64"/>
      <c r="AA235" s="2"/>
      <c r="AB235" s="2"/>
      <c r="AC235" s="2"/>
      <c r="AD235" s="2"/>
      <c r="AE235" s="2"/>
      <c r="AF235" s="2"/>
    </row>
    <row r="236" spans="1:32" ht="12.75" customHeight="1">
      <c r="A236" s="2"/>
      <c r="B236" s="35"/>
      <c r="C236" s="2"/>
      <c r="D236" s="2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2"/>
      <c r="T236" s="2"/>
      <c r="U236" s="2"/>
      <c r="V236" s="2"/>
      <c r="W236" s="2"/>
      <c r="X236" s="2"/>
      <c r="Y236" s="64"/>
      <c r="Z236" s="64"/>
      <c r="AA236" s="2"/>
      <c r="AB236" s="2"/>
      <c r="AC236" s="2"/>
      <c r="AD236" s="2"/>
      <c r="AE236" s="2"/>
      <c r="AF236" s="2"/>
    </row>
    <row r="237" spans="1:32" ht="12.75" customHeight="1">
      <c r="A237" s="2"/>
      <c r="B237" s="35"/>
      <c r="C237" s="2"/>
      <c r="D237" s="2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2"/>
      <c r="T237" s="2"/>
      <c r="U237" s="2"/>
      <c r="V237" s="2"/>
      <c r="W237" s="2"/>
      <c r="X237" s="2"/>
      <c r="Y237" s="64"/>
      <c r="Z237" s="64"/>
      <c r="AA237" s="2"/>
      <c r="AB237" s="2"/>
      <c r="AC237" s="2"/>
      <c r="AD237" s="2"/>
      <c r="AE237" s="2"/>
      <c r="AF237" s="2"/>
    </row>
    <row r="238" spans="1:32" ht="12.75" customHeight="1">
      <c r="A238" s="2"/>
      <c r="B238" s="35"/>
      <c r="C238" s="2"/>
      <c r="D238" s="2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2"/>
      <c r="T238" s="2"/>
      <c r="U238" s="2"/>
      <c r="V238" s="2"/>
      <c r="W238" s="2"/>
      <c r="X238" s="2"/>
      <c r="Y238" s="64"/>
      <c r="Z238" s="64"/>
      <c r="AA238" s="2"/>
      <c r="AB238" s="2"/>
      <c r="AC238" s="2"/>
      <c r="AD238" s="2"/>
      <c r="AE238" s="2"/>
      <c r="AF238" s="2"/>
    </row>
    <row r="239" spans="1:32" ht="12.75" customHeight="1">
      <c r="A239" s="2"/>
      <c r="B239" s="35"/>
      <c r="C239" s="2"/>
      <c r="D239" s="2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2"/>
      <c r="T239" s="2"/>
      <c r="U239" s="2"/>
      <c r="V239" s="2"/>
      <c r="W239" s="2"/>
      <c r="X239" s="2"/>
      <c r="Y239" s="64"/>
      <c r="Z239" s="64"/>
      <c r="AA239" s="2"/>
      <c r="AB239" s="2"/>
      <c r="AC239" s="2"/>
      <c r="AD239" s="2"/>
      <c r="AE239" s="2"/>
      <c r="AF239" s="2"/>
    </row>
    <row r="240" spans="1:32" ht="12.75" customHeight="1">
      <c r="A240" s="2"/>
      <c r="B240" s="35"/>
      <c r="C240" s="2"/>
      <c r="D240" s="2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2"/>
      <c r="T240" s="2"/>
      <c r="U240" s="2"/>
      <c r="V240" s="2"/>
      <c r="W240" s="2"/>
      <c r="X240" s="2"/>
      <c r="Y240" s="64"/>
      <c r="Z240" s="64"/>
      <c r="AA240" s="2"/>
      <c r="AB240" s="2"/>
      <c r="AC240" s="2"/>
      <c r="AD240" s="2"/>
      <c r="AE240" s="2"/>
      <c r="AF240" s="2"/>
    </row>
    <row r="241" spans="1:32" ht="12.75" customHeight="1">
      <c r="A241" s="2"/>
      <c r="B241" s="35"/>
      <c r="C241" s="2"/>
      <c r="D241" s="2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2"/>
      <c r="T241" s="2"/>
      <c r="U241" s="2"/>
      <c r="V241" s="2"/>
      <c r="W241" s="2"/>
      <c r="X241" s="2"/>
      <c r="Y241" s="64"/>
      <c r="Z241" s="64"/>
      <c r="AA241" s="2"/>
      <c r="AB241" s="2"/>
      <c r="AC241" s="2"/>
      <c r="AD241" s="2"/>
      <c r="AE241" s="2"/>
      <c r="AF241" s="2"/>
    </row>
    <row r="242" spans="1:32" ht="12.75" customHeight="1">
      <c r="A242" s="2"/>
      <c r="B242" s="35"/>
      <c r="C242" s="2"/>
      <c r="D242" s="2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2"/>
      <c r="T242" s="2"/>
      <c r="U242" s="2"/>
      <c r="V242" s="2"/>
      <c r="W242" s="2"/>
      <c r="X242" s="2"/>
      <c r="Y242" s="64"/>
      <c r="Z242" s="64"/>
      <c r="AA242" s="2"/>
      <c r="AB242" s="2"/>
      <c r="AC242" s="2"/>
      <c r="AD242" s="2"/>
      <c r="AE242" s="2"/>
      <c r="AF242" s="2"/>
    </row>
    <row r="243" spans="1:32" ht="12.75" customHeight="1">
      <c r="A243" s="2"/>
      <c r="B243" s="35"/>
      <c r="C243" s="2"/>
      <c r="D243" s="2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2"/>
      <c r="T243" s="2"/>
      <c r="U243" s="2"/>
      <c r="V243" s="2"/>
      <c r="W243" s="2"/>
      <c r="X243" s="2"/>
      <c r="Y243" s="64"/>
      <c r="Z243" s="64"/>
      <c r="AA243" s="2"/>
      <c r="AB243" s="2"/>
      <c r="AC243" s="2"/>
      <c r="AD243" s="2"/>
      <c r="AE243" s="2"/>
      <c r="AF243" s="2"/>
    </row>
    <row r="244" spans="1:32" ht="12.75" customHeight="1">
      <c r="A244" s="2"/>
      <c r="B244" s="35"/>
      <c r="C244" s="2"/>
      <c r="D244" s="2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2"/>
      <c r="T244" s="2"/>
      <c r="U244" s="2"/>
      <c r="V244" s="2"/>
      <c r="W244" s="2"/>
      <c r="X244" s="2"/>
      <c r="Y244" s="64"/>
      <c r="Z244" s="64"/>
      <c r="AA244" s="2"/>
      <c r="AB244" s="2"/>
      <c r="AC244" s="2"/>
      <c r="AD244" s="2"/>
      <c r="AE244" s="2"/>
      <c r="AF244" s="2"/>
    </row>
    <row r="245" spans="1:32" ht="12.75" customHeight="1">
      <c r="A245" s="2"/>
      <c r="B245" s="35"/>
      <c r="C245" s="2"/>
      <c r="D245" s="2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2"/>
      <c r="T245" s="2"/>
      <c r="U245" s="2"/>
      <c r="V245" s="2"/>
      <c r="W245" s="2"/>
      <c r="X245" s="2"/>
      <c r="Y245" s="64"/>
      <c r="Z245" s="64"/>
      <c r="AA245" s="2"/>
      <c r="AB245" s="2"/>
      <c r="AC245" s="2"/>
      <c r="AD245" s="2"/>
      <c r="AE245" s="2"/>
      <c r="AF245" s="2"/>
    </row>
    <row r="246" spans="1:32" ht="12.75" customHeight="1">
      <c r="A246" s="2"/>
      <c r="B246" s="35"/>
      <c r="C246" s="2"/>
      <c r="D246" s="2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2"/>
      <c r="T246" s="2"/>
      <c r="U246" s="2"/>
      <c r="V246" s="2"/>
      <c r="W246" s="2"/>
      <c r="X246" s="2"/>
      <c r="Y246" s="64"/>
      <c r="Z246" s="64"/>
      <c r="AA246" s="2"/>
      <c r="AB246" s="2"/>
      <c r="AC246" s="2"/>
      <c r="AD246" s="2"/>
      <c r="AE246" s="2"/>
      <c r="AF246" s="2"/>
    </row>
    <row r="247" spans="1:32" ht="12.75" customHeight="1">
      <c r="A247" s="2"/>
      <c r="B247" s="35"/>
      <c r="C247" s="2"/>
      <c r="D247" s="2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2"/>
      <c r="T247" s="2"/>
      <c r="U247" s="2"/>
      <c r="V247" s="2"/>
      <c r="W247" s="2"/>
      <c r="X247" s="2"/>
      <c r="Y247" s="64"/>
      <c r="Z247" s="64"/>
      <c r="AA247" s="2"/>
      <c r="AB247" s="2"/>
      <c r="AC247" s="2"/>
      <c r="AD247" s="2"/>
      <c r="AE247" s="2"/>
      <c r="AF247" s="2"/>
    </row>
    <row r="248" spans="1:32" ht="12.75" customHeight="1">
      <c r="A248" s="2"/>
      <c r="B248" s="35"/>
      <c r="C248" s="2"/>
      <c r="D248" s="2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2"/>
      <c r="T248" s="2"/>
      <c r="U248" s="2"/>
      <c r="V248" s="2"/>
      <c r="W248" s="2"/>
      <c r="X248" s="2"/>
      <c r="Y248" s="64"/>
      <c r="Z248" s="64"/>
      <c r="AA248" s="2"/>
      <c r="AB248" s="2"/>
      <c r="AC248" s="2"/>
      <c r="AD248" s="2"/>
      <c r="AE248" s="2"/>
      <c r="AF248" s="2"/>
    </row>
    <row r="249" spans="1:32" ht="12.75" customHeight="1">
      <c r="A249" s="2"/>
      <c r="B249" s="35"/>
      <c r="C249" s="2"/>
      <c r="D249" s="2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2"/>
      <c r="T249" s="2"/>
      <c r="U249" s="2"/>
      <c r="V249" s="2"/>
      <c r="W249" s="2"/>
      <c r="X249" s="2"/>
      <c r="Y249" s="64"/>
      <c r="Z249" s="64"/>
      <c r="AA249" s="2"/>
      <c r="AB249" s="2"/>
      <c r="AC249" s="2"/>
      <c r="AD249" s="2"/>
      <c r="AE249" s="2"/>
      <c r="AF249" s="2"/>
    </row>
    <row r="250" spans="1:32" ht="12.75" customHeight="1">
      <c r="A250" s="2"/>
      <c r="B250" s="35"/>
      <c r="C250" s="2"/>
      <c r="D250" s="2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2"/>
      <c r="T250" s="2"/>
      <c r="U250" s="2"/>
      <c r="V250" s="2"/>
      <c r="W250" s="2"/>
      <c r="X250" s="2"/>
      <c r="Y250" s="64"/>
      <c r="Z250" s="64"/>
      <c r="AA250" s="2"/>
      <c r="AB250" s="2"/>
      <c r="AC250" s="2"/>
      <c r="AD250" s="2"/>
      <c r="AE250" s="2"/>
      <c r="AF250" s="2"/>
    </row>
    <row r="251" spans="1:32" ht="12.75" customHeight="1">
      <c r="A251" s="2"/>
      <c r="B251" s="35"/>
      <c r="C251" s="2"/>
      <c r="D251" s="2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2"/>
      <c r="T251" s="2"/>
      <c r="U251" s="2"/>
      <c r="V251" s="2"/>
      <c r="W251" s="2"/>
      <c r="X251" s="2"/>
      <c r="Y251" s="64"/>
      <c r="Z251" s="64"/>
      <c r="AA251" s="2"/>
      <c r="AB251" s="2"/>
      <c r="AC251" s="2"/>
      <c r="AD251" s="2"/>
      <c r="AE251" s="2"/>
      <c r="AF251" s="2"/>
    </row>
    <row r="252" spans="1:32" ht="12.75" customHeight="1">
      <c r="A252" s="2"/>
      <c r="B252" s="35"/>
      <c r="C252" s="2"/>
      <c r="D252" s="2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2"/>
      <c r="T252" s="2"/>
      <c r="U252" s="2"/>
      <c r="V252" s="2"/>
      <c r="W252" s="2"/>
      <c r="X252" s="2"/>
      <c r="Y252" s="64"/>
      <c r="Z252" s="64"/>
      <c r="AA252" s="2"/>
      <c r="AB252" s="2"/>
      <c r="AC252" s="2"/>
      <c r="AD252" s="2"/>
      <c r="AE252" s="2"/>
      <c r="AF252" s="2"/>
    </row>
    <row r="253" spans="1:32" ht="12.75" customHeight="1">
      <c r="A253" s="2"/>
      <c r="B253" s="35"/>
      <c r="C253" s="2"/>
      <c r="D253" s="2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2"/>
      <c r="T253" s="2"/>
      <c r="U253" s="2"/>
      <c r="V253" s="2"/>
      <c r="W253" s="2"/>
      <c r="X253" s="2"/>
      <c r="Y253" s="64"/>
      <c r="Z253" s="64"/>
      <c r="AA253" s="2"/>
      <c r="AB253" s="2"/>
      <c r="AC253" s="2"/>
      <c r="AD253" s="2"/>
      <c r="AE253" s="2"/>
      <c r="AF253" s="2"/>
    </row>
    <row r="254" spans="1:32" ht="12.75" customHeight="1">
      <c r="A254" s="2"/>
      <c r="B254" s="35"/>
      <c r="C254" s="2"/>
      <c r="D254" s="2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2"/>
      <c r="T254" s="2"/>
      <c r="U254" s="2"/>
      <c r="V254" s="2"/>
      <c r="W254" s="2"/>
      <c r="X254" s="2"/>
      <c r="Y254" s="64"/>
      <c r="Z254" s="64"/>
      <c r="AA254" s="2"/>
      <c r="AB254" s="2"/>
      <c r="AC254" s="2"/>
      <c r="AD254" s="2"/>
      <c r="AE254" s="2"/>
      <c r="AF254" s="2"/>
    </row>
    <row r="255" spans="1:32" ht="12.75" customHeight="1">
      <c r="A255" s="2"/>
      <c r="B255" s="35"/>
      <c r="C255" s="2"/>
      <c r="D255" s="2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2"/>
      <c r="T255" s="2"/>
      <c r="U255" s="2"/>
      <c r="V255" s="2"/>
      <c r="W255" s="2"/>
      <c r="X255" s="2"/>
      <c r="Y255" s="64"/>
      <c r="Z255" s="64"/>
      <c r="AA255" s="2"/>
      <c r="AB255" s="2"/>
      <c r="AC255" s="2"/>
      <c r="AD255" s="2"/>
      <c r="AE255" s="2"/>
      <c r="AF255" s="2"/>
    </row>
    <row r="256" spans="1:32" ht="12.75" customHeight="1">
      <c r="A256" s="2"/>
      <c r="B256" s="35"/>
      <c r="C256" s="2"/>
      <c r="D256" s="2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2"/>
      <c r="T256" s="2"/>
      <c r="U256" s="2"/>
      <c r="V256" s="2"/>
      <c r="W256" s="2"/>
      <c r="X256" s="2"/>
      <c r="Y256" s="64"/>
      <c r="Z256" s="64"/>
      <c r="AA256" s="2"/>
      <c r="AB256" s="2"/>
      <c r="AC256" s="2"/>
      <c r="AD256" s="2"/>
      <c r="AE256" s="2"/>
      <c r="AF256" s="2"/>
    </row>
    <row r="257" spans="1:32" ht="12.75" customHeight="1">
      <c r="A257" s="2"/>
      <c r="B257" s="35"/>
      <c r="C257" s="2"/>
      <c r="D257" s="2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2"/>
      <c r="T257" s="2"/>
      <c r="U257" s="2"/>
      <c r="V257" s="2"/>
      <c r="W257" s="2"/>
      <c r="X257" s="2"/>
      <c r="Y257" s="64"/>
      <c r="Z257" s="64"/>
      <c r="AA257" s="2"/>
      <c r="AB257" s="2"/>
      <c r="AC257" s="2"/>
      <c r="AD257" s="2"/>
      <c r="AE257" s="2"/>
      <c r="AF257" s="2"/>
    </row>
    <row r="258" spans="1:32" ht="12.75" customHeight="1">
      <c r="A258" s="2"/>
      <c r="B258" s="35"/>
      <c r="C258" s="2"/>
      <c r="D258" s="2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2"/>
      <c r="T258" s="2"/>
      <c r="U258" s="2"/>
      <c r="V258" s="2"/>
      <c r="W258" s="2"/>
      <c r="X258" s="2"/>
      <c r="Y258" s="64"/>
      <c r="Z258" s="64"/>
      <c r="AA258" s="2"/>
      <c r="AB258" s="2"/>
      <c r="AC258" s="2"/>
      <c r="AD258" s="2"/>
      <c r="AE258" s="2"/>
      <c r="AF258" s="2"/>
    </row>
    <row r="259" spans="1:32" ht="12.75" customHeight="1">
      <c r="A259" s="2"/>
      <c r="B259" s="35"/>
      <c r="C259" s="2"/>
      <c r="D259" s="2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2"/>
      <c r="T259" s="2"/>
      <c r="U259" s="2"/>
      <c r="V259" s="2"/>
      <c r="W259" s="2"/>
      <c r="X259" s="2"/>
      <c r="Y259" s="64"/>
      <c r="Z259" s="64"/>
      <c r="AA259" s="2"/>
      <c r="AB259" s="2"/>
      <c r="AC259" s="2"/>
      <c r="AD259" s="2"/>
      <c r="AE259" s="2"/>
      <c r="AF259" s="2"/>
    </row>
    <row r="260" spans="1:32" ht="12.75" customHeight="1">
      <c r="A260" s="2"/>
      <c r="B260" s="35"/>
      <c r="C260" s="2"/>
      <c r="D260" s="2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2"/>
      <c r="T260" s="2"/>
      <c r="U260" s="2"/>
      <c r="V260" s="2"/>
      <c r="W260" s="2"/>
      <c r="X260" s="2"/>
      <c r="Y260" s="64"/>
      <c r="Z260" s="64"/>
      <c r="AA260" s="2"/>
      <c r="AB260" s="2"/>
      <c r="AC260" s="2"/>
      <c r="AD260" s="2"/>
      <c r="AE260" s="2"/>
      <c r="AF260" s="2"/>
    </row>
    <row r="261" spans="1:32" ht="12.75" customHeight="1">
      <c r="A261" s="2"/>
      <c r="B261" s="35"/>
      <c r="C261" s="2"/>
      <c r="D261" s="2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2"/>
      <c r="T261" s="2"/>
      <c r="U261" s="2"/>
      <c r="V261" s="2"/>
      <c r="W261" s="2"/>
      <c r="X261" s="2"/>
      <c r="Y261" s="64"/>
      <c r="Z261" s="64"/>
      <c r="AA261" s="2"/>
      <c r="AB261" s="2"/>
      <c r="AC261" s="2"/>
      <c r="AD261" s="2"/>
      <c r="AE261" s="2"/>
      <c r="AF261" s="2"/>
    </row>
    <row r="262" spans="1:32" ht="12.75" customHeight="1">
      <c r="A262" s="2"/>
      <c r="B262" s="35"/>
      <c r="C262" s="2"/>
      <c r="D262" s="2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2"/>
      <c r="T262" s="2"/>
      <c r="U262" s="2"/>
      <c r="V262" s="2"/>
      <c r="W262" s="2"/>
      <c r="X262" s="2"/>
      <c r="Y262" s="64"/>
      <c r="Z262" s="64"/>
      <c r="AA262" s="2"/>
      <c r="AB262" s="2"/>
      <c r="AC262" s="2"/>
      <c r="AD262" s="2"/>
      <c r="AE262" s="2"/>
      <c r="AF262" s="2"/>
    </row>
    <row r="263" spans="1:32" ht="12.75" customHeight="1">
      <c r="A263" s="2"/>
      <c r="B263" s="35"/>
      <c r="C263" s="2"/>
      <c r="D263" s="2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2"/>
      <c r="T263" s="2"/>
      <c r="U263" s="2"/>
      <c r="V263" s="2"/>
      <c r="W263" s="2"/>
      <c r="X263" s="2"/>
      <c r="Y263" s="64"/>
      <c r="Z263" s="64"/>
      <c r="AA263" s="2"/>
      <c r="AB263" s="2"/>
      <c r="AC263" s="2"/>
      <c r="AD263" s="2"/>
      <c r="AE263" s="2"/>
      <c r="AF263" s="2"/>
    </row>
    <row r="264" spans="1:32" ht="12.75" customHeight="1">
      <c r="A264" s="2"/>
      <c r="B264" s="35"/>
      <c r="C264" s="2"/>
      <c r="D264" s="2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2"/>
      <c r="T264" s="2"/>
      <c r="U264" s="2"/>
      <c r="V264" s="2"/>
      <c r="W264" s="2"/>
      <c r="X264" s="2"/>
      <c r="Y264" s="64"/>
      <c r="Z264" s="64"/>
      <c r="AA264" s="2"/>
      <c r="AB264" s="2"/>
      <c r="AC264" s="2"/>
      <c r="AD264" s="2"/>
      <c r="AE264" s="2"/>
      <c r="AF264" s="2"/>
    </row>
    <row r="265" spans="1:32" ht="12.75" customHeight="1">
      <c r="A265" s="2"/>
      <c r="B265" s="35"/>
      <c r="C265" s="2"/>
      <c r="D265" s="2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2"/>
      <c r="T265" s="2"/>
      <c r="U265" s="2"/>
      <c r="V265" s="2"/>
      <c r="W265" s="2"/>
      <c r="X265" s="2"/>
      <c r="Y265" s="64"/>
      <c r="Z265" s="64"/>
      <c r="AA265" s="2"/>
      <c r="AB265" s="2"/>
      <c r="AC265" s="2"/>
      <c r="AD265" s="2"/>
      <c r="AE265" s="2"/>
      <c r="AF265" s="2"/>
    </row>
    <row r="266" spans="1:32" ht="12.75" customHeight="1">
      <c r="A266" s="2"/>
      <c r="B266" s="35"/>
      <c r="C266" s="2"/>
      <c r="D266" s="2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2"/>
      <c r="T266" s="2"/>
      <c r="U266" s="2"/>
      <c r="V266" s="2"/>
      <c r="W266" s="2"/>
      <c r="X266" s="2"/>
      <c r="Y266" s="64"/>
      <c r="Z266" s="64"/>
      <c r="AA266" s="2"/>
      <c r="AB266" s="2"/>
      <c r="AC266" s="2"/>
      <c r="AD266" s="2"/>
      <c r="AE266" s="2"/>
      <c r="AF266" s="2"/>
    </row>
    <row r="267" spans="1:32" ht="12.75" customHeight="1">
      <c r="A267" s="2"/>
      <c r="B267" s="35"/>
      <c r="C267" s="2"/>
      <c r="D267" s="2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2"/>
      <c r="T267" s="2"/>
      <c r="U267" s="2"/>
      <c r="V267" s="2"/>
      <c r="W267" s="2"/>
      <c r="X267" s="2"/>
      <c r="Y267" s="64"/>
      <c r="Z267" s="64"/>
      <c r="AA267" s="2"/>
      <c r="AB267" s="2"/>
      <c r="AC267" s="2"/>
      <c r="AD267" s="2"/>
      <c r="AE267" s="2"/>
      <c r="AF267" s="2"/>
    </row>
    <row r="268" spans="1:32" ht="12.75" customHeight="1">
      <c r="A268" s="2"/>
      <c r="B268" s="35"/>
      <c r="C268" s="2"/>
      <c r="D268" s="2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2"/>
      <c r="T268" s="2"/>
      <c r="U268" s="2"/>
      <c r="V268" s="2"/>
      <c r="W268" s="2"/>
      <c r="X268" s="2"/>
      <c r="Y268" s="64"/>
      <c r="Z268" s="64"/>
      <c r="AA268" s="2"/>
      <c r="AB268" s="2"/>
      <c r="AC268" s="2"/>
      <c r="AD268" s="2"/>
      <c r="AE268" s="2"/>
      <c r="AF268" s="2"/>
    </row>
    <row r="269" spans="1:32" ht="12.75" customHeight="1">
      <c r="A269" s="2"/>
      <c r="B269" s="35"/>
      <c r="C269" s="2"/>
      <c r="D269" s="2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2"/>
      <c r="T269" s="2"/>
      <c r="U269" s="2"/>
      <c r="V269" s="2"/>
      <c r="W269" s="2"/>
      <c r="X269" s="2"/>
      <c r="Y269" s="64"/>
      <c r="Z269" s="64"/>
      <c r="AA269" s="2"/>
      <c r="AB269" s="2"/>
      <c r="AC269" s="2"/>
      <c r="AD269" s="2"/>
      <c r="AE269" s="2"/>
      <c r="AF269" s="2"/>
    </row>
    <row r="270" spans="1:32" ht="12.75" customHeight="1">
      <c r="A270" s="2"/>
      <c r="B270" s="35"/>
      <c r="C270" s="2"/>
      <c r="D270" s="2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2"/>
      <c r="T270" s="2"/>
      <c r="U270" s="2"/>
      <c r="V270" s="2"/>
      <c r="W270" s="2"/>
      <c r="X270" s="2"/>
      <c r="Y270" s="64"/>
      <c r="Z270" s="64"/>
      <c r="AA270" s="2"/>
      <c r="AB270" s="2"/>
      <c r="AC270" s="2"/>
      <c r="AD270" s="2"/>
      <c r="AE270" s="2"/>
      <c r="AF270" s="2"/>
    </row>
    <row r="271" spans="1:32" ht="12.75" customHeight="1">
      <c r="A271" s="2"/>
      <c r="B271" s="35"/>
      <c r="C271" s="2"/>
      <c r="D271" s="2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2"/>
      <c r="T271" s="2"/>
      <c r="U271" s="2"/>
      <c r="V271" s="2"/>
      <c r="W271" s="2"/>
      <c r="X271" s="2"/>
      <c r="Y271" s="64"/>
      <c r="Z271" s="64"/>
      <c r="AA271" s="2"/>
      <c r="AB271" s="2"/>
      <c r="AC271" s="2"/>
      <c r="AD271" s="2"/>
      <c r="AE271" s="2"/>
      <c r="AF271" s="2"/>
    </row>
    <row r="272" spans="1:32" ht="12.75" customHeight="1">
      <c r="A272" s="2"/>
      <c r="B272" s="35"/>
      <c r="C272" s="2"/>
      <c r="D272" s="2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2"/>
      <c r="T272" s="2"/>
      <c r="U272" s="2"/>
      <c r="V272" s="2"/>
      <c r="W272" s="2"/>
      <c r="X272" s="2"/>
      <c r="Y272" s="64"/>
      <c r="Z272" s="64"/>
      <c r="AA272" s="2"/>
      <c r="AB272" s="2"/>
      <c r="AC272" s="2"/>
      <c r="AD272" s="2"/>
      <c r="AE272" s="2"/>
      <c r="AF272" s="2"/>
    </row>
    <row r="273" spans="1:32" ht="12.75" customHeight="1">
      <c r="A273" s="2"/>
      <c r="B273" s="35"/>
      <c r="C273" s="2"/>
      <c r="D273" s="2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2"/>
      <c r="T273" s="2"/>
      <c r="U273" s="2"/>
      <c r="V273" s="2"/>
      <c r="W273" s="2"/>
      <c r="X273" s="2"/>
      <c r="Y273" s="64"/>
      <c r="Z273" s="64"/>
      <c r="AA273" s="2"/>
      <c r="AB273" s="2"/>
      <c r="AC273" s="2"/>
      <c r="AD273" s="2"/>
      <c r="AE273" s="2"/>
      <c r="AF273" s="2"/>
    </row>
    <row r="274" spans="1:32" ht="12.75" customHeight="1">
      <c r="A274" s="2"/>
      <c r="B274" s="35"/>
      <c r="C274" s="2"/>
      <c r="D274" s="2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2"/>
      <c r="T274" s="2"/>
      <c r="U274" s="2"/>
      <c r="V274" s="2"/>
      <c r="W274" s="2"/>
      <c r="X274" s="2"/>
      <c r="Y274" s="64"/>
      <c r="Z274" s="64"/>
      <c r="AA274" s="2"/>
      <c r="AB274" s="2"/>
      <c r="AC274" s="2"/>
      <c r="AD274" s="2"/>
      <c r="AE274" s="2"/>
      <c r="AF274" s="2"/>
    </row>
    <row r="275" spans="1:32" ht="12.75" customHeight="1">
      <c r="A275" s="2"/>
      <c r="B275" s="35"/>
      <c r="C275" s="2"/>
      <c r="D275" s="2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2"/>
      <c r="T275" s="2"/>
      <c r="U275" s="2"/>
      <c r="V275" s="2"/>
      <c r="W275" s="2"/>
      <c r="X275" s="2"/>
      <c r="Y275" s="64"/>
      <c r="Z275" s="64"/>
      <c r="AA275" s="2"/>
      <c r="AB275" s="2"/>
      <c r="AC275" s="2"/>
      <c r="AD275" s="2"/>
      <c r="AE275" s="2"/>
      <c r="AF275" s="2"/>
    </row>
    <row r="276" spans="1:32" ht="12.75" customHeight="1">
      <c r="A276" s="2"/>
      <c r="B276" s="35"/>
      <c r="C276" s="2"/>
      <c r="D276" s="2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2"/>
      <c r="T276" s="2"/>
      <c r="U276" s="2"/>
      <c r="V276" s="2"/>
      <c r="W276" s="2"/>
      <c r="X276" s="2"/>
      <c r="Y276" s="64"/>
      <c r="Z276" s="64"/>
      <c r="AA276" s="2"/>
      <c r="AB276" s="2"/>
      <c r="AC276" s="2"/>
      <c r="AD276" s="2"/>
      <c r="AE276" s="2"/>
      <c r="AF276" s="2"/>
    </row>
    <row r="277" spans="1:32" ht="12.75" customHeight="1">
      <c r="A277" s="2"/>
      <c r="B277" s="35"/>
      <c r="C277" s="2"/>
      <c r="D277" s="2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2"/>
      <c r="T277" s="2"/>
      <c r="U277" s="2"/>
      <c r="V277" s="2"/>
      <c r="W277" s="2"/>
      <c r="X277" s="2"/>
      <c r="Y277" s="64"/>
      <c r="Z277" s="64"/>
      <c r="AA277" s="2"/>
      <c r="AB277" s="2"/>
      <c r="AC277" s="2"/>
      <c r="AD277" s="2"/>
      <c r="AE277" s="2"/>
      <c r="AF277" s="2"/>
    </row>
    <row r="278" spans="1:32" ht="12.75" customHeight="1">
      <c r="A278" s="2"/>
      <c r="B278" s="35"/>
      <c r="C278" s="2"/>
      <c r="D278" s="2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2"/>
      <c r="T278" s="2"/>
      <c r="U278" s="2"/>
      <c r="V278" s="2"/>
      <c r="W278" s="2"/>
      <c r="X278" s="2"/>
      <c r="Y278" s="64"/>
      <c r="Z278" s="64"/>
      <c r="AA278" s="2"/>
      <c r="AB278" s="2"/>
      <c r="AC278" s="2"/>
      <c r="AD278" s="2"/>
      <c r="AE278" s="2"/>
      <c r="AF278" s="2"/>
    </row>
    <row r="279" spans="1:32" ht="12.75" customHeight="1">
      <c r="A279" s="2"/>
      <c r="B279" s="35"/>
      <c r="C279" s="2"/>
      <c r="D279" s="2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2"/>
      <c r="T279" s="2"/>
      <c r="U279" s="2"/>
      <c r="V279" s="2"/>
      <c r="W279" s="2"/>
      <c r="X279" s="2"/>
      <c r="Y279" s="64"/>
      <c r="Z279" s="64"/>
      <c r="AA279" s="2"/>
      <c r="AB279" s="2"/>
      <c r="AC279" s="2"/>
      <c r="AD279" s="2"/>
      <c r="AE279" s="2"/>
      <c r="AF279" s="2"/>
    </row>
    <row r="280" spans="1:32" ht="12.75" customHeight="1">
      <c r="A280" s="2"/>
      <c r="B280" s="35"/>
      <c r="C280" s="2"/>
      <c r="D280" s="2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2"/>
      <c r="T280" s="2"/>
      <c r="U280" s="2"/>
      <c r="V280" s="2"/>
      <c r="W280" s="2"/>
      <c r="X280" s="2"/>
      <c r="Y280" s="64"/>
      <c r="Z280" s="64"/>
      <c r="AA280" s="2"/>
      <c r="AB280" s="2"/>
      <c r="AC280" s="2"/>
      <c r="AD280" s="2"/>
      <c r="AE280" s="2"/>
      <c r="AF280" s="2"/>
    </row>
    <row r="281" spans="1:32" ht="12.75" customHeight="1">
      <c r="A281" s="2"/>
      <c r="B281" s="35"/>
      <c r="C281" s="2"/>
      <c r="D281" s="2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2"/>
      <c r="T281" s="2"/>
      <c r="U281" s="2"/>
      <c r="V281" s="2"/>
      <c r="W281" s="2"/>
      <c r="X281" s="2"/>
      <c r="Y281" s="64"/>
      <c r="Z281" s="64"/>
      <c r="AA281" s="2"/>
      <c r="AB281" s="2"/>
      <c r="AC281" s="2"/>
      <c r="AD281" s="2"/>
      <c r="AE281" s="2"/>
      <c r="AF281" s="2"/>
    </row>
    <row r="282" spans="1:32" ht="12.75" customHeight="1">
      <c r="A282" s="2"/>
      <c r="B282" s="35"/>
      <c r="C282" s="2"/>
      <c r="D282" s="2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2"/>
      <c r="T282" s="2"/>
      <c r="U282" s="2"/>
      <c r="V282" s="2"/>
      <c r="W282" s="2"/>
      <c r="X282" s="2"/>
      <c r="Y282" s="64"/>
      <c r="Z282" s="64"/>
      <c r="AA282" s="2"/>
      <c r="AB282" s="2"/>
      <c r="AC282" s="2"/>
      <c r="AD282" s="2"/>
      <c r="AE282" s="2"/>
      <c r="AF282" s="2"/>
    </row>
    <row r="283" spans="1:32" ht="12.75" customHeight="1">
      <c r="A283" s="2"/>
      <c r="B283" s="35"/>
      <c r="C283" s="2"/>
      <c r="D283" s="2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2"/>
      <c r="T283" s="2"/>
      <c r="U283" s="2"/>
      <c r="V283" s="2"/>
      <c r="W283" s="2"/>
      <c r="X283" s="2"/>
      <c r="Y283" s="64"/>
      <c r="Z283" s="64"/>
      <c r="AA283" s="2"/>
      <c r="AB283" s="2"/>
      <c r="AC283" s="2"/>
      <c r="AD283" s="2"/>
      <c r="AE283" s="2"/>
      <c r="AF283" s="2"/>
    </row>
    <row r="284" spans="1:32" ht="12.75" customHeight="1">
      <c r="A284" s="2"/>
      <c r="B284" s="35"/>
      <c r="C284" s="2"/>
      <c r="D284" s="2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2"/>
      <c r="T284" s="2"/>
      <c r="U284" s="2"/>
      <c r="V284" s="2"/>
      <c r="W284" s="2"/>
      <c r="X284" s="2"/>
      <c r="Y284" s="64"/>
      <c r="Z284" s="64"/>
      <c r="AA284" s="2"/>
      <c r="AB284" s="2"/>
      <c r="AC284" s="2"/>
      <c r="AD284" s="2"/>
      <c r="AE284" s="2"/>
      <c r="AF284" s="2"/>
    </row>
    <row r="285" spans="1:32" ht="12.75" customHeight="1">
      <c r="A285" s="2"/>
      <c r="B285" s="35"/>
      <c r="C285" s="2"/>
      <c r="D285" s="2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2"/>
      <c r="T285" s="2"/>
      <c r="U285" s="2"/>
      <c r="V285" s="2"/>
      <c r="W285" s="2"/>
      <c r="X285" s="2"/>
      <c r="Y285" s="64"/>
      <c r="Z285" s="64"/>
      <c r="AA285" s="2"/>
      <c r="AB285" s="2"/>
      <c r="AC285" s="2"/>
      <c r="AD285" s="2"/>
      <c r="AE285" s="2"/>
      <c r="AF285" s="2"/>
    </row>
    <row r="286" spans="1:32" ht="12.75" customHeight="1">
      <c r="A286" s="2"/>
      <c r="B286" s="35"/>
      <c r="C286" s="2"/>
      <c r="D286" s="2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2"/>
      <c r="T286" s="2"/>
      <c r="U286" s="2"/>
      <c r="V286" s="2"/>
      <c r="W286" s="2"/>
      <c r="X286" s="2"/>
      <c r="Y286" s="64"/>
      <c r="Z286" s="64"/>
      <c r="AA286" s="2"/>
      <c r="AB286" s="2"/>
      <c r="AC286" s="2"/>
      <c r="AD286" s="2"/>
      <c r="AE286" s="2"/>
      <c r="AF286" s="2"/>
    </row>
    <row r="287" spans="1:32" ht="12.75" customHeight="1">
      <c r="A287" s="2"/>
      <c r="B287" s="35"/>
      <c r="C287" s="2"/>
      <c r="D287" s="2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2"/>
      <c r="T287" s="2"/>
      <c r="U287" s="2"/>
      <c r="V287" s="2"/>
      <c r="W287" s="2"/>
      <c r="X287" s="2"/>
      <c r="Y287" s="64"/>
      <c r="Z287" s="64"/>
      <c r="AA287" s="2"/>
      <c r="AB287" s="2"/>
      <c r="AC287" s="2"/>
      <c r="AD287" s="2"/>
      <c r="AE287" s="2"/>
      <c r="AF287" s="2"/>
    </row>
    <row r="288" spans="1:32" ht="12.75" customHeight="1">
      <c r="A288" s="2"/>
      <c r="B288" s="35"/>
      <c r="C288" s="2"/>
      <c r="D288" s="2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2"/>
      <c r="T288" s="2"/>
      <c r="U288" s="2"/>
      <c r="V288" s="2"/>
      <c r="W288" s="2"/>
      <c r="X288" s="2"/>
      <c r="Y288" s="64"/>
      <c r="Z288" s="64"/>
      <c r="AA288" s="2"/>
      <c r="AB288" s="2"/>
      <c r="AC288" s="2"/>
      <c r="AD288" s="2"/>
      <c r="AE288" s="2"/>
      <c r="AF288" s="2"/>
    </row>
    <row r="289" spans="1:32" ht="12.75" customHeight="1">
      <c r="A289" s="2"/>
      <c r="B289" s="35"/>
      <c r="C289" s="2"/>
      <c r="D289" s="2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2"/>
      <c r="T289" s="2"/>
      <c r="U289" s="2"/>
      <c r="V289" s="2"/>
      <c r="W289" s="2"/>
      <c r="X289" s="2"/>
      <c r="Y289" s="64"/>
      <c r="Z289" s="64"/>
      <c r="AA289" s="2"/>
      <c r="AB289" s="2"/>
      <c r="AC289" s="2"/>
      <c r="AD289" s="2"/>
      <c r="AE289" s="2"/>
      <c r="AF289" s="2"/>
    </row>
    <row r="290" spans="1:32" ht="12.75" customHeight="1">
      <c r="A290" s="2"/>
      <c r="B290" s="35"/>
      <c r="C290" s="2"/>
      <c r="D290" s="2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2"/>
      <c r="T290" s="2"/>
      <c r="U290" s="2"/>
      <c r="V290" s="2"/>
      <c r="W290" s="2"/>
      <c r="X290" s="2"/>
      <c r="Y290" s="64"/>
      <c r="Z290" s="64"/>
      <c r="AA290" s="2"/>
      <c r="AB290" s="2"/>
      <c r="AC290" s="2"/>
      <c r="AD290" s="2"/>
      <c r="AE290" s="2"/>
      <c r="AF290" s="2"/>
    </row>
    <row r="291" spans="1:32" ht="12.75" customHeight="1">
      <c r="A291" s="2"/>
      <c r="B291" s="35"/>
      <c r="C291" s="2"/>
      <c r="D291" s="2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2"/>
      <c r="T291" s="2"/>
      <c r="U291" s="2"/>
      <c r="V291" s="2"/>
      <c r="W291" s="2"/>
      <c r="X291" s="2"/>
      <c r="Y291" s="64"/>
      <c r="Z291" s="64"/>
      <c r="AA291" s="2"/>
      <c r="AB291" s="2"/>
      <c r="AC291" s="2"/>
      <c r="AD291" s="2"/>
      <c r="AE291" s="2"/>
      <c r="AF291" s="2"/>
    </row>
    <row r="292" spans="1:32" ht="12.75" customHeight="1">
      <c r="A292" s="2"/>
      <c r="B292" s="35"/>
      <c r="C292" s="2"/>
      <c r="D292" s="2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2"/>
      <c r="T292" s="2"/>
      <c r="U292" s="2"/>
      <c r="V292" s="2"/>
      <c r="W292" s="2"/>
      <c r="X292" s="2"/>
      <c r="Y292" s="64"/>
      <c r="Z292" s="64"/>
      <c r="AA292" s="2"/>
      <c r="AB292" s="2"/>
      <c r="AC292" s="2"/>
      <c r="AD292" s="2"/>
      <c r="AE292" s="2"/>
      <c r="AF292" s="2"/>
    </row>
    <row r="293" spans="1:32" ht="12.75" customHeight="1">
      <c r="A293" s="2"/>
      <c r="B293" s="35"/>
      <c r="C293" s="2"/>
      <c r="D293" s="2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2"/>
      <c r="T293" s="2"/>
      <c r="U293" s="2"/>
      <c r="V293" s="2"/>
      <c r="W293" s="2"/>
      <c r="X293" s="2"/>
      <c r="Y293" s="64"/>
      <c r="Z293" s="64"/>
      <c r="AA293" s="2"/>
      <c r="AB293" s="2"/>
      <c r="AC293" s="2"/>
      <c r="AD293" s="2"/>
      <c r="AE293" s="2"/>
      <c r="AF293" s="2"/>
    </row>
    <row r="294" spans="1:32" ht="12.75" customHeight="1">
      <c r="A294" s="2"/>
      <c r="B294" s="35"/>
      <c r="C294" s="2"/>
      <c r="D294" s="2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2"/>
      <c r="T294" s="2"/>
      <c r="U294" s="2"/>
      <c r="V294" s="2"/>
      <c r="W294" s="2"/>
      <c r="X294" s="2"/>
      <c r="Y294" s="64"/>
      <c r="Z294" s="64"/>
      <c r="AA294" s="2"/>
      <c r="AB294" s="2"/>
      <c r="AC294" s="2"/>
      <c r="AD294" s="2"/>
      <c r="AE294" s="2"/>
      <c r="AF294" s="2"/>
    </row>
    <row r="295" spans="1:32" ht="12.75" customHeight="1">
      <c r="A295" s="2"/>
      <c r="B295" s="35"/>
      <c r="C295" s="2"/>
      <c r="D295" s="2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2"/>
      <c r="T295" s="2"/>
      <c r="U295" s="2"/>
      <c r="V295" s="2"/>
      <c r="W295" s="2"/>
      <c r="X295" s="2"/>
      <c r="Y295" s="64"/>
      <c r="Z295" s="64"/>
      <c r="AA295" s="2"/>
      <c r="AB295" s="2"/>
      <c r="AC295" s="2"/>
      <c r="AD295" s="2"/>
      <c r="AE295" s="2"/>
      <c r="AF295" s="2"/>
    </row>
    <row r="296" spans="1:32" ht="12.75" customHeight="1">
      <c r="A296" s="2"/>
      <c r="B296" s="35"/>
      <c r="C296" s="2"/>
      <c r="D296" s="2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2"/>
      <c r="T296" s="2"/>
      <c r="U296" s="2"/>
      <c r="V296" s="2"/>
      <c r="W296" s="2"/>
      <c r="X296" s="2"/>
      <c r="Y296" s="64"/>
      <c r="Z296" s="64"/>
      <c r="AA296" s="2"/>
      <c r="AB296" s="2"/>
      <c r="AC296" s="2"/>
      <c r="AD296" s="2"/>
      <c r="AE296" s="2"/>
      <c r="AF296" s="2"/>
    </row>
    <row r="297" spans="1:32" ht="12.75" customHeight="1">
      <c r="A297" s="2"/>
      <c r="B297" s="35"/>
      <c r="C297" s="2"/>
      <c r="D297" s="2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2"/>
      <c r="T297" s="2"/>
      <c r="U297" s="2"/>
      <c r="V297" s="2"/>
      <c r="W297" s="2"/>
      <c r="X297" s="2"/>
      <c r="Y297" s="64"/>
      <c r="Z297" s="64"/>
      <c r="AA297" s="2"/>
      <c r="AB297" s="2"/>
      <c r="AC297" s="2"/>
      <c r="AD297" s="2"/>
      <c r="AE297" s="2"/>
      <c r="AF297" s="2"/>
    </row>
    <row r="298" spans="1:32" ht="12.75" customHeight="1">
      <c r="A298" s="2"/>
      <c r="B298" s="35"/>
      <c r="C298" s="2"/>
      <c r="D298" s="2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2"/>
      <c r="T298" s="2"/>
      <c r="U298" s="2"/>
      <c r="V298" s="2"/>
      <c r="W298" s="2"/>
      <c r="X298" s="2"/>
      <c r="Y298" s="64"/>
      <c r="Z298" s="64"/>
      <c r="AA298" s="2"/>
      <c r="AB298" s="2"/>
      <c r="AC298" s="2"/>
      <c r="AD298" s="2"/>
      <c r="AE298" s="2"/>
      <c r="AF298" s="2"/>
    </row>
    <row r="299" spans="1:32" ht="12.75" customHeight="1">
      <c r="A299" s="2"/>
      <c r="B299" s="35"/>
      <c r="C299" s="2"/>
      <c r="D299" s="2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2"/>
      <c r="T299" s="2"/>
      <c r="U299" s="2"/>
      <c r="V299" s="2"/>
      <c r="W299" s="2"/>
      <c r="X299" s="2"/>
      <c r="Y299" s="64"/>
      <c r="Z299" s="64"/>
      <c r="AA299" s="2"/>
      <c r="AB299" s="2"/>
      <c r="AC299" s="2"/>
      <c r="AD299" s="2"/>
      <c r="AE299" s="2"/>
      <c r="AF299" s="2"/>
    </row>
    <row r="300" spans="1:32" ht="12.75" customHeight="1">
      <c r="A300" s="2"/>
      <c r="B300" s="35"/>
      <c r="C300" s="2"/>
      <c r="D300" s="2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2"/>
      <c r="T300" s="2"/>
      <c r="U300" s="2"/>
      <c r="V300" s="2"/>
      <c r="W300" s="2"/>
      <c r="X300" s="2"/>
      <c r="Y300" s="64"/>
      <c r="Z300" s="64"/>
      <c r="AA300" s="2"/>
      <c r="AB300" s="2"/>
      <c r="AC300" s="2"/>
      <c r="AD300" s="2"/>
      <c r="AE300" s="2"/>
      <c r="AF300" s="2"/>
    </row>
    <row r="301" spans="1:32" ht="12.75" customHeight="1">
      <c r="A301" s="2"/>
      <c r="B301" s="35"/>
      <c r="C301" s="2"/>
      <c r="D301" s="2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2"/>
      <c r="T301" s="2"/>
      <c r="U301" s="2"/>
      <c r="V301" s="2"/>
      <c r="W301" s="2"/>
      <c r="X301" s="2"/>
      <c r="Y301" s="64"/>
      <c r="Z301" s="64"/>
      <c r="AA301" s="2"/>
      <c r="AB301" s="2"/>
      <c r="AC301" s="2"/>
      <c r="AD301" s="2"/>
      <c r="AE301" s="2"/>
      <c r="AF301" s="2"/>
    </row>
    <row r="302" spans="1:32" ht="12.75" customHeight="1">
      <c r="A302" s="2"/>
      <c r="B302" s="35"/>
      <c r="C302" s="2"/>
      <c r="D302" s="2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2"/>
      <c r="T302" s="2"/>
      <c r="U302" s="2"/>
      <c r="V302" s="2"/>
      <c r="W302" s="2"/>
      <c r="X302" s="2"/>
      <c r="Y302" s="64"/>
      <c r="Z302" s="64"/>
      <c r="AA302" s="2"/>
      <c r="AB302" s="2"/>
      <c r="AC302" s="2"/>
      <c r="AD302" s="2"/>
      <c r="AE302" s="2"/>
      <c r="AF302" s="2"/>
    </row>
    <row r="303" spans="1:32" ht="12.75" customHeight="1">
      <c r="A303" s="2"/>
      <c r="B303" s="35"/>
      <c r="C303" s="2"/>
      <c r="D303" s="2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2"/>
      <c r="T303" s="2"/>
      <c r="U303" s="2"/>
      <c r="V303" s="2"/>
      <c r="W303" s="2"/>
      <c r="X303" s="2"/>
      <c r="Y303" s="64"/>
      <c r="Z303" s="64"/>
      <c r="AA303" s="2"/>
      <c r="AB303" s="2"/>
      <c r="AC303" s="2"/>
      <c r="AD303" s="2"/>
      <c r="AE303" s="2"/>
      <c r="AF303" s="2"/>
    </row>
    <row r="304" spans="1:32" ht="12.75" customHeight="1">
      <c r="A304" s="2"/>
      <c r="B304" s="35"/>
      <c r="C304" s="2"/>
      <c r="D304" s="2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2"/>
      <c r="T304" s="2"/>
      <c r="U304" s="2"/>
      <c r="V304" s="2"/>
      <c r="W304" s="2"/>
      <c r="X304" s="2"/>
      <c r="Y304" s="64"/>
      <c r="Z304" s="64"/>
      <c r="AA304" s="2"/>
      <c r="AB304" s="2"/>
      <c r="AC304" s="2"/>
      <c r="AD304" s="2"/>
      <c r="AE304" s="2"/>
      <c r="AF304" s="2"/>
    </row>
    <row r="305" spans="1:32" ht="12.75" customHeight="1">
      <c r="A305" s="2"/>
      <c r="B305" s="35"/>
      <c r="C305" s="2"/>
      <c r="D305" s="2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2"/>
      <c r="T305" s="2"/>
      <c r="U305" s="2"/>
      <c r="V305" s="2"/>
      <c r="W305" s="2"/>
      <c r="X305" s="2"/>
      <c r="Y305" s="64"/>
      <c r="Z305" s="64"/>
      <c r="AA305" s="2"/>
      <c r="AB305" s="2"/>
      <c r="AC305" s="2"/>
      <c r="AD305" s="2"/>
      <c r="AE305" s="2"/>
      <c r="AF305" s="2"/>
    </row>
    <row r="306" spans="1:32" ht="12.75" customHeight="1">
      <c r="A306" s="2"/>
      <c r="B306" s="35"/>
      <c r="C306" s="2"/>
      <c r="D306" s="2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2"/>
      <c r="T306" s="2"/>
      <c r="U306" s="2"/>
      <c r="V306" s="2"/>
      <c r="W306" s="2"/>
      <c r="X306" s="2"/>
      <c r="Y306" s="64"/>
      <c r="Z306" s="64"/>
      <c r="AA306" s="2"/>
      <c r="AB306" s="2"/>
      <c r="AC306" s="2"/>
      <c r="AD306" s="2"/>
      <c r="AE306" s="2"/>
      <c r="AF306" s="2"/>
    </row>
    <row r="307" spans="1:32" ht="12.75" customHeight="1">
      <c r="A307" s="2"/>
      <c r="B307" s="35"/>
      <c r="C307" s="2"/>
      <c r="D307" s="2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2"/>
      <c r="T307" s="2"/>
      <c r="U307" s="2"/>
      <c r="V307" s="2"/>
      <c r="W307" s="2"/>
      <c r="X307" s="2"/>
      <c r="Y307" s="64"/>
      <c r="Z307" s="64"/>
      <c r="AA307" s="2"/>
      <c r="AB307" s="2"/>
      <c r="AC307" s="2"/>
      <c r="AD307" s="2"/>
      <c r="AE307" s="2"/>
      <c r="AF307" s="2"/>
    </row>
    <row r="308" spans="1:32" ht="12.75" customHeight="1">
      <c r="A308" s="2"/>
      <c r="B308" s="35"/>
      <c r="C308" s="2"/>
      <c r="D308" s="2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2"/>
      <c r="T308" s="2"/>
      <c r="U308" s="2"/>
      <c r="V308" s="2"/>
      <c r="W308" s="2"/>
      <c r="X308" s="2"/>
      <c r="Y308" s="64"/>
      <c r="Z308" s="64"/>
      <c r="AA308" s="2"/>
      <c r="AB308" s="2"/>
      <c r="AC308" s="2"/>
      <c r="AD308" s="2"/>
      <c r="AE308" s="2"/>
      <c r="AF308" s="2"/>
    </row>
    <row r="309" spans="1:32" ht="12.75" customHeight="1">
      <c r="A309" s="2"/>
      <c r="B309" s="35"/>
      <c r="C309" s="2"/>
      <c r="D309" s="2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2"/>
      <c r="T309" s="2"/>
      <c r="U309" s="2"/>
      <c r="V309" s="2"/>
      <c r="W309" s="2"/>
      <c r="X309" s="2"/>
      <c r="Y309" s="64"/>
      <c r="Z309" s="64"/>
      <c r="AA309" s="2"/>
      <c r="AB309" s="2"/>
      <c r="AC309" s="2"/>
      <c r="AD309" s="2"/>
      <c r="AE309" s="2"/>
      <c r="AF309" s="2"/>
    </row>
    <row r="310" spans="1:32" ht="12.75" customHeight="1">
      <c r="A310" s="2"/>
      <c r="B310" s="35"/>
      <c r="C310" s="2"/>
      <c r="D310" s="2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2"/>
      <c r="T310" s="2"/>
      <c r="U310" s="2"/>
      <c r="V310" s="2"/>
      <c r="W310" s="2"/>
      <c r="X310" s="2"/>
      <c r="Y310" s="64"/>
      <c r="Z310" s="64"/>
      <c r="AA310" s="2"/>
      <c r="AB310" s="2"/>
      <c r="AC310" s="2"/>
      <c r="AD310" s="2"/>
      <c r="AE310" s="2"/>
      <c r="AF310" s="2"/>
    </row>
    <row r="311" spans="1:32" ht="12.75" customHeight="1">
      <c r="A311" s="2"/>
      <c r="B311" s="35"/>
      <c r="C311" s="2"/>
      <c r="D311" s="2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2"/>
      <c r="T311" s="2"/>
      <c r="U311" s="2"/>
      <c r="V311" s="2"/>
      <c r="W311" s="2"/>
      <c r="X311" s="2"/>
      <c r="Y311" s="64"/>
      <c r="Z311" s="64"/>
      <c r="AA311" s="2"/>
      <c r="AB311" s="2"/>
      <c r="AC311" s="2"/>
      <c r="AD311" s="2"/>
      <c r="AE311" s="2"/>
      <c r="AF311" s="2"/>
    </row>
    <row r="312" spans="1:32" ht="12.75" customHeight="1">
      <c r="A312" s="2"/>
      <c r="B312" s="35"/>
      <c r="C312" s="2"/>
      <c r="D312" s="2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2"/>
      <c r="T312" s="2"/>
      <c r="U312" s="2"/>
      <c r="V312" s="2"/>
      <c r="W312" s="2"/>
      <c r="X312" s="2"/>
      <c r="Y312" s="64"/>
      <c r="Z312" s="64"/>
      <c r="AA312" s="2"/>
      <c r="AB312" s="2"/>
      <c r="AC312" s="2"/>
      <c r="AD312" s="2"/>
      <c r="AE312" s="2"/>
      <c r="AF312" s="2"/>
    </row>
    <row r="313" spans="1:32" ht="12.75" customHeight="1">
      <c r="A313" s="2"/>
      <c r="B313" s="35"/>
      <c r="C313" s="2"/>
      <c r="D313" s="2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2"/>
      <c r="T313" s="2"/>
      <c r="U313" s="2"/>
      <c r="V313" s="2"/>
      <c r="W313" s="2"/>
      <c r="X313" s="2"/>
      <c r="Y313" s="64"/>
      <c r="Z313" s="64"/>
      <c r="AA313" s="2"/>
      <c r="AB313" s="2"/>
      <c r="AC313" s="2"/>
      <c r="AD313" s="2"/>
      <c r="AE313" s="2"/>
      <c r="AF313" s="2"/>
    </row>
    <row r="314" spans="1:32" ht="12.75" customHeight="1">
      <c r="A314" s="2"/>
      <c r="B314" s="35"/>
      <c r="C314" s="2"/>
      <c r="D314" s="2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2"/>
      <c r="T314" s="2"/>
      <c r="U314" s="2"/>
      <c r="V314" s="2"/>
      <c r="W314" s="2"/>
      <c r="X314" s="2"/>
      <c r="Y314" s="64"/>
      <c r="Z314" s="64"/>
      <c r="AA314" s="2"/>
      <c r="AB314" s="2"/>
      <c r="AC314" s="2"/>
      <c r="AD314" s="2"/>
      <c r="AE314" s="2"/>
      <c r="AF314" s="2"/>
    </row>
    <row r="315" spans="1:32" ht="12.75" customHeight="1">
      <c r="A315" s="2"/>
      <c r="B315" s="35"/>
      <c r="C315" s="2"/>
      <c r="D315" s="2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2"/>
      <c r="T315" s="2"/>
      <c r="U315" s="2"/>
      <c r="V315" s="2"/>
      <c r="W315" s="2"/>
      <c r="X315" s="2"/>
      <c r="Y315" s="64"/>
      <c r="Z315" s="64"/>
      <c r="AA315" s="2"/>
      <c r="AB315" s="2"/>
      <c r="AC315" s="2"/>
      <c r="AD315" s="2"/>
      <c r="AE315" s="2"/>
      <c r="AF315" s="2"/>
    </row>
    <row r="316" spans="1:32" ht="12.75" customHeight="1">
      <c r="A316" s="2"/>
      <c r="B316" s="35"/>
      <c r="C316" s="2"/>
      <c r="D316" s="2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2"/>
      <c r="T316" s="2"/>
      <c r="U316" s="2"/>
      <c r="V316" s="2"/>
      <c r="W316" s="2"/>
      <c r="X316" s="2"/>
      <c r="Y316" s="64"/>
      <c r="Z316" s="64"/>
      <c r="AA316" s="2"/>
      <c r="AB316" s="2"/>
      <c r="AC316" s="2"/>
      <c r="AD316" s="2"/>
      <c r="AE316" s="2"/>
      <c r="AF316" s="2"/>
    </row>
    <row r="317" spans="1:32" ht="12.75" customHeight="1">
      <c r="A317" s="2"/>
      <c r="B317" s="35"/>
      <c r="C317" s="2"/>
      <c r="D317" s="2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2"/>
      <c r="T317" s="2"/>
      <c r="U317" s="2"/>
      <c r="V317" s="2"/>
      <c r="W317" s="2"/>
      <c r="X317" s="2"/>
      <c r="Y317" s="64"/>
      <c r="Z317" s="64"/>
      <c r="AA317" s="2"/>
      <c r="AB317" s="2"/>
      <c r="AC317" s="2"/>
      <c r="AD317" s="2"/>
      <c r="AE317" s="2"/>
      <c r="AF317" s="2"/>
    </row>
    <row r="318" spans="1:32" ht="12.75" customHeight="1">
      <c r="A318" s="2"/>
      <c r="B318" s="35"/>
      <c r="C318" s="2"/>
      <c r="D318" s="2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2"/>
      <c r="T318" s="2"/>
      <c r="U318" s="2"/>
      <c r="V318" s="2"/>
      <c r="W318" s="2"/>
      <c r="X318" s="2"/>
      <c r="Y318" s="64"/>
      <c r="Z318" s="64"/>
      <c r="AA318" s="2"/>
      <c r="AB318" s="2"/>
      <c r="AC318" s="2"/>
      <c r="AD318" s="2"/>
      <c r="AE318" s="2"/>
      <c r="AF318" s="2"/>
    </row>
    <row r="319" spans="1:32" ht="12.75" customHeight="1">
      <c r="A319" s="2"/>
      <c r="B319" s="35"/>
      <c r="C319" s="2"/>
      <c r="D319" s="2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2"/>
      <c r="T319" s="2"/>
      <c r="U319" s="2"/>
      <c r="V319" s="2"/>
      <c r="W319" s="2"/>
      <c r="X319" s="2"/>
      <c r="Y319" s="64"/>
      <c r="Z319" s="64"/>
      <c r="AA319" s="2"/>
      <c r="AB319" s="2"/>
      <c r="AC319" s="2"/>
      <c r="AD319" s="2"/>
      <c r="AE319" s="2"/>
      <c r="AF319" s="2"/>
    </row>
    <row r="320" spans="1:32" ht="12.75" customHeight="1">
      <c r="A320" s="2"/>
      <c r="B320" s="35"/>
      <c r="C320" s="2"/>
      <c r="D320" s="2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2"/>
      <c r="T320" s="2"/>
      <c r="U320" s="2"/>
      <c r="V320" s="2"/>
      <c r="W320" s="2"/>
      <c r="X320" s="2"/>
      <c r="Y320" s="64"/>
      <c r="Z320" s="64"/>
      <c r="AA320" s="2"/>
      <c r="AB320" s="2"/>
      <c r="AC320" s="2"/>
      <c r="AD320" s="2"/>
      <c r="AE320" s="2"/>
      <c r="AF320" s="2"/>
    </row>
    <row r="321" spans="1:32" ht="12.75" customHeight="1">
      <c r="A321" s="2"/>
      <c r="B321" s="35"/>
      <c r="C321" s="2"/>
      <c r="D321" s="2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2"/>
      <c r="T321" s="2"/>
      <c r="U321" s="2"/>
      <c r="V321" s="2"/>
      <c r="W321" s="2"/>
      <c r="X321" s="2"/>
      <c r="Y321" s="64"/>
      <c r="Z321" s="64"/>
      <c r="AA321" s="2"/>
      <c r="AB321" s="2"/>
      <c r="AC321" s="2"/>
      <c r="AD321" s="2"/>
      <c r="AE321" s="2"/>
      <c r="AF321" s="2"/>
    </row>
    <row r="322" spans="1:32" ht="12.75" customHeight="1">
      <c r="A322" s="2"/>
      <c r="B322" s="35"/>
      <c r="C322" s="2"/>
      <c r="D322" s="2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2"/>
      <c r="T322" s="2"/>
      <c r="U322" s="2"/>
      <c r="V322" s="2"/>
      <c r="W322" s="2"/>
      <c r="X322" s="2"/>
      <c r="Y322" s="64"/>
      <c r="Z322" s="64"/>
      <c r="AA322" s="2"/>
      <c r="AB322" s="2"/>
      <c r="AC322" s="2"/>
      <c r="AD322" s="2"/>
      <c r="AE322" s="2"/>
      <c r="AF322" s="2"/>
    </row>
    <row r="323" spans="1:32" ht="12.75" customHeight="1">
      <c r="A323" s="2"/>
      <c r="B323" s="35"/>
      <c r="C323" s="2"/>
      <c r="D323" s="2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2"/>
      <c r="T323" s="2"/>
      <c r="U323" s="2"/>
      <c r="V323" s="2"/>
      <c r="W323" s="2"/>
      <c r="X323" s="2"/>
      <c r="Y323" s="64"/>
      <c r="Z323" s="64"/>
      <c r="AA323" s="2"/>
      <c r="AB323" s="2"/>
      <c r="AC323" s="2"/>
      <c r="AD323" s="2"/>
      <c r="AE323" s="2"/>
      <c r="AF323" s="2"/>
    </row>
    <row r="324" spans="1:32" ht="12.75" customHeight="1">
      <c r="A324" s="2"/>
      <c r="B324" s="35"/>
      <c r="C324" s="2"/>
      <c r="D324" s="2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2"/>
      <c r="T324" s="2"/>
      <c r="U324" s="2"/>
      <c r="V324" s="2"/>
      <c r="W324" s="2"/>
      <c r="X324" s="2"/>
      <c r="Y324" s="64"/>
      <c r="Z324" s="64"/>
      <c r="AA324" s="2"/>
      <c r="AB324" s="2"/>
      <c r="AC324" s="2"/>
      <c r="AD324" s="2"/>
      <c r="AE324" s="2"/>
      <c r="AF324" s="2"/>
    </row>
    <row r="325" spans="1:32" ht="12.75" customHeight="1">
      <c r="A325" s="2"/>
      <c r="B325" s="35"/>
      <c r="C325" s="2"/>
      <c r="D325" s="2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2"/>
      <c r="T325" s="2"/>
      <c r="U325" s="2"/>
      <c r="V325" s="2"/>
      <c r="W325" s="2"/>
      <c r="X325" s="2"/>
      <c r="Y325" s="64"/>
      <c r="Z325" s="64"/>
      <c r="AA325" s="2"/>
      <c r="AB325" s="2"/>
      <c r="AC325" s="2"/>
      <c r="AD325" s="2"/>
      <c r="AE325" s="2"/>
      <c r="AF325" s="2"/>
    </row>
    <row r="326" spans="1:32" ht="12.75" customHeight="1">
      <c r="A326" s="2"/>
      <c r="B326" s="35"/>
      <c r="C326" s="2"/>
      <c r="D326" s="2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2"/>
      <c r="T326" s="2"/>
      <c r="U326" s="2"/>
      <c r="V326" s="2"/>
      <c r="W326" s="2"/>
      <c r="X326" s="2"/>
      <c r="Y326" s="64"/>
      <c r="Z326" s="64"/>
      <c r="AA326" s="2"/>
      <c r="AB326" s="2"/>
      <c r="AC326" s="2"/>
      <c r="AD326" s="2"/>
      <c r="AE326" s="2"/>
      <c r="AF326" s="2"/>
    </row>
    <row r="327" spans="1:32" ht="12.75" customHeight="1">
      <c r="A327" s="2"/>
      <c r="B327" s="35"/>
      <c r="C327" s="2"/>
      <c r="D327" s="2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2"/>
      <c r="T327" s="2"/>
      <c r="U327" s="2"/>
      <c r="V327" s="2"/>
      <c r="W327" s="2"/>
      <c r="X327" s="2"/>
      <c r="Y327" s="64"/>
      <c r="Z327" s="64"/>
      <c r="AA327" s="2"/>
      <c r="AB327" s="2"/>
      <c r="AC327" s="2"/>
      <c r="AD327" s="2"/>
      <c r="AE327" s="2"/>
      <c r="AF327" s="2"/>
    </row>
    <row r="328" spans="1:32" ht="12.75" customHeight="1">
      <c r="A328" s="2"/>
      <c r="B328" s="35"/>
      <c r="C328" s="2"/>
      <c r="D328" s="2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2"/>
      <c r="T328" s="2"/>
      <c r="U328" s="2"/>
      <c r="V328" s="2"/>
      <c r="W328" s="2"/>
      <c r="X328" s="2"/>
      <c r="Y328" s="64"/>
      <c r="Z328" s="64"/>
      <c r="AA328" s="2"/>
      <c r="AB328" s="2"/>
      <c r="AC328" s="2"/>
      <c r="AD328" s="2"/>
      <c r="AE328" s="2"/>
      <c r="AF328" s="2"/>
    </row>
    <row r="329" spans="1:32" ht="12.75" customHeight="1">
      <c r="A329" s="2"/>
      <c r="B329" s="35"/>
      <c r="C329" s="2"/>
      <c r="D329" s="2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2"/>
      <c r="T329" s="2"/>
      <c r="U329" s="2"/>
      <c r="V329" s="2"/>
      <c r="W329" s="2"/>
      <c r="X329" s="2"/>
      <c r="Y329" s="64"/>
      <c r="Z329" s="64"/>
      <c r="AA329" s="2"/>
      <c r="AB329" s="2"/>
      <c r="AC329" s="2"/>
      <c r="AD329" s="2"/>
      <c r="AE329" s="2"/>
      <c r="AF329" s="2"/>
    </row>
    <row r="330" spans="1:32" ht="12.75" customHeight="1">
      <c r="A330" s="2"/>
      <c r="B330" s="35"/>
      <c r="C330" s="2"/>
      <c r="D330" s="2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2"/>
      <c r="T330" s="2"/>
      <c r="U330" s="2"/>
      <c r="V330" s="2"/>
      <c r="W330" s="2"/>
      <c r="X330" s="2"/>
      <c r="Y330" s="64"/>
      <c r="Z330" s="64"/>
      <c r="AA330" s="2"/>
      <c r="AB330" s="2"/>
      <c r="AC330" s="2"/>
      <c r="AD330" s="2"/>
      <c r="AE330" s="2"/>
      <c r="AF330" s="2"/>
    </row>
    <row r="331" spans="1:32" ht="12.75" customHeight="1">
      <c r="A331" s="2"/>
      <c r="B331" s="35"/>
      <c r="C331" s="2"/>
      <c r="D331" s="2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2"/>
      <c r="T331" s="2"/>
      <c r="U331" s="2"/>
      <c r="V331" s="2"/>
      <c r="W331" s="2"/>
      <c r="X331" s="2"/>
      <c r="Y331" s="64"/>
      <c r="Z331" s="64"/>
      <c r="AA331" s="2"/>
      <c r="AB331" s="2"/>
      <c r="AC331" s="2"/>
      <c r="AD331" s="2"/>
      <c r="AE331" s="2"/>
      <c r="AF331" s="2"/>
    </row>
    <row r="332" spans="1:32" ht="12.75" customHeight="1">
      <c r="A332" s="2"/>
      <c r="B332" s="35"/>
      <c r="C332" s="2"/>
      <c r="D332" s="2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2"/>
      <c r="T332" s="2"/>
      <c r="U332" s="2"/>
      <c r="V332" s="2"/>
      <c r="W332" s="2"/>
      <c r="X332" s="2"/>
      <c r="Y332" s="64"/>
      <c r="Z332" s="64"/>
      <c r="AA332" s="2"/>
      <c r="AB332" s="2"/>
      <c r="AC332" s="2"/>
      <c r="AD332" s="2"/>
      <c r="AE332" s="2"/>
      <c r="AF332" s="2"/>
    </row>
    <row r="333" spans="1:32" ht="12.75" customHeight="1">
      <c r="A333" s="2"/>
      <c r="B333" s="35"/>
      <c r="C333" s="2"/>
      <c r="D333" s="2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2"/>
      <c r="T333" s="2"/>
      <c r="U333" s="2"/>
      <c r="V333" s="2"/>
      <c r="W333" s="2"/>
      <c r="X333" s="2"/>
      <c r="Y333" s="64"/>
      <c r="Z333" s="64"/>
      <c r="AA333" s="2"/>
      <c r="AB333" s="2"/>
      <c r="AC333" s="2"/>
      <c r="AD333" s="2"/>
      <c r="AE333" s="2"/>
      <c r="AF333" s="2"/>
    </row>
    <row r="334" spans="1:32" ht="12.75" customHeight="1">
      <c r="A334" s="2"/>
      <c r="B334" s="35"/>
      <c r="C334" s="2"/>
      <c r="D334" s="2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2"/>
      <c r="T334" s="2"/>
      <c r="U334" s="2"/>
      <c r="V334" s="2"/>
      <c r="W334" s="2"/>
      <c r="X334" s="2"/>
      <c r="Y334" s="64"/>
      <c r="Z334" s="64"/>
      <c r="AA334" s="2"/>
      <c r="AB334" s="2"/>
      <c r="AC334" s="2"/>
      <c r="AD334" s="2"/>
      <c r="AE334" s="2"/>
      <c r="AF334" s="2"/>
    </row>
    <row r="335" spans="1:32" ht="12.75" customHeight="1">
      <c r="A335" s="2"/>
      <c r="B335" s="35"/>
      <c r="C335" s="2"/>
      <c r="D335" s="2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2"/>
      <c r="T335" s="2"/>
      <c r="U335" s="2"/>
      <c r="V335" s="2"/>
      <c r="W335" s="2"/>
      <c r="X335" s="2"/>
      <c r="Y335" s="64"/>
      <c r="Z335" s="64"/>
      <c r="AA335" s="2"/>
      <c r="AB335" s="2"/>
      <c r="AC335" s="2"/>
      <c r="AD335" s="2"/>
      <c r="AE335" s="2"/>
      <c r="AF335" s="2"/>
    </row>
    <row r="336" spans="1:32" ht="12.75" customHeight="1">
      <c r="A336" s="2"/>
      <c r="B336" s="35"/>
      <c r="C336" s="2"/>
      <c r="D336" s="2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2"/>
      <c r="T336" s="2"/>
      <c r="U336" s="2"/>
      <c r="V336" s="2"/>
      <c r="W336" s="2"/>
      <c r="X336" s="2"/>
      <c r="Y336" s="64"/>
      <c r="Z336" s="64"/>
      <c r="AA336" s="2"/>
      <c r="AB336" s="2"/>
      <c r="AC336" s="2"/>
      <c r="AD336" s="2"/>
      <c r="AE336" s="2"/>
      <c r="AF336" s="2"/>
    </row>
    <row r="337" spans="1:32" ht="12.75" customHeight="1">
      <c r="A337" s="2"/>
      <c r="B337" s="35"/>
      <c r="C337" s="2"/>
      <c r="D337" s="2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2"/>
      <c r="T337" s="2"/>
      <c r="U337" s="2"/>
      <c r="V337" s="2"/>
      <c r="W337" s="2"/>
      <c r="X337" s="2"/>
      <c r="Y337" s="64"/>
      <c r="Z337" s="64"/>
      <c r="AA337" s="2"/>
      <c r="AB337" s="2"/>
      <c r="AC337" s="2"/>
      <c r="AD337" s="2"/>
      <c r="AE337" s="2"/>
      <c r="AF337" s="2"/>
    </row>
    <row r="338" spans="1:32" ht="12.75" customHeight="1">
      <c r="A338" s="2"/>
      <c r="B338" s="35"/>
      <c r="C338" s="2"/>
      <c r="D338" s="2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2"/>
      <c r="T338" s="2"/>
      <c r="U338" s="2"/>
      <c r="V338" s="2"/>
      <c r="W338" s="2"/>
      <c r="X338" s="2"/>
      <c r="Y338" s="64"/>
      <c r="Z338" s="64"/>
      <c r="AA338" s="2"/>
      <c r="AB338" s="2"/>
      <c r="AC338" s="2"/>
      <c r="AD338" s="2"/>
      <c r="AE338" s="2"/>
      <c r="AF338" s="2"/>
    </row>
    <row r="339" spans="1:32" ht="12.75" customHeight="1">
      <c r="A339" s="2"/>
      <c r="B339" s="35"/>
      <c r="C339" s="2"/>
      <c r="D339" s="2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2"/>
      <c r="T339" s="2"/>
      <c r="U339" s="2"/>
      <c r="V339" s="2"/>
      <c r="W339" s="2"/>
      <c r="X339" s="2"/>
      <c r="Y339" s="64"/>
      <c r="Z339" s="64"/>
      <c r="AA339" s="2"/>
      <c r="AB339" s="2"/>
      <c r="AC339" s="2"/>
      <c r="AD339" s="2"/>
      <c r="AE339" s="2"/>
      <c r="AF339" s="2"/>
    </row>
    <row r="340" spans="1:32" ht="12.75" customHeight="1">
      <c r="A340" s="2"/>
      <c r="B340" s="35"/>
      <c r="C340" s="2"/>
      <c r="D340" s="2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2"/>
      <c r="T340" s="2"/>
      <c r="U340" s="2"/>
      <c r="V340" s="2"/>
      <c r="W340" s="2"/>
      <c r="X340" s="2"/>
      <c r="Y340" s="64"/>
      <c r="Z340" s="64"/>
      <c r="AA340" s="2"/>
      <c r="AB340" s="2"/>
      <c r="AC340" s="2"/>
      <c r="AD340" s="2"/>
      <c r="AE340" s="2"/>
      <c r="AF340" s="2"/>
    </row>
    <row r="341" spans="1:32" ht="12.75" customHeight="1">
      <c r="A341" s="2"/>
      <c r="B341" s="35"/>
      <c r="C341" s="2"/>
      <c r="D341" s="2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2"/>
      <c r="T341" s="2"/>
      <c r="U341" s="2"/>
      <c r="V341" s="2"/>
      <c r="W341" s="2"/>
      <c r="X341" s="2"/>
      <c r="Y341" s="64"/>
      <c r="Z341" s="64"/>
      <c r="AA341" s="2"/>
      <c r="AB341" s="2"/>
      <c r="AC341" s="2"/>
      <c r="AD341" s="2"/>
      <c r="AE341" s="2"/>
      <c r="AF341" s="2"/>
    </row>
    <row r="342" spans="1:32" ht="12.75" customHeight="1">
      <c r="A342" s="2"/>
      <c r="B342" s="35"/>
      <c r="C342" s="2"/>
      <c r="D342" s="2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2"/>
      <c r="T342" s="2"/>
      <c r="U342" s="2"/>
      <c r="V342" s="2"/>
      <c r="W342" s="2"/>
      <c r="X342" s="2"/>
      <c r="Y342" s="64"/>
      <c r="Z342" s="64"/>
      <c r="AA342" s="2"/>
      <c r="AB342" s="2"/>
      <c r="AC342" s="2"/>
      <c r="AD342" s="2"/>
      <c r="AE342" s="2"/>
      <c r="AF342" s="2"/>
    </row>
    <row r="343" spans="1:32" ht="12.75" customHeight="1">
      <c r="A343" s="2"/>
      <c r="B343" s="35"/>
      <c r="C343" s="2"/>
      <c r="D343" s="2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2"/>
      <c r="T343" s="2"/>
      <c r="U343" s="2"/>
      <c r="V343" s="2"/>
      <c r="W343" s="2"/>
      <c r="X343" s="2"/>
      <c r="Y343" s="64"/>
      <c r="Z343" s="64"/>
      <c r="AA343" s="2"/>
      <c r="AB343" s="2"/>
      <c r="AC343" s="2"/>
      <c r="AD343" s="2"/>
      <c r="AE343" s="2"/>
      <c r="AF343" s="2"/>
    </row>
    <row r="344" spans="1:32" ht="12.75" customHeight="1">
      <c r="A344" s="2"/>
      <c r="B344" s="35"/>
      <c r="C344" s="2"/>
      <c r="D344" s="2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2"/>
      <c r="T344" s="2"/>
      <c r="U344" s="2"/>
      <c r="V344" s="2"/>
      <c r="W344" s="2"/>
      <c r="X344" s="2"/>
      <c r="Y344" s="64"/>
      <c r="Z344" s="64"/>
      <c r="AA344" s="2"/>
      <c r="AB344" s="2"/>
      <c r="AC344" s="2"/>
      <c r="AD344" s="2"/>
      <c r="AE344" s="2"/>
      <c r="AF344" s="2"/>
    </row>
    <row r="345" spans="1:32" ht="12.75" customHeight="1">
      <c r="A345" s="2"/>
      <c r="B345" s="35"/>
      <c r="C345" s="2"/>
      <c r="D345" s="2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2"/>
      <c r="T345" s="2"/>
      <c r="U345" s="2"/>
      <c r="V345" s="2"/>
      <c r="W345" s="2"/>
      <c r="X345" s="2"/>
      <c r="Y345" s="64"/>
      <c r="Z345" s="64"/>
      <c r="AA345" s="2"/>
      <c r="AB345" s="2"/>
      <c r="AC345" s="2"/>
      <c r="AD345" s="2"/>
      <c r="AE345" s="2"/>
      <c r="AF345" s="2"/>
    </row>
    <row r="346" spans="1:32" ht="12.75" customHeight="1">
      <c r="A346" s="2"/>
      <c r="B346" s="35"/>
      <c r="C346" s="2"/>
      <c r="D346" s="2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2"/>
      <c r="T346" s="2"/>
      <c r="U346" s="2"/>
      <c r="V346" s="2"/>
      <c r="W346" s="2"/>
      <c r="X346" s="2"/>
      <c r="Y346" s="64"/>
      <c r="Z346" s="64"/>
      <c r="AA346" s="2"/>
      <c r="AB346" s="2"/>
      <c r="AC346" s="2"/>
      <c r="AD346" s="2"/>
      <c r="AE346" s="2"/>
      <c r="AF346" s="2"/>
    </row>
    <row r="347" spans="1:32" ht="12.75" customHeight="1">
      <c r="A347" s="2"/>
      <c r="B347" s="35"/>
      <c r="C347" s="2"/>
      <c r="D347" s="2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2"/>
      <c r="T347" s="2"/>
      <c r="U347" s="2"/>
      <c r="V347" s="2"/>
      <c r="W347" s="2"/>
      <c r="X347" s="2"/>
      <c r="Y347" s="64"/>
      <c r="Z347" s="64"/>
      <c r="AA347" s="2"/>
      <c r="AB347" s="2"/>
      <c r="AC347" s="2"/>
      <c r="AD347" s="2"/>
      <c r="AE347" s="2"/>
      <c r="AF347" s="2"/>
    </row>
    <row r="348" spans="1:32" ht="12.75" customHeight="1">
      <c r="A348" s="2"/>
      <c r="B348" s="35"/>
      <c r="C348" s="2"/>
      <c r="D348" s="2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2"/>
      <c r="T348" s="2"/>
      <c r="U348" s="2"/>
      <c r="V348" s="2"/>
      <c r="W348" s="2"/>
      <c r="X348" s="2"/>
      <c r="Y348" s="64"/>
      <c r="Z348" s="64"/>
      <c r="AA348" s="2"/>
      <c r="AB348" s="2"/>
      <c r="AC348" s="2"/>
      <c r="AD348" s="2"/>
      <c r="AE348" s="2"/>
      <c r="AF348" s="2"/>
    </row>
    <row r="349" spans="1:32" ht="12.75" customHeight="1">
      <c r="A349" s="2"/>
      <c r="B349" s="35"/>
      <c r="C349" s="2"/>
      <c r="D349" s="2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2"/>
      <c r="T349" s="2"/>
      <c r="U349" s="2"/>
      <c r="V349" s="2"/>
      <c r="W349" s="2"/>
      <c r="X349" s="2"/>
      <c r="Y349" s="64"/>
      <c r="Z349" s="64"/>
      <c r="AA349" s="2"/>
      <c r="AB349" s="2"/>
      <c r="AC349" s="2"/>
      <c r="AD349" s="2"/>
      <c r="AE349" s="2"/>
      <c r="AF349" s="2"/>
    </row>
    <row r="350" spans="1:32" ht="12.75" customHeight="1">
      <c r="A350" s="2"/>
      <c r="B350" s="35"/>
      <c r="C350" s="2"/>
      <c r="D350" s="2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2"/>
      <c r="T350" s="2"/>
      <c r="U350" s="2"/>
      <c r="V350" s="2"/>
      <c r="W350" s="2"/>
      <c r="X350" s="2"/>
      <c r="Y350" s="64"/>
      <c r="Z350" s="64"/>
      <c r="AA350" s="2"/>
      <c r="AB350" s="2"/>
      <c r="AC350" s="2"/>
      <c r="AD350" s="2"/>
      <c r="AE350" s="2"/>
      <c r="AF350" s="2"/>
    </row>
    <row r="351" spans="1:32" ht="12.75" customHeight="1">
      <c r="A351" s="2"/>
      <c r="B351" s="35"/>
      <c r="C351" s="2"/>
      <c r="D351" s="2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2"/>
      <c r="T351" s="2"/>
      <c r="U351" s="2"/>
      <c r="V351" s="2"/>
      <c r="W351" s="2"/>
      <c r="X351" s="2"/>
      <c r="Y351" s="64"/>
      <c r="Z351" s="64"/>
      <c r="AA351" s="2"/>
      <c r="AB351" s="2"/>
      <c r="AC351" s="2"/>
      <c r="AD351" s="2"/>
      <c r="AE351" s="2"/>
      <c r="AF351" s="2"/>
    </row>
    <row r="352" spans="1:32" ht="12.75" customHeight="1">
      <c r="A352" s="2"/>
      <c r="B352" s="35"/>
      <c r="C352" s="2"/>
      <c r="D352" s="2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2"/>
      <c r="T352" s="2"/>
      <c r="U352" s="2"/>
      <c r="V352" s="2"/>
      <c r="W352" s="2"/>
      <c r="X352" s="2"/>
      <c r="Y352" s="64"/>
      <c r="Z352" s="64"/>
      <c r="AA352" s="2"/>
      <c r="AB352" s="2"/>
      <c r="AC352" s="2"/>
      <c r="AD352" s="2"/>
      <c r="AE352" s="2"/>
      <c r="AF352" s="2"/>
    </row>
    <row r="353" spans="1:32" ht="12.75" customHeight="1">
      <c r="A353" s="2"/>
      <c r="B353" s="35"/>
      <c r="C353" s="2"/>
      <c r="D353" s="2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2"/>
      <c r="T353" s="2"/>
      <c r="U353" s="2"/>
      <c r="V353" s="2"/>
      <c r="W353" s="2"/>
      <c r="X353" s="2"/>
      <c r="Y353" s="64"/>
      <c r="Z353" s="64"/>
      <c r="AA353" s="2"/>
      <c r="AB353" s="2"/>
      <c r="AC353" s="2"/>
      <c r="AD353" s="2"/>
      <c r="AE353" s="2"/>
      <c r="AF353" s="2"/>
    </row>
    <row r="354" spans="1:32" ht="12.75" customHeight="1">
      <c r="A354" s="2"/>
      <c r="B354" s="35"/>
      <c r="C354" s="2"/>
      <c r="D354" s="2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2"/>
      <c r="T354" s="2"/>
      <c r="U354" s="2"/>
      <c r="V354" s="2"/>
      <c r="W354" s="2"/>
      <c r="X354" s="2"/>
      <c r="Y354" s="64"/>
      <c r="Z354" s="64"/>
      <c r="AA354" s="2"/>
      <c r="AB354" s="2"/>
      <c r="AC354" s="2"/>
      <c r="AD354" s="2"/>
      <c r="AE354" s="2"/>
      <c r="AF354" s="2"/>
    </row>
    <row r="355" spans="1:32" ht="12.75" customHeight="1">
      <c r="A355" s="2"/>
      <c r="B355" s="35"/>
      <c r="C355" s="2"/>
      <c r="D355" s="2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2"/>
      <c r="T355" s="2"/>
      <c r="U355" s="2"/>
      <c r="V355" s="2"/>
      <c r="W355" s="2"/>
      <c r="X355" s="2"/>
      <c r="Y355" s="64"/>
      <c r="Z355" s="64"/>
      <c r="AA355" s="2"/>
      <c r="AB355" s="2"/>
      <c r="AC355" s="2"/>
      <c r="AD355" s="2"/>
      <c r="AE355" s="2"/>
      <c r="AF355" s="2"/>
    </row>
    <row r="356" spans="1:32" ht="12.75" customHeight="1">
      <c r="A356" s="2"/>
      <c r="B356" s="35"/>
      <c r="C356" s="2"/>
      <c r="D356" s="2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2"/>
      <c r="T356" s="2"/>
      <c r="U356" s="2"/>
      <c r="V356" s="2"/>
      <c r="W356" s="2"/>
      <c r="X356" s="2"/>
      <c r="Y356" s="64"/>
      <c r="Z356" s="64"/>
      <c r="AA356" s="2"/>
      <c r="AB356" s="2"/>
      <c r="AC356" s="2"/>
      <c r="AD356" s="2"/>
      <c r="AE356" s="2"/>
      <c r="AF356" s="2"/>
    </row>
    <row r="357" spans="1:32" ht="12.75" customHeight="1">
      <c r="A357" s="2"/>
      <c r="B357" s="35"/>
      <c r="C357" s="2"/>
      <c r="D357" s="2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2"/>
      <c r="T357" s="2"/>
      <c r="U357" s="2"/>
      <c r="V357" s="2"/>
      <c r="W357" s="2"/>
      <c r="X357" s="2"/>
      <c r="Y357" s="64"/>
      <c r="Z357" s="64"/>
      <c r="AA357" s="2"/>
      <c r="AB357" s="2"/>
      <c r="AC357" s="2"/>
      <c r="AD357" s="2"/>
      <c r="AE357" s="2"/>
      <c r="AF357" s="2"/>
    </row>
    <row r="358" spans="1:32" ht="12.75" customHeight="1">
      <c r="A358" s="2"/>
      <c r="B358" s="35"/>
      <c r="C358" s="2"/>
      <c r="D358" s="2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2"/>
      <c r="T358" s="2"/>
      <c r="U358" s="2"/>
      <c r="V358" s="2"/>
      <c r="W358" s="2"/>
      <c r="X358" s="2"/>
      <c r="Y358" s="64"/>
      <c r="Z358" s="64"/>
      <c r="AA358" s="2"/>
      <c r="AB358" s="2"/>
      <c r="AC358" s="2"/>
      <c r="AD358" s="2"/>
      <c r="AE358" s="2"/>
      <c r="AF358" s="2"/>
    </row>
    <row r="359" spans="1:32" ht="12.75" customHeight="1">
      <c r="A359" s="2"/>
      <c r="B359" s="35"/>
      <c r="C359" s="2"/>
      <c r="D359" s="2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2"/>
      <c r="T359" s="2"/>
      <c r="U359" s="2"/>
      <c r="V359" s="2"/>
      <c r="W359" s="2"/>
      <c r="X359" s="2"/>
      <c r="Y359" s="64"/>
      <c r="Z359" s="64"/>
      <c r="AA359" s="2"/>
      <c r="AB359" s="2"/>
      <c r="AC359" s="2"/>
      <c r="AD359" s="2"/>
      <c r="AE359" s="2"/>
      <c r="AF359" s="2"/>
    </row>
    <row r="360" spans="1:32" ht="12.75" customHeight="1">
      <c r="A360" s="2"/>
      <c r="B360" s="35"/>
      <c r="C360" s="2"/>
      <c r="D360" s="2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2"/>
      <c r="T360" s="2"/>
      <c r="U360" s="2"/>
      <c r="V360" s="2"/>
      <c r="W360" s="2"/>
      <c r="X360" s="2"/>
      <c r="Y360" s="64"/>
      <c r="Z360" s="64"/>
      <c r="AA360" s="2"/>
      <c r="AB360" s="2"/>
      <c r="AC360" s="2"/>
      <c r="AD360" s="2"/>
      <c r="AE360" s="2"/>
      <c r="AF360" s="2"/>
    </row>
    <row r="361" spans="1:32" ht="12.75" customHeight="1">
      <c r="A361" s="2"/>
      <c r="B361" s="35"/>
      <c r="C361" s="2"/>
      <c r="D361" s="2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2"/>
      <c r="T361" s="2"/>
      <c r="U361" s="2"/>
      <c r="V361" s="2"/>
      <c r="W361" s="2"/>
      <c r="X361" s="2"/>
      <c r="Y361" s="64"/>
      <c r="Z361" s="64"/>
      <c r="AA361" s="2"/>
      <c r="AB361" s="2"/>
      <c r="AC361" s="2"/>
      <c r="AD361" s="2"/>
      <c r="AE361" s="2"/>
      <c r="AF361" s="2"/>
    </row>
    <row r="362" spans="1:32" ht="12.75" customHeight="1">
      <c r="A362" s="2"/>
      <c r="B362" s="35"/>
      <c r="C362" s="2"/>
      <c r="D362" s="2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2"/>
      <c r="T362" s="2"/>
      <c r="U362" s="2"/>
      <c r="V362" s="2"/>
      <c r="W362" s="2"/>
      <c r="X362" s="2"/>
      <c r="Y362" s="64"/>
      <c r="Z362" s="64"/>
      <c r="AA362" s="2"/>
      <c r="AB362" s="2"/>
      <c r="AC362" s="2"/>
      <c r="AD362" s="2"/>
      <c r="AE362" s="2"/>
      <c r="AF362" s="2"/>
    </row>
    <row r="363" spans="1:32" ht="12.75" customHeight="1">
      <c r="A363" s="2"/>
      <c r="B363" s="35"/>
      <c r="C363" s="2"/>
      <c r="D363" s="2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2"/>
      <c r="T363" s="2"/>
      <c r="U363" s="2"/>
      <c r="V363" s="2"/>
      <c r="W363" s="2"/>
      <c r="X363" s="2"/>
      <c r="Y363" s="64"/>
      <c r="Z363" s="64"/>
      <c r="AA363" s="2"/>
      <c r="AB363" s="2"/>
      <c r="AC363" s="2"/>
      <c r="AD363" s="2"/>
      <c r="AE363" s="2"/>
      <c r="AF363" s="2"/>
    </row>
    <row r="364" spans="1:32" ht="12.75" customHeight="1">
      <c r="A364" s="2"/>
      <c r="B364" s="35"/>
      <c r="C364" s="2"/>
      <c r="D364" s="2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2"/>
      <c r="T364" s="2"/>
      <c r="U364" s="2"/>
      <c r="V364" s="2"/>
      <c r="W364" s="2"/>
      <c r="X364" s="2"/>
      <c r="Y364" s="64"/>
      <c r="Z364" s="64"/>
      <c r="AA364" s="2"/>
      <c r="AB364" s="2"/>
      <c r="AC364" s="2"/>
      <c r="AD364" s="2"/>
      <c r="AE364" s="2"/>
      <c r="AF364" s="2"/>
    </row>
    <row r="365" spans="1:32" ht="12.75" customHeight="1">
      <c r="A365" s="2"/>
      <c r="B365" s="35"/>
      <c r="C365" s="2"/>
      <c r="D365" s="2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2"/>
      <c r="T365" s="2"/>
      <c r="U365" s="2"/>
      <c r="V365" s="2"/>
      <c r="W365" s="2"/>
      <c r="X365" s="2"/>
      <c r="Y365" s="64"/>
      <c r="Z365" s="64"/>
      <c r="AA365" s="2"/>
      <c r="AB365" s="2"/>
      <c r="AC365" s="2"/>
      <c r="AD365" s="2"/>
      <c r="AE365" s="2"/>
      <c r="AF365" s="2"/>
    </row>
    <row r="366" spans="1:32" ht="12.75" customHeight="1">
      <c r="A366" s="2"/>
      <c r="B366" s="35"/>
      <c r="C366" s="2"/>
      <c r="D366" s="2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2"/>
      <c r="T366" s="2"/>
      <c r="U366" s="2"/>
      <c r="V366" s="2"/>
      <c r="W366" s="2"/>
      <c r="X366" s="2"/>
      <c r="Y366" s="64"/>
      <c r="Z366" s="64"/>
      <c r="AA366" s="2"/>
      <c r="AB366" s="2"/>
      <c r="AC366" s="2"/>
      <c r="AD366" s="2"/>
      <c r="AE366" s="2"/>
      <c r="AF366" s="2"/>
    </row>
    <row r="367" spans="1:32" ht="12.75" customHeight="1">
      <c r="A367" s="2"/>
      <c r="B367" s="35"/>
      <c r="C367" s="2"/>
      <c r="D367" s="2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2"/>
      <c r="T367" s="2"/>
      <c r="U367" s="2"/>
      <c r="V367" s="2"/>
      <c r="W367" s="2"/>
      <c r="X367" s="2"/>
      <c r="Y367" s="64"/>
      <c r="Z367" s="64"/>
      <c r="AA367" s="2"/>
      <c r="AB367" s="2"/>
      <c r="AC367" s="2"/>
      <c r="AD367" s="2"/>
      <c r="AE367" s="2"/>
      <c r="AF367" s="2"/>
    </row>
    <row r="368" spans="1:32" ht="12.75" customHeight="1">
      <c r="A368" s="2"/>
      <c r="B368" s="35"/>
      <c r="C368" s="2"/>
      <c r="D368" s="2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2"/>
      <c r="T368" s="2"/>
      <c r="U368" s="2"/>
      <c r="V368" s="2"/>
      <c r="W368" s="2"/>
      <c r="X368" s="2"/>
      <c r="Y368" s="64"/>
      <c r="Z368" s="64"/>
      <c r="AA368" s="2"/>
      <c r="AB368" s="2"/>
      <c r="AC368" s="2"/>
      <c r="AD368" s="2"/>
      <c r="AE368" s="2"/>
      <c r="AF368" s="2"/>
    </row>
    <row r="369" spans="1:32" ht="12.75" customHeight="1">
      <c r="A369" s="2"/>
      <c r="B369" s="35"/>
      <c r="C369" s="2"/>
      <c r="D369" s="2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2"/>
      <c r="T369" s="2"/>
      <c r="U369" s="2"/>
      <c r="V369" s="2"/>
      <c r="W369" s="2"/>
      <c r="X369" s="2"/>
      <c r="Y369" s="64"/>
      <c r="Z369" s="64"/>
      <c r="AA369" s="2"/>
      <c r="AB369" s="2"/>
      <c r="AC369" s="2"/>
      <c r="AD369" s="2"/>
      <c r="AE369" s="2"/>
      <c r="AF369" s="2"/>
    </row>
    <row r="370" spans="1:32" ht="12.75" customHeight="1">
      <c r="A370" s="2"/>
      <c r="B370" s="35"/>
      <c r="C370" s="2"/>
      <c r="D370" s="2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2"/>
      <c r="T370" s="2"/>
      <c r="U370" s="2"/>
      <c r="V370" s="2"/>
      <c r="W370" s="2"/>
      <c r="X370" s="2"/>
      <c r="Y370" s="64"/>
      <c r="Z370" s="64"/>
      <c r="AA370" s="2"/>
      <c r="AB370" s="2"/>
      <c r="AC370" s="2"/>
      <c r="AD370" s="2"/>
      <c r="AE370" s="2"/>
      <c r="AF370" s="2"/>
    </row>
    <row r="371" spans="1:32" ht="12.75" customHeight="1">
      <c r="A371" s="2"/>
      <c r="B371" s="35"/>
      <c r="C371" s="2"/>
      <c r="D371" s="2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2"/>
      <c r="T371" s="2"/>
      <c r="U371" s="2"/>
      <c r="V371" s="2"/>
      <c r="W371" s="2"/>
      <c r="X371" s="2"/>
      <c r="Y371" s="64"/>
      <c r="Z371" s="64"/>
      <c r="AA371" s="2"/>
      <c r="AB371" s="2"/>
      <c r="AC371" s="2"/>
      <c r="AD371" s="2"/>
      <c r="AE371" s="2"/>
      <c r="AF371" s="2"/>
    </row>
    <row r="372" spans="1:32" ht="12.75" customHeight="1">
      <c r="A372" s="2"/>
      <c r="B372" s="35"/>
      <c r="C372" s="2"/>
      <c r="D372" s="2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2"/>
      <c r="T372" s="2"/>
      <c r="U372" s="2"/>
      <c r="V372" s="2"/>
      <c r="W372" s="2"/>
      <c r="X372" s="2"/>
      <c r="Y372" s="64"/>
      <c r="Z372" s="64"/>
      <c r="AA372" s="2"/>
      <c r="AB372" s="2"/>
      <c r="AC372" s="2"/>
      <c r="AD372" s="2"/>
      <c r="AE372" s="2"/>
      <c r="AF372" s="2"/>
    </row>
    <row r="373" spans="1:32" ht="12.75" customHeight="1">
      <c r="A373" s="2"/>
      <c r="B373" s="35"/>
      <c r="C373" s="2"/>
      <c r="D373" s="2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2"/>
      <c r="T373" s="2"/>
      <c r="U373" s="2"/>
      <c r="V373" s="2"/>
      <c r="W373" s="2"/>
      <c r="X373" s="2"/>
      <c r="Y373" s="64"/>
      <c r="Z373" s="64"/>
      <c r="AA373" s="2"/>
      <c r="AB373" s="2"/>
      <c r="AC373" s="2"/>
      <c r="AD373" s="2"/>
      <c r="AE373" s="2"/>
      <c r="AF373" s="2"/>
    </row>
    <row r="374" spans="1:32" ht="12.75" customHeight="1">
      <c r="A374" s="2"/>
      <c r="B374" s="35"/>
      <c r="C374" s="2"/>
      <c r="D374" s="2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2"/>
      <c r="T374" s="2"/>
      <c r="U374" s="2"/>
      <c r="V374" s="2"/>
      <c r="W374" s="2"/>
      <c r="X374" s="2"/>
      <c r="Y374" s="64"/>
      <c r="Z374" s="64"/>
      <c r="AA374" s="2"/>
      <c r="AB374" s="2"/>
      <c r="AC374" s="2"/>
      <c r="AD374" s="2"/>
      <c r="AE374" s="2"/>
      <c r="AF374" s="2"/>
    </row>
    <row r="375" spans="1:32" ht="12.75" customHeight="1">
      <c r="A375" s="2"/>
      <c r="B375" s="35"/>
      <c r="C375" s="2"/>
      <c r="D375" s="2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2"/>
      <c r="T375" s="2"/>
      <c r="U375" s="2"/>
      <c r="V375" s="2"/>
      <c r="W375" s="2"/>
      <c r="X375" s="2"/>
      <c r="Y375" s="64"/>
      <c r="Z375" s="64"/>
      <c r="AA375" s="2"/>
      <c r="AB375" s="2"/>
      <c r="AC375" s="2"/>
      <c r="AD375" s="2"/>
      <c r="AE375" s="2"/>
      <c r="AF375" s="2"/>
    </row>
    <row r="376" spans="1:32" ht="12.75" customHeight="1">
      <c r="A376" s="2"/>
      <c r="B376" s="35"/>
      <c r="C376" s="2"/>
      <c r="D376" s="2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2"/>
      <c r="T376" s="2"/>
      <c r="U376" s="2"/>
      <c r="V376" s="2"/>
      <c r="W376" s="2"/>
      <c r="X376" s="2"/>
      <c r="Y376" s="64"/>
      <c r="Z376" s="64"/>
      <c r="AA376" s="2"/>
      <c r="AB376" s="2"/>
      <c r="AC376" s="2"/>
      <c r="AD376" s="2"/>
      <c r="AE376" s="2"/>
      <c r="AF376" s="2"/>
    </row>
    <row r="377" spans="1:32" ht="12.75" customHeight="1">
      <c r="A377" s="2"/>
      <c r="B377" s="35"/>
      <c r="C377" s="2"/>
      <c r="D377" s="2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2"/>
      <c r="T377" s="2"/>
      <c r="U377" s="2"/>
      <c r="V377" s="2"/>
      <c r="W377" s="2"/>
      <c r="X377" s="2"/>
      <c r="Y377" s="64"/>
      <c r="Z377" s="64"/>
      <c r="AA377" s="2"/>
      <c r="AB377" s="2"/>
      <c r="AC377" s="2"/>
      <c r="AD377" s="2"/>
      <c r="AE377" s="2"/>
      <c r="AF377" s="2"/>
    </row>
    <row r="378" spans="1:32" ht="12.75" customHeight="1">
      <c r="A378" s="2"/>
      <c r="B378" s="35"/>
      <c r="C378" s="2"/>
      <c r="D378" s="2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2"/>
      <c r="T378" s="2"/>
      <c r="U378" s="2"/>
      <c r="V378" s="2"/>
      <c r="W378" s="2"/>
      <c r="X378" s="2"/>
      <c r="Y378" s="64"/>
      <c r="Z378" s="64"/>
      <c r="AA378" s="2"/>
      <c r="AB378" s="2"/>
      <c r="AC378" s="2"/>
      <c r="AD378" s="2"/>
      <c r="AE378" s="2"/>
      <c r="AF378" s="2"/>
    </row>
    <row r="379" spans="1:32" ht="12.75" customHeight="1">
      <c r="A379" s="2"/>
      <c r="B379" s="35"/>
      <c r="C379" s="2"/>
      <c r="D379" s="2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2"/>
      <c r="T379" s="2"/>
      <c r="U379" s="2"/>
      <c r="V379" s="2"/>
      <c r="W379" s="2"/>
      <c r="X379" s="2"/>
      <c r="Y379" s="64"/>
      <c r="Z379" s="64"/>
      <c r="AA379" s="2"/>
      <c r="AB379" s="2"/>
      <c r="AC379" s="2"/>
      <c r="AD379" s="2"/>
      <c r="AE379" s="2"/>
      <c r="AF379" s="2"/>
    </row>
    <row r="380" spans="1:32" ht="12.75" customHeight="1">
      <c r="A380" s="2"/>
      <c r="B380" s="35"/>
      <c r="C380" s="2"/>
      <c r="D380" s="2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2"/>
      <c r="T380" s="2"/>
      <c r="U380" s="2"/>
      <c r="V380" s="2"/>
      <c r="W380" s="2"/>
      <c r="X380" s="2"/>
      <c r="Y380" s="64"/>
      <c r="Z380" s="64"/>
      <c r="AA380" s="2"/>
      <c r="AB380" s="2"/>
      <c r="AC380" s="2"/>
      <c r="AD380" s="2"/>
      <c r="AE380" s="2"/>
      <c r="AF380" s="2"/>
    </row>
    <row r="381" spans="1:32" ht="12.75" customHeight="1">
      <c r="A381" s="2"/>
      <c r="B381" s="35"/>
      <c r="C381" s="2"/>
      <c r="D381" s="2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2"/>
      <c r="T381" s="2"/>
      <c r="U381" s="2"/>
      <c r="V381" s="2"/>
      <c r="W381" s="2"/>
      <c r="X381" s="2"/>
      <c r="Y381" s="64"/>
      <c r="Z381" s="64"/>
      <c r="AA381" s="2"/>
      <c r="AB381" s="2"/>
      <c r="AC381" s="2"/>
      <c r="AD381" s="2"/>
      <c r="AE381" s="2"/>
      <c r="AF381" s="2"/>
    </row>
    <row r="382" spans="1:32" ht="12.75" customHeight="1">
      <c r="A382" s="2"/>
      <c r="B382" s="35"/>
      <c r="C382" s="2"/>
      <c r="D382" s="2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2"/>
      <c r="T382" s="2"/>
      <c r="U382" s="2"/>
      <c r="V382" s="2"/>
      <c r="W382" s="2"/>
      <c r="X382" s="2"/>
      <c r="Y382" s="64"/>
      <c r="Z382" s="64"/>
      <c r="AA382" s="2"/>
      <c r="AB382" s="2"/>
      <c r="AC382" s="2"/>
      <c r="AD382" s="2"/>
      <c r="AE382" s="2"/>
      <c r="AF382" s="2"/>
    </row>
    <row r="383" spans="1:32" ht="12.75" customHeight="1">
      <c r="A383" s="2"/>
      <c r="B383" s="35"/>
      <c r="C383" s="2"/>
      <c r="D383" s="2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2"/>
      <c r="T383" s="2"/>
      <c r="U383" s="2"/>
      <c r="V383" s="2"/>
      <c r="W383" s="2"/>
      <c r="X383" s="2"/>
      <c r="Y383" s="64"/>
      <c r="Z383" s="64"/>
      <c r="AA383" s="2"/>
      <c r="AB383" s="2"/>
      <c r="AC383" s="2"/>
      <c r="AD383" s="2"/>
      <c r="AE383" s="2"/>
      <c r="AF383" s="2"/>
    </row>
    <row r="384" spans="1:32" ht="12.75" customHeight="1">
      <c r="A384" s="2"/>
      <c r="B384" s="35"/>
      <c r="C384" s="2"/>
      <c r="D384" s="2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2"/>
      <c r="T384" s="2"/>
      <c r="U384" s="2"/>
      <c r="V384" s="2"/>
      <c r="W384" s="2"/>
      <c r="X384" s="2"/>
      <c r="Y384" s="64"/>
      <c r="Z384" s="64"/>
      <c r="AA384" s="2"/>
      <c r="AB384" s="2"/>
      <c r="AC384" s="2"/>
      <c r="AD384" s="2"/>
      <c r="AE384" s="2"/>
      <c r="AF384" s="2"/>
    </row>
    <row r="385" spans="1:32" ht="12.75" customHeight="1">
      <c r="A385" s="2"/>
      <c r="B385" s="35"/>
      <c r="C385" s="2"/>
      <c r="D385" s="2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2"/>
      <c r="T385" s="2"/>
      <c r="U385" s="2"/>
      <c r="V385" s="2"/>
      <c r="W385" s="2"/>
      <c r="X385" s="2"/>
      <c r="Y385" s="64"/>
      <c r="Z385" s="64"/>
      <c r="AA385" s="2"/>
      <c r="AB385" s="2"/>
      <c r="AC385" s="2"/>
      <c r="AD385" s="2"/>
      <c r="AE385" s="2"/>
      <c r="AF385" s="2"/>
    </row>
    <row r="386" spans="1:32" ht="12.75" customHeight="1">
      <c r="A386" s="2"/>
      <c r="B386" s="35"/>
      <c r="C386" s="2"/>
      <c r="D386" s="2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2"/>
      <c r="T386" s="2"/>
      <c r="U386" s="2"/>
      <c r="V386" s="2"/>
      <c r="W386" s="2"/>
      <c r="X386" s="2"/>
      <c r="Y386" s="64"/>
      <c r="Z386" s="64"/>
      <c r="AA386" s="2"/>
      <c r="AB386" s="2"/>
      <c r="AC386" s="2"/>
      <c r="AD386" s="2"/>
      <c r="AE386" s="2"/>
      <c r="AF386" s="2"/>
    </row>
    <row r="387" spans="1:32" ht="12.75" customHeight="1">
      <c r="A387" s="2"/>
      <c r="B387" s="35"/>
      <c r="C387" s="2"/>
      <c r="D387" s="2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2"/>
      <c r="T387" s="2"/>
      <c r="U387" s="2"/>
      <c r="V387" s="2"/>
      <c r="W387" s="2"/>
      <c r="X387" s="2"/>
      <c r="Y387" s="64"/>
      <c r="Z387" s="64"/>
      <c r="AA387" s="2"/>
      <c r="AB387" s="2"/>
      <c r="AC387" s="2"/>
      <c r="AD387" s="2"/>
      <c r="AE387" s="2"/>
      <c r="AF387" s="2"/>
    </row>
    <row r="388" spans="1:32" ht="12.75" customHeight="1">
      <c r="A388" s="2"/>
      <c r="B388" s="35"/>
      <c r="C388" s="2"/>
      <c r="D388" s="2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2"/>
      <c r="T388" s="2"/>
      <c r="U388" s="2"/>
      <c r="V388" s="2"/>
      <c r="W388" s="2"/>
      <c r="X388" s="2"/>
      <c r="Y388" s="64"/>
      <c r="Z388" s="64"/>
      <c r="AA388" s="2"/>
      <c r="AB388" s="2"/>
      <c r="AC388" s="2"/>
      <c r="AD388" s="2"/>
      <c r="AE388" s="2"/>
      <c r="AF388" s="2"/>
    </row>
    <row r="389" spans="1:32" ht="12.75" customHeight="1">
      <c r="A389" s="2"/>
      <c r="B389" s="35"/>
      <c r="C389" s="2"/>
      <c r="D389" s="2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2"/>
      <c r="T389" s="2"/>
      <c r="U389" s="2"/>
      <c r="V389" s="2"/>
      <c r="W389" s="2"/>
      <c r="X389" s="2"/>
      <c r="Y389" s="64"/>
      <c r="Z389" s="64"/>
      <c r="AA389" s="2"/>
      <c r="AB389" s="2"/>
      <c r="AC389" s="2"/>
      <c r="AD389" s="2"/>
      <c r="AE389" s="2"/>
      <c r="AF389" s="2"/>
    </row>
    <row r="390" spans="1:32" ht="12.75" customHeight="1">
      <c r="A390" s="2"/>
      <c r="B390" s="35"/>
      <c r="C390" s="2"/>
      <c r="D390" s="2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2"/>
      <c r="T390" s="2"/>
      <c r="U390" s="2"/>
      <c r="V390" s="2"/>
      <c r="W390" s="2"/>
      <c r="X390" s="2"/>
      <c r="Y390" s="64"/>
      <c r="Z390" s="64"/>
      <c r="AA390" s="2"/>
      <c r="AB390" s="2"/>
      <c r="AC390" s="2"/>
      <c r="AD390" s="2"/>
      <c r="AE390" s="2"/>
      <c r="AF390" s="2"/>
    </row>
    <row r="391" spans="1:32" ht="12.75" customHeight="1">
      <c r="A391" s="2"/>
      <c r="B391" s="35"/>
      <c r="C391" s="2"/>
      <c r="D391" s="2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2"/>
      <c r="T391" s="2"/>
      <c r="U391" s="2"/>
      <c r="V391" s="2"/>
      <c r="W391" s="2"/>
      <c r="X391" s="2"/>
      <c r="Y391" s="64"/>
      <c r="Z391" s="64"/>
      <c r="AA391" s="2"/>
      <c r="AB391" s="2"/>
      <c r="AC391" s="2"/>
      <c r="AD391" s="2"/>
      <c r="AE391" s="2"/>
      <c r="AF391" s="2"/>
    </row>
    <row r="392" spans="1:32" ht="12.75" customHeight="1">
      <c r="A392" s="2"/>
      <c r="B392" s="35"/>
      <c r="C392" s="2"/>
      <c r="D392" s="2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2"/>
      <c r="T392" s="2"/>
      <c r="U392" s="2"/>
      <c r="V392" s="2"/>
      <c r="W392" s="2"/>
      <c r="X392" s="2"/>
      <c r="Y392" s="64"/>
      <c r="Z392" s="64"/>
      <c r="AA392" s="2"/>
      <c r="AB392" s="2"/>
      <c r="AC392" s="2"/>
      <c r="AD392" s="2"/>
      <c r="AE392" s="2"/>
      <c r="AF392" s="2"/>
    </row>
    <row r="393" spans="1:32" ht="12.75" customHeight="1">
      <c r="A393" s="2"/>
      <c r="B393" s="35"/>
      <c r="C393" s="2"/>
      <c r="D393" s="2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2"/>
      <c r="T393" s="2"/>
      <c r="U393" s="2"/>
      <c r="V393" s="2"/>
      <c r="W393" s="2"/>
      <c r="X393" s="2"/>
      <c r="Y393" s="64"/>
      <c r="Z393" s="64"/>
      <c r="AA393" s="2"/>
      <c r="AB393" s="2"/>
      <c r="AC393" s="2"/>
      <c r="AD393" s="2"/>
      <c r="AE393" s="2"/>
      <c r="AF393" s="2"/>
    </row>
    <row r="394" spans="1:32" ht="12.75" customHeight="1">
      <c r="A394" s="2"/>
      <c r="B394" s="35"/>
      <c r="C394" s="2"/>
      <c r="D394" s="2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2"/>
      <c r="T394" s="2"/>
      <c r="U394" s="2"/>
      <c r="V394" s="2"/>
      <c r="W394" s="2"/>
      <c r="X394" s="2"/>
      <c r="Y394" s="64"/>
      <c r="Z394" s="64"/>
      <c r="AA394" s="2"/>
      <c r="AB394" s="2"/>
      <c r="AC394" s="2"/>
      <c r="AD394" s="2"/>
      <c r="AE394" s="2"/>
      <c r="AF394" s="2"/>
    </row>
    <row r="395" spans="1:32" ht="12.75" customHeight="1">
      <c r="A395" s="2"/>
      <c r="B395" s="35"/>
      <c r="C395" s="2"/>
      <c r="D395" s="2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2"/>
      <c r="T395" s="2"/>
      <c r="U395" s="2"/>
      <c r="V395" s="2"/>
      <c r="W395" s="2"/>
      <c r="X395" s="2"/>
      <c r="Y395" s="64"/>
      <c r="Z395" s="64"/>
      <c r="AA395" s="2"/>
      <c r="AB395" s="2"/>
      <c r="AC395" s="2"/>
      <c r="AD395" s="2"/>
      <c r="AE395" s="2"/>
      <c r="AF395" s="2"/>
    </row>
    <row r="396" spans="1:32" ht="12.75" customHeight="1">
      <c r="A396" s="2"/>
      <c r="B396" s="35"/>
      <c r="C396" s="2"/>
      <c r="D396" s="2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2"/>
      <c r="T396" s="2"/>
      <c r="U396" s="2"/>
      <c r="V396" s="2"/>
      <c r="W396" s="2"/>
      <c r="X396" s="2"/>
      <c r="Y396" s="64"/>
      <c r="Z396" s="64"/>
      <c r="AA396" s="2"/>
      <c r="AB396" s="2"/>
      <c r="AC396" s="2"/>
      <c r="AD396" s="2"/>
      <c r="AE396" s="2"/>
      <c r="AF396" s="2"/>
    </row>
    <row r="397" spans="1:32" ht="12.75" customHeight="1">
      <c r="A397" s="2"/>
      <c r="B397" s="35"/>
      <c r="C397" s="2"/>
      <c r="D397" s="2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2"/>
      <c r="T397" s="2"/>
      <c r="U397" s="2"/>
      <c r="V397" s="2"/>
      <c r="W397" s="2"/>
      <c r="X397" s="2"/>
      <c r="Y397" s="64"/>
      <c r="Z397" s="64"/>
      <c r="AA397" s="2"/>
      <c r="AB397" s="2"/>
      <c r="AC397" s="2"/>
      <c r="AD397" s="2"/>
      <c r="AE397" s="2"/>
      <c r="AF397" s="2"/>
    </row>
    <row r="398" spans="1:32" ht="12.75" customHeight="1">
      <c r="A398" s="2"/>
      <c r="B398" s="35"/>
      <c r="C398" s="2"/>
      <c r="D398" s="2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2"/>
      <c r="T398" s="2"/>
      <c r="U398" s="2"/>
      <c r="V398" s="2"/>
      <c r="W398" s="2"/>
      <c r="X398" s="2"/>
      <c r="Y398" s="64"/>
      <c r="Z398" s="64"/>
      <c r="AA398" s="2"/>
      <c r="AB398" s="2"/>
      <c r="AC398" s="2"/>
      <c r="AD398" s="2"/>
      <c r="AE398" s="2"/>
      <c r="AF398" s="2"/>
    </row>
    <row r="399" spans="1:32" ht="12.75" customHeight="1">
      <c r="A399" s="2"/>
      <c r="B399" s="35"/>
      <c r="C399" s="2"/>
      <c r="D399" s="2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2"/>
      <c r="T399" s="2"/>
      <c r="U399" s="2"/>
      <c r="V399" s="2"/>
      <c r="W399" s="2"/>
      <c r="X399" s="2"/>
      <c r="Y399" s="64"/>
      <c r="Z399" s="64"/>
      <c r="AA399" s="2"/>
      <c r="AB399" s="2"/>
      <c r="AC399" s="2"/>
      <c r="AD399" s="2"/>
      <c r="AE399" s="2"/>
      <c r="AF399" s="2"/>
    </row>
    <row r="400" spans="1:32" ht="12.75" customHeight="1">
      <c r="A400" s="2"/>
      <c r="B400" s="35"/>
      <c r="C400" s="2"/>
      <c r="D400" s="2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2"/>
      <c r="T400" s="2"/>
      <c r="U400" s="2"/>
      <c r="V400" s="2"/>
      <c r="W400" s="2"/>
      <c r="X400" s="2"/>
      <c r="Y400" s="64"/>
      <c r="Z400" s="64"/>
      <c r="AA400" s="2"/>
      <c r="AB400" s="2"/>
      <c r="AC400" s="2"/>
      <c r="AD400" s="2"/>
      <c r="AE400" s="2"/>
      <c r="AF400" s="2"/>
    </row>
    <row r="401" spans="1:32" ht="12.75" customHeight="1">
      <c r="A401" s="2"/>
      <c r="B401" s="35"/>
      <c r="C401" s="2"/>
      <c r="D401" s="2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2"/>
      <c r="T401" s="2"/>
      <c r="U401" s="2"/>
      <c r="V401" s="2"/>
      <c r="W401" s="2"/>
      <c r="X401" s="2"/>
      <c r="Y401" s="64"/>
      <c r="Z401" s="64"/>
      <c r="AA401" s="2"/>
      <c r="AB401" s="2"/>
      <c r="AC401" s="2"/>
      <c r="AD401" s="2"/>
      <c r="AE401" s="2"/>
      <c r="AF401" s="2"/>
    </row>
    <row r="402" spans="1:32" ht="12.75" customHeight="1">
      <c r="A402" s="2"/>
      <c r="B402" s="35"/>
      <c r="C402" s="2"/>
      <c r="D402" s="2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2"/>
      <c r="T402" s="2"/>
      <c r="U402" s="2"/>
      <c r="V402" s="2"/>
      <c r="W402" s="2"/>
      <c r="X402" s="2"/>
      <c r="Y402" s="64"/>
      <c r="Z402" s="64"/>
      <c r="AA402" s="2"/>
      <c r="AB402" s="2"/>
      <c r="AC402" s="2"/>
      <c r="AD402" s="2"/>
      <c r="AE402" s="2"/>
      <c r="AF402" s="2"/>
    </row>
    <row r="403" spans="1:32" ht="12.75" customHeight="1">
      <c r="A403" s="2"/>
      <c r="B403" s="35"/>
      <c r="C403" s="2"/>
      <c r="D403" s="2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2"/>
      <c r="T403" s="2"/>
      <c r="U403" s="2"/>
      <c r="V403" s="2"/>
      <c r="W403" s="2"/>
      <c r="X403" s="2"/>
      <c r="Y403" s="64"/>
      <c r="Z403" s="64"/>
      <c r="AA403" s="2"/>
      <c r="AB403" s="2"/>
      <c r="AC403" s="2"/>
      <c r="AD403" s="2"/>
      <c r="AE403" s="2"/>
      <c r="AF403" s="2"/>
    </row>
    <row r="404" spans="1:32" ht="12.75" customHeight="1">
      <c r="A404" s="2"/>
      <c r="B404" s="35"/>
      <c r="C404" s="2"/>
      <c r="D404" s="2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2"/>
      <c r="T404" s="2"/>
      <c r="U404" s="2"/>
      <c r="V404" s="2"/>
      <c r="W404" s="2"/>
      <c r="X404" s="2"/>
      <c r="Y404" s="64"/>
      <c r="Z404" s="64"/>
      <c r="AA404" s="2"/>
      <c r="AB404" s="2"/>
      <c r="AC404" s="2"/>
      <c r="AD404" s="2"/>
      <c r="AE404" s="2"/>
      <c r="AF404" s="2"/>
    </row>
    <row r="405" spans="1:32" ht="12.75" customHeight="1">
      <c r="A405" s="2"/>
      <c r="B405" s="35"/>
      <c r="C405" s="2"/>
      <c r="D405" s="2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2"/>
      <c r="T405" s="2"/>
      <c r="U405" s="2"/>
      <c r="V405" s="2"/>
      <c r="W405" s="2"/>
      <c r="X405" s="2"/>
      <c r="Y405" s="64"/>
      <c r="Z405" s="64"/>
      <c r="AA405" s="2"/>
      <c r="AB405" s="2"/>
      <c r="AC405" s="2"/>
      <c r="AD405" s="2"/>
      <c r="AE405" s="2"/>
      <c r="AF405" s="2"/>
    </row>
    <row r="406" spans="1:32" ht="12.75" customHeight="1">
      <c r="A406" s="2"/>
      <c r="B406" s="35"/>
      <c r="C406" s="2"/>
      <c r="D406" s="2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2"/>
      <c r="T406" s="2"/>
      <c r="U406" s="2"/>
      <c r="V406" s="2"/>
      <c r="W406" s="2"/>
      <c r="X406" s="2"/>
      <c r="Y406" s="64"/>
      <c r="Z406" s="64"/>
      <c r="AA406" s="2"/>
      <c r="AB406" s="2"/>
      <c r="AC406" s="2"/>
      <c r="AD406" s="2"/>
      <c r="AE406" s="2"/>
      <c r="AF406" s="2"/>
    </row>
    <row r="407" spans="1:32" ht="12.75" customHeight="1">
      <c r="A407" s="2"/>
      <c r="B407" s="35"/>
      <c r="C407" s="2"/>
      <c r="D407" s="2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2"/>
      <c r="T407" s="2"/>
      <c r="U407" s="2"/>
      <c r="V407" s="2"/>
      <c r="W407" s="2"/>
      <c r="X407" s="2"/>
      <c r="Y407" s="64"/>
      <c r="Z407" s="64"/>
      <c r="AA407" s="2"/>
      <c r="AB407" s="2"/>
      <c r="AC407" s="2"/>
      <c r="AD407" s="2"/>
      <c r="AE407" s="2"/>
      <c r="AF407" s="2"/>
    </row>
    <row r="408" spans="1:32" ht="12.75" customHeight="1">
      <c r="A408" s="2"/>
      <c r="B408" s="35"/>
      <c r="C408" s="2"/>
      <c r="D408" s="2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2"/>
      <c r="T408" s="2"/>
      <c r="U408" s="2"/>
      <c r="V408" s="2"/>
      <c r="W408" s="2"/>
      <c r="X408" s="2"/>
      <c r="Y408" s="64"/>
      <c r="Z408" s="64"/>
      <c r="AA408" s="2"/>
      <c r="AB408" s="2"/>
      <c r="AC408" s="2"/>
      <c r="AD408" s="2"/>
      <c r="AE408" s="2"/>
      <c r="AF408" s="2"/>
    </row>
    <row r="409" spans="1:32" ht="12.75" customHeight="1">
      <c r="A409" s="2"/>
      <c r="B409" s="35"/>
      <c r="C409" s="2"/>
      <c r="D409" s="2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2"/>
      <c r="T409" s="2"/>
      <c r="U409" s="2"/>
      <c r="V409" s="2"/>
      <c r="W409" s="2"/>
      <c r="X409" s="2"/>
      <c r="Y409" s="64"/>
      <c r="Z409" s="64"/>
      <c r="AA409" s="2"/>
      <c r="AB409" s="2"/>
      <c r="AC409" s="2"/>
      <c r="AD409" s="2"/>
      <c r="AE409" s="2"/>
      <c r="AF409" s="2"/>
    </row>
    <row r="410" spans="1:32" ht="12.75" customHeight="1">
      <c r="A410" s="2"/>
      <c r="B410" s="35"/>
      <c r="C410" s="2"/>
      <c r="D410" s="2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2"/>
      <c r="T410" s="2"/>
      <c r="U410" s="2"/>
      <c r="V410" s="2"/>
      <c r="W410" s="2"/>
      <c r="X410" s="2"/>
      <c r="Y410" s="64"/>
      <c r="Z410" s="64"/>
      <c r="AA410" s="2"/>
      <c r="AB410" s="2"/>
      <c r="AC410" s="2"/>
      <c r="AD410" s="2"/>
      <c r="AE410" s="2"/>
      <c r="AF410" s="2"/>
    </row>
    <row r="411" spans="1:32" ht="12.75" customHeight="1">
      <c r="A411" s="2"/>
      <c r="B411" s="35"/>
      <c r="C411" s="2"/>
      <c r="D411" s="2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2"/>
      <c r="T411" s="2"/>
      <c r="U411" s="2"/>
      <c r="V411" s="2"/>
      <c r="W411" s="2"/>
      <c r="X411" s="2"/>
      <c r="Y411" s="64"/>
      <c r="Z411" s="64"/>
      <c r="AA411" s="2"/>
      <c r="AB411" s="2"/>
      <c r="AC411" s="2"/>
      <c r="AD411" s="2"/>
      <c r="AE411" s="2"/>
      <c r="AF411" s="2"/>
    </row>
    <row r="412" spans="1:32" ht="12.75" customHeight="1">
      <c r="A412" s="2"/>
      <c r="B412" s="35"/>
      <c r="C412" s="2"/>
      <c r="D412" s="2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2"/>
      <c r="T412" s="2"/>
      <c r="U412" s="2"/>
      <c r="V412" s="2"/>
      <c r="W412" s="2"/>
      <c r="X412" s="2"/>
      <c r="Y412" s="64"/>
      <c r="Z412" s="64"/>
      <c r="AA412" s="2"/>
      <c r="AB412" s="2"/>
      <c r="AC412" s="2"/>
      <c r="AD412" s="2"/>
      <c r="AE412" s="2"/>
      <c r="AF412" s="2"/>
    </row>
    <row r="413" spans="1:32" ht="12.75" customHeight="1">
      <c r="A413" s="2"/>
      <c r="B413" s="35"/>
      <c r="C413" s="2"/>
      <c r="D413" s="2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2"/>
      <c r="T413" s="2"/>
      <c r="U413" s="2"/>
      <c r="V413" s="2"/>
      <c r="W413" s="2"/>
      <c r="X413" s="2"/>
      <c r="Y413" s="64"/>
      <c r="Z413" s="64"/>
      <c r="AA413" s="2"/>
      <c r="AB413" s="2"/>
      <c r="AC413" s="2"/>
      <c r="AD413" s="2"/>
      <c r="AE413" s="2"/>
      <c r="AF413" s="2"/>
    </row>
    <row r="414" spans="1:32" ht="12.75" customHeight="1">
      <c r="A414" s="2"/>
      <c r="B414" s="35"/>
      <c r="C414" s="2"/>
      <c r="D414" s="2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2"/>
      <c r="T414" s="2"/>
      <c r="U414" s="2"/>
      <c r="V414" s="2"/>
      <c r="W414" s="2"/>
      <c r="X414" s="2"/>
      <c r="Y414" s="64"/>
      <c r="Z414" s="64"/>
      <c r="AA414" s="2"/>
      <c r="AB414" s="2"/>
      <c r="AC414" s="2"/>
      <c r="AD414" s="2"/>
      <c r="AE414" s="2"/>
      <c r="AF414" s="2"/>
    </row>
    <row r="415" spans="1:32" ht="12.75" customHeight="1">
      <c r="A415" s="2"/>
      <c r="B415" s="35"/>
      <c r="C415" s="2"/>
      <c r="D415" s="2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2"/>
      <c r="T415" s="2"/>
      <c r="U415" s="2"/>
      <c r="V415" s="2"/>
      <c r="W415" s="2"/>
      <c r="X415" s="2"/>
      <c r="Y415" s="64"/>
      <c r="Z415" s="64"/>
      <c r="AA415" s="2"/>
      <c r="AB415" s="2"/>
      <c r="AC415" s="2"/>
      <c r="AD415" s="2"/>
      <c r="AE415" s="2"/>
      <c r="AF415" s="2"/>
    </row>
    <row r="416" spans="1:32" ht="12.75" customHeight="1">
      <c r="A416" s="2"/>
      <c r="B416" s="35"/>
      <c r="C416" s="2"/>
      <c r="D416" s="2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2"/>
      <c r="T416" s="2"/>
      <c r="U416" s="2"/>
      <c r="V416" s="2"/>
      <c r="W416" s="2"/>
      <c r="X416" s="2"/>
      <c r="Y416" s="64"/>
      <c r="Z416" s="64"/>
      <c r="AA416" s="2"/>
      <c r="AB416" s="2"/>
      <c r="AC416" s="2"/>
      <c r="AD416" s="2"/>
      <c r="AE416" s="2"/>
      <c r="AF416" s="2"/>
    </row>
    <row r="417" spans="1:32" ht="12.75" customHeight="1">
      <c r="A417" s="2"/>
      <c r="B417" s="35"/>
      <c r="C417" s="2"/>
      <c r="D417" s="2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2"/>
      <c r="T417" s="2"/>
      <c r="U417" s="2"/>
      <c r="V417" s="2"/>
      <c r="W417" s="2"/>
      <c r="X417" s="2"/>
      <c r="Y417" s="64"/>
      <c r="Z417" s="64"/>
      <c r="AA417" s="2"/>
      <c r="AB417" s="2"/>
      <c r="AC417" s="2"/>
      <c r="AD417" s="2"/>
      <c r="AE417" s="2"/>
      <c r="AF417" s="2"/>
    </row>
    <row r="418" spans="1:32" ht="12.75" customHeight="1">
      <c r="A418" s="2"/>
      <c r="B418" s="35"/>
      <c r="C418" s="2"/>
      <c r="D418" s="2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2"/>
      <c r="T418" s="2"/>
      <c r="U418" s="2"/>
      <c r="V418" s="2"/>
      <c r="W418" s="2"/>
      <c r="X418" s="2"/>
      <c r="Y418" s="64"/>
      <c r="Z418" s="64"/>
      <c r="AA418" s="2"/>
      <c r="AB418" s="2"/>
      <c r="AC418" s="2"/>
      <c r="AD418" s="2"/>
      <c r="AE418" s="2"/>
      <c r="AF418" s="2"/>
    </row>
    <row r="419" spans="1:32" ht="12.75" customHeight="1">
      <c r="A419" s="2"/>
      <c r="B419" s="35"/>
      <c r="C419" s="2"/>
      <c r="D419" s="2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2"/>
      <c r="T419" s="2"/>
      <c r="U419" s="2"/>
      <c r="V419" s="2"/>
      <c r="W419" s="2"/>
      <c r="X419" s="2"/>
      <c r="Y419" s="64"/>
      <c r="Z419" s="64"/>
      <c r="AA419" s="2"/>
      <c r="AB419" s="2"/>
      <c r="AC419" s="2"/>
      <c r="AD419" s="2"/>
      <c r="AE419" s="2"/>
      <c r="AF419" s="2"/>
    </row>
    <row r="420" spans="1:32" ht="12.75" customHeight="1">
      <c r="A420" s="2"/>
      <c r="B420" s="35"/>
      <c r="C420" s="2"/>
      <c r="D420" s="2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2"/>
      <c r="T420" s="2"/>
      <c r="U420" s="2"/>
      <c r="V420" s="2"/>
      <c r="W420" s="2"/>
      <c r="X420" s="2"/>
      <c r="Y420" s="64"/>
      <c r="Z420" s="64"/>
      <c r="AA420" s="2"/>
      <c r="AB420" s="2"/>
      <c r="AC420" s="2"/>
      <c r="AD420" s="2"/>
      <c r="AE420" s="2"/>
      <c r="AF420" s="2"/>
    </row>
    <row r="421" spans="1:32" ht="12.75" customHeight="1">
      <c r="A421" s="2"/>
      <c r="B421" s="35"/>
      <c r="C421" s="2"/>
      <c r="D421" s="2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2"/>
      <c r="T421" s="2"/>
      <c r="U421" s="2"/>
      <c r="V421" s="2"/>
      <c r="W421" s="2"/>
      <c r="X421" s="2"/>
      <c r="Y421" s="64"/>
      <c r="Z421" s="64"/>
      <c r="AA421" s="2"/>
      <c r="AB421" s="2"/>
      <c r="AC421" s="2"/>
      <c r="AD421" s="2"/>
      <c r="AE421" s="2"/>
      <c r="AF421" s="2"/>
    </row>
    <row r="422" spans="1:32" ht="12.75" customHeight="1">
      <c r="A422" s="2"/>
      <c r="B422" s="35"/>
      <c r="C422" s="2"/>
      <c r="D422" s="2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2"/>
      <c r="T422" s="2"/>
      <c r="U422" s="2"/>
      <c r="V422" s="2"/>
      <c r="W422" s="2"/>
      <c r="X422" s="2"/>
      <c r="Y422" s="64"/>
      <c r="Z422" s="64"/>
      <c r="AA422" s="2"/>
      <c r="AB422" s="2"/>
      <c r="AC422" s="2"/>
      <c r="AD422" s="2"/>
      <c r="AE422" s="2"/>
      <c r="AF422" s="2"/>
    </row>
    <row r="423" spans="1:32" ht="12.75" customHeight="1">
      <c r="A423" s="2"/>
      <c r="B423" s="35"/>
      <c r="C423" s="2"/>
      <c r="D423" s="2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2"/>
      <c r="T423" s="2"/>
      <c r="U423" s="2"/>
      <c r="V423" s="2"/>
      <c r="W423" s="2"/>
      <c r="X423" s="2"/>
      <c r="Y423" s="64"/>
      <c r="Z423" s="64"/>
      <c r="AA423" s="2"/>
      <c r="AB423" s="2"/>
      <c r="AC423" s="2"/>
      <c r="AD423" s="2"/>
      <c r="AE423" s="2"/>
      <c r="AF423" s="2"/>
    </row>
    <row r="424" spans="1:32" ht="12.75" customHeight="1">
      <c r="A424" s="2"/>
      <c r="B424" s="35"/>
      <c r="C424" s="2"/>
      <c r="D424" s="2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2"/>
      <c r="T424" s="2"/>
      <c r="U424" s="2"/>
      <c r="V424" s="2"/>
      <c r="W424" s="2"/>
      <c r="X424" s="2"/>
      <c r="Y424" s="64"/>
      <c r="Z424" s="64"/>
      <c r="AA424" s="2"/>
      <c r="AB424" s="2"/>
      <c r="AC424" s="2"/>
      <c r="AD424" s="2"/>
      <c r="AE424" s="2"/>
      <c r="AF424" s="2"/>
    </row>
    <row r="425" spans="1:32" ht="12.75" customHeight="1">
      <c r="A425" s="2"/>
      <c r="B425" s="35"/>
      <c r="C425" s="2"/>
      <c r="D425" s="2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2"/>
      <c r="T425" s="2"/>
      <c r="U425" s="2"/>
      <c r="V425" s="2"/>
      <c r="W425" s="2"/>
      <c r="X425" s="2"/>
      <c r="Y425" s="64"/>
      <c r="Z425" s="64"/>
      <c r="AA425" s="2"/>
      <c r="AB425" s="2"/>
      <c r="AC425" s="2"/>
      <c r="AD425" s="2"/>
      <c r="AE425" s="2"/>
      <c r="AF425" s="2"/>
    </row>
    <row r="426" spans="1:32" ht="12.75" customHeight="1">
      <c r="A426" s="2"/>
      <c r="B426" s="35"/>
      <c r="C426" s="2"/>
      <c r="D426" s="2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2"/>
      <c r="T426" s="2"/>
      <c r="U426" s="2"/>
      <c r="V426" s="2"/>
      <c r="W426" s="2"/>
      <c r="X426" s="2"/>
      <c r="Y426" s="64"/>
      <c r="Z426" s="64"/>
      <c r="AA426" s="2"/>
      <c r="AB426" s="2"/>
      <c r="AC426" s="2"/>
      <c r="AD426" s="2"/>
      <c r="AE426" s="2"/>
      <c r="AF426" s="2"/>
    </row>
    <row r="427" spans="1:32" ht="12.75" customHeight="1">
      <c r="A427" s="2"/>
      <c r="B427" s="35"/>
      <c r="C427" s="2"/>
      <c r="D427" s="2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2"/>
      <c r="T427" s="2"/>
      <c r="U427" s="2"/>
      <c r="V427" s="2"/>
      <c r="W427" s="2"/>
      <c r="X427" s="2"/>
      <c r="Y427" s="64"/>
      <c r="Z427" s="64"/>
      <c r="AA427" s="2"/>
      <c r="AB427" s="2"/>
      <c r="AC427" s="2"/>
      <c r="AD427" s="2"/>
      <c r="AE427" s="2"/>
      <c r="AF427" s="2"/>
    </row>
    <row r="428" spans="1:32" ht="12.75" customHeight="1">
      <c r="A428" s="2"/>
      <c r="B428" s="35"/>
      <c r="C428" s="2"/>
      <c r="D428" s="2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2"/>
      <c r="T428" s="2"/>
      <c r="U428" s="2"/>
      <c r="V428" s="2"/>
      <c r="W428" s="2"/>
      <c r="X428" s="2"/>
      <c r="Y428" s="64"/>
      <c r="Z428" s="64"/>
      <c r="AA428" s="2"/>
      <c r="AB428" s="2"/>
      <c r="AC428" s="2"/>
      <c r="AD428" s="2"/>
      <c r="AE428" s="2"/>
      <c r="AF428" s="2"/>
    </row>
    <row r="429" spans="1:32" ht="12.75" customHeight="1">
      <c r="A429" s="2"/>
      <c r="B429" s="35"/>
      <c r="C429" s="2"/>
      <c r="D429" s="2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2"/>
      <c r="T429" s="2"/>
      <c r="U429" s="2"/>
      <c r="V429" s="2"/>
      <c r="W429" s="2"/>
      <c r="X429" s="2"/>
      <c r="Y429" s="64"/>
      <c r="Z429" s="64"/>
      <c r="AA429" s="2"/>
      <c r="AB429" s="2"/>
      <c r="AC429" s="2"/>
      <c r="AD429" s="2"/>
      <c r="AE429" s="2"/>
      <c r="AF429" s="2"/>
    </row>
    <row r="430" spans="1:32" ht="12.75" customHeight="1">
      <c r="A430" s="2"/>
      <c r="B430" s="35"/>
      <c r="C430" s="2"/>
      <c r="D430" s="2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2"/>
      <c r="T430" s="2"/>
      <c r="U430" s="2"/>
      <c r="V430" s="2"/>
      <c r="W430" s="2"/>
      <c r="X430" s="2"/>
      <c r="Y430" s="64"/>
      <c r="Z430" s="64"/>
      <c r="AA430" s="2"/>
      <c r="AB430" s="2"/>
      <c r="AC430" s="2"/>
      <c r="AD430" s="2"/>
      <c r="AE430" s="2"/>
      <c r="AF430" s="2"/>
    </row>
    <row r="431" spans="1:32" ht="12.75" customHeight="1">
      <c r="A431" s="2"/>
      <c r="B431" s="35"/>
      <c r="C431" s="2"/>
      <c r="D431" s="2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2"/>
      <c r="T431" s="2"/>
      <c r="U431" s="2"/>
      <c r="V431" s="2"/>
      <c r="W431" s="2"/>
      <c r="X431" s="2"/>
      <c r="Y431" s="64"/>
      <c r="Z431" s="64"/>
      <c r="AA431" s="2"/>
      <c r="AB431" s="2"/>
      <c r="AC431" s="2"/>
      <c r="AD431" s="2"/>
      <c r="AE431" s="2"/>
      <c r="AF431" s="2"/>
    </row>
    <row r="432" spans="1:32" ht="12.75" customHeight="1">
      <c r="A432" s="2"/>
      <c r="B432" s="35"/>
      <c r="C432" s="2"/>
      <c r="D432" s="2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2"/>
      <c r="T432" s="2"/>
      <c r="U432" s="2"/>
      <c r="V432" s="2"/>
      <c r="W432" s="2"/>
      <c r="X432" s="2"/>
      <c r="Y432" s="64"/>
      <c r="Z432" s="64"/>
      <c r="AA432" s="2"/>
      <c r="AB432" s="2"/>
      <c r="AC432" s="2"/>
      <c r="AD432" s="2"/>
      <c r="AE432" s="2"/>
      <c r="AF432" s="2"/>
    </row>
    <row r="433" spans="1:32" ht="12.75" customHeight="1">
      <c r="A433" s="2"/>
      <c r="B433" s="35"/>
      <c r="C433" s="2"/>
      <c r="D433" s="2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2"/>
      <c r="T433" s="2"/>
      <c r="U433" s="2"/>
      <c r="V433" s="2"/>
      <c r="W433" s="2"/>
      <c r="X433" s="2"/>
      <c r="Y433" s="64"/>
      <c r="Z433" s="64"/>
      <c r="AA433" s="2"/>
      <c r="AB433" s="2"/>
      <c r="AC433" s="2"/>
      <c r="AD433" s="2"/>
      <c r="AE433" s="2"/>
      <c r="AF433" s="2"/>
    </row>
    <row r="434" spans="1:32" ht="12.75" customHeight="1">
      <c r="A434" s="2"/>
      <c r="B434" s="35"/>
      <c r="C434" s="2"/>
      <c r="D434" s="2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2"/>
      <c r="T434" s="2"/>
      <c r="U434" s="2"/>
      <c r="V434" s="2"/>
      <c r="W434" s="2"/>
      <c r="X434" s="2"/>
      <c r="Y434" s="64"/>
      <c r="Z434" s="64"/>
      <c r="AA434" s="2"/>
      <c r="AB434" s="2"/>
      <c r="AC434" s="2"/>
      <c r="AD434" s="2"/>
      <c r="AE434" s="2"/>
      <c r="AF434" s="2"/>
    </row>
    <row r="435" spans="1:32" ht="12.75" customHeight="1">
      <c r="A435" s="2"/>
      <c r="B435" s="35"/>
      <c r="C435" s="2"/>
      <c r="D435" s="2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2"/>
      <c r="T435" s="2"/>
      <c r="U435" s="2"/>
      <c r="V435" s="2"/>
      <c r="W435" s="2"/>
      <c r="X435" s="2"/>
      <c r="Y435" s="64"/>
      <c r="Z435" s="64"/>
      <c r="AA435" s="2"/>
      <c r="AB435" s="2"/>
      <c r="AC435" s="2"/>
      <c r="AD435" s="2"/>
      <c r="AE435" s="2"/>
      <c r="AF435" s="2"/>
    </row>
    <row r="436" spans="1:32" ht="12.75" customHeight="1">
      <c r="A436" s="2"/>
      <c r="B436" s="35"/>
      <c r="C436" s="2"/>
      <c r="D436" s="2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2"/>
      <c r="T436" s="2"/>
      <c r="U436" s="2"/>
      <c r="V436" s="2"/>
      <c r="W436" s="2"/>
      <c r="X436" s="2"/>
      <c r="Y436" s="64"/>
      <c r="Z436" s="64"/>
      <c r="AA436" s="2"/>
      <c r="AB436" s="2"/>
      <c r="AC436" s="2"/>
      <c r="AD436" s="2"/>
      <c r="AE436" s="2"/>
      <c r="AF436" s="2"/>
    </row>
    <row r="437" spans="1:32" ht="12.75" customHeight="1">
      <c r="A437" s="2"/>
      <c r="B437" s="35"/>
      <c r="C437" s="2"/>
      <c r="D437" s="2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2"/>
      <c r="T437" s="2"/>
      <c r="U437" s="2"/>
      <c r="V437" s="2"/>
      <c r="W437" s="2"/>
      <c r="X437" s="2"/>
      <c r="Y437" s="64"/>
      <c r="Z437" s="64"/>
      <c r="AA437" s="2"/>
      <c r="AB437" s="2"/>
      <c r="AC437" s="2"/>
      <c r="AD437" s="2"/>
      <c r="AE437" s="2"/>
      <c r="AF437" s="2"/>
    </row>
    <row r="438" spans="1:32" ht="12.75" customHeight="1">
      <c r="A438" s="2"/>
      <c r="B438" s="35"/>
      <c r="C438" s="2"/>
      <c r="D438" s="2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2"/>
      <c r="T438" s="2"/>
      <c r="U438" s="2"/>
      <c r="V438" s="2"/>
      <c r="W438" s="2"/>
      <c r="X438" s="2"/>
      <c r="Y438" s="64"/>
      <c r="Z438" s="64"/>
      <c r="AA438" s="2"/>
      <c r="AB438" s="2"/>
      <c r="AC438" s="2"/>
      <c r="AD438" s="2"/>
      <c r="AE438" s="2"/>
      <c r="AF438" s="2"/>
    </row>
    <row r="439" spans="1:32" ht="12.75" customHeight="1">
      <c r="A439" s="2"/>
      <c r="B439" s="35"/>
      <c r="C439" s="2"/>
      <c r="D439" s="2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2"/>
      <c r="T439" s="2"/>
      <c r="U439" s="2"/>
      <c r="V439" s="2"/>
      <c r="W439" s="2"/>
      <c r="X439" s="2"/>
      <c r="Y439" s="64"/>
      <c r="Z439" s="64"/>
      <c r="AA439" s="2"/>
      <c r="AB439" s="2"/>
      <c r="AC439" s="2"/>
      <c r="AD439" s="2"/>
      <c r="AE439" s="2"/>
      <c r="AF439" s="2"/>
    </row>
    <row r="440" spans="1:32" ht="12.75" customHeight="1">
      <c r="A440" s="2"/>
      <c r="B440" s="35"/>
      <c r="C440" s="2"/>
      <c r="D440" s="2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2"/>
      <c r="T440" s="2"/>
      <c r="U440" s="2"/>
      <c r="V440" s="2"/>
      <c r="W440" s="2"/>
      <c r="X440" s="2"/>
      <c r="Y440" s="64"/>
      <c r="Z440" s="64"/>
      <c r="AA440" s="2"/>
      <c r="AB440" s="2"/>
      <c r="AC440" s="2"/>
      <c r="AD440" s="2"/>
      <c r="AE440" s="2"/>
      <c r="AF440" s="2"/>
    </row>
    <row r="441" spans="1:32" ht="12.75" customHeight="1">
      <c r="A441" s="2"/>
      <c r="B441" s="35"/>
      <c r="C441" s="2"/>
      <c r="D441" s="2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2"/>
      <c r="T441" s="2"/>
      <c r="U441" s="2"/>
      <c r="V441" s="2"/>
      <c r="W441" s="2"/>
      <c r="X441" s="2"/>
      <c r="Y441" s="64"/>
      <c r="Z441" s="64"/>
      <c r="AA441" s="2"/>
      <c r="AB441" s="2"/>
      <c r="AC441" s="2"/>
      <c r="AD441" s="2"/>
      <c r="AE441" s="2"/>
      <c r="AF441" s="2"/>
    </row>
    <row r="442" spans="1:32" ht="12.75" customHeight="1">
      <c r="A442" s="2"/>
      <c r="B442" s="35"/>
      <c r="C442" s="2"/>
      <c r="D442" s="2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2"/>
      <c r="T442" s="2"/>
      <c r="U442" s="2"/>
      <c r="V442" s="2"/>
      <c r="W442" s="2"/>
      <c r="X442" s="2"/>
      <c r="Y442" s="64"/>
      <c r="Z442" s="64"/>
      <c r="AA442" s="2"/>
      <c r="AB442" s="2"/>
      <c r="AC442" s="2"/>
      <c r="AD442" s="2"/>
      <c r="AE442" s="2"/>
      <c r="AF442" s="2"/>
    </row>
    <row r="443" spans="1:32" ht="12.75" customHeight="1">
      <c r="A443" s="2"/>
      <c r="B443" s="35"/>
      <c r="C443" s="2"/>
      <c r="D443" s="2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2"/>
      <c r="T443" s="2"/>
      <c r="U443" s="2"/>
      <c r="V443" s="2"/>
      <c r="W443" s="2"/>
      <c r="X443" s="2"/>
      <c r="Y443" s="64"/>
      <c r="Z443" s="64"/>
      <c r="AA443" s="2"/>
      <c r="AB443" s="2"/>
      <c r="AC443" s="2"/>
      <c r="AD443" s="2"/>
      <c r="AE443" s="2"/>
      <c r="AF443" s="2"/>
    </row>
    <row r="444" spans="1:32" ht="12.75" customHeight="1">
      <c r="A444" s="2"/>
      <c r="B444" s="35"/>
      <c r="C444" s="2"/>
      <c r="D444" s="2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2"/>
      <c r="T444" s="2"/>
      <c r="U444" s="2"/>
      <c r="V444" s="2"/>
      <c r="W444" s="2"/>
      <c r="X444" s="2"/>
      <c r="Y444" s="64"/>
      <c r="Z444" s="64"/>
      <c r="AA444" s="2"/>
      <c r="AB444" s="2"/>
      <c r="AC444" s="2"/>
      <c r="AD444" s="2"/>
      <c r="AE444" s="2"/>
      <c r="AF444" s="2"/>
    </row>
    <row r="445" spans="1:32" ht="12.75" customHeight="1">
      <c r="A445" s="2"/>
      <c r="B445" s="35"/>
      <c r="C445" s="2"/>
      <c r="D445" s="2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2"/>
      <c r="T445" s="2"/>
      <c r="U445" s="2"/>
      <c r="V445" s="2"/>
      <c r="W445" s="2"/>
      <c r="X445" s="2"/>
      <c r="Y445" s="64"/>
      <c r="Z445" s="64"/>
      <c r="AA445" s="2"/>
      <c r="AB445" s="2"/>
      <c r="AC445" s="2"/>
      <c r="AD445" s="2"/>
      <c r="AE445" s="2"/>
      <c r="AF445" s="2"/>
    </row>
    <row r="446" spans="1:32" ht="12.75" customHeight="1">
      <c r="A446" s="2"/>
      <c r="B446" s="35"/>
      <c r="C446" s="2"/>
      <c r="D446" s="2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2"/>
      <c r="T446" s="2"/>
      <c r="U446" s="2"/>
      <c r="V446" s="2"/>
      <c r="W446" s="2"/>
      <c r="X446" s="2"/>
      <c r="Y446" s="64"/>
      <c r="Z446" s="64"/>
      <c r="AA446" s="2"/>
      <c r="AB446" s="2"/>
      <c r="AC446" s="2"/>
      <c r="AD446" s="2"/>
      <c r="AE446" s="2"/>
      <c r="AF446" s="2"/>
    </row>
    <row r="447" spans="1:32" ht="12.75" customHeight="1">
      <c r="A447" s="2"/>
      <c r="B447" s="35"/>
      <c r="C447" s="2"/>
      <c r="D447" s="2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2"/>
      <c r="T447" s="2"/>
      <c r="U447" s="2"/>
      <c r="V447" s="2"/>
      <c r="W447" s="2"/>
      <c r="X447" s="2"/>
      <c r="Y447" s="64"/>
      <c r="Z447" s="64"/>
      <c r="AA447" s="2"/>
      <c r="AB447" s="2"/>
      <c r="AC447" s="2"/>
      <c r="AD447" s="2"/>
      <c r="AE447" s="2"/>
      <c r="AF447" s="2"/>
    </row>
    <row r="448" spans="1:32" ht="12.75" customHeight="1">
      <c r="A448" s="2"/>
      <c r="B448" s="35"/>
      <c r="C448" s="2"/>
      <c r="D448" s="2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2"/>
      <c r="T448" s="2"/>
      <c r="U448" s="2"/>
      <c r="V448" s="2"/>
      <c r="W448" s="2"/>
      <c r="X448" s="2"/>
      <c r="Y448" s="64"/>
      <c r="Z448" s="64"/>
      <c r="AA448" s="2"/>
      <c r="AB448" s="2"/>
      <c r="AC448" s="2"/>
      <c r="AD448" s="2"/>
      <c r="AE448" s="2"/>
      <c r="AF448" s="2"/>
    </row>
    <row r="449" spans="1:32" ht="12.75" customHeight="1">
      <c r="A449" s="2"/>
      <c r="B449" s="35"/>
      <c r="C449" s="2"/>
      <c r="D449" s="2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2"/>
      <c r="T449" s="2"/>
      <c r="U449" s="2"/>
      <c r="V449" s="2"/>
      <c r="W449" s="2"/>
      <c r="X449" s="2"/>
      <c r="Y449" s="64"/>
      <c r="Z449" s="64"/>
      <c r="AA449" s="2"/>
      <c r="AB449" s="2"/>
      <c r="AC449" s="2"/>
      <c r="AD449" s="2"/>
      <c r="AE449" s="2"/>
      <c r="AF449" s="2"/>
    </row>
    <row r="450" spans="1:32" ht="12.75" customHeight="1">
      <c r="A450" s="2"/>
      <c r="B450" s="35"/>
      <c r="C450" s="2"/>
      <c r="D450" s="2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2"/>
      <c r="T450" s="2"/>
      <c r="U450" s="2"/>
      <c r="V450" s="2"/>
      <c r="W450" s="2"/>
      <c r="X450" s="2"/>
      <c r="Y450" s="64"/>
      <c r="Z450" s="64"/>
      <c r="AA450" s="2"/>
      <c r="AB450" s="2"/>
      <c r="AC450" s="2"/>
      <c r="AD450" s="2"/>
      <c r="AE450" s="2"/>
      <c r="AF450" s="2"/>
    </row>
    <row r="451" spans="1:32" ht="12.75" customHeight="1">
      <c r="A451" s="2"/>
      <c r="B451" s="35"/>
      <c r="C451" s="2"/>
      <c r="D451" s="2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2"/>
      <c r="T451" s="2"/>
      <c r="U451" s="2"/>
      <c r="V451" s="2"/>
      <c r="W451" s="2"/>
      <c r="X451" s="2"/>
      <c r="Y451" s="64"/>
      <c r="Z451" s="64"/>
      <c r="AA451" s="2"/>
      <c r="AB451" s="2"/>
      <c r="AC451" s="2"/>
      <c r="AD451" s="2"/>
      <c r="AE451" s="2"/>
      <c r="AF451" s="2"/>
    </row>
    <row r="452" spans="1:32" ht="12.75" customHeight="1">
      <c r="A452" s="2"/>
      <c r="B452" s="35"/>
      <c r="C452" s="2"/>
      <c r="D452" s="2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2"/>
      <c r="T452" s="2"/>
      <c r="U452" s="2"/>
      <c r="V452" s="2"/>
      <c r="W452" s="2"/>
      <c r="X452" s="2"/>
      <c r="Y452" s="64"/>
      <c r="Z452" s="64"/>
      <c r="AA452" s="2"/>
      <c r="AB452" s="2"/>
      <c r="AC452" s="2"/>
      <c r="AD452" s="2"/>
      <c r="AE452" s="2"/>
      <c r="AF452" s="2"/>
    </row>
    <row r="453" spans="1:32" ht="12.75" customHeight="1">
      <c r="A453" s="2"/>
      <c r="B453" s="35"/>
      <c r="C453" s="2"/>
      <c r="D453" s="2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2"/>
      <c r="T453" s="2"/>
      <c r="U453" s="2"/>
      <c r="V453" s="2"/>
      <c r="W453" s="2"/>
      <c r="X453" s="2"/>
      <c r="Y453" s="64"/>
      <c r="Z453" s="64"/>
      <c r="AA453" s="2"/>
      <c r="AB453" s="2"/>
      <c r="AC453" s="2"/>
      <c r="AD453" s="2"/>
      <c r="AE453" s="2"/>
      <c r="AF453" s="2"/>
    </row>
    <row r="454" spans="1:32" ht="12.75" customHeight="1">
      <c r="A454" s="2"/>
      <c r="B454" s="35"/>
      <c r="C454" s="2"/>
      <c r="D454" s="2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2"/>
      <c r="T454" s="2"/>
      <c r="U454" s="2"/>
      <c r="V454" s="2"/>
      <c r="W454" s="2"/>
      <c r="X454" s="2"/>
      <c r="Y454" s="64"/>
      <c r="Z454" s="64"/>
      <c r="AA454" s="2"/>
      <c r="AB454" s="2"/>
      <c r="AC454" s="2"/>
      <c r="AD454" s="2"/>
      <c r="AE454" s="2"/>
      <c r="AF454" s="2"/>
    </row>
    <row r="455" spans="1:32" ht="12.75" customHeight="1">
      <c r="A455" s="2"/>
      <c r="B455" s="35"/>
      <c r="C455" s="2"/>
      <c r="D455" s="2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2"/>
      <c r="T455" s="2"/>
      <c r="U455" s="2"/>
      <c r="V455" s="2"/>
      <c r="W455" s="2"/>
      <c r="X455" s="2"/>
      <c r="Y455" s="64"/>
      <c r="Z455" s="64"/>
      <c r="AA455" s="2"/>
      <c r="AB455" s="2"/>
      <c r="AC455" s="2"/>
      <c r="AD455" s="2"/>
      <c r="AE455" s="2"/>
      <c r="AF455" s="2"/>
    </row>
    <row r="456" spans="1:32" ht="12.75" customHeight="1">
      <c r="A456" s="2"/>
      <c r="B456" s="35"/>
      <c r="C456" s="2"/>
      <c r="D456" s="2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2"/>
      <c r="T456" s="2"/>
      <c r="U456" s="2"/>
      <c r="V456" s="2"/>
      <c r="W456" s="2"/>
      <c r="X456" s="2"/>
      <c r="Y456" s="64"/>
      <c r="Z456" s="64"/>
      <c r="AA456" s="2"/>
      <c r="AB456" s="2"/>
      <c r="AC456" s="2"/>
      <c r="AD456" s="2"/>
      <c r="AE456" s="2"/>
      <c r="AF456" s="2"/>
    </row>
    <row r="457" spans="1:32" ht="12.75" customHeight="1">
      <c r="A457" s="2"/>
      <c r="B457" s="35"/>
      <c r="C457" s="2"/>
      <c r="D457" s="2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2"/>
      <c r="T457" s="2"/>
      <c r="U457" s="2"/>
      <c r="V457" s="2"/>
      <c r="W457" s="2"/>
      <c r="X457" s="2"/>
      <c r="Y457" s="64"/>
      <c r="Z457" s="64"/>
      <c r="AA457" s="2"/>
      <c r="AB457" s="2"/>
      <c r="AC457" s="2"/>
      <c r="AD457" s="2"/>
      <c r="AE457" s="2"/>
      <c r="AF457" s="2"/>
    </row>
    <row r="458" spans="1:32" ht="12.75" customHeight="1">
      <c r="A458" s="2"/>
      <c r="B458" s="35"/>
      <c r="C458" s="2"/>
      <c r="D458" s="2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2"/>
      <c r="T458" s="2"/>
      <c r="U458" s="2"/>
      <c r="V458" s="2"/>
      <c r="W458" s="2"/>
      <c r="X458" s="2"/>
      <c r="Y458" s="64"/>
      <c r="Z458" s="64"/>
      <c r="AA458" s="2"/>
      <c r="AB458" s="2"/>
      <c r="AC458" s="2"/>
      <c r="AD458" s="2"/>
      <c r="AE458" s="2"/>
      <c r="AF458" s="2"/>
    </row>
    <row r="459" spans="1:32" ht="12.75" customHeight="1">
      <c r="A459" s="2"/>
      <c r="B459" s="35"/>
      <c r="C459" s="2"/>
      <c r="D459" s="2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2"/>
      <c r="T459" s="2"/>
      <c r="U459" s="2"/>
      <c r="V459" s="2"/>
      <c r="W459" s="2"/>
      <c r="X459" s="2"/>
      <c r="Y459" s="64"/>
      <c r="Z459" s="64"/>
      <c r="AA459" s="2"/>
      <c r="AB459" s="2"/>
      <c r="AC459" s="2"/>
      <c r="AD459" s="2"/>
      <c r="AE459" s="2"/>
      <c r="AF459" s="2"/>
    </row>
    <row r="460" spans="1:32" ht="12.75" customHeight="1">
      <c r="A460" s="2"/>
      <c r="B460" s="35"/>
      <c r="C460" s="2"/>
      <c r="D460" s="2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2"/>
      <c r="T460" s="2"/>
      <c r="U460" s="2"/>
      <c r="V460" s="2"/>
      <c r="W460" s="2"/>
      <c r="X460" s="2"/>
      <c r="Y460" s="64"/>
      <c r="Z460" s="64"/>
      <c r="AA460" s="2"/>
      <c r="AB460" s="2"/>
      <c r="AC460" s="2"/>
      <c r="AD460" s="2"/>
      <c r="AE460" s="2"/>
      <c r="AF460" s="2"/>
    </row>
    <row r="461" spans="1:32" ht="12.75" customHeight="1">
      <c r="A461" s="2"/>
      <c r="B461" s="35"/>
      <c r="C461" s="2"/>
      <c r="D461" s="2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2"/>
      <c r="T461" s="2"/>
      <c r="U461" s="2"/>
      <c r="V461" s="2"/>
      <c r="W461" s="2"/>
      <c r="X461" s="2"/>
      <c r="Y461" s="64"/>
      <c r="Z461" s="64"/>
      <c r="AA461" s="2"/>
      <c r="AB461" s="2"/>
      <c r="AC461" s="2"/>
      <c r="AD461" s="2"/>
      <c r="AE461" s="2"/>
      <c r="AF461" s="2"/>
    </row>
    <row r="462" spans="1:32" ht="12.75" customHeight="1">
      <c r="A462" s="2"/>
      <c r="B462" s="35"/>
      <c r="C462" s="2"/>
      <c r="D462" s="2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2"/>
      <c r="T462" s="2"/>
      <c r="U462" s="2"/>
      <c r="V462" s="2"/>
      <c r="W462" s="2"/>
      <c r="X462" s="2"/>
      <c r="Y462" s="64"/>
      <c r="Z462" s="64"/>
      <c r="AA462" s="2"/>
      <c r="AB462" s="2"/>
      <c r="AC462" s="2"/>
      <c r="AD462" s="2"/>
      <c r="AE462" s="2"/>
      <c r="AF462" s="2"/>
    </row>
    <row r="463" spans="1:32" ht="12.75" customHeight="1">
      <c r="A463" s="2"/>
      <c r="B463" s="35"/>
      <c r="C463" s="2"/>
      <c r="D463" s="2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2"/>
      <c r="T463" s="2"/>
      <c r="U463" s="2"/>
      <c r="V463" s="2"/>
      <c r="W463" s="2"/>
      <c r="X463" s="2"/>
      <c r="Y463" s="64"/>
      <c r="Z463" s="64"/>
      <c r="AA463" s="2"/>
      <c r="AB463" s="2"/>
      <c r="AC463" s="2"/>
      <c r="AD463" s="2"/>
      <c r="AE463" s="2"/>
      <c r="AF463" s="2"/>
    </row>
    <row r="464" spans="1:32" ht="12.75" customHeight="1">
      <c r="A464" s="2"/>
      <c r="B464" s="35"/>
      <c r="C464" s="2"/>
      <c r="D464" s="2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2"/>
      <c r="T464" s="2"/>
      <c r="U464" s="2"/>
      <c r="V464" s="2"/>
      <c r="W464" s="2"/>
      <c r="X464" s="2"/>
      <c r="Y464" s="64"/>
      <c r="Z464" s="64"/>
      <c r="AA464" s="2"/>
      <c r="AB464" s="2"/>
      <c r="AC464" s="2"/>
      <c r="AD464" s="2"/>
      <c r="AE464" s="2"/>
      <c r="AF464" s="2"/>
    </row>
    <row r="465" spans="1:32" ht="12.75" customHeight="1">
      <c r="A465" s="2"/>
      <c r="B465" s="35"/>
      <c r="C465" s="2"/>
      <c r="D465" s="2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2"/>
      <c r="T465" s="2"/>
      <c r="U465" s="2"/>
      <c r="V465" s="2"/>
      <c r="W465" s="2"/>
      <c r="X465" s="2"/>
      <c r="Y465" s="64"/>
      <c r="Z465" s="64"/>
      <c r="AA465" s="2"/>
      <c r="AB465" s="2"/>
      <c r="AC465" s="2"/>
      <c r="AD465" s="2"/>
      <c r="AE465" s="2"/>
      <c r="AF465" s="2"/>
    </row>
    <row r="466" spans="1:32" ht="12.75" customHeight="1">
      <c r="A466" s="2"/>
      <c r="B466" s="35"/>
      <c r="C466" s="2"/>
      <c r="D466" s="2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2"/>
      <c r="T466" s="2"/>
      <c r="U466" s="2"/>
      <c r="V466" s="2"/>
      <c r="W466" s="2"/>
      <c r="X466" s="2"/>
      <c r="Y466" s="64"/>
      <c r="Z466" s="64"/>
      <c r="AA466" s="2"/>
      <c r="AB466" s="2"/>
      <c r="AC466" s="2"/>
      <c r="AD466" s="2"/>
      <c r="AE466" s="2"/>
      <c r="AF466" s="2"/>
    </row>
    <row r="467" spans="1:32" ht="12.75" customHeight="1">
      <c r="A467" s="2"/>
      <c r="B467" s="35"/>
      <c r="C467" s="2"/>
      <c r="D467" s="2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2"/>
      <c r="T467" s="2"/>
      <c r="U467" s="2"/>
      <c r="V467" s="2"/>
      <c r="W467" s="2"/>
      <c r="X467" s="2"/>
      <c r="Y467" s="64"/>
      <c r="Z467" s="64"/>
      <c r="AA467" s="2"/>
      <c r="AB467" s="2"/>
      <c r="AC467" s="2"/>
      <c r="AD467" s="2"/>
      <c r="AE467" s="2"/>
      <c r="AF467" s="2"/>
    </row>
    <row r="468" spans="1:32" ht="12.75" customHeight="1">
      <c r="A468" s="2"/>
      <c r="B468" s="35"/>
      <c r="C468" s="2"/>
      <c r="D468" s="2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2"/>
      <c r="T468" s="2"/>
      <c r="U468" s="2"/>
      <c r="V468" s="2"/>
      <c r="W468" s="2"/>
      <c r="X468" s="2"/>
      <c r="Y468" s="64"/>
      <c r="Z468" s="64"/>
      <c r="AA468" s="2"/>
      <c r="AB468" s="2"/>
      <c r="AC468" s="2"/>
      <c r="AD468" s="2"/>
      <c r="AE468" s="2"/>
      <c r="AF468" s="2"/>
    </row>
    <row r="469" spans="1:32" ht="12.75" customHeight="1">
      <c r="A469" s="2"/>
      <c r="B469" s="35"/>
      <c r="C469" s="2"/>
      <c r="D469" s="2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2"/>
      <c r="T469" s="2"/>
      <c r="U469" s="2"/>
      <c r="V469" s="2"/>
      <c r="W469" s="2"/>
      <c r="X469" s="2"/>
      <c r="Y469" s="64"/>
      <c r="Z469" s="64"/>
      <c r="AA469" s="2"/>
      <c r="AB469" s="2"/>
      <c r="AC469" s="2"/>
      <c r="AD469" s="2"/>
      <c r="AE469" s="2"/>
      <c r="AF469" s="2"/>
    </row>
    <row r="470" spans="1:32" ht="12.75" customHeight="1">
      <c r="A470" s="2"/>
      <c r="B470" s="35"/>
      <c r="C470" s="2"/>
      <c r="D470" s="2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2"/>
      <c r="T470" s="2"/>
      <c r="U470" s="2"/>
      <c r="V470" s="2"/>
      <c r="W470" s="2"/>
      <c r="X470" s="2"/>
      <c r="Y470" s="64"/>
      <c r="Z470" s="64"/>
      <c r="AA470" s="2"/>
      <c r="AB470" s="2"/>
      <c r="AC470" s="2"/>
      <c r="AD470" s="2"/>
      <c r="AE470" s="2"/>
      <c r="AF470" s="2"/>
    </row>
    <row r="471" spans="1:32" ht="12.75" customHeight="1">
      <c r="A471" s="2"/>
      <c r="B471" s="35"/>
      <c r="C471" s="2"/>
      <c r="D471" s="2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2"/>
      <c r="T471" s="2"/>
      <c r="U471" s="2"/>
      <c r="V471" s="2"/>
      <c r="W471" s="2"/>
      <c r="X471" s="2"/>
      <c r="Y471" s="64"/>
      <c r="Z471" s="64"/>
      <c r="AA471" s="2"/>
      <c r="AB471" s="2"/>
      <c r="AC471" s="2"/>
      <c r="AD471" s="2"/>
      <c r="AE471" s="2"/>
      <c r="AF471" s="2"/>
    </row>
    <row r="472" spans="1:32" ht="12.75" customHeight="1">
      <c r="A472" s="2"/>
      <c r="B472" s="35"/>
      <c r="C472" s="2"/>
      <c r="D472" s="2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2"/>
      <c r="T472" s="2"/>
      <c r="U472" s="2"/>
      <c r="V472" s="2"/>
      <c r="W472" s="2"/>
      <c r="X472" s="2"/>
      <c r="Y472" s="64"/>
      <c r="Z472" s="64"/>
      <c r="AA472" s="2"/>
      <c r="AB472" s="2"/>
      <c r="AC472" s="2"/>
      <c r="AD472" s="2"/>
      <c r="AE472" s="2"/>
      <c r="AF472" s="2"/>
    </row>
    <row r="473" spans="1:32" ht="12.75" customHeight="1">
      <c r="A473" s="2"/>
      <c r="B473" s="35"/>
      <c r="C473" s="2"/>
      <c r="D473" s="2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2"/>
      <c r="T473" s="2"/>
      <c r="U473" s="2"/>
      <c r="V473" s="2"/>
      <c r="W473" s="2"/>
      <c r="X473" s="2"/>
      <c r="Y473" s="64"/>
      <c r="Z473" s="64"/>
      <c r="AA473" s="2"/>
      <c r="AB473" s="2"/>
      <c r="AC473" s="2"/>
      <c r="AD473" s="2"/>
      <c r="AE473" s="2"/>
      <c r="AF473" s="2"/>
    </row>
    <row r="474" spans="1:32" ht="12.75" customHeight="1">
      <c r="A474" s="2"/>
      <c r="B474" s="35"/>
      <c r="C474" s="2"/>
      <c r="D474" s="2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2"/>
      <c r="T474" s="2"/>
      <c r="U474" s="2"/>
      <c r="V474" s="2"/>
      <c r="W474" s="2"/>
      <c r="X474" s="2"/>
      <c r="Y474" s="64"/>
      <c r="Z474" s="64"/>
      <c r="AA474" s="2"/>
      <c r="AB474" s="2"/>
      <c r="AC474" s="2"/>
      <c r="AD474" s="2"/>
      <c r="AE474" s="2"/>
      <c r="AF474" s="2"/>
    </row>
    <row r="475" spans="1:32" ht="12.75" customHeight="1">
      <c r="A475" s="2"/>
      <c r="B475" s="35"/>
      <c r="C475" s="2"/>
      <c r="D475" s="2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2"/>
      <c r="T475" s="2"/>
      <c r="U475" s="2"/>
      <c r="V475" s="2"/>
      <c r="W475" s="2"/>
      <c r="X475" s="2"/>
      <c r="Y475" s="64"/>
      <c r="Z475" s="64"/>
      <c r="AA475" s="2"/>
      <c r="AB475" s="2"/>
      <c r="AC475" s="2"/>
      <c r="AD475" s="2"/>
      <c r="AE475" s="2"/>
      <c r="AF475" s="2"/>
    </row>
    <row r="476" spans="1:32" ht="12.75" customHeight="1">
      <c r="A476" s="2"/>
      <c r="B476" s="35"/>
      <c r="C476" s="2"/>
      <c r="D476" s="2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2"/>
      <c r="T476" s="2"/>
      <c r="U476" s="2"/>
      <c r="V476" s="2"/>
      <c r="W476" s="2"/>
      <c r="X476" s="2"/>
      <c r="Y476" s="64"/>
      <c r="Z476" s="64"/>
      <c r="AA476" s="2"/>
      <c r="AB476" s="2"/>
      <c r="AC476" s="2"/>
      <c r="AD476" s="2"/>
      <c r="AE476" s="2"/>
      <c r="AF476" s="2"/>
    </row>
    <row r="477" spans="1:32" ht="12.75" customHeight="1">
      <c r="A477" s="2"/>
      <c r="B477" s="35"/>
      <c r="C477" s="2"/>
      <c r="D477" s="2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2"/>
      <c r="T477" s="2"/>
      <c r="U477" s="2"/>
      <c r="V477" s="2"/>
      <c r="W477" s="2"/>
      <c r="X477" s="2"/>
      <c r="Y477" s="64"/>
      <c r="Z477" s="64"/>
      <c r="AA477" s="2"/>
      <c r="AB477" s="2"/>
      <c r="AC477" s="2"/>
      <c r="AD477" s="2"/>
      <c r="AE477" s="2"/>
      <c r="AF477" s="2"/>
    </row>
    <row r="478" spans="1:32" ht="12.75" customHeight="1">
      <c r="A478" s="2"/>
      <c r="B478" s="35"/>
      <c r="C478" s="2"/>
      <c r="D478" s="2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2"/>
      <c r="T478" s="2"/>
      <c r="U478" s="2"/>
      <c r="V478" s="2"/>
      <c r="W478" s="2"/>
      <c r="X478" s="2"/>
      <c r="Y478" s="64"/>
      <c r="Z478" s="64"/>
      <c r="AA478" s="2"/>
      <c r="AB478" s="2"/>
      <c r="AC478" s="2"/>
      <c r="AD478" s="2"/>
      <c r="AE478" s="2"/>
      <c r="AF478" s="2"/>
    </row>
    <row r="479" spans="1:32" ht="12.75" customHeight="1">
      <c r="A479" s="2"/>
      <c r="B479" s="35"/>
      <c r="C479" s="2"/>
      <c r="D479" s="2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2"/>
      <c r="T479" s="2"/>
      <c r="U479" s="2"/>
      <c r="V479" s="2"/>
      <c r="W479" s="2"/>
      <c r="X479" s="2"/>
      <c r="Y479" s="64"/>
      <c r="Z479" s="64"/>
      <c r="AA479" s="2"/>
      <c r="AB479" s="2"/>
      <c r="AC479" s="2"/>
      <c r="AD479" s="2"/>
      <c r="AE479" s="2"/>
      <c r="AF479" s="2"/>
    </row>
    <row r="480" spans="1:32" ht="12.75" customHeight="1">
      <c r="A480" s="2"/>
      <c r="B480" s="35"/>
      <c r="C480" s="2"/>
      <c r="D480" s="2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2"/>
      <c r="T480" s="2"/>
      <c r="U480" s="2"/>
      <c r="V480" s="2"/>
      <c r="W480" s="2"/>
      <c r="X480" s="2"/>
      <c r="Y480" s="64"/>
      <c r="Z480" s="64"/>
      <c r="AA480" s="2"/>
      <c r="AB480" s="2"/>
      <c r="AC480" s="2"/>
      <c r="AD480" s="2"/>
      <c r="AE480" s="2"/>
      <c r="AF480" s="2"/>
    </row>
    <row r="481" spans="1:32" ht="12.75" customHeight="1">
      <c r="A481" s="2"/>
      <c r="B481" s="35"/>
      <c r="C481" s="2"/>
      <c r="D481" s="2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2"/>
      <c r="T481" s="2"/>
      <c r="U481" s="2"/>
      <c r="V481" s="2"/>
      <c r="W481" s="2"/>
      <c r="X481" s="2"/>
      <c r="Y481" s="64"/>
      <c r="Z481" s="64"/>
      <c r="AA481" s="2"/>
      <c r="AB481" s="2"/>
      <c r="AC481" s="2"/>
      <c r="AD481" s="2"/>
      <c r="AE481" s="2"/>
      <c r="AF481" s="2"/>
    </row>
    <row r="482" spans="1:32" ht="12.75" customHeight="1">
      <c r="A482" s="2"/>
      <c r="B482" s="35"/>
      <c r="C482" s="2"/>
      <c r="D482" s="2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2"/>
      <c r="T482" s="2"/>
      <c r="U482" s="2"/>
      <c r="V482" s="2"/>
      <c r="W482" s="2"/>
      <c r="X482" s="2"/>
      <c r="Y482" s="64"/>
      <c r="Z482" s="64"/>
      <c r="AA482" s="2"/>
      <c r="AB482" s="2"/>
      <c r="AC482" s="2"/>
      <c r="AD482" s="2"/>
      <c r="AE482" s="2"/>
      <c r="AF482" s="2"/>
    </row>
    <row r="483" spans="1:32" ht="12.75" customHeight="1">
      <c r="A483" s="2"/>
      <c r="B483" s="35"/>
      <c r="C483" s="2"/>
      <c r="D483" s="2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2"/>
      <c r="T483" s="2"/>
      <c r="U483" s="2"/>
      <c r="V483" s="2"/>
      <c r="W483" s="2"/>
      <c r="X483" s="2"/>
      <c r="Y483" s="64"/>
      <c r="Z483" s="64"/>
      <c r="AA483" s="2"/>
      <c r="AB483" s="2"/>
      <c r="AC483" s="2"/>
      <c r="AD483" s="2"/>
      <c r="AE483" s="2"/>
      <c r="AF483" s="2"/>
    </row>
    <row r="484" spans="1:32" ht="12.75" customHeight="1">
      <c r="A484" s="2"/>
      <c r="B484" s="35"/>
      <c r="C484" s="2"/>
      <c r="D484" s="2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2"/>
      <c r="T484" s="2"/>
      <c r="U484" s="2"/>
      <c r="V484" s="2"/>
      <c r="W484" s="2"/>
      <c r="X484" s="2"/>
      <c r="Y484" s="64"/>
      <c r="Z484" s="64"/>
      <c r="AA484" s="2"/>
      <c r="AB484" s="2"/>
      <c r="AC484" s="2"/>
      <c r="AD484" s="2"/>
      <c r="AE484" s="2"/>
      <c r="AF484" s="2"/>
    </row>
    <row r="485" spans="1:32" ht="12.75" customHeight="1">
      <c r="A485" s="2"/>
      <c r="B485" s="35"/>
      <c r="C485" s="2"/>
      <c r="D485" s="2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2"/>
      <c r="T485" s="2"/>
      <c r="U485" s="2"/>
      <c r="V485" s="2"/>
      <c r="W485" s="2"/>
      <c r="X485" s="2"/>
      <c r="Y485" s="64"/>
      <c r="Z485" s="64"/>
      <c r="AA485" s="2"/>
      <c r="AB485" s="2"/>
      <c r="AC485" s="2"/>
      <c r="AD485" s="2"/>
      <c r="AE485" s="2"/>
      <c r="AF485" s="2"/>
    </row>
    <row r="486" spans="1:32" ht="12.75" customHeight="1">
      <c r="A486" s="2"/>
      <c r="B486" s="35"/>
      <c r="C486" s="2"/>
      <c r="D486" s="2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2"/>
      <c r="T486" s="2"/>
      <c r="U486" s="2"/>
      <c r="V486" s="2"/>
      <c r="W486" s="2"/>
      <c r="X486" s="2"/>
      <c r="Y486" s="64"/>
      <c r="Z486" s="64"/>
      <c r="AA486" s="2"/>
      <c r="AB486" s="2"/>
      <c r="AC486" s="2"/>
      <c r="AD486" s="2"/>
      <c r="AE486" s="2"/>
      <c r="AF486" s="2"/>
    </row>
    <row r="487" spans="1:32" ht="12.75" customHeight="1">
      <c r="A487" s="2"/>
      <c r="B487" s="35"/>
      <c r="C487" s="2"/>
      <c r="D487" s="2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2"/>
      <c r="T487" s="2"/>
      <c r="U487" s="2"/>
      <c r="V487" s="2"/>
      <c r="W487" s="2"/>
      <c r="X487" s="2"/>
      <c r="Y487" s="64"/>
      <c r="Z487" s="64"/>
      <c r="AA487" s="2"/>
      <c r="AB487" s="2"/>
      <c r="AC487" s="2"/>
      <c r="AD487" s="2"/>
      <c r="AE487" s="2"/>
      <c r="AF487" s="2"/>
    </row>
    <row r="488" spans="1:32" ht="12.75" customHeight="1">
      <c r="A488" s="2"/>
      <c r="B488" s="35"/>
      <c r="C488" s="2"/>
      <c r="D488" s="2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2"/>
      <c r="T488" s="2"/>
      <c r="U488" s="2"/>
      <c r="V488" s="2"/>
      <c r="W488" s="2"/>
      <c r="X488" s="2"/>
      <c r="Y488" s="64"/>
      <c r="Z488" s="64"/>
      <c r="AA488" s="2"/>
      <c r="AB488" s="2"/>
      <c r="AC488" s="2"/>
      <c r="AD488" s="2"/>
      <c r="AE488" s="2"/>
      <c r="AF488" s="2"/>
    </row>
    <row r="489" spans="1:32" ht="12.75" customHeight="1">
      <c r="A489" s="2"/>
      <c r="B489" s="35"/>
      <c r="C489" s="2"/>
      <c r="D489" s="2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2"/>
      <c r="T489" s="2"/>
      <c r="U489" s="2"/>
      <c r="V489" s="2"/>
      <c r="W489" s="2"/>
      <c r="X489" s="2"/>
      <c r="Y489" s="64"/>
      <c r="Z489" s="64"/>
      <c r="AA489" s="2"/>
      <c r="AB489" s="2"/>
      <c r="AC489" s="2"/>
      <c r="AD489" s="2"/>
      <c r="AE489" s="2"/>
      <c r="AF489" s="2"/>
    </row>
    <row r="490" spans="1:32" ht="12.75" customHeight="1">
      <c r="A490" s="2"/>
      <c r="B490" s="35"/>
      <c r="C490" s="2"/>
      <c r="D490" s="2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2"/>
      <c r="T490" s="2"/>
      <c r="U490" s="2"/>
      <c r="V490" s="2"/>
      <c r="W490" s="2"/>
      <c r="X490" s="2"/>
      <c r="Y490" s="64"/>
      <c r="Z490" s="64"/>
      <c r="AA490" s="2"/>
      <c r="AB490" s="2"/>
      <c r="AC490" s="2"/>
      <c r="AD490" s="2"/>
      <c r="AE490" s="2"/>
      <c r="AF490" s="2"/>
    </row>
    <row r="491" spans="1:32" ht="12.75" customHeight="1">
      <c r="A491" s="2"/>
      <c r="B491" s="35"/>
      <c r="C491" s="2"/>
      <c r="D491" s="2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2"/>
      <c r="T491" s="2"/>
      <c r="U491" s="2"/>
      <c r="V491" s="2"/>
      <c r="W491" s="2"/>
      <c r="X491" s="2"/>
      <c r="Y491" s="64"/>
      <c r="Z491" s="64"/>
      <c r="AA491" s="2"/>
      <c r="AB491" s="2"/>
      <c r="AC491" s="2"/>
      <c r="AD491" s="2"/>
      <c r="AE491" s="2"/>
      <c r="AF491" s="2"/>
    </row>
    <row r="492" spans="1:32" ht="12.75" customHeight="1">
      <c r="A492" s="2"/>
      <c r="B492" s="35"/>
      <c r="C492" s="2"/>
      <c r="D492" s="2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2"/>
      <c r="T492" s="2"/>
      <c r="U492" s="2"/>
      <c r="V492" s="2"/>
      <c r="W492" s="2"/>
      <c r="X492" s="2"/>
      <c r="Y492" s="64"/>
      <c r="Z492" s="64"/>
      <c r="AA492" s="2"/>
      <c r="AB492" s="2"/>
      <c r="AC492" s="2"/>
      <c r="AD492" s="2"/>
      <c r="AE492" s="2"/>
      <c r="AF492" s="2"/>
    </row>
    <row r="493" spans="1:32" ht="12.75" customHeight="1">
      <c r="A493" s="2"/>
      <c r="B493" s="35"/>
      <c r="C493" s="2"/>
      <c r="D493" s="2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2"/>
      <c r="T493" s="2"/>
      <c r="U493" s="2"/>
      <c r="V493" s="2"/>
      <c r="W493" s="2"/>
      <c r="X493" s="2"/>
      <c r="Y493" s="64"/>
      <c r="Z493" s="64"/>
      <c r="AA493" s="2"/>
      <c r="AB493" s="2"/>
      <c r="AC493" s="2"/>
      <c r="AD493" s="2"/>
      <c r="AE493" s="2"/>
      <c r="AF493" s="2"/>
    </row>
    <row r="494" spans="1:32" ht="12.75" customHeight="1">
      <c r="A494" s="2"/>
      <c r="B494" s="35"/>
      <c r="C494" s="2"/>
      <c r="D494" s="2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2"/>
      <c r="T494" s="2"/>
      <c r="U494" s="2"/>
      <c r="V494" s="2"/>
      <c r="W494" s="2"/>
      <c r="X494" s="2"/>
      <c r="Y494" s="64"/>
      <c r="Z494" s="64"/>
      <c r="AA494" s="2"/>
      <c r="AB494" s="2"/>
      <c r="AC494" s="2"/>
      <c r="AD494" s="2"/>
      <c r="AE494" s="2"/>
      <c r="AF494" s="2"/>
    </row>
    <row r="495" spans="1:32" ht="12.75" customHeight="1">
      <c r="A495" s="2"/>
      <c r="B495" s="35"/>
      <c r="C495" s="2"/>
      <c r="D495" s="2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2"/>
      <c r="T495" s="2"/>
      <c r="U495" s="2"/>
      <c r="V495" s="2"/>
      <c r="W495" s="2"/>
      <c r="X495" s="2"/>
      <c r="Y495" s="64"/>
      <c r="Z495" s="64"/>
      <c r="AA495" s="2"/>
      <c r="AB495" s="2"/>
      <c r="AC495" s="2"/>
      <c r="AD495" s="2"/>
      <c r="AE495" s="2"/>
      <c r="AF495" s="2"/>
    </row>
    <row r="496" spans="1:32" ht="12.75" customHeight="1">
      <c r="A496" s="2"/>
      <c r="B496" s="35"/>
      <c r="C496" s="2"/>
      <c r="D496" s="2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2"/>
      <c r="T496" s="2"/>
      <c r="U496" s="2"/>
      <c r="V496" s="2"/>
      <c r="W496" s="2"/>
      <c r="X496" s="2"/>
      <c r="Y496" s="64"/>
      <c r="Z496" s="64"/>
      <c r="AA496" s="2"/>
      <c r="AB496" s="2"/>
      <c r="AC496" s="2"/>
      <c r="AD496" s="2"/>
      <c r="AE496" s="2"/>
      <c r="AF496" s="2"/>
    </row>
    <row r="497" spans="1:32" ht="12.75" customHeight="1">
      <c r="A497" s="2"/>
      <c r="B497" s="35"/>
      <c r="C497" s="2"/>
      <c r="D497" s="2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2"/>
      <c r="T497" s="2"/>
      <c r="U497" s="2"/>
      <c r="V497" s="2"/>
      <c r="W497" s="2"/>
      <c r="X497" s="2"/>
      <c r="Y497" s="64"/>
      <c r="Z497" s="64"/>
      <c r="AA497" s="2"/>
      <c r="AB497" s="2"/>
      <c r="AC497" s="2"/>
      <c r="AD497" s="2"/>
      <c r="AE497" s="2"/>
      <c r="AF497" s="2"/>
    </row>
    <row r="498" spans="1:32" ht="12.75" customHeight="1">
      <c r="A498" s="2"/>
      <c r="B498" s="35"/>
      <c r="C498" s="2"/>
      <c r="D498" s="2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2"/>
      <c r="T498" s="2"/>
      <c r="U498" s="2"/>
      <c r="V498" s="2"/>
      <c r="W498" s="2"/>
      <c r="X498" s="2"/>
      <c r="Y498" s="64"/>
      <c r="Z498" s="64"/>
      <c r="AA498" s="2"/>
      <c r="AB498" s="2"/>
      <c r="AC498" s="2"/>
      <c r="AD498" s="2"/>
      <c r="AE498" s="2"/>
      <c r="AF498" s="2"/>
    </row>
    <row r="499" spans="1:32" ht="12.75" customHeight="1">
      <c r="A499" s="2"/>
      <c r="B499" s="35"/>
      <c r="C499" s="2"/>
      <c r="D499" s="2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2"/>
      <c r="T499" s="2"/>
      <c r="U499" s="2"/>
      <c r="V499" s="2"/>
      <c r="W499" s="2"/>
      <c r="X499" s="2"/>
      <c r="Y499" s="64"/>
      <c r="Z499" s="64"/>
      <c r="AA499" s="2"/>
      <c r="AB499" s="2"/>
      <c r="AC499" s="2"/>
      <c r="AD499" s="2"/>
      <c r="AE499" s="2"/>
      <c r="AF499" s="2"/>
    </row>
    <row r="500" spans="1:32" ht="12.75" customHeight="1">
      <c r="A500" s="2"/>
      <c r="B500" s="35"/>
      <c r="C500" s="2"/>
      <c r="D500" s="2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2"/>
      <c r="T500" s="2"/>
      <c r="U500" s="2"/>
      <c r="V500" s="2"/>
      <c r="W500" s="2"/>
      <c r="X500" s="2"/>
      <c r="Y500" s="64"/>
      <c r="Z500" s="64"/>
      <c r="AA500" s="2"/>
      <c r="AB500" s="2"/>
      <c r="AC500" s="2"/>
      <c r="AD500" s="2"/>
      <c r="AE500" s="2"/>
      <c r="AF500" s="2"/>
    </row>
    <row r="501" spans="1:32" ht="12.75" customHeight="1">
      <c r="A501" s="2"/>
      <c r="B501" s="35"/>
      <c r="C501" s="2"/>
      <c r="D501" s="2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2"/>
      <c r="T501" s="2"/>
      <c r="U501" s="2"/>
      <c r="V501" s="2"/>
      <c r="W501" s="2"/>
      <c r="X501" s="2"/>
      <c r="Y501" s="64"/>
      <c r="Z501" s="64"/>
      <c r="AA501" s="2"/>
      <c r="AB501" s="2"/>
      <c r="AC501" s="2"/>
      <c r="AD501" s="2"/>
      <c r="AE501" s="2"/>
      <c r="AF501" s="2"/>
    </row>
    <row r="502" spans="1:32" ht="12.75" customHeight="1">
      <c r="A502" s="2"/>
      <c r="B502" s="35"/>
      <c r="C502" s="2"/>
      <c r="D502" s="2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2"/>
      <c r="T502" s="2"/>
      <c r="U502" s="2"/>
      <c r="V502" s="2"/>
      <c r="W502" s="2"/>
      <c r="X502" s="2"/>
      <c r="Y502" s="64"/>
      <c r="Z502" s="64"/>
      <c r="AA502" s="2"/>
      <c r="AB502" s="2"/>
      <c r="AC502" s="2"/>
      <c r="AD502" s="2"/>
      <c r="AE502" s="2"/>
      <c r="AF502" s="2"/>
    </row>
    <row r="503" spans="1:32" ht="12.75" customHeight="1">
      <c r="A503" s="2"/>
      <c r="B503" s="35"/>
      <c r="C503" s="2"/>
      <c r="D503" s="2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2"/>
      <c r="T503" s="2"/>
      <c r="U503" s="2"/>
      <c r="V503" s="2"/>
      <c r="W503" s="2"/>
      <c r="X503" s="2"/>
      <c r="Y503" s="64"/>
      <c r="Z503" s="64"/>
      <c r="AA503" s="2"/>
      <c r="AB503" s="2"/>
      <c r="AC503" s="2"/>
      <c r="AD503" s="2"/>
      <c r="AE503" s="2"/>
      <c r="AF503" s="2"/>
    </row>
    <row r="504" spans="1:32" ht="12.75" customHeight="1">
      <c r="A504" s="2"/>
      <c r="B504" s="35"/>
      <c r="C504" s="2"/>
      <c r="D504" s="2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2"/>
      <c r="T504" s="2"/>
      <c r="U504" s="2"/>
      <c r="V504" s="2"/>
      <c r="W504" s="2"/>
      <c r="X504" s="2"/>
      <c r="Y504" s="64"/>
      <c r="Z504" s="64"/>
      <c r="AA504" s="2"/>
      <c r="AB504" s="2"/>
      <c r="AC504" s="2"/>
      <c r="AD504" s="2"/>
      <c r="AE504" s="2"/>
      <c r="AF504" s="2"/>
    </row>
    <row r="505" spans="1:32" ht="12.75" customHeight="1">
      <c r="A505" s="2"/>
      <c r="B505" s="35"/>
      <c r="C505" s="2"/>
      <c r="D505" s="2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2"/>
      <c r="T505" s="2"/>
      <c r="U505" s="2"/>
      <c r="V505" s="2"/>
      <c r="W505" s="2"/>
      <c r="X505" s="2"/>
      <c r="Y505" s="64"/>
      <c r="Z505" s="64"/>
      <c r="AA505" s="2"/>
      <c r="AB505" s="2"/>
      <c r="AC505" s="2"/>
      <c r="AD505" s="2"/>
      <c r="AE505" s="2"/>
      <c r="AF505" s="2"/>
    </row>
    <row r="506" spans="1:32" ht="12.75" customHeight="1">
      <c r="A506" s="2"/>
      <c r="B506" s="35"/>
      <c r="C506" s="2"/>
      <c r="D506" s="2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2"/>
      <c r="T506" s="2"/>
      <c r="U506" s="2"/>
      <c r="V506" s="2"/>
      <c r="W506" s="2"/>
      <c r="X506" s="2"/>
      <c r="Y506" s="64"/>
      <c r="Z506" s="64"/>
      <c r="AA506" s="2"/>
      <c r="AB506" s="2"/>
      <c r="AC506" s="2"/>
      <c r="AD506" s="2"/>
      <c r="AE506" s="2"/>
      <c r="AF506" s="2"/>
    </row>
    <row r="507" spans="1:32" ht="12.75" customHeight="1">
      <c r="A507" s="2"/>
      <c r="B507" s="35"/>
      <c r="C507" s="2"/>
      <c r="D507" s="2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2"/>
      <c r="T507" s="2"/>
      <c r="U507" s="2"/>
      <c r="V507" s="2"/>
      <c r="W507" s="2"/>
      <c r="X507" s="2"/>
      <c r="Y507" s="64"/>
      <c r="Z507" s="64"/>
      <c r="AA507" s="2"/>
      <c r="AB507" s="2"/>
      <c r="AC507" s="2"/>
      <c r="AD507" s="2"/>
      <c r="AE507" s="2"/>
      <c r="AF507" s="2"/>
    </row>
    <row r="508" spans="1:32" ht="12.75" customHeight="1">
      <c r="A508" s="2"/>
      <c r="B508" s="35"/>
      <c r="C508" s="2"/>
      <c r="D508" s="2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2"/>
      <c r="T508" s="2"/>
      <c r="U508" s="2"/>
      <c r="V508" s="2"/>
      <c r="W508" s="2"/>
      <c r="X508" s="2"/>
      <c r="Y508" s="64"/>
      <c r="Z508" s="64"/>
      <c r="AA508" s="2"/>
      <c r="AB508" s="2"/>
      <c r="AC508" s="2"/>
      <c r="AD508" s="2"/>
      <c r="AE508" s="2"/>
      <c r="AF508" s="2"/>
    </row>
    <row r="509" spans="1:32" ht="12.75" customHeight="1">
      <c r="A509" s="2"/>
      <c r="B509" s="35"/>
      <c r="C509" s="2"/>
      <c r="D509" s="2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2"/>
      <c r="T509" s="2"/>
      <c r="U509" s="2"/>
      <c r="V509" s="2"/>
      <c r="W509" s="2"/>
      <c r="X509" s="2"/>
      <c r="Y509" s="64"/>
      <c r="Z509" s="64"/>
      <c r="AA509" s="2"/>
      <c r="AB509" s="2"/>
      <c r="AC509" s="2"/>
      <c r="AD509" s="2"/>
      <c r="AE509" s="2"/>
      <c r="AF509" s="2"/>
    </row>
    <row r="510" spans="1:32" ht="12.75" customHeight="1">
      <c r="A510" s="2"/>
      <c r="B510" s="35"/>
      <c r="C510" s="2"/>
      <c r="D510" s="2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2"/>
      <c r="T510" s="2"/>
      <c r="U510" s="2"/>
      <c r="V510" s="2"/>
      <c r="W510" s="2"/>
      <c r="X510" s="2"/>
      <c r="Y510" s="64"/>
      <c r="Z510" s="64"/>
      <c r="AA510" s="2"/>
      <c r="AB510" s="2"/>
      <c r="AC510" s="2"/>
      <c r="AD510" s="2"/>
      <c r="AE510" s="2"/>
      <c r="AF510" s="2"/>
    </row>
    <row r="511" spans="1:32" ht="12.75" customHeight="1">
      <c r="A511" s="2"/>
      <c r="B511" s="35"/>
      <c r="C511" s="2"/>
      <c r="D511" s="2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2"/>
      <c r="T511" s="2"/>
      <c r="U511" s="2"/>
      <c r="V511" s="2"/>
      <c r="W511" s="2"/>
      <c r="X511" s="2"/>
      <c r="Y511" s="64"/>
      <c r="Z511" s="64"/>
      <c r="AA511" s="2"/>
      <c r="AB511" s="2"/>
      <c r="AC511" s="2"/>
      <c r="AD511" s="2"/>
      <c r="AE511" s="2"/>
      <c r="AF511" s="2"/>
    </row>
    <row r="512" spans="1:32" ht="12.75" customHeight="1">
      <c r="A512" s="2"/>
      <c r="B512" s="35"/>
      <c r="C512" s="2"/>
      <c r="D512" s="2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2"/>
      <c r="T512" s="2"/>
      <c r="U512" s="2"/>
      <c r="V512" s="2"/>
      <c r="W512" s="2"/>
      <c r="X512" s="2"/>
      <c r="Y512" s="64"/>
      <c r="Z512" s="64"/>
      <c r="AA512" s="2"/>
      <c r="AB512" s="2"/>
      <c r="AC512" s="2"/>
      <c r="AD512" s="2"/>
      <c r="AE512" s="2"/>
      <c r="AF512" s="2"/>
    </row>
    <row r="513" spans="1:32" ht="12.75" customHeight="1">
      <c r="A513" s="2"/>
      <c r="B513" s="35"/>
      <c r="C513" s="2"/>
      <c r="D513" s="2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2"/>
      <c r="T513" s="2"/>
      <c r="U513" s="2"/>
      <c r="V513" s="2"/>
      <c r="W513" s="2"/>
      <c r="X513" s="2"/>
      <c r="Y513" s="64"/>
      <c r="Z513" s="64"/>
      <c r="AA513" s="2"/>
      <c r="AB513" s="2"/>
      <c r="AC513" s="2"/>
      <c r="AD513" s="2"/>
      <c r="AE513" s="2"/>
      <c r="AF513" s="2"/>
    </row>
    <row r="514" spans="1:32" ht="12.75" customHeight="1">
      <c r="A514" s="2"/>
      <c r="B514" s="35"/>
      <c r="C514" s="2"/>
      <c r="D514" s="2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2"/>
      <c r="T514" s="2"/>
      <c r="U514" s="2"/>
      <c r="V514" s="2"/>
      <c r="W514" s="2"/>
      <c r="X514" s="2"/>
      <c r="Y514" s="64"/>
      <c r="Z514" s="64"/>
      <c r="AA514" s="2"/>
      <c r="AB514" s="2"/>
      <c r="AC514" s="2"/>
      <c r="AD514" s="2"/>
      <c r="AE514" s="2"/>
      <c r="AF514" s="2"/>
    </row>
    <row r="515" spans="1:32" ht="12.75" customHeight="1">
      <c r="A515" s="2"/>
      <c r="B515" s="35"/>
      <c r="C515" s="2"/>
      <c r="D515" s="2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2"/>
      <c r="T515" s="2"/>
      <c r="U515" s="2"/>
      <c r="V515" s="2"/>
      <c r="W515" s="2"/>
      <c r="X515" s="2"/>
      <c r="Y515" s="64"/>
      <c r="Z515" s="64"/>
      <c r="AA515" s="2"/>
      <c r="AB515" s="2"/>
      <c r="AC515" s="2"/>
      <c r="AD515" s="2"/>
      <c r="AE515" s="2"/>
      <c r="AF515" s="2"/>
    </row>
    <row r="516" spans="1:32" ht="12.75" customHeight="1">
      <c r="A516" s="2"/>
      <c r="B516" s="35"/>
      <c r="C516" s="2"/>
      <c r="D516" s="2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2"/>
      <c r="T516" s="2"/>
      <c r="U516" s="2"/>
      <c r="V516" s="2"/>
      <c r="W516" s="2"/>
      <c r="X516" s="2"/>
      <c r="Y516" s="64"/>
      <c r="Z516" s="64"/>
      <c r="AA516" s="2"/>
      <c r="AB516" s="2"/>
      <c r="AC516" s="2"/>
      <c r="AD516" s="2"/>
      <c r="AE516" s="2"/>
      <c r="AF516" s="2"/>
    </row>
    <row r="517" spans="1:32" ht="12.75" customHeight="1">
      <c r="A517" s="2"/>
      <c r="B517" s="35"/>
      <c r="C517" s="2"/>
      <c r="D517" s="2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2"/>
      <c r="T517" s="2"/>
      <c r="U517" s="2"/>
      <c r="V517" s="2"/>
      <c r="W517" s="2"/>
      <c r="X517" s="2"/>
      <c r="Y517" s="64"/>
      <c r="Z517" s="64"/>
      <c r="AA517" s="2"/>
      <c r="AB517" s="2"/>
      <c r="AC517" s="2"/>
      <c r="AD517" s="2"/>
      <c r="AE517" s="2"/>
      <c r="AF517" s="2"/>
    </row>
    <row r="518" spans="1:32" ht="12.75" customHeight="1">
      <c r="A518" s="2"/>
      <c r="B518" s="35"/>
      <c r="C518" s="2"/>
      <c r="D518" s="2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2"/>
      <c r="T518" s="2"/>
      <c r="U518" s="2"/>
      <c r="V518" s="2"/>
      <c r="W518" s="2"/>
      <c r="X518" s="2"/>
      <c r="Y518" s="64"/>
      <c r="Z518" s="64"/>
      <c r="AA518" s="2"/>
      <c r="AB518" s="2"/>
      <c r="AC518" s="2"/>
      <c r="AD518" s="2"/>
      <c r="AE518" s="2"/>
      <c r="AF518" s="2"/>
    </row>
    <row r="519" spans="1:32" ht="12.75" customHeight="1">
      <c r="A519" s="2"/>
      <c r="B519" s="35"/>
      <c r="C519" s="2"/>
      <c r="D519" s="2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2"/>
      <c r="T519" s="2"/>
      <c r="U519" s="2"/>
      <c r="V519" s="2"/>
      <c r="W519" s="2"/>
      <c r="X519" s="2"/>
      <c r="Y519" s="64"/>
      <c r="Z519" s="64"/>
      <c r="AA519" s="2"/>
      <c r="AB519" s="2"/>
      <c r="AC519" s="2"/>
      <c r="AD519" s="2"/>
      <c r="AE519" s="2"/>
      <c r="AF519" s="2"/>
    </row>
    <row r="520" spans="1:32" ht="12.75" customHeight="1">
      <c r="A520" s="2"/>
      <c r="B520" s="35"/>
      <c r="C520" s="2"/>
      <c r="D520" s="2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2"/>
      <c r="T520" s="2"/>
      <c r="U520" s="2"/>
      <c r="V520" s="2"/>
      <c r="W520" s="2"/>
      <c r="X520" s="2"/>
      <c r="Y520" s="64"/>
      <c r="Z520" s="64"/>
      <c r="AA520" s="2"/>
      <c r="AB520" s="2"/>
      <c r="AC520" s="2"/>
      <c r="AD520" s="2"/>
      <c r="AE520" s="2"/>
      <c r="AF520" s="2"/>
    </row>
    <row r="521" spans="1:32" ht="12.75" customHeight="1">
      <c r="A521" s="2"/>
      <c r="B521" s="35"/>
      <c r="C521" s="2"/>
      <c r="D521" s="2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2"/>
      <c r="T521" s="2"/>
      <c r="U521" s="2"/>
      <c r="V521" s="2"/>
      <c r="W521" s="2"/>
      <c r="X521" s="2"/>
      <c r="Y521" s="64"/>
      <c r="Z521" s="64"/>
      <c r="AA521" s="2"/>
      <c r="AB521" s="2"/>
      <c r="AC521" s="2"/>
      <c r="AD521" s="2"/>
      <c r="AE521" s="2"/>
      <c r="AF521" s="2"/>
    </row>
    <row r="522" spans="1:32" ht="12.75" customHeight="1">
      <c r="A522" s="2"/>
      <c r="B522" s="35"/>
      <c r="C522" s="2"/>
      <c r="D522" s="2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2"/>
      <c r="T522" s="2"/>
      <c r="U522" s="2"/>
      <c r="V522" s="2"/>
      <c r="W522" s="2"/>
      <c r="X522" s="2"/>
      <c r="Y522" s="64"/>
      <c r="Z522" s="64"/>
      <c r="AA522" s="2"/>
      <c r="AB522" s="2"/>
      <c r="AC522" s="2"/>
      <c r="AD522" s="2"/>
      <c r="AE522" s="2"/>
      <c r="AF522" s="2"/>
    </row>
    <row r="523" spans="1:32" ht="12.75" customHeight="1">
      <c r="A523" s="2"/>
      <c r="B523" s="35"/>
      <c r="C523" s="2"/>
      <c r="D523" s="2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2"/>
      <c r="T523" s="2"/>
      <c r="U523" s="2"/>
      <c r="V523" s="2"/>
      <c r="W523" s="2"/>
      <c r="X523" s="2"/>
      <c r="Y523" s="64"/>
      <c r="Z523" s="64"/>
      <c r="AA523" s="2"/>
      <c r="AB523" s="2"/>
      <c r="AC523" s="2"/>
      <c r="AD523" s="2"/>
      <c r="AE523" s="2"/>
      <c r="AF523" s="2"/>
    </row>
    <row r="524" spans="1:32" ht="12.75" customHeight="1">
      <c r="A524" s="2"/>
      <c r="B524" s="35"/>
      <c r="C524" s="2"/>
      <c r="D524" s="2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2"/>
      <c r="T524" s="2"/>
      <c r="U524" s="2"/>
      <c r="V524" s="2"/>
      <c r="W524" s="2"/>
      <c r="X524" s="2"/>
      <c r="Y524" s="64"/>
      <c r="Z524" s="64"/>
      <c r="AA524" s="2"/>
      <c r="AB524" s="2"/>
      <c r="AC524" s="2"/>
      <c r="AD524" s="2"/>
      <c r="AE524" s="2"/>
      <c r="AF524" s="2"/>
    </row>
    <row r="525" spans="1:32" ht="12.75" customHeight="1">
      <c r="A525" s="2"/>
      <c r="B525" s="35"/>
      <c r="C525" s="2"/>
      <c r="D525" s="2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2"/>
      <c r="T525" s="2"/>
      <c r="U525" s="2"/>
      <c r="V525" s="2"/>
      <c r="W525" s="2"/>
      <c r="X525" s="2"/>
      <c r="Y525" s="64"/>
      <c r="Z525" s="64"/>
      <c r="AA525" s="2"/>
      <c r="AB525" s="2"/>
      <c r="AC525" s="2"/>
      <c r="AD525" s="2"/>
      <c r="AE525" s="2"/>
      <c r="AF525" s="2"/>
    </row>
    <row r="526" spans="1:32" ht="12.75" customHeight="1">
      <c r="A526" s="2"/>
      <c r="B526" s="35"/>
      <c r="C526" s="2"/>
      <c r="D526" s="2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2"/>
      <c r="T526" s="2"/>
      <c r="U526" s="2"/>
      <c r="V526" s="2"/>
      <c r="W526" s="2"/>
      <c r="X526" s="2"/>
      <c r="Y526" s="64"/>
      <c r="Z526" s="64"/>
      <c r="AA526" s="2"/>
      <c r="AB526" s="2"/>
      <c r="AC526" s="2"/>
      <c r="AD526" s="2"/>
      <c r="AE526" s="2"/>
      <c r="AF526" s="2"/>
    </row>
    <row r="527" spans="1:32" ht="12.75" customHeight="1">
      <c r="A527" s="2"/>
      <c r="B527" s="35"/>
      <c r="C527" s="2"/>
      <c r="D527" s="2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2"/>
      <c r="T527" s="2"/>
      <c r="U527" s="2"/>
      <c r="V527" s="2"/>
      <c r="W527" s="2"/>
      <c r="X527" s="2"/>
      <c r="Y527" s="64"/>
      <c r="Z527" s="64"/>
      <c r="AA527" s="2"/>
      <c r="AB527" s="2"/>
      <c r="AC527" s="2"/>
      <c r="AD527" s="2"/>
      <c r="AE527" s="2"/>
      <c r="AF527" s="2"/>
    </row>
    <row r="528" spans="1:32" ht="12.75" customHeight="1">
      <c r="A528" s="2"/>
      <c r="B528" s="35"/>
      <c r="C528" s="2"/>
      <c r="D528" s="2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2"/>
      <c r="T528" s="2"/>
      <c r="U528" s="2"/>
      <c r="V528" s="2"/>
      <c r="W528" s="2"/>
      <c r="X528" s="2"/>
      <c r="Y528" s="64"/>
      <c r="Z528" s="64"/>
      <c r="AA528" s="2"/>
      <c r="AB528" s="2"/>
      <c r="AC528" s="2"/>
      <c r="AD528" s="2"/>
      <c r="AE528" s="2"/>
      <c r="AF528" s="2"/>
    </row>
    <row r="529" spans="1:32" ht="12.75" customHeight="1">
      <c r="A529" s="2"/>
      <c r="B529" s="35"/>
      <c r="C529" s="2"/>
      <c r="D529" s="2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2"/>
      <c r="T529" s="2"/>
      <c r="U529" s="2"/>
      <c r="V529" s="2"/>
      <c r="W529" s="2"/>
      <c r="X529" s="2"/>
      <c r="Y529" s="64"/>
      <c r="Z529" s="64"/>
      <c r="AA529" s="2"/>
      <c r="AB529" s="2"/>
      <c r="AC529" s="2"/>
      <c r="AD529" s="2"/>
      <c r="AE529" s="2"/>
      <c r="AF529" s="2"/>
    </row>
    <row r="530" spans="1:32" ht="12.75" customHeight="1">
      <c r="A530" s="2"/>
      <c r="B530" s="35"/>
      <c r="C530" s="2"/>
      <c r="D530" s="2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2"/>
      <c r="T530" s="2"/>
      <c r="U530" s="2"/>
      <c r="V530" s="2"/>
      <c r="W530" s="2"/>
      <c r="X530" s="2"/>
      <c r="Y530" s="64"/>
      <c r="Z530" s="64"/>
      <c r="AA530" s="2"/>
      <c r="AB530" s="2"/>
      <c r="AC530" s="2"/>
      <c r="AD530" s="2"/>
      <c r="AE530" s="2"/>
      <c r="AF530" s="2"/>
    </row>
    <row r="531" spans="1:32" ht="12.75" customHeight="1">
      <c r="A531" s="2"/>
      <c r="B531" s="35"/>
      <c r="C531" s="2"/>
      <c r="D531" s="2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2"/>
      <c r="T531" s="2"/>
      <c r="U531" s="2"/>
      <c r="V531" s="2"/>
      <c r="W531" s="2"/>
      <c r="X531" s="2"/>
      <c r="Y531" s="64"/>
      <c r="Z531" s="64"/>
      <c r="AA531" s="2"/>
      <c r="AB531" s="2"/>
      <c r="AC531" s="2"/>
      <c r="AD531" s="2"/>
      <c r="AE531" s="2"/>
      <c r="AF531" s="2"/>
    </row>
    <row r="532" spans="1:32" ht="12.75" customHeight="1">
      <c r="A532" s="2"/>
      <c r="B532" s="35"/>
      <c r="C532" s="2"/>
      <c r="D532" s="2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2"/>
      <c r="T532" s="2"/>
      <c r="U532" s="2"/>
      <c r="V532" s="2"/>
      <c r="W532" s="2"/>
      <c r="X532" s="2"/>
      <c r="Y532" s="64"/>
      <c r="Z532" s="64"/>
      <c r="AA532" s="2"/>
      <c r="AB532" s="2"/>
      <c r="AC532" s="2"/>
      <c r="AD532" s="2"/>
      <c r="AE532" s="2"/>
      <c r="AF532" s="2"/>
    </row>
    <row r="533" spans="1:32" ht="12.75" customHeight="1">
      <c r="A533" s="2"/>
      <c r="B533" s="35"/>
      <c r="C533" s="2"/>
      <c r="D533" s="2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2"/>
      <c r="T533" s="2"/>
      <c r="U533" s="2"/>
      <c r="V533" s="2"/>
      <c r="W533" s="2"/>
      <c r="X533" s="2"/>
      <c r="Y533" s="64"/>
      <c r="Z533" s="64"/>
      <c r="AA533" s="2"/>
      <c r="AB533" s="2"/>
      <c r="AC533" s="2"/>
      <c r="AD533" s="2"/>
      <c r="AE533" s="2"/>
      <c r="AF533" s="2"/>
    </row>
    <row r="534" spans="1:32" ht="12.75" customHeight="1">
      <c r="A534" s="2"/>
      <c r="B534" s="35"/>
      <c r="C534" s="2"/>
      <c r="D534" s="2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2"/>
      <c r="T534" s="2"/>
      <c r="U534" s="2"/>
      <c r="V534" s="2"/>
      <c r="W534" s="2"/>
      <c r="X534" s="2"/>
      <c r="Y534" s="64"/>
      <c r="Z534" s="64"/>
      <c r="AA534" s="2"/>
      <c r="AB534" s="2"/>
      <c r="AC534" s="2"/>
      <c r="AD534" s="2"/>
      <c r="AE534" s="2"/>
      <c r="AF534" s="2"/>
    </row>
    <row r="535" spans="1:32" ht="12.75" customHeight="1">
      <c r="A535" s="2"/>
      <c r="B535" s="35"/>
      <c r="C535" s="2"/>
      <c r="D535" s="2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2"/>
      <c r="T535" s="2"/>
      <c r="U535" s="2"/>
      <c r="V535" s="2"/>
      <c r="W535" s="2"/>
      <c r="X535" s="2"/>
      <c r="Y535" s="64"/>
      <c r="Z535" s="64"/>
      <c r="AA535" s="2"/>
      <c r="AB535" s="2"/>
      <c r="AC535" s="2"/>
      <c r="AD535" s="2"/>
      <c r="AE535" s="2"/>
      <c r="AF535" s="2"/>
    </row>
    <row r="536" spans="1:32" ht="12.75" customHeight="1">
      <c r="A536" s="2"/>
      <c r="B536" s="35"/>
      <c r="C536" s="2"/>
      <c r="D536" s="2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2"/>
      <c r="T536" s="2"/>
      <c r="U536" s="2"/>
      <c r="V536" s="2"/>
      <c r="W536" s="2"/>
      <c r="X536" s="2"/>
      <c r="Y536" s="64"/>
      <c r="Z536" s="64"/>
      <c r="AA536" s="2"/>
      <c r="AB536" s="2"/>
      <c r="AC536" s="2"/>
      <c r="AD536" s="2"/>
      <c r="AE536" s="2"/>
      <c r="AF536" s="2"/>
    </row>
    <row r="537" spans="1:32" ht="12.75" customHeight="1">
      <c r="A537" s="2"/>
      <c r="B537" s="35"/>
      <c r="C537" s="2"/>
      <c r="D537" s="2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2"/>
      <c r="T537" s="2"/>
      <c r="U537" s="2"/>
      <c r="V537" s="2"/>
      <c r="W537" s="2"/>
      <c r="X537" s="2"/>
      <c r="Y537" s="64"/>
      <c r="Z537" s="64"/>
      <c r="AA537" s="2"/>
      <c r="AB537" s="2"/>
      <c r="AC537" s="2"/>
      <c r="AD537" s="2"/>
      <c r="AE537" s="2"/>
      <c r="AF537" s="2"/>
    </row>
    <row r="538" spans="1:32" ht="12.75" customHeight="1">
      <c r="A538" s="2"/>
      <c r="B538" s="35"/>
      <c r="C538" s="2"/>
      <c r="D538" s="2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2"/>
      <c r="T538" s="2"/>
      <c r="U538" s="2"/>
      <c r="V538" s="2"/>
      <c r="W538" s="2"/>
      <c r="X538" s="2"/>
      <c r="Y538" s="64"/>
      <c r="Z538" s="64"/>
      <c r="AA538" s="2"/>
      <c r="AB538" s="2"/>
      <c r="AC538" s="2"/>
      <c r="AD538" s="2"/>
      <c r="AE538" s="2"/>
      <c r="AF538" s="2"/>
    </row>
    <row r="539" spans="1:32" ht="12.75" customHeight="1">
      <c r="A539" s="2"/>
      <c r="B539" s="35"/>
      <c r="C539" s="2"/>
      <c r="D539" s="2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2"/>
      <c r="T539" s="2"/>
      <c r="U539" s="2"/>
      <c r="V539" s="2"/>
      <c r="W539" s="2"/>
      <c r="X539" s="2"/>
      <c r="Y539" s="64"/>
      <c r="Z539" s="64"/>
      <c r="AA539" s="2"/>
      <c r="AB539" s="2"/>
      <c r="AC539" s="2"/>
      <c r="AD539" s="2"/>
      <c r="AE539" s="2"/>
      <c r="AF539" s="2"/>
    </row>
    <row r="540" spans="1:32" ht="12.75" customHeight="1">
      <c r="A540" s="2"/>
      <c r="B540" s="35"/>
      <c r="C540" s="2"/>
      <c r="D540" s="2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2"/>
      <c r="T540" s="2"/>
      <c r="U540" s="2"/>
      <c r="V540" s="2"/>
      <c r="W540" s="2"/>
      <c r="X540" s="2"/>
      <c r="Y540" s="64"/>
      <c r="Z540" s="64"/>
      <c r="AA540" s="2"/>
      <c r="AB540" s="2"/>
      <c r="AC540" s="2"/>
      <c r="AD540" s="2"/>
      <c r="AE540" s="2"/>
      <c r="AF540" s="2"/>
    </row>
    <row r="541" spans="1:32" ht="12.75" customHeight="1">
      <c r="A541" s="2"/>
      <c r="B541" s="35"/>
      <c r="C541" s="2"/>
      <c r="D541" s="2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2"/>
      <c r="T541" s="2"/>
      <c r="U541" s="2"/>
      <c r="V541" s="2"/>
      <c r="W541" s="2"/>
      <c r="X541" s="2"/>
      <c r="Y541" s="64"/>
      <c r="Z541" s="64"/>
      <c r="AA541" s="2"/>
      <c r="AB541" s="2"/>
      <c r="AC541" s="2"/>
      <c r="AD541" s="2"/>
      <c r="AE541" s="2"/>
      <c r="AF541" s="2"/>
    </row>
    <row r="542" spans="1:32" ht="12.75" customHeight="1">
      <c r="A542" s="2"/>
      <c r="B542" s="35"/>
      <c r="C542" s="2"/>
      <c r="D542" s="2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2"/>
      <c r="T542" s="2"/>
      <c r="U542" s="2"/>
      <c r="V542" s="2"/>
      <c r="W542" s="2"/>
      <c r="X542" s="2"/>
      <c r="Y542" s="64"/>
      <c r="Z542" s="64"/>
      <c r="AA542" s="2"/>
      <c r="AB542" s="2"/>
      <c r="AC542" s="2"/>
      <c r="AD542" s="2"/>
      <c r="AE542" s="2"/>
      <c r="AF542" s="2"/>
    </row>
    <row r="543" spans="1:32" ht="12.75" customHeight="1">
      <c r="A543" s="2"/>
      <c r="B543" s="35"/>
      <c r="C543" s="2"/>
      <c r="D543" s="2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2"/>
      <c r="T543" s="2"/>
      <c r="U543" s="2"/>
      <c r="V543" s="2"/>
      <c r="W543" s="2"/>
      <c r="X543" s="2"/>
      <c r="Y543" s="64"/>
      <c r="Z543" s="64"/>
      <c r="AA543" s="2"/>
      <c r="AB543" s="2"/>
      <c r="AC543" s="2"/>
      <c r="AD543" s="2"/>
      <c r="AE543" s="2"/>
      <c r="AF543" s="2"/>
    </row>
    <row r="544" spans="1:32" ht="12.75" customHeight="1">
      <c r="A544" s="2"/>
      <c r="B544" s="35"/>
      <c r="C544" s="2"/>
      <c r="D544" s="2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2"/>
      <c r="T544" s="2"/>
      <c r="U544" s="2"/>
      <c r="V544" s="2"/>
      <c r="W544" s="2"/>
      <c r="X544" s="2"/>
      <c r="Y544" s="64"/>
      <c r="Z544" s="64"/>
      <c r="AA544" s="2"/>
      <c r="AB544" s="2"/>
      <c r="AC544" s="2"/>
      <c r="AD544" s="2"/>
      <c r="AE544" s="2"/>
      <c r="AF544" s="2"/>
    </row>
    <row r="545" spans="1:32" ht="12.75" customHeight="1">
      <c r="A545" s="2"/>
      <c r="B545" s="35"/>
      <c r="C545" s="2"/>
      <c r="D545" s="2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2"/>
      <c r="T545" s="2"/>
      <c r="U545" s="2"/>
      <c r="V545" s="2"/>
      <c r="W545" s="2"/>
      <c r="X545" s="2"/>
      <c r="Y545" s="64"/>
      <c r="Z545" s="64"/>
      <c r="AA545" s="2"/>
      <c r="AB545" s="2"/>
      <c r="AC545" s="2"/>
      <c r="AD545" s="2"/>
      <c r="AE545" s="2"/>
      <c r="AF545" s="2"/>
    </row>
    <row r="546" spans="1:32" ht="12.75" customHeight="1">
      <c r="A546" s="2"/>
      <c r="B546" s="35"/>
      <c r="C546" s="2"/>
      <c r="D546" s="2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2"/>
      <c r="T546" s="2"/>
      <c r="U546" s="2"/>
      <c r="V546" s="2"/>
      <c r="W546" s="2"/>
      <c r="X546" s="2"/>
      <c r="Y546" s="64"/>
      <c r="Z546" s="64"/>
      <c r="AA546" s="2"/>
      <c r="AB546" s="2"/>
      <c r="AC546" s="2"/>
      <c r="AD546" s="2"/>
      <c r="AE546" s="2"/>
      <c r="AF546" s="2"/>
    </row>
    <row r="547" spans="1:32" ht="12.75" customHeight="1">
      <c r="A547" s="2"/>
      <c r="B547" s="35"/>
      <c r="C547" s="2"/>
      <c r="D547" s="2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2"/>
      <c r="T547" s="2"/>
      <c r="U547" s="2"/>
      <c r="V547" s="2"/>
      <c r="W547" s="2"/>
      <c r="X547" s="2"/>
      <c r="Y547" s="64"/>
      <c r="Z547" s="64"/>
      <c r="AA547" s="2"/>
      <c r="AB547" s="2"/>
      <c r="AC547" s="2"/>
      <c r="AD547" s="2"/>
      <c r="AE547" s="2"/>
      <c r="AF547" s="2"/>
    </row>
    <row r="548" spans="1:32" ht="12.75" customHeight="1">
      <c r="A548" s="2"/>
      <c r="B548" s="35"/>
      <c r="C548" s="2"/>
      <c r="D548" s="2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2"/>
      <c r="T548" s="2"/>
      <c r="U548" s="2"/>
      <c r="V548" s="2"/>
      <c r="W548" s="2"/>
      <c r="X548" s="2"/>
      <c r="Y548" s="64"/>
      <c r="Z548" s="64"/>
      <c r="AA548" s="2"/>
      <c r="AB548" s="2"/>
      <c r="AC548" s="2"/>
      <c r="AD548" s="2"/>
      <c r="AE548" s="2"/>
      <c r="AF548" s="2"/>
    </row>
    <row r="549" spans="1:32" ht="12.75" customHeight="1">
      <c r="A549" s="2"/>
      <c r="B549" s="35"/>
      <c r="C549" s="2"/>
      <c r="D549" s="2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2"/>
      <c r="T549" s="2"/>
      <c r="U549" s="2"/>
      <c r="V549" s="2"/>
      <c r="W549" s="2"/>
      <c r="X549" s="2"/>
      <c r="Y549" s="64"/>
      <c r="Z549" s="64"/>
      <c r="AA549" s="2"/>
      <c r="AB549" s="2"/>
      <c r="AC549" s="2"/>
      <c r="AD549" s="2"/>
      <c r="AE549" s="2"/>
      <c r="AF549" s="2"/>
    </row>
    <row r="550" spans="1:32" ht="12.75" customHeight="1">
      <c r="A550" s="2"/>
      <c r="B550" s="35"/>
      <c r="C550" s="2"/>
      <c r="D550" s="2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2"/>
      <c r="T550" s="2"/>
      <c r="U550" s="2"/>
      <c r="V550" s="2"/>
      <c r="W550" s="2"/>
      <c r="X550" s="2"/>
      <c r="Y550" s="64"/>
      <c r="Z550" s="64"/>
      <c r="AA550" s="2"/>
      <c r="AB550" s="2"/>
      <c r="AC550" s="2"/>
      <c r="AD550" s="2"/>
      <c r="AE550" s="2"/>
      <c r="AF550" s="2"/>
    </row>
    <row r="551" spans="1:32" ht="12.75" customHeight="1">
      <c r="A551" s="2"/>
      <c r="B551" s="35"/>
      <c r="C551" s="2"/>
      <c r="D551" s="2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2"/>
      <c r="T551" s="2"/>
      <c r="U551" s="2"/>
      <c r="V551" s="2"/>
      <c r="W551" s="2"/>
      <c r="X551" s="2"/>
      <c r="Y551" s="64"/>
      <c r="Z551" s="64"/>
      <c r="AA551" s="2"/>
      <c r="AB551" s="2"/>
      <c r="AC551" s="2"/>
      <c r="AD551" s="2"/>
      <c r="AE551" s="2"/>
      <c r="AF551" s="2"/>
    </row>
    <row r="552" spans="1:32" ht="12.75" customHeight="1">
      <c r="A552" s="2"/>
      <c r="B552" s="35"/>
      <c r="C552" s="2"/>
      <c r="D552" s="2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2"/>
      <c r="T552" s="2"/>
      <c r="U552" s="2"/>
      <c r="V552" s="2"/>
      <c r="W552" s="2"/>
      <c r="X552" s="2"/>
      <c r="Y552" s="64"/>
      <c r="Z552" s="64"/>
      <c r="AA552" s="2"/>
      <c r="AB552" s="2"/>
      <c r="AC552" s="2"/>
      <c r="AD552" s="2"/>
      <c r="AE552" s="2"/>
      <c r="AF552" s="2"/>
    </row>
    <row r="553" spans="1:32" ht="12.75" customHeight="1">
      <c r="A553" s="2"/>
      <c r="B553" s="35"/>
      <c r="C553" s="2"/>
      <c r="D553" s="2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2"/>
      <c r="T553" s="2"/>
      <c r="U553" s="2"/>
      <c r="V553" s="2"/>
      <c r="W553" s="2"/>
      <c r="X553" s="2"/>
      <c r="Y553" s="64"/>
      <c r="Z553" s="64"/>
      <c r="AA553" s="2"/>
      <c r="AB553" s="2"/>
      <c r="AC553" s="2"/>
      <c r="AD553" s="2"/>
      <c r="AE553" s="2"/>
      <c r="AF553" s="2"/>
    </row>
    <row r="554" spans="1:32" ht="12.75" customHeight="1">
      <c r="A554" s="2"/>
      <c r="B554" s="35"/>
      <c r="C554" s="2"/>
      <c r="D554" s="2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2"/>
      <c r="T554" s="2"/>
      <c r="U554" s="2"/>
      <c r="V554" s="2"/>
      <c r="W554" s="2"/>
      <c r="X554" s="2"/>
      <c r="Y554" s="64"/>
      <c r="Z554" s="64"/>
      <c r="AA554" s="2"/>
      <c r="AB554" s="2"/>
      <c r="AC554" s="2"/>
      <c r="AD554" s="2"/>
      <c r="AE554" s="2"/>
      <c r="AF554" s="2"/>
    </row>
    <row r="555" spans="1:32" ht="12.75" customHeight="1">
      <c r="A555" s="2"/>
      <c r="B555" s="35"/>
      <c r="C555" s="2"/>
      <c r="D555" s="2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2"/>
      <c r="T555" s="2"/>
      <c r="U555" s="2"/>
      <c r="V555" s="2"/>
      <c r="W555" s="2"/>
      <c r="X555" s="2"/>
      <c r="Y555" s="64"/>
      <c r="Z555" s="64"/>
      <c r="AA555" s="2"/>
      <c r="AB555" s="2"/>
      <c r="AC555" s="2"/>
      <c r="AD555" s="2"/>
      <c r="AE555" s="2"/>
      <c r="AF555" s="2"/>
    </row>
    <row r="556" spans="1:32" ht="12.75" customHeight="1">
      <c r="A556" s="2"/>
      <c r="B556" s="35"/>
      <c r="C556" s="2"/>
      <c r="D556" s="2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2"/>
      <c r="T556" s="2"/>
      <c r="U556" s="2"/>
      <c r="V556" s="2"/>
      <c r="W556" s="2"/>
      <c r="X556" s="2"/>
      <c r="Y556" s="64"/>
      <c r="Z556" s="64"/>
      <c r="AA556" s="2"/>
      <c r="AB556" s="2"/>
      <c r="AC556" s="2"/>
      <c r="AD556" s="2"/>
      <c r="AE556" s="2"/>
      <c r="AF556" s="2"/>
    </row>
    <row r="557" spans="1:32" ht="12.75" customHeight="1">
      <c r="A557" s="2"/>
      <c r="B557" s="35"/>
      <c r="C557" s="2"/>
      <c r="D557" s="2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2"/>
      <c r="T557" s="2"/>
      <c r="U557" s="2"/>
      <c r="V557" s="2"/>
      <c r="W557" s="2"/>
      <c r="X557" s="2"/>
      <c r="Y557" s="64"/>
      <c r="Z557" s="64"/>
      <c r="AA557" s="2"/>
      <c r="AB557" s="2"/>
      <c r="AC557" s="2"/>
      <c r="AD557" s="2"/>
      <c r="AE557" s="2"/>
      <c r="AF557" s="2"/>
    </row>
    <row r="558" spans="1:32" ht="12.75" customHeight="1">
      <c r="A558" s="2"/>
      <c r="B558" s="35"/>
      <c r="C558" s="2"/>
      <c r="D558" s="2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2"/>
      <c r="T558" s="2"/>
      <c r="U558" s="2"/>
      <c r="V558" s="2"/>
      <c r="W558" s="2"/>
      <c r="X558" s="2"/>
      <c r="Y558" s="64"/>
      <c r="Z558" s="64"/>
      <c r="AA558" s="2"/>
      <c r="AB558" s="2"/>
      <c r="AC558" s="2"/>
      <c r="AD558" s="2"/>
      <c r="AE558" s="2"/>
      <c r="AF558" s="2"/>
    </row>
    <row r="559" spans="1:32" ht="12.75" customHeight="1">
      <c r="A559" s="2"/>
      <c r="B559" s="35"/>
      <c r="C559" s="2"/>
      <c r="D559" s="2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2"/>
      <c r="T559" s="2"/>
      <c r="U559" s="2"/>
      <c r="V559" s="2"/>
      <c r="W559" s="2"/>
      <c r="X559" s="2"/>
      <c r="Y559" s="64"/>
      <c r="Z559" s="64"/>
      <c r="AA559" s="2"/>
      <c r="AB559" s="2"/>
      <c r="AC559" s="2"/>
      <c r="AD559" s="2"/>
      <c r="AE559" s="2"/>
      <c r="AF559" s="2"/>
    </row>
    <row r="560" spans="1:32" ht="12.75" customHeight="1">
      <c r="A560" s="2"/>
      <c r="B560" s="35"/>
      <c r="C560" s="2"/>
      <c r="D560" s="2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2"/>
      <c r="T560" s="2"/>
      <c r="U560" s="2"/>
      <c r="V560" s="2"/>
      <c r="W560" s="2"/>
      <c r="X560" s="2"/>
      <c r="Y560" s="64"/>
      <c r="Z560" s="64"/>
      <c r="AA560" s="2"/>
      <c r="AB560" s="2"/>
      <c r="AC560" s="2"/>
      <c r="AD560" s="2"/>
      <c r="AE560" s="2"/>
      <c r="AF560" s="2"/>
    </row>
    <row r="561" spans="1:32" ht="12.75" customHeight="1">
      <c r="A561" s="2"/>
      <c r="B561" s="35"/>
      <c r="C561" s="2"/>
      <c r="D561" s="2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2"/>
      <c r="T561" s="2"/>
      <c r="U561" s="2"/>
      <c r="V561" s="2"/>
      <c r="W561" s="2"/>
      <c r="X561" s="2"/>
      <c r="Y561" s="64"/>
      <c r="Z561" s="64"/>
      <c r="AA561" s="2"/>
      <c r="AB561" s="2"/>
      <c r="AC561" s="2"/>
      <c r="AD561" s="2"/>
      <c r="AE561" s="2"/>
      <c r="AF561" s="2"/>
    </row>
    <row r="562" spans="1:32" ht="12.75" customHeight="1">
      <c r="A562" s="2"/>
      <c r="B562" s="35"/>
      <c r="C562" s="2"/>
      <c r="D562" s="2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2"/>
      <c r="T562" s="2"/>
      <c r="U562" s="2"/>
      <c r="V562" s="2"/>
      <c r="W562" s="2"/>
      <c r="X562" s="2"/>
      <c r="Y562" s="64"/>
      <c r="Z562" s="64"/>
      <c r="AA562" s="2"/>
      <c r="AB562" s="2"/>
      <c r="AC562" s="2"/>
      <c r="AD562" s="2"/>
      <c r="AE562" s="2"/>
      <c r="AF562" s="2"/>
    </row>
    <row r="563" spans="1:32" ht="12.75" customHeight="1">
      <c r="A563" s="2"/>
      <c r="B563" s="35"/>
      <c r="C563" s="2"/>
      <c r="D563" s="2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2"/>
      <c r="T563" s="2"/>
      <c r="U563" s="2"/>
      <c r="V563" s="2"/>
      <c r="W563" s="2"/>
      <c r="X563" s="2"/>
      <c r="Y563" s="64"/>
      <c r="Z563" s="64"/>
      <c r="AA563" s="2"/>
      <c r="AB563" s="2"/>
      <c r="AC563" s="2"/>
      <c r="AD563" s="2"/>
      <c r="AE563" s="2"/>
      <c r="AF563" s="2"/>
    </row>
    <row r="564" spans="1:32" ht="12.75" customHeight="1">
      <c r="A564" s="2"/>
      <c r="B564" s="35"/>
      <c r="C564" s="2"/>
      <c r="D564" s="2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2"/>
      <c r="T564" s="2"/>
      <c r="U564" s="2"/>
      <c r="V564" s="2"/>
      <c r="W564" s="2"/>
      <c r="X564" s="2"/>
      <c r="Y564" s="64"/>
      <c r="Z564" s="64"/>
      <c r="AA564" s="2"/>
      <c r="AB564" s="2"/>
      <c r="AC564" s="2"/>
      <c r="AD564" s="2"/>
      <c r="AE564" s="2"/>
      <c r="AF564" s="2"/>
    </row>
    <row r="565" spans="1:32" ht="12.75" customHeight="1">
      <c r="A565" s="2"/>
      <c r="B565" s="35"/>
      <c r="C565" s="2"/>
      <c r="D565" s="2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2"/>
      <c r="T565" s="2"/>
      <c r="U565" s="2"/>
      <c r="V565" s="2"/>
      <c r="W565" s="2"/>
      <c r="X565" s="2"/>
      <c r="Y565" s="64"/>
      <c r="Z565" s="64"/>
      <c r="AA565" s="2"/>
      <c r="AB565" s="2"/>
      <c r="AC565" s="2"/>
      <c r="AD565" s="2"/>
      <c r="AE565" s="2"/>
      <c r="AF565" s="2"/>
    </row>
    <row r="566" spans="1:32" ht="12.75" customHeight="1">
      <c r="A566" s="2"/>
      <c r="B566" s="35"/>
      <c r="C566" s="2"/>
      <c r="D566" s="2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2"/>
      <c r="T566" s="2"/>
      <c r="U566" s="2"/>
      <c r="V566" s="2"/>
      <c r="W566" s="2"/>
      <c r="X566" s="2"/>
      <c r="Y566" s="64"/>
      <c r="Z566" s="64"/>
      <c r="AA566" s="2"/>
      <c r="AB566" s="2"/>
      <c r="AC566" s="2"/>
      <c r="AD566" s="2"/>
      <c r="AE566" s="2"/>
      <c r="AF566" s="2"/>
    </row>
    <row r="567" spans="1:32" ht="12.75" customHeight="1">
      <c r="A567" s="2"/>
      <c r="B567" s="35"/>
      <c r="C567" s="2"/>
      <c r="D567" s="2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2"/>
      <c r="T567" s="2"/>
      <c r="U567" s="2"/>
      <c r="V567" s="2"/>
      <c r="W567" s="2"/>
      <c r="X567" s="2"/>
      <c r="Y567" s="64"/>
      <c r="Z567" s="64"/>
      <c r="AA567" s="2"/>
      <c r="AB567" s="2"/>
      <c r="AC567" s="2"/>
      <c r="AD567" s="2"/>
      <c r="AE567" s="2"/>
      <c r="AF567" s="2"/>
    </row>
    <row r="568" spans="1:32" ht="12.75" customHeight="1">
      <c r="A568" s="2"/>
      <c r="B568" s="35"/>
      <c r="C568" s="2"/>
      <c r="D568" s="2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2"/>
      <c r="T568" s="2"/>
      <c r="U568" s="2"/>
      <c r="V568" s="2"/>
      <c r="W568" s="2"/>
      <c r="X568" s="2"/>
      <c r="Y568" s="64"/>
      <c r="Z568" s="64"/>
      <c r="AA568" s="2"/>
      <c r="AB568" s="2"/>
      <c r="AC568" s="2"/>
      <c r="AD568" s="2"/>
      <c r="AE568" s="2"/>
      <c r="AF568" s="2"/>
    </row>
    <row r="569" spans="1:32" ht="12.75" customHeight="1">
      <c r="A569" s="2"/>
      <c r="B569" s="35"/>
      <c r="C569" s="2"/>
      <c r="D569" s="2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2"/>
      <c r="T569" s="2"/>
      <c r="U569" s="2"/>
      <c r="V569" s="2"/>
      <c r="W569" s="2"/>
      <c r="X569" s="2"/>
      <c r="Y569" s="64"/>
      <c r="Z569" s="64"/>
      <c r="AA569" s="2"/>
      <c r="AB569" s="2"/>
      <c r="AC569" s="2"/>
      <c r="AD569" s="2"/>
      <c r="AE569" s="2"/>
      <c r="AF569" s="2"/>
    </row>
    <row r="570" spans="1:32" ht="12.75" customHeight="1">
      <c r="A570" s="2"/>
      <c r="B570" s="35"/>
      <c r="C570" s="2"/>
      <c r="D570" s="2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2"/>
      <c r="T570" s="2"/>
      <c r="U570" s="2"/>
      <c r="V570" s="2"/>
      <c r="W570" s="2"/>
      <c r="X570" s="2"/>
      <c r="Y570" s="64"/>
      <c r="Z570" s="64"/>
      <c r="AA570" s="2"/>
      <c r="AB570" s="2"/>
      <c r="AC570" s="2"/>
      <c r="AD570" s="2"/>
      <c r="AE570" s="2"/>
      <c r="AF570" s="2"/>
    </row>
    <row r="571" spans="1:32" ht="12.75" customHeight="1">
      <c r="A571" s="2"/>
      <c r="B571" s="35"/>
      <c r="C571" s="2"/>
      <c r="D571" s="2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2"/>
      <c r="T571" s="2"/>
      <c r="U571" s="2"/>
      <c r="V571" s="2"/>
      <c r="W571" s="2"/>
      <c r="X571" s="2"/>
      <c r="Y571" s="64"/>
      <c r="Z571" s="64"/>
      <c r="AA571" s="2"/>
      <c r="AB571" s="2"/>
      <c r="AC571" s="2"/>
      <c r="AD571" s="2"/>
      <c r="AE571" s="2"/>
      <c r="AF571" s="2"/>
    </row>
    <row r="572" spans="1:32" ht="12.75" customHeight="1">
      <c r="A572" s="2"/>
      <c r="B572" s="35"/>
      <c r="C572" s="2"/>
      <c r="D572" s="2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2"/>
      <c r="T572" s="2"/>
      <c r="U572" s="2"/>
      <c r="V572" s="2"/>
      <c r="W572" s="2"/>
      <c r="X572" s="2"/>
      <c r="Y572" s="64"/>
      <c r="Z572" s="64"/>
      <c r="AA572" s="2"/>
      <c r="AB572" s="2"/>
      <c r="AC572" s="2"/>
      <c r="AD572" s="2"/>
      <c r="AE572" s="2"/>
      <c r="AF572" s="2"/>
    </row>
    <row r="573" spans="1:32" ht="12.75" customHeight="1">
      <c r="A573" s="2"/>
      <c r="B573" s="35"/>
      <c r="C573" s="2"/>
      <c r="D573" s="2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2"/>
      <c r="T573" s="2"/>
      <c r="U573" s="2"/>
      <c r="V573" s="2"/>
      <c r="W573" s="2"/>
      <c r="X573" s="2"/>
      <c r="Y573" s="64"/>
      <c r="Z573" s="64"/>
      <c r="AA573" s="2"/>
      <c r="AB573" s="2"/>
      <c r="AC573" s="2"/>
      <c r="AD573" s="2"/>
      <c r="AE573" s="2"/>
      <c r="AF573" s="2"/>
    </row>
    <row r="574" spans="1:32" ht="12.75" customHeight="1">
      <c r="A574" s="2"/>
      <c r="B574" s="35"/>
      <c r="C574" s="2"/>
      <c r="D574" s="2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2"/>
      <c r="T574" s="2"/>
      <c r="U574" s="2"/>
      <c r="V574" s="2"/>
      <c r="W574" s="2"/>
      <c r="X574" s="2"/>
      <c r="Y574" s="64"/>
      <c r="Z574" s="64"/>
      <c r="AA574" s="2"/>
      <c r="AB574" s="2"/>
      <c r="AC574" s="2"/>
      <c r="AD574" s="2"/>
      <c r="AE574" s="2"/>
      <c r="AF574" s="2"/>
    </row>
    <row r="575" spans="1:32" ht="12.75" customHeight="1">
      <c r="A575" s="2"/>
      <c r="B575" s="35"/>
      <c r="C575" s="2"/>
      <c r="D575" s="2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2"/>
      <c r="T575" s="2"/>
      <c r="U575" s="2"/>
      <c r="V575" s="2"/>
      <c r="W575" s="2"/>
      <c r="X575" s="2"/>
      <c r="Y575" s="64"/>
      <c r="Z575" s="64"/>
      <c r="AA575" s="2"/>
      <c r="AB575" s="2"/>
      <c r="AC575" s="2"/>
      <c r="AD575" s="2"/>
      <c r="AE575" s="2"/>
      <c r="AF575" s="2"/>
    </row>
    <row r="576" spans="1:32" ht="12.75" customHeight="1">
      <c r="A576" s="2"/>
      <c r="B576" s="35"/>
      <c r="C576" s="2"/>
      <c r="D576" s="2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2"/>
      <c r="T576" s="2"/>
      <c r="U576" s="2"/>
      <c r="V576" s="2"/>
      <c r="W576" s="2"/>
      <c r="X576" s="2"/>
      <c r="Y576" s="64"/>
      <c r="Z576" s="64"/>
      <c r="AA576" s="2"/>
      <c r="AB576" s="2"/>
      <c r="AC576" s="2"/>
      <c r="AD576" s="2"/>
      <c r="AE576" s="2"/>
      <c r="AF576" s="2"/>
    </row>
    <row r="577" spans="1:32" ht="12.75" customHeight="1">
      <c r="A577" s="2"/>
      <c r="B577" s="35"/>
      <c r="C577" s="2"/>
      <c r="D577" s="2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2"/>
      <c r="T577" s="2"/>
      <c r="U577" s="2"/>
      <c r="V577" s="2"/>
      <c r="W577" s="2"/>
      <c r="X577" s="2"/>
      <c r="Y577" s="64"/>
      <c r="Z577" s="64"/>
      <c r="AA577" s="2"/>
      <c r="AB577" s="2"/>
      <c r="AC577" s="2"/>
      <c r="AD577" s="2"/>
      <c r="AE577" s="2"/>
      <c r="AF577" s="2"/>
    </row>
    <row r="578" spans="1:32" ht="12.75" customHeight="1">
      <c r="A578" s="2"/>
      <c r="B578" s="35"/>
      <c r="C578" s="2"/>
      <c r="D578" s="2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2"/>
      <c r="T578" s="2"/>
      <c r="U578" s="2"/>
      <c r="V578" s="2"/>
      <c r="W578" s="2"/>
      <c r="X578" s="2"/>
      <c r="Y578" s="64"/>
      <c r="Z578" s="64"/>
      <c r="AA578" s="2"/>
      <c r="AB578" s="2"/>
      <c r="AC578" s="2"/>
      <c r="AD578" s="2"/>
      <c r="AE578" s="2"/>
      <c r="AF578" s="2"/>
    </row>
    <row r="579" spans="1:32" ht="12.75" customHeight="1">
      <c r="A579" s="2"/>
      <c r="B579" s="35"/>
      <c r="C579" s="2"/>
      <c r="D579" s="2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2"/>
      <c r="T579" s="2"/>
      <c r="U579" s="2"/>
      <c r="V579" s="2"/>
      <c r="W579" s="2"/>
      <c r="X579" s="2"/>
      <c r="Y579" s="64"/>
      <c r="Z579" s="64"/>
      <c r="AA579" s="2"/>
      <c r="AB579" s="2"/>
      <c r="AC579" s="2"/>
      <c r="AD579" s="2"/>
      <c r="AE579" s="2"/>
      <c r="AF579" s="2"/>
    </row>
    <row r="580" spans="1:32" ht="12.75" customHeight="1">
      <c r="A580" s="2"/>
      <c r="B580" s="35"/>
      <c r="C580" s="2"/>
      <c r="D580" s="2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2"/>
      <c r="T580" s="2"/>
      <c r="U580" s="2"/>
      <c r="V580" s="2"/>
      <c r="W580" s="2"/>
      <c r="X580" s="2"/>
      <c r="Y580" s="64"/>
      <c r="Z580" s="64"/>
      <c r="AA580" s="2"/>
      <c r="AB580" s="2"/>
      <c r="AC580" s="2"/>
      <c r="AD580" s="2"/>
      <c r="AE580" s="2"/>
      <c r="AF580" s="2"/>
    </row>
    <row r="581" spans="1:32" ht="12.75" customHeight="1">
      <c r="A581" s="2"/>
      <c r="B581" s="35"/>
      <c r="C581" s="2"/>
      <c r="D581" s="2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2"/>
      <c r="T581" s="2"/>
      <c r="U581" s="2"/>
      <c r="V581" s="2"/>
      <c r="W581" s="2"/>
      <c r="X581" s="2"/>
      <c r="Y581" s="64"/>
      <c r="Z581" s="64"/>
      <c r="AA581" s="2"/>
      <c r="AB581" s="2"/>
      <c r="AC581" s="2"/>
      <c r="AD581" s="2"/>
      <c r="AE581" s="2"/>
      <c r="AF581" s="2"/>
    </row>
    <row r="582" spans="1:32" ht="12.75" customHeight="1">
      <c r="A582" s="2"/>
      <c r="B582" s="35"/>
      <c r="C582" s="2"/>
      <c r="D582" s="2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2"/>
      <c r="T582" s="2"/>
      <c r="U582" s="2"/>
      <c r="V582" s="2"/>
      <c r="W582" s="2"/>
      <c r="X582" s="2"/>
      <c r="Y582" s="64"/>
      <c r="Z582" s="64"/>
      <c r="AA582" s="2"/>
      <c r="AB582" s="2"/>
      <c r="AC582" s="2"/>
      <c r="AD582" s="2"/>
      <c r="AE582" s="2"/>
      <c r="AF582" s="2"/>
    </row>
    <row r="583" spans="1:32" ht="12.75" customHeight="1">
      <c r="A583" s="2"/>
      <c r="B583" s="35"/>
      <c r="C583" s="2"/>
      <c r="D583" s="2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2"/>
      <c r="T583" s="2"/>
      <c r="U583" s="2"/>
      <c r="V583" s="2"/>
      <c r="W583" s="2"/>
      <c r="X583" s="2"/>
      <c r="Y583" s="64"/>
      <c r="Z583" s="64"/>
      <c r="AA583" s="2"/>
      <c r="AB583" s="2"/>
      <c r="AC583" s="2"/>
      <c r="AD583" s="2"/>
      <c r="AE583" s="2"/>
      <c r="AF583" s="2"/>
    </row>
    <row r="584" spans="1:32" ht="12.75" customHeight="1">
      <c r="A584" s="2"/>
      <c r="B584" s="35"/>
      <c r="C584" s="2"/>
      <c r="D584" s="2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2"/>
      <c r="T584" s="2"/>
      <c r="U584" s="2"/>
      <c r="V584" s="2"/>
      <c r="W584" s="2"/>
      <c r="X584" s="2"/>
      <c r="Y584" s="64"/>
      <c r="Z584" s="64"/>
      <c r="AA584" s="2"/>
      <c r="AB584" s="2"/>
      <c r="AC584" s="2"/>
      <c r="AD584" s="2"/>
      <c r="AE584" s="2"/>
      <c r="AF584" s="2"/>
    </row>
    <row r="585" spans="1:32" ht="12.75" customHeight="1">
      <c r="A585" s="2"/>
      <c r="B585" s="35"/>
      <c r="C585" s="2"/>
      <c r="D585" s="2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2"/>
      <c r="T585" s="2"/>
      <c r="U585" s="2"/>
      <c r="V585" s="2"/>
      <c r="W585" s="2"/>
      <c r="X585" s="2"/>
      <c r="Y585" s="64"/>
      <c r="Z585" s="64"/>
      <c r="AA585" s="2"/>
      <c r="AB585" s="2"/>
      <c r="AC585" s="2"/>
      <c r="AD585" s="2"/>
      <c r="AE585" s="2"/>
      <c r="AF585" s="2"/>
    </row>
    <row r="586" spans="1:32" ht="12.75" customHeight="1">
      <c r="A586" s="2"/>
      <c r="B586" s="35"/>
      <c r="C586" s="2"/>
      <c r="D586" s="2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2"/>
      <c r="T586" s="2"/>
      <c r="U586" s="2"/>
      <c r="V586" s="2"/>
      <c r="W586" s="2"/>
      <c r="X586" s="2"/>
      <c r="Y586" s="64"/>
      <c r="Z586" s="64"/>
      <c r="AA586" s="2"/>
      <c r="AB586" s="2"/>
      <c r="AC586" s="2"/>
      <c r="AD586" s="2"/>
      <c r="AE586" s="2"/>
      <c r="AF586" s="2"/>
    </row>
    <row r="587" spans="1:32" ht="12.75" customHeight="1">
      <c r="A587" s="2"/>
      <c r="B587" s="35"/>
      <c r="C587" s="2"/>
      <c r="D587" s="2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2"/>
      <c r="T587" s="2"/>
      <c r="U587" s="2"/>
      <c r="V587" s="2"/>
      <c r="W587" s="2"/>
      <c r="X587" s="2"/>
      <c r="Y587" s="64"/>
      <c r="Z587" s="64"/>
      <c r="AA587" s="2"/>
      <c r="AB587" s="2"/>
      <c r="AC587" s="2"/>
      <c r="AD587" s="2"/>
      <c r="AE587" s="2"/>
      <c r="AF587" s="2"/>
    </row>
    <row r="588" spans="1:32" ht="12.75" customHeight="1">
      <c r="A588" s="2"/>
      <c r="B588" s="35"/>
      <c r="C588" s="2"/>
      <c r="D588" s="2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2"/>
      <c r="T588" s="2"/>
      <c r="U588" s="2"/>
      <c r="V588" s="2"/>
      <c r="W588" s="2"/>
      <c r="X588" s="2"/>
      <c r="Y588" s="64"/>
      <c r="Z588" s="64"/>
      <c r="AA588" s="2"/>
      <c r="AB588" s="2"/>
      <c r="AC588" s="2"/>
      <c r="AD588" s="2"/>
      <c r="AE588" s="2"/>
      <c r="AF588" s="2"/>
    </row>
    <row r="589" spans="1:32" ht="12.75" customHeight="1">
      <c r="A589" s="2"/>
      <c r="B589" s="35"/>
      <c r="C589" s="2"/>
      <c r="D589" s="2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2"/>
      <c r="T589" s="2"/>
      <c r="U589" s="2"/>
      <c r="V589" s="2"/>
      <c r="W589" s="2"/>
      <c r="X589" s="2"/>
      <c r="Y589" s="64"/>
      <c r="Z589" s="64"/>
      <c r="AA589" s="2"/>
      <c r="AB589" s="2"/>
      <c r="AC589" s="2"/>
      <c r="AD589" s="2"/>
      <c r="AE589" s="2"/>
      <c r="AF589" s="2"/>
    </row>
    <row r="590" spans="1:32" ht="12.75" customHeight="1">
      <c r="A590" s="2"/>
      <c r="B590" s="35"/>
      <c r="C590" s="2"/>
      <c r="D590" s="2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2"/>
      <c r="T590" s="2"/>
      <c r="U590" s="2"/>
      <c r="V590" s="2"/>
      <c r="W590" s="2"/>
      <c r="X590" s="2"/>
      <c r="Y590" s="64"/>
      <c r="Z590" s="64"/>
      <c r="AA590" s="2"/>
      <c r="AB590" s="2"/>
      <c r="AC590" s="2"/>
      <c r="AD590" s="2"/>
      <c r="AE590" s="2"/>
      <c r="AF590" s="2"/>
    </row>
    <row r="591" spans="1:32" ht="12.75" customHeight="1">
      <c r="A591" s="2"/>
      <c r="B591" s="35"/>
      <c r="C591" s="2"/>
      <c r="D591" s="2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2"/>
      <c r="T591" s="2"/>
      <c r="U591" s="2"/>
      <c r="V591" s="2"/>
      <c r="W591" s="2"/>
      <c r="X591" s="2"/>
      <c r="Y591" s="64"/>
      <c r="Z591" s="64"/>
      <c r="AA591" s="2"/>
      <c r="AB591" s="2"/>
      <c r="AC591" s="2"/>
      <c r="AD591" s="2"/>
      <c r="AE591" s="2"/>
      <c r="AF591" s="2"/>
    </row>
    <row r="592" spans="1:32" ht="12.75" customHeight="1">
      <c r="A592" s="2"/>
      <c r="B592" s="35"/>
      <c r="C592" s="2"/>
      <c r="D592" s="2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2"/>
      <c r="T592" s="2"/>
      <c r="U592" s="2"/>
      <c r="V592" s="2"/>
      <c r="W592" s="2"/>
      <c r="X592" s="2"/>
      <c r="Y592" s="64"/>
      <c r="Z592" s="64"/>
      <c r="AA592" s="2"/>
      <c r="AB592" s="2"/>
      <c r="AC592" s="2"/>
      <c r="AD592" s="2"/>
      <c r="AE592" s="2"/>
      <c r="AF592" s="2"/>
    </row>
    <row r="593" spans="1:32" ht="12.75" customHeight="1">
      <c r="A593" s="2"/>
      <c r="B593" s="35"/>
      <c r="C593" s="2"/>
      <c r="D593" s="2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2"/>
      <c r="T593" s="2"/>
      <c r="U593" s="2"/>
      <c r="V593" s="2"/>
      <c r="W593" s="2"/>
      <c r="X593" s="2"/>
      <c r="Y593" s="64"/>
      <c r="Z593" s="64"/>
      <c r="AA593" s="2"/>
      <c r="AB593" s="2"/>
      <c r="AC593" s="2"/>
      <c r="AD593" s="2"/>
      <c r="AE593" s="2"/>
      <c r="AF593" s="2"/>
    </row>
    <row r="594" spans="1:32" ht="12.75" customHeight="1">
      <c r="A594" s="2"/>
      <c r="B594" s="35"/>
      <c r="C594" s="2"/>
      <c r="D594" s="2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2"/>
      <c r="T594" s="2"/>
      <c r="U594" s="2"/>
      <c r="V594" s="2"/>
      <c r="W594" s="2"/>
      <c r="X594" s="2"/>
      <c r="Y594" s="64"/>
      <c r="Z594" s="64"/>
      <c r="AA594" s="2"/>
      <c r="AB594" s="2"/>
      <c r="AC594" s="2"/>
      <c r="AD594" s="2"/>
      <c r="AE594" s="2"/>
      <c r="AF594" s="2"/>
    </row>
    <row r="595" spans="1:32" ht="12.75" customHeight="1">
      <c r="A595" s="2"/>
      <c r="B595" s="35"/>
      <c r="C595" s="2"/>
      <c r="D595" s="2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2"/>
      <c r="T595" s="2"/>
      <c r="U595" s="2"/>
      <c r="V595" s="2"/>
      <c r="W595" s="2"/>
      <c r="X595" s="2"/>
      <c r="Y595" s="64"/>
      <c r="Z595" s="64"/>
      <c r="AA595" s="2"/>
      <c r="AB595" s="2"/>
      <c r="AC595" s="2"/>
      <c r="AD595" s="2"/>
      <c r="AE595" s="2"/>
      <c r="AF595" s="2"/>
    </row>
    <row r="596" spans="1:32" ht="12.75" customHeight="1">
      <c r="A596" s="2"/>
      <c r="B596" s="35"/>
      <c r="C596" s="2"/>
      <c r="D596" s="2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2"/>
      <c r="T596" s="2"/>
      <c r="U596" s="2"/>
      <c r="V596" s="2"/>
      <c r="W596" s="2"/>
      <c r="X596" s="2"/>
      <c r="Y596" s="64"/>
      <c r="Z596" s="64"/>
      <c r="AA596" s="2"/>
      <c r="AB596" s="2"/>
      <c r="AC596" s="2"/>
      <c r="AD596" s="2"/>
      <c r="AE596" s="2"/>
      <c r="AF596" s="2"/>
    </row>
    <row r="597" spans="1:32" ht="12.75" customHeight="1">
      <c r="A597" s="2"/>
      <c r="B597" s="35"/>
      <c r="C597" s="2"/>
      <c r="D597" s="2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2"/>
      <c r="T597" s="2"/>
      <c r="U597" s="2"/>
      <c r="V597" s="2"/>
      <c r="W597" s="2"/>
      <c r="X597" s="2"/>
      <c r="Y597" s="64"/>
      <c r="Z597" s="64"/>
      <c r="AA597" s="2"/>
      <c r="AB597" s="2"/>
      <c r="AC597" s="2"/>
      <c r="AD597" s="2"/>
      <c r="AE597" s="2"/>
      <c r="AF597" s="2"/>
    </row>
    <row r="598" spans="1:32" ht="12.75" customHeight="1">
      <c r="A598" s="2"/>
      <c r="B598" s="35"/>
      <c r="C598" s="2"/>
      <c r="D598" s="2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2"/>
      <c r="T598" s="2"/>
      <c r="U598" s="2"/>
      <c r="V598" s="2"/>
      <c r="W598" s="2"/>
      <c r="X598" s="2"/>
      <c r="Y598" s="64"/>
      <c r="Z598" s="64"/>
      <c r="AA598" s="2"/>
      <c r="AB598" s="2"/>
      <c r="AC598" s="2"/>
      <c r="AD598" s="2"/>
      <c r="AE598" s="2"/>
      <c r="AF598" s="2"/>
    </row>
    <row r="599" spans="1:32" ht="12.75" customHeight="1">
      <c r="A599" s="2"/>
      <c r="B599" s="35"/>
      <c r="C599" s="2"/>
      <c r="D599" s="2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2"/>
      <c r="T599" s="2"/>
      <c r="U599" s="2"/>
      <c r="V599" s="2"/>
      <c r="W599" s="2"/>
      <c r="X599" s="2"/>
      <c r="Y599" s="64"/>
      <c r="Z599" s="64"/>
      <c r="AA599" s="2"/>
      <c r="AB599" s="2"/>
      <c r="AC599" s="2"/>
      <c r="AD599" s="2"/>
      <c r="AE599" s="2"/>
      <c r="AF599" s="2"/>
    </row>
    <row r="600" spans="1:32" ht="12.75" customHeight="1">
      <c r="A600" s="2"/>
      <c r="B600" s="35"/>
      <c r="C600" s="2"/>
      <c r="D600" s="2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2"/>
      <c r="T600" s="2"/>
      <c r="U600" s="2"/>
      <c r="V600" s="2"/>
      <c r="W600" s="2"/>
      <c r="X600" s="2"/>
      <c r="Y600" s="64"/>
      <c r="Z600" s="64"/>
      <c r="AA600" s="2"/>
      <c r="AB600" s="2"/>
      <c r="AC600" s="2"/>
      <c r="AD600" s="2"/>
      <c r="AE600" s="2"/>
      <c r="AF600" s="2"/>
    </row>
    <row r="601" spans="1:32" ht="12.75" customHeight="1">
      <c r="A601" s="2"/>
      <c r="B601" s="35"/>
      <c r="C601" s="2"/>
      <c r="D601" s="2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2"/>
      <c r="T601" s="2"/>
      <c r="U601" s="2"/>
      <c r="V601" s="2"/>
      <c r="W601" s="2"/>
      <c r="X601" s="2"/>
      <c r="Y601" s="64"/>
      <c r="Z601" s="64"/>
      <c r="AA601" s="2"/>
      <c r="AB601" s="2"/>
      <c r="AC601" s="2"/>
      <c r="AD601" s="2"/>
      <c r="AE601" s="2"/>
      <c r="AF601" s="2"/>
    </row>
    <row r="602" spans="1:32" ht="12.75" customHeight="1">
      <c r="A602" s="2"/>
      <c r="B602" s="35"/>
      <c r="C602" s="2"/>
      <c r="D602" s="2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2"/>
      <c r="T602" s="2"/>
      <c r="U602" s="2"/>
      <c r="V602" s="2"/>
      <c r="W602" s="2"/>
      <c r="X602" s="2"/>
      <c r="Y602" s="64"/>
      <c r="Z602" s="64"/>
      <c r="AA602" s="2"/>
      <c r="AB602" s="2"/>
      <c r="AC602" s="2"/>
      <c r="AD602" s="2"/>
      <c r="AE602" s="2"/>
      <c r="AF602" s="2"/>
    </row>
    <row r="603" spans="1:32" ht="12.75" customHeight="1">
      <c r="A603" s="2"/>
      <c r="B603" s="35"/>
      <c r="C603" s="2"/>
      <c r="D603" s="2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2"/>
      <c r="T603" s="2"/>
      <c r="U603" s="2"/>
      <c r="V603" s="2"/>
      <c r="W603" s="2"/>
      <c r="X603" s="2"/>
      <c r="Y603" s="64"/>
      <c r="Z603" s="64"/>
      <c r="AA603" s="2"/>
      <c r="AB603" s="2"/>
      <c r="AC603" s="2"/>
      <c r="AD603" s="2"/>
      <c r="AE603" s="2"/>
      <c r="AF603" s="2"/>
    </row>
    <row r="604" spans="1:32" ht="12.75" customHeight="1">
      <c r="A604" s="2"/>
      <c r="B604" s="35"/>
      <c r="C604" s="2"/>
      <c r="D604" s="2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2"/>
      <c r="T604" s="2"/>
      <c r="U604" s="2"/>
      <c r="V604" s="2"/>
      <c r="W604" s="2"/>
      <c r="X604" s="2"/>
      <c r="Y604" s="64"/>
      <c r="Z604" s="64"/>
      <c r="AA604" s="2"/>
      <c r="AB604" s="2"/>
      <c r="AC604" s="2"/>
      <c r="AD604" s="2"/>
      <c r="AE604" s="2"/>
      <c r="AF604" s="2"/>
    </row>
    <row r="605" spans="1:32" ht="12.75" customHeight="1">
      <c r="A605" s="2"/>
      <c r="B605" s="35"/>
      <c r="C605" s="2"/>
      <c r="D605" s="2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2"/>
      <c r="T605" s="2"/>
      <c r="U605" s="2"/>
      <c r="V605" s="2"/>
      <c r="W605" s="2"/>
      <c r="X605" s="2"/>
      <c r="Y605" s="64"/>
      <c r="Z605" s="64"/>
      <c r="AA605" s="2"/>
      <c r="AB605" s="2"/>
      <c r="AC605" s="2"/>
      <c r="AD605" s="2"/>
      <c r="AE605" s="2"/>
      <c r="AF605" s="2"/>
    </row>
    <row r="606" spans="1:32" ht="12.75" customHeight="1">
      <c r="A606" s="2"/>
      <c r="B606" s="35"/>
      <c r="C606" s="2"/>
      <c r="D606" s="2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2"/>
      <c r="T606" s="2"/>
      <c r="U606" s="2"/>
      <c r="V606" s="2"/>
      <c r="W606" s="2"/>
      <c r="X606" s="2"/>
      <c r="Y606" s="64"/>
      <c r="Z606" s="64"/>
      <c r="AA606" s="2"/>
      <c r="AB606" s="2"/>
      <c r="AC606" s="2"/>
      <c r="AD606" s="2"/>
      <c r="AE606" s="2"/>
      <c r="AF606" s="2"/>
    </row>
    <row r="607" spans="1:32" ht="12.75" customHeight="1">
      <c r="A607" s="2"/>
      <c r="B607" s="35"/>
      <c r="C607" s="2"/>
      <c r="D607" s="2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2"/>
      <c r="T607" s="2"/>
      <c r="U607" s="2"/>
      <c r="V607" s="2"/>
      <c r="W607" s="2"/>
      <c r="X607" s="2"/>
      <c r="Y607" s="64"/>
      <c r="Z607" s="64"/>
      <c r="AA607" s="2"/>
      <c r="AB607" s="2"/>
      <c r="AC607" s="2"/>
      <c r="AD607" s="2"/>
      <c r="AE607" s="2"/>
      <c r="AF607" s="2"/>
    </row>
    <row r="608" spans="1:32" ht="12.75" customHeight="1">
      <c r="A608" s="2"/>
      <c r="B608" s="35"/>
      <c r="C608" s="2"/>
      <c r="D608" s="2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2"/>
      <c r="T608" s="2"/>
      <c r="U608" s="2"/>
      <c r="V608" s="2"/>
      <c r="W608" s="2"/>
      <c r="X608" s="2"/>
      <c r="Y608" s="64"/>
      <c r="Z608" s="64"/>
      <c r="AA608" s="2"/>
      <c r="AB608" s="2"/>
      <c r="AC608" s="2"/>
      <c r="AD608" s="2"/>
      <c r="AE608" s="2"/>
      <c r="AF608" s="2"/>
    </row>
    <row r="609" spans="1:32" ht="12.75" customHeight="1">
      <c r="A609" s="2"/>
      <c r="B609" s="35"/>
      <c r="C609" s="2"/>
      <c r="D609" s="2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2"/>
      <c r="T609" s="2"/>
      <c r="U609" s="2"/>
      <c r="V609" s="2"/>
      <c r="W609" s="2"/>
      <c r="X609" s="2"/>
      <c r="Y609" s="64"/>
      <c r="Z609" s="64"/>
      <c r="AA609" s="2"/>
      <c r="AB609" s="2"/>
      <c r="AC609" s="2"/>
      <c r="AD609" s="2"/>
      <c r="AE609" s="2"/>
      <c r="AF609" s="2"/>
    </row>
    <row r="610" spans="1:32" ht="12.75" customHeight="1">
      <c r="A610" s="2"/>
      <c r="B610" s="35"/>
      <c r="C610" s="2"/>
      <c r="D610" s="2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2"/>
      <c r="T610" s="2"/>
      <c r="U610" s="2"/>
      <c r="V610" s="2"/>
      <c r="W610" s="2"/>
      <c r="X610" s="2"/>
      <c r="Y610" s="64"/>
      <c r="Z610" s="64"/>
      <c r="AA610" s="2"/>
      <c r="AB610" s="2"/>
      <c r="AC610" s="2"/>
      <c r="AD610" s="2"/>
      <c r="AE610" s="2"/>
      <c r="AF610" s="2"/>
    </row>
    <row r="611" spans="1:32" ht="12.75" customHeight="1">
      <c r="A611" s="2"/>
      <c r="B611" s="35"/>
      <c r="C611" s="2"/>
      <c r="D611" s="2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2"/>
      <c r="T611" s="2"/>
      <c r="U611" s="2"/>
      <c r="V611" s="2"/>
      <c r="W611" s="2"/>
      <c r="X611" s="2"/>
      <c r="Y611" s="64"/>
      <c r="Z611" s="64"/>
      <c r="AA611" s="2"/>
      <c r="AB611" s="2"/>
      <c r="AC611" s="2"/>
      <c r="AD611" s="2"/>
      <c r="AE611" s="2"/>
      <c r="AF611" s="2"/>
    </row>
    <row r="612" spans="1:32" ht="12.75" customHeight="1">
      <c r="A612" s="2"/>
      <c r="B612" s="35"/>
      <c r="C612" s="2"/>
      <c r="D612" s="2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2"/>
      <c r="T612" s="2"/>
      <c r="U612" s="2"/>
      <c r="V612" s="2"/>
      <c r="W612" s="2"/>
      <c r="X612" s="2"/>
      <c r="Y612" s="64"/>
      <c r="Z612" s="64"/>
      <c r="AA612" s="2"/>
      <c r="AB612" s="2"/>
      <c r="AC612" s="2"/>
      <c r="AD612" s="2"/>
      <c r="AE612" s="2"/>
      <c r="AF612" s="2"/>
    </row>
    <row r="613" spans="1:32" ht="12.75" customHeight="1">
      <c r="A613" s="2"/>
      <c r="B613" s="35"/>
      <c r="C613" s="2"/>
      <c r="D613" s="2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2"/>
      <c r="T613" s="2"/>
      <c r="U613" s="2"/>
      <c r="V613" s="2"/>
      <c r="W613" s="2"/>
      <c r="X613" s="2"/>
      <c r="Y613" s="64"/>
      <c r="Z613" s="64"/>
      <c r="AA613" s="2"/>
      <c r="AB613" s="2"/>
      <c r="AC613" s="2"/>
      <c r="AD613" s="2"/>
      <c r="AE613" s="2"/>
      <c r="AF613" s="2"/>
    </row>
    <row r="614" spans="1:32" ht="12.75" customHeight="1">
      <c r="A614" s="2"/>
      <c r="B614" s="35"/>
      <c r="C614" s="2"/>
      <c r="D614" s="2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2"/>
      <c r="T614" s="2"/>
      <c r="U614" s="2"/>
      <c r="V614" s="2"/>
      <c r="W614" s="2"/>
      <c r="X614" s="2"/>
      <c r="Y614" s="64"/>
      <c r="Z614" s="64"/>
      <c r="AA614" s="2"/>
      <c r="AB614" s="2"/>
      <c r="AC614" s="2"/>
      <c r="AD614" s="2"/>
      <c r="AE614" s="2"/>
      <c r="AF614" s="2"/>
    </row>
    <row r="615" spans="1:32" ht="12.75" customHeight="1">
      <c r="A615" s="2"/>
      <c r="B615" s="35"/>
      <c r="C615" s="2"/>
      <c r="D615" s="2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2"/>
      <c r="T615" s="2"/>
      <c r="U615" s="2"/>
      <c r="V615" s="2"/>
      <c r="W615" s="2"/>
      <c r="X615" s="2"/>
      <c r="Y615" s="64"/>
      <c r="Z615" s="64"/>
      <c r="AA615" s="2"/>
      <c r="AB615" s="2"/>
      <c r="AC615" s="2"/>
      <c r="AD615" s="2"/>
      <c r="AE615" s="2"/>
      <c r="AF615" s="2"/>
    </row>
    <row r="616" spans="1:32" ht="12.75" customHeight="1">
      <c r="A616" s="2"/>
      <c r="B616" s="35"/>
      <c r="C616" s="2"/>
      <c r="D616" s="2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2"/>
      <c r="T616" s="2"/>
      <c r="U616" s="2"/>
      <c r="V616" s="2"/>
      <c r="W616" s="2"/>
      <c r="X616" s="2"/>
      <c r="Y616" s="64"/>
      <c r="Z616" s="64"/>
      <c r="AA616" s="2"/>
      <c r="AB616" s="2"/>
      <c r="AC616" s="2"/>
      <c r="AD616" s="2"/>
      <c r="AE616" s="2"/>
      <c r="AF616" s="2"/>
    </row>
    <row r="617" spans="1:32" ht="12.75" customHeight="1">
      <c r="A617" s="2"/>
      <c r="B617" s="35"/>
      <c r="C617" s="2"/>
      <c r="D617" s="2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2"/>
      <c r="T617" s="2"/>
      <c r="U617" s="2"/>
      <c r="V617" s="2"/>
      <c r="W617" s="2"/>
      <c r="X617" s="2"/>
      <c r="Y617" s="64"/>
      <c r="Z617" s="64"/>
      <c r="AA617" s="2"/>
      <c r="AB617" s="2"/>
      <c r="AC617" s="2"/>
      <c r="AD617" s="2"/>
      <c r="AE617" s="2"/>
      <c r="AF617" s="2"/>
    </row>
    <row r="618" spans="1:32" ht="12.75" customHeight="1">
      <c r="A618" s="2"/>
      <c r="B618" s="35"/>
      <c r="C618" s="2"/>
      <c r="D618" s="2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2"/>
      <c r="T618" s="2"/>
      <c r="U618" s="2"/>
      <c r="V618" s="2"/>
      <c r="W618" s="2"/>
      <c r="X618" s="2"/>
      <c r="Y618" s="64"/>
      <c r="Z618" s="64"/>
      <c r="AA618" s="2"/>
      <c r="AB618" s="2"/>
      <c r="AC618" s="2"/>
      <c r="AD618" s="2"/>
      <c r="AE618" s="2"/>
      <c r="AF618" s="2"/>
    </row>
    <row r="619" spans="1:32" ht="12.75" customHeight="1">
      <c r="A619" s="2"/>
      <c r="B619" s="35"/>
      <c r="C619" s="2"/>
      <c r="D619" s="2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2"/>
      <c r="T619" s="2"/>
      <c r="U619" s="2"/>
      <c r="V619" s="2"/>
      <c r="W619" s="2"/>
      <c r="X619" s="2"/>
      <c r="Y619" s="64"/>
      <c r="Z619" s="64"/>
      <c r="AA619" s="2"/>
      <c r="AB619" s="2"/>
      <c r="AC619" s="2"/>
      <c r="AD619" s="2"/>
      <c r="AE619" s="2"/>
      <c r="AF619" s="2"/>
    </row>
    <row r="620" spans="1:32" ht="12.75" customHeight="1">
      <c r="A620" s="2"/>
      <c r="B620" s="35"/>
      <c r="C620" s="2"/>
      <c r="D620" s="2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2"/>
      <c r="T620" s="2"/>
      <c r="U620" s="2"/>
      <c r="V620" s="2"/>
      <c r="W620" s="2"/>
      <c r="X620" s="2"/>
      <c r="Y620" s="64"/>
      <c r="Z620" s="64"/>
      <c r="AA620" s="2"/>
      <c r="AB620" s="2"/>
      <c r="AC620" s="2"/>
      <c r="AD620" s="2"/>
      <c r="AE620" s="2"/>
      <c r="AF620" s="2"/>
    </row>
    <row r="621" spans="1:32" ht="12.75" customHeight="1">
      <c r="A621" s="2"/>
      <c r="B621" s="35"/>
      <c r="C621" s="2"/>
      <c r="D621" s="2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2"/>
      <c r="T621" s="2"/>
      <c r="U621" s="2"/>
      <c r="V621" s="2"/>
      <c r="W621" s="2"/>
      <c r="X621" s="2"/>
      <c r="Y621" s="64"/>
      <c r="Z621" s="64"/>
      <c r="AA621" s="2"/>
      <c r="AB621" s="2"/>
      <c r="AC621" s="2"/>
      <c r="AD621" s="2"/>
      <c r="AE621" s="2"/>
      <c r="AF621" s="2"/>
    </row>
    <row r="622" spans="1:32" ht="12.75" customHeight="1">
      <c r="A622" s="2"/>
      <c r="B622" s="35"/>
      <c r="C622" s="2"/>
      <c r="D622" s="2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2"/>
      <c r="T622" s="2"/>
      <c r="U622" s="2"/>
      <c r="V622" s="2"/>
      <c r="W622" s="2"/>
      <c r="X622" s="2"/>
      <c r="Y622" s="64"/>
      <c r="Z622" s="64"/>
      <c r="AA622" s="2"/>
      <c r="AB622" s="2"/>
      <c r="AC622" s="2"/>
      <c r="AD622" s="2"/>
      <c r="AE622" s="2"/>
      <c r="AF622" s="2"/>
    </row>
    <row r="623" spans="1:32" ht="12.75" customHeight="1">
      <c r="A623" s="2"/>
      <c r="B623" s="35"/>
      <c r="C623" s="2"/>
      <c r="D623" s="2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2"/>
      <c r="T623" s="2"/>
      <c r="U623" s="2"/>
      <c r="V623" s="2"/>
      <c r="W623" s="2"/>
      <c r="X623" s="2"/>
      <c r="Y623" s="64"/>
      <c r="Z623" s="64"/>
      <c r="AA623" s="2"/>
      <c r="AB623" s="2"/>
      <c r="AC623" s="2"/>
      <c r="AD623" s="2"/>
      <c r="AE623" s="2"/>
      <c r="AF623" s="2"/>
    </row>
    <row r="624" spans="1:32" ht="12.75" customHeight="1">
      <c r="A624" s="2"/>
      <c r="B624" s="35"/>
      <c r="C624" s="2"/>
      <c r="D624" s="2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2"/>
      <c r="T624" s="2"/>
      <c r="U624" s="2"/>
      <c r="V624" s="2"/>
      <c r="W624" s="2"/>
      <c r="X624" s="2"/>
      <c r="Y624" s="64"/>
      <c r="Z624" s="64"/>
      <c r="AA624" s="2"/>
      <c r="AB624" s="2"/>
      <c r="AC624" s="2"/>
      <c r="AD624" s="2"/>
      <c r="AE624" s="2"/>
      <c r="AF624" s="2"/>
    </row>
    <row r="625" spans="1:32" ht="12.75" customHeight="1">
      <c r="A625" s="2"/>
      <c r="B625" s="35"/>
      <c r="C625" s="2"/>
      <c r="D625" s="2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2"/>
      <c r="T625" s="2"/>
      <c r="U625" s="2"/>
      <c r="V625" s="2"/>
      <c r="W625" s="2"/>
      <c r="X625" s="2"/>
      <c r="Y625" s="64"/>
      <c r="Z625" s="64"/>
      <c r="AA625" s="2"/>
      <c r="AB625" s="2"/>
      <c r="AC625" s="2"/>
      <c r="AD625" s="2"/>
      <c r="AE625" s="2"/>
      <c r="AF625" s="2"/>
    </row>
    <row r="626" spans="1:32" ht="12.75" customHeight="1">
      <c r="A626" s="2"/>
      <c r="B626" s="35"/>
      <c r="C626" s="2"/>
      <c r="D626" s="2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2"/>
      <c r="T626" s="2"/>
      <c r="U626" s="2"/>
      <c r="V626" s="2"/>
      <c r="W626" s="2"/>
      <c r="X626" s="2"/>
      <c r="Y626" s="64"/>
      <c r="Z626" s="64"/>
      <c r="AA626" s="2"/>
      <c r="AB626" s="2"/>
      <c r="AC626" s="2"/>
      <c r="AD626" s="2"/>
      <c r="AE626" s="2"/>
      <c r="AF626" s="2"/>
    </row>
    <row r="627" spans="1:32" ht="12.75" customHeight="1">
      <c r="A627" s="2"/>
      <c r="B627" s="35"/>
      <c r="C627" s="2"/>
      <c r="D627" s="2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2"/>
      <c r="T627" s="2"/>
      <c r="U627" s="2"/>
      <c r="V627" s="2"/>
      <c r="W627" s="2"/>
      <c r="X627" s="2"/>
      <c r="Y627" s="64"/>
      <c r="Z627" s="64"/>
      <c r="AA627" s="2"/>
      <c r="AB627" s="2"/>
      <c r="AC627" s="2"/>
      <c r="AD627" s="2"/>
      <c r="AE627" s="2"/>
      <c r="AF627" s="2"/>
    </row>
    <row r="628" spans="1:32" ht="12.75" customHeight="1">
      <c r="A628" s="2"/>
      <c r="B628" s="35"/>
      <c r="C628" s="2"/>
      <c r="D628" s="2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2"/>
      <c r="T628" s="2"/>
      <c r="U628" s="2"/>
      <c r="V628" s="2"/>
      <c r="W628" s="2"/>
      <c r="X628" s="2"/>
      <c r="Y628" s="64"/>
      <c r="Z628" s="64"/>
      <c r="AA628" s="2"/>
      <c r="AB628" s="2"/>
      <c r="AC628" s="2"/>
      <c r="AD628" s="2"/>
      <c r="AE628" s="2"/>
      <c r="AF628" s="2"/>
    </row>
    <row r="629" spans="1:32" ht="12.75" customHeight="1">
      <c r="A629" s="2"/>
      <c r="B629" s="35"/>
      <c r="C629" s="2"/>
      <c r="D629" s="2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2"/>
      <c r="T629" s="2"/>
      <c r="U629" s="2"/>
      <c r="V629" s="2"/>
      <c r="W629" s="2"/>
      <c r="X629" s="2"/>
      <c r="Y629" s="64"/>
      <c r="Z629" s="64"/>
      <c r="AA629" s="2"/>
      <c r="AB629" s="2"/>
      <c r="AC629" s="2"/>
      <c r="AD629" s="2"/>
      <c r="AE629" s="2"/>
      <c r="AF629" s="2"/>
    </row>
    <row r="630" spans="1:32" ht="12.75" customHeight="1">
      <c r="A630" s="2"/>
      <c r="B630" s="35"/>
      <c r="C630" s="2"/>
      <c r="D630" s="2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2"/>
      <c r="T630" s="2"/>
      <c r="U630" s="2"/>
      <c r="V630" s="2"/>
      <c r="W630" s="2"/>
      <c r="X630" s="2"/>
      <c r="Y630" s="64"/>
      <c r="Z630" s="64"/>
      <c r="AA630" s="2"/>
      <c r="AB630" s="2"/>
      <c r="AC630" s="2"/>
      <c r="AD630" s="2"/>
      <c r="AE630" s="2"/>
      <c r="AF630" s="2"/>
    </row>
    <row r="631" spans="1:32" ht="12.75" customHeight="1">
      <c r="A631" s="2"/>
      <c r="B631" s="35"/>
      <c r="C631" s="2"/>
      <c r="D631" s="2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2"/>
      <c r="T631" s="2"/>
      <c r="U631" s="2"/>
      <c r="V631" s="2"/>
      <c r="W631" s="2"/>
      <c r="X631" s="2"/>
      <c r="Y631" s="64"/>
      <c r="Z631" s="64"/>
      <c r="AA631" s="2"/>
      <c r="AB631" s="2"/>
      <c r="AC631" s="2"/>
      <c r="AD631" s="2"/>
      <c r="AE631" s="2"/>
      <c r="AF631" s="2"/>
    </row>
    <row r="632" spans="1:32" ht="12.75" customHeight="1">
      <c r="A632" s="2"/>
      <c r="B632" s="35"/>
      <c r="C632" s="2"/>
      <c r="D632" s="2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2"/>
      <c r="T632" s="2"/>
      <c r="U632" s="2"/>
      <c r="V632" s="2"/>
      <c r="W632" s="2"/>
      <c r="X632" s="2"/>
      <c r="Y632" s="64"/>
      <c r="Z632" s="64"/>
      <c r="AA632" s="2"/>
      <c r="AB632" s="2"/>
      <c r="AC632" s="2"/>
      <c r="AD632" s="2"/>
      <c r="AE632" s="2"/>
      <c r="AF632" s="2"/>
    </row>
    <row r="633" spans="1:32" ht="12.75" customHeight="1">
      <c r="A633" s="2"/>
      <c r="B633" s="35"/>
      <c r="C633" s="2"/>
      <c r="D633" s="2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2"/>
      <c r="T633" s="2"/>
      <c r="U633" s="2"/>
      <c r="V633" s="2"/>
      <c r="W633" s="2"/>
      <c r="X633" s="2"/>
      <c r="Y633" s="64"/>
      <c r="Z633" s="64"/>
      <c r="AA633" s="2"/>
      <c r="AB633" s="2"/>
      <c r="AC633" s="2"/>
      <c r="AD633" s="2"/>
      <c r="AE633" s="2"/>
      <c r="AF633" s="2"/>
    </row>
    <row r="634" spans="1:32" ht="12.75" customHeight="1">
      <c r="A634" s="2"/>
      <c r="B634" s="35"/>
      <c r="C634" s="2"/>
      <c r="D634" s="2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2"/>
      <c r="T634" s="2"/>
      <c r="U634" s="2"/>
      <c r="V634" s="2"/>
      <c r="W634" s="2"/>
      <c r="X634" s="2"/>
      <c r="Y634" s="64"/>
      <c r="Z634" s="64"/>
      <c r="AA634" s="2"/>
      <c r="AB634" s="2"/>
      <c r="AC634" s="2"/>
      <c r="AD634" s="2"/>
      <c r="AE634" s="2"/>
      <c r="AF634" s="2"/>
    </row>
    <row r="635" spans="1:32" ht="12.75" customHeight="1">
      <c r="A635" s="2"/>
      <c r="B635" s="35"/>
      <c r="C635" s="2"/>
      <c r="D635" s="2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2"/>
      <c r="T635" s="2"/>
      <c r="U635" s="2"/>
      <c r="V635" s="2"/>
      <c r="W635" s="2"/>
      <c r="X635" s="2"/>
      <c r="Y635" s="64"/>
      <c r="Z635" s="64"/>
      <c r="AA635" s="2"/>
      <c r="AB635" s="2"/>
      <c r="AC635" s="2"/>
      <c r="AD635" s="2"/>
      <c r="AE635" s="2"/>
      <c r="AF635" s="2"/>
    </row>
    <row r="636" spans="1:32" ht="12.75" customHeight="1">
      <c r="A636" s="2"/>
      <c r="B636" s="35"/>
      <c r="C636" s="2"/>
      <c r="D636" s="2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2"/>
      <c r="T636" s="2"/>
      <c r="U636" s="2"/>
      <c r="V636" s="2"/>
      <c r="W636" s="2"/>
      <c r="X636" s="2"/>
      <c r="Y636" s="64"/>
      <c r="Z636" s="64"/>
      <c r="AA636" s="2"/>
      <c r="AB636" s="2"/>
      <c r="AC636" s="2"/>
      <c r="AD636" s="2"/>
      <c r="AE636" s="2"/>
      <c r="AF636" s="2"/>
    </row>
    <row r="637" spans="1:32" ht="12.75" customHeight="1">
      <c r="A637" s="2"/>
      <c r="B637" s="35"/>
      <c r="C637" s="2"/>
      <c r="D637" s="2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2"/>
      <c r="T637" s="2"/>
      <c r="U637" s="2"/>
      <c r="V637" s="2"/>
      <c r="W637" s="2"/>
      <c r="X637" s="2"/>
      <c r="Y637" s="64"/>
      <c r="Z637" s="64"/>
      <c r="AA637" s="2"/>
      <c r="AB637" s="2"/>
      <c r="AC637" s="2"/>
      <c r="AD637" s="2"/>
      <c r="AE637" s="2"/>
      <c r="AF637" s="2"/>
    </row>
    <row r="638" spans="1:32" ht="12.75" customHeight="1">
      <c r="A638" s="2"/>
      <c r="B638" s="35"/>
      <c r="C638" s="2"/>
      <c r="D638" s="2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2"/>
      <c r="T638" s="2"/>
      <c r="U638" s="2"/>
      <c r="V638" s="2"/>
      <c r="W638" s="2"/>
      <c r="X638" s="2"/>
      <c r="Y638" s="64"/>
      <c r="Z638" s="64"/>
      <c r="AA638" s="2"/>
      <c r="AB638" s="2"/>
      <c r="AC638" s="2"/>
      <c r="AD638" s="2"/>
      <c r="AE638" s="2"/>
      <c r="AF638" s="2"/>
    </row>
    <row r="639" spans="1:32" ht="12.75" customHeight="1">
      <c r="A639" s="2"/>
      <c r="B639" s="35"/>
      <c r="C639" s="2"/>
      <c r="D639" s="2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2"/>
      <c r="T639" s="2"/>
      <c r="U639" s="2"/>
      <c r="V639" s="2"/>
      <c r="W639" s="2"/>
      <c r="X639" s="2"/>
      <c r="Y639" s="64"/>
      <c r="Z639" s="64"/>
      <c r="AA639" s="2"/>
      <c r="AB639" s="2"/>
      <c r="AC639" s="2"/>
      <c r="AD639" s="2"/>
      <c r="AE639" s="2"/>
      <c r="AF639" s="2"/>
    </row>
    <row r="640" spans="1:32" ht="12.75" customHeight="1">
      <c r="A640" s="2"/>
      <c r="B640" s="35"/>
      <c r="C640" s="2"/>
      <c r="D640" s="2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2"/>
      <c r="T640" s="2"/>
      <c r="U640" s="2"/>
      <c r="V640" s="2"/>
      <c r="W640" s="2"/>
      <c r="X640" s="2"/>
      <c r="Y640" s="64"/>
      <c r="Z640" s="64"/>
      <c r="AA640" s="2"/>
      <c r="AB640" s="2"/>
      <c r="AC640" s="2"/>
      <c r="AD640" s="2"/>
      <c r="AE640" s="2"/>
      <c r="AF640" s="2"/>
    </row>
    <row r="641" spans="1:32" ht="12.75" customHeight="1">
      <c r="A641" s="2"/>
      <c r="B641" s="35"/>
      <c r="C641" s="2"/>
      <c r="D641" s="2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2"/>
      <c r="T641" s="2"/>
      <c r="U641" s="2"/>
      <c r="V641" s="2"/>
      <c r="W641" s="2"/>
      <c r="X641" s="2"/>
      <c r="Y641" s="64"/>
      <c r="Z641" s="64"/>
      <c r="AA641" s="2"/>
      <c r="AB641" s="2"/>
      <c r="AC641" s="2"/>
      <c r="AD641" s="2"/>
      <c r="AE641" s="2"/>
      <c r="AF641" s="2"/>
    </row>
    <row r="642" spans="1:32" ht="12.75" customHeight="1">
      <c r="A642" s="2"/>
      <c r="B642" s="35"/>
      <c r="C642" s="2"/>
      <c r="D642" s="2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2"/>
      <c r="T642" s="2"/>
      <c r="U642" s="2"/>
      <c r="V642" s="2"/>
      <c r="W642" s="2"/>
      <c r="X642" s="2"/>
      <c r="Y642" s="64"/>
      <c r="Z642" s="64"/>
      <c r="AA642" s="2"/>
      <c r="AB642" s="2"/>
      <c r="AC642" s="2"/>
      <c r="AD642" s="2"/>
      <c r="AE642" s="2"/>
      <c r="AF642" s="2"/>
    </row>
    <row r="643" spans="1:32" ht="12.75" customHeight="1">
      <c r="A643" s="2"/>
      <c r="B643" s="35"/>
      <c r="C643" s="2"/>
      <c r="D643" s="2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2"/>
      <c r="T643" s="2"/>
      <c r="U643" s="2"/>
      <c r="V643" s="2"/>
      <c r="W643" s="2"/>
      <c r="X643" s="2"/>
      <c r="Y643" s="64"/>
      <c r="Z643" s="64"/>
      <c r="AA643" s="2"/>
      <c r="AB643" s="2"/>
      <c r="AC643" s="2"/>
      <c r="AD643" s="2"/>
      <c r="AE643" s="2"/>
      <c r="AF643" s="2"/>
    </row>
    <row r="644" spans="1:32" ht="12.75" customHeight="1">
      <c r="A644" s="2"/>
      <c r="B644" s="35"/>
      <c r="C644" s="2"/>
      <c r="D644" s="2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2"/>
      <c r="T644" s="2"/>
      <c r="U644" s="2"/>
      <c r="V644" s="2"/>
      <c r="W644" s="2"/>
      <c r="X644" s="2"/>
      <c r="Y644" s="64"/>
      <c r="Z644" s="64"/>
      <c r="AA644" s="2"/>
      <c r="AB644" s="2"/>
      <c r="AC644" s="2"/>
      <c r="AD644" s="2"/>
      <c r="AE644" s="2"/>
      <c r="AF644" s="2"/>
    </row>
    <row r="645" spans="1:32" ht="12.75" customHeight="1">
      <c r="A645" s="2"/>
      <c r="B645" s="35"/>
      <c r="C645" s="2"/>
      <c r="D645" s="2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2"/>
      <c r="T645" s="2"/>
      <c r="U645" s="2"/>
      <c r="V645" s="2"/>
      <c r="W645" s="2"/>
      <c r="X645" s="2"/>
      <c r="Y645" s="64"/>
      <c r="Z645" s="64"/>
      <c r="AA645" s="2"/>
      <c r="AB645" s="2"/>
      <c r="AC645" s="2"/>
      <c r="AD645" s="2"/>
      <c r="AE645" s="2"/>
      <c r="AF645" s="2"/>
    </row>
    <row r="646" spans="1:32" ht="12.75" customHeight="1">
      <c r="A646" s="2"/>
      <c r="B646" s="35"/>
      <c r="C646" s="2"/>
      <c r="D646" s="2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2"/>
      <c r="T646" s="2"/>
      <c r="U646" s="2"/>
      <c r="V646" s="2"/>
      <c r="W646" s="2"/>
      <c r="X646" s="2"/>
      <c r="Y646" s="64"/>
      <c r="Z646" s="64"/>
      <c r="AA646" s="2"/>
      <c r="AB646" s="2"/>
      <c r="AC646" s="2"/>
      <c r="AD646" s="2"/>
      <c r="AE646" s="2"/>
      <c r="AF646" s="2"/>
    </row>
    <row r="647" spans="1:32" ht="12.75" customHeight="1">
      <c r="A647" s="2"/>
      <c r="B647" s="35"/>
      <c r="C647" s="2"/>
      <c r="D647" s="2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2"/>
      <c r="T647" s="2"/>
      <c r="U647" s="2"/>
      <c r="V647" s="2"/>
      <c r="W647" s="2"/>
      <c r="X647" s="2"/>
      <c r="Y647" s="64"/>
      <c r="Z647" s="64"/>
      <c r="AA647" s="2"/>
      <c r="AB647" s="2"/>
      <c r="AC647" s="2"/>
      <c r="AD647" s="2"/>
      <c r="AE647" s="2"/>
      <c r="AF647" s="2"/>
    </row>
    <row r="648" spans="1:32" ht="12.75" customHeight="1">
      <c r="A648" s="2"/>
      <c r="B648" s="35"/>
      <c r="C648" s="2"/>
      <c r="D648" s="2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2"/>
      <c r="T648" s="2"/>
      <c r="U648" s="2"/>
      <c r="V648" s="2"/>
      <c r="W648" s="2"/>
      <c r="X648" s="2"/>
      <c r="Y648" s="64"/>
      <c r="Z648" s="64"/>
      <c r="AA648" s="2"/>
      <c r="AB648" s="2"/>
      <c r="AC648" s="2"/>
      <c r="AD648" s="2"/>
      <c r="AE648" s="2"/>
      <c r="AF648" s="2"/>
    </row>
    <row r="649" spans="1:32" ht="12.75" customHeight="1">
      <c r="A649" s="2"/>
      <c r="B649" s="35"/>
      <c r="C649" s="2"/>
      <c r="D649" s="2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2"/>
      <c r="T649" s="2"/>
      <c r="U649" s="2"/>
      <c r="V649" s="2"/>
      <c r="W649" s="2"/>
      <c r="X649" s="2"/>
      <c r="Y649" s="64"/>
      <c r="Z649" s="64"/>
      <c r="AA649" s="2"/>
      <c r="AB649" s="2"/>
      <c r="AC649" s="2"/>
      <c r="AD649" s="2"/>
      <c r="AE649" s="2"/>
      <c r="AF649" s="2"/>
    </row>
    <row r="650" spans="1:32" ht="12.75" customHeight="1">
      <c r="A650" s="2"/>
      <c r="B650" s="35"/>
      <c r="C650" s="2"/>
      <c r="D650" s="2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2"/>
      <c r="T650" s="2"/>
      <c r="U650" s="2"/>
      <c r="V650" s="2"/>
      <c r="W650" s="2"/>
      <c r="X650" s="2"/>
      <c r="Y650" s="64"/>
      <c r="Z650" s="64"/>
      <c r="AA650" s="2"/>
      <c r="AB650" s="2"/>
      <c r="AC650" s="2"/>
      <c r="AD650" s="2"/>
      <c r="AE650" s="2"/>
      <c r="AF650" s="2"/>
    </row>
    <row r="651" spans="1:32" ht="12.75" customHeight="1">
      <c r="A651" s="2"/>
      <c r="B651" s="35"/>
      <c r="C651" s="2"/>
      <c r="D651" s="2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2"/>
      <c r="T651" s="2"/>
      <c r="U651" s="2"/>
      <c r="V651" s="2"/>
      <c r="W651" s="2"/>
      <c r="X651" s="2"/>
      <c r="Y651" s="64"/>
      <c r="Z651" s="64"/>
      <c r="AA651" s="2"/>
      <c r="AB651" s="2"/>
      <c r="AC651" s="2"/>
      <c r="AD651" s="2"/>
      <c r="AE651" s="2"/>
      <c r="AF651" s="2"/>
    </row>
    <row r="652" spans="1:32" ht="12.75" customHeight="1">
      <c r="A652" s="2"/>
      <c r="B652" s="35"/>
      <c r="C652" s="2"/>
      <c r="D652" s="2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2"/>
      <c r="T652" s="2"/>
      <c r="U652" s="2"/>
      <c r="V652" s="2"/>
      <c r="W652" s="2"/>
      <c r="X652" s="2"/>
      <c r="Y652" s="64"/>
      <c r="Z652" s="64"/>
      <c r="AA652" s="2"/>
      <c r="AB652" s="2"/>
      <c r="AC652" s="2"/>
      <c r="AD652" s="2"/>
      <c r="AE652" s="2"/>
      <c r="AF652" s="2"/>
    </row>
    <row r="653" spans="1:32" ht="12.75" customHeight="1">
      <c r="A653" s="2"/>
      <c r="B653" s="35"/>
      <c r="C653" s="2"/>
      <c r="D653" s="2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2"/>
      <c r="T653" s="2"/>
      <c r="U653" s="2"/>
      <c r="V653" s="2"/>
      <c r="W653" s="2"/>
      <c r="X653" s="2"/>
      <c r="Y653" s="64"/>
      <c r="Z653" s="64"/>
      <c r="AA653" s="2"/>
      <c r="AB653" s="2"/>
      <c r="AC653" s="2"/>
      <c r="AD653" s="2"/>
      <c r="AE653" s="2"/>
      <c r="AF653" s="2"/>
    </row>
    <row r="654" spans="1:32" ht="12.75" customHeight="1">
      <c r="A654" s="2"/>
      <c r="B654" s="35"/>
      <c r="C654" s="2"/>
      <c r="D654" s="2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2"/>
      <c r="T654" s="2"/>
      <c r="U654" s="2"/>
      <c r="V654" s="2"/>
      <c r="W654" s="2"/>
      <c r="X654" s="2"/>
      <c r="Y654" s="64"/>
      <c r="Z654" s="64"/>
      <c r="AA654" s="2"/>
      <c r="AB654" s="2"/>
      <c r="AC654" s="2"/>
      <c r="AD654" s="2"/>
      <c r="AE654" s="2"/>
      <c r="AF654" s="2"/>
    </row>
    <row r="655" spans="1:32" ht="12.75" customHeight="1">
      <c r="A655" s="2"/>
      <c r="B655" s="35"/>
      <c r="C655" s="2"/>
      <c r="D655" s="2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2"/>
      <c r="T655" s="2"/>
      <c r="U655" s="2"/>
      <c r="V655" s="2"/>
      <c r="W655" s="2"/>
      <c r="X655" s="2"/>
      <c r="Y655" s="64"/>
      <c r="Z655" s="64"/>
      <c r="AA655" s="2"/>
      <c r="AB655" s="2"/>
      <c r="AC655" s="2"/>
      <c r="AD655" s="2"/>
      <c r="AE655" s="2"/>
      <c r="AF655" s="2"/>
    </row>
    <row r="656" spans="1:32" ht="12.75" customHeight="1">
      <c r="A656" s="2"/>
      <c r="B656" s="35"/>
      <c r="C656" s="2"/>
      <c r="D656" s="2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2"/>
      <c r="T656" s="2"/>
      <c r="U656" s="2"/>
      <c r="V656" s="2"/>
      <c r="W656" s="2"/>
      <c r="X656" s="2"/>
      <c r="Y656" s="64"/>
      <c r="Z656" s="64"/>
      <c r="AA656" s="2"/>
      <c r="AB656" s="2"/>
      <c r="AC656" s="2"/>
      <c r="AD656" s="2"/>
      <c r="AE656" s="2"/>
      <c r="AF656" s="2"/>
    </row>
    <row r="657" spans="1:32" ht="12.75" customHeight="1">
      <c r="A657" s="2"/>
      <c r="B657" s="35"/>
      <c r="C657" s="2"/>
      <c r="D657" s="2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2"/>
      <c r="T657" s="2"/>
      <c r="U657" s="2"/>
      <c r="V657" s="2"/>
      <c r="W657" s="2"/>
      <c r="X657" s="2"/>
      <c r="Y657" s="64"/>
      <c r="Z657" s="64"/>
      <c r="AA657" s="2"/>
      <c r="AB657" s="2"/>
      <c r="AC657" s="2"/>
      <c r="AD657" s="2"/>
      <c r="AE657" s="2"/>
      <c r="AF657" s="2"/>
    </row>
    <row r="658" spans="1:32" ht="12.75" customHeight="1">
      <c r="A658" s="2"/>
      <c r="B658" s="35"/>
      <c r="C658" s="2"/>
      <c r="D658" s="2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2"/>
      <c r="T658" s="2"/>
      <c r="U658" s="2"/>
      <c r="V658" s="2"/>
      <c r="W658" s="2"/>
      <c r="X658" s="2"/>
      <c r="Y658" s="64"/>
      <c r="Z658" s="64"/>
      <c r="AA658" s="2"/>
      <c r="AB658" s="2"/>
      <c r="AC658" s="2"/>
      <c r="AD658" s="2"/>
      <c r="AE658" s="2"/>
      <c r="AF658" s="2"/>
    </row>
    <row r="659" spans="1:32" ht="12.75" customHeight="1">
      <c r="A659" s="2"/>
      <c r="B659" s="35"/>
      <c r="C659" s="2"/>
      <c r="D659" s="2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2"/>
      <c r="T659" s="2"/>
      <c r="U659" s="2"/>
      <c r="V659" s="2"/>
      <c r="W659" s="2"/>
      <c r="X659" s="2"/>
      <c r="Y659" s="64"/>
      <c r="Z659" s="64"/>
      <c r="AA659" s="2"/>
      <c r="AB659" s="2"/>
      <c r="AC659" s="2"/>
      <c r="AD659" s="2"/>
      <c r="AE659" s="2"/>
      <c r="AF659" s="2"/>
    </row>
    <row r="660" spans="1:32" ht="12.75" customHeight="1">
      <c r="A660" s="2"/>
      <c r="B660" s="35"/>
      <c r="C660" s="2"/>
      <c r="D660" s="2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2"/>
      <c r="T660" s="2"/>
      <c r="U660" s="2"/>
      <c r="V660" s="2"/>
      <c r="W660" s="2"/>
      <c r="X660" s="2"/>
      <c r="Y660" s="64"/>
      <c r="Z660" s="64"/>
      <c r="AA660" s="2"/>
      <c r="AB660" s="2"/>
      <c r="AC660" s="2"/>
      <c r="AD660" s="2"/>
      <c r="AE660" s="2"/>
      <c r="AF660" s="2"/>
    </row>
    <row r="661" spans="1:32" ht="12.75" customHeight="1">
      <c r="A661" s="2"/>
      <c r="B661" s="35"/>
      <c r="C661" s="2"/>
      <c r="D661" s="2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2"/>
      <c r="T661" s="2"/>
      <c r="U661" s="2"/>
      <c r="V661" s="2"/>
      <c r="W661" s="2"/>
      <c r="X661" s="2"/>
      <c r="Y661" s="64"/>
      <c r="Z661" s="64"/>
      <c r="AA661" s="2"/>
      <c r="AB661" s="2"/>
      <c r="AC661" s="2"/>
      <c r="AD661" s="2"/>
      <c r="AE661" s="2"/>
      <c r="AF661" s="2"/>
    </row>
    <row r="662" spans="1:32" ht="12.75" customHeight="1">
      <c r="A662" s="2"/>
      <c r="B662" s="35"/>
      <c r="C662" s="2"/>
      <c r="D662" s="2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2"/>
      <c r="T662" s="2"/>
      <c r="U662" s="2"/>
      <c r="V662" s="2"/>
      <c r="W662" s="2"/>
      <c r="X662" s="2"/>
      <c r="Y662" s="64"/>
      <c r="Z662" s="64"/>
      <c r="AA662" s="2"/>
      <c r="AB662" s="2"/>
      <c r="AC662" s="2"/>
      <c r="AD662" s="2"/>
      <c r="AE662" s="2"/>
      <c r="AF662" s="2"/>
    </row>
    <row r="663" spans="1:32" ht="12.75" customHeight="1">
      <c r="A663" s="2"/>
      <c r="B663" s="35"/>
      <c r="C663" s="2"/>
      <c r="D663" s="2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2"/>
      <c r="T663" s="2"/>
      <c r="U663" s="2"/>
      <c r="V663" s="2"/>
      <c r="W663" s="2"/>
      <c r="X663" s="2"/>
      <c r="Y663" s="64"/>
      <c r="Z663" s="64"/>
      <c r="AA663" s="2"/>
      <c r="AB663" s="2"/>
      <c r="AC663" s="2"/>
      <c r="AD663" s="2"/>
      <c r="AE663" s="2"/>
      <c r="AF663" s="2"/>
    </row>
    <row r="664" spans="1:32" ht="12.75" customHeight="1">
      <c r="A664" s="2"/>
      <c r="B664" s="35"/>
      <c r="C664" s="2"/>
      <c r="D664" s="2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2"/>
      <c r="T664" s="2"/>
      <c r="U664" s="2"/>
      <c r="V664" s="2"/>
      <c r="W664" s="2"/>
      <c r="X664" s="2"/>
      <c r="Y664" s="64"/>
      <c r="Z664" s="64"/>
      <c r="AA664" s="2"/>
      <c r="AB664" s="2"/>
      <c r="AC664" s="2"/>
      <c r="AD664" s="2"/>
      <c r="AE664" s="2"/>
      <c r="AF664" s="2"/>
    </row>
    <row r="665" spans="1:32" ht="12.75" customHeight="1">
      <c r="A665" s="2"/>
      <c r="B665" s="35"/>
      <c r="C665" s="2"/>
      <c r="D665" s="2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2"/>
      <c r="T665" s="2"/>
      <c r="U665" s="2"/>
      <c r="V665" s="2"/>
      <c r="W665" s="2"/>
      <c r="X665" s="2"/>
      <c r="Y665" s="64"/>
      <c r="Z665" s="64"/>
      <c r="AA665" s="2"/>
      <c r="AB665" s="2"/>
      <c r="AC665" s="2"/>
      <c r="AD665" s="2"/>
      <c r="AE665" s="2"/>
      <c r="AF665" s="2"/>
    </row>
    <row r="666" spans="1:32" ht="12.75" customHeight="1">
      <c r="A666" s="2"/>
      <c r="B666" s="35"/>
      <c r="C666" s="2"/>
      <c r="D666" s="2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2"/>
      <c r="T666" s="2"/>
      <c r="U666" s="2"/>
      <c r="V666" s="2"/>
      <c r="W666" s="2"/>
      <c r="X666" s="2"/>
      <c r="Y666" s="64"/>
      <c r="Z666" s="64"/>
      <c r="AA666" s="2"/>
      <c r="AB666" s="2"/>
      <c r="AC666" s="2"/>
      <c r="AD666" s="2"/>
      <c r="AE666" s="2"/>
      <c r="AF666" s="2"/>
    </row>
    <row r="667" spans="1:32" ht="12.75" customHeight="1">
      <c r="A667" s="2"/>
      <c r="B667" s="35"/>
      <c r="C667" s="2"/>
      <c r="D667" s="2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2"/>
      <c r="T667" s="2"/>
      <c r="U667" s="2"/>
      <c r="V667" s="2"/>
      <c r="W667" s="2"/>
      <c r="X667" s="2"/>
      <c r="Y667" s="64"/>
      <c r="Z667" s="64"/>
      <c r="AA667" s="2"/>
      <c r="AB667" s="2"/>
      <c r="AC667" s="2"/>
      <c r="AD667" s="2"/>
      <c r="AE667" s="2"/>
      <c r="AF667" s="2"/>
    </row>
    <row r="668" spans="1:32" ht="12.75" customHeight="1">
      <c r="A668" s="2"/>
      <c r="B668" s="35"/>
      <c r="C668" s="2"/>
      <c r="D668" s="2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2"/>
      <c r="T668" s="2"/>
      <c r="U668" s="2"/>
      <c r="V668" s="2"/>
      <c r="W668" s="2"/>
      <c r="X668" s="2"/>
      <c r="Y668" s="64"/>
      <c r="Z668" s="64"/>
      <c r="AA668" s="2"/>
      <c r="AB668" s="2"/>
      <c r="AC668" s="2"/>
      <c r="AD668" s="2"/>
      <c r="AE668" s="2"/>
      <c r="AF668" s="2"/>
    </row>
    <row r="669" spans="1:32" ht="12.75" customHeight="1">
      <c r="A669" s="2"/>
      <c r="B669" s="35"/>
      <c r="C669" s="2"/>
      <c r="D669" s="2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2"/>
      <c r="T669" s="2"/>
      <c r="U669" s="2"/>
      <c r="V669" s="2"/>
      <c r="W669" s="2"/>
      <c r="X669" s="2"/>
      <c r="Y669" s="64"/>
      <c r="Z669" s="64"/>
      <c r="AA669" s="2"/>
      <c r="AB669" s="2"/>
      <c r="AC669" s="2"/>
      <c r="AD669" s="2"/>
      <c r="AE669" s="2"/>
      <c r="AF669" s="2"/>
    </row>
    <row r="670" spans="1:32" ht="12.75" customHeight="1">
      <c r="A670" s="2"/>
      <c r="B670" s="35"/>
      <c r="C670" s="2"/>
      <c r="D670" s="2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2"/>
      <c r="T670" s="2"/>
      <c r="U670" s="2"/>
      <c r="V670" s="2"/>
      <c r="W670" s="2"/>
      <c r="X670" s="2"/>
      <c r="Y670" s="64"/>
      <c r="Z670" s="64"/>
      <c r="AA670" s="2"/>
      <c r="AB670" s="2"/>
      <c r="AC670" s="2"/>
      <c r="AD670" s="2"/>
      <c r="AE670" s="2"/>
      <c r="AF670" s="2"/>
    </row>
    <row r="671" spans="1:32" ht="12.75" customHeight="1">
      <c r="A671" s="2"/>
      <c r="B671" s="35"/>
      <c r="C671" s="2"/>
      <c r="D671" s="2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2"/>
      <c r="T671" s="2"/>
      <c r="U671" s="2"/>
      <c r="V671" s="2"/>
      <c r="W671" s="2"/>
      <c r="X671" s="2"/>
      <c r="Y671" s="64"/>
      <c r="Z671" s="64"/>
      <c r="AA671" s="2"/>
      <c r="AB671" s="2"/>
      <c r="AC671" s="2"/>
      <c r="AD671" s="2"/>
      <c r="AE671" s="2"/>
      <c r="AF671" s="2"/>
    </row>
    <row r="672" spans="1:32" ht="12.75" customHeight="1">
      <c r="A672" s="2"/>
      <c r="B672" s="35"/>
      <c r="C672" s="2"/>
      <c r="D672" s="2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2"/>
      <c r="T672" s="2"/>
      <c r="U672" s="2"/>
      <c r="V672" s="2"/>
      <c r="W672" s="2"/>
      <c r="X672" s="2"/>
      <c r="Y672" s="64"/>
      <c r="Z672" s="64"/>
      <c r="AA672" s="2"/>
      <c r="AB672" s="2"/>
      <c r="AC672" s="2"/>
      <c r="AD672" s="2"/>
      <c r="AE672" s="2"/>
      <c r="AF672" s="2"/>
    </row>
    <row r="673" spans="1:32" ht="12.75" customHeight="1">
      <c r="A673" s="2"/>
      <c r="B673" s="35"/>
      <c r="C673" s="2"/>
      <c r="D673" s="2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2"/>
      <c r="T673" s="2"/>
      <c r="U673" s="2"/>
      <c r="V673" s="2"/>
      <c r="W673" s="2"/>
      <c r="X673" s="2"/>
      <c r="Y673" s="64"/>
      <c r="Z673" s="64"/>
      <c r="AA673" s="2"/>
      <c r="AB673" s="2"/>
      <c r="AC673" s="2"/>
      <c r="AD673" s="2"/>
      <c r="AE673" s="2"/>
      <c r="AF673" s="2"/>
    </row>
    <row r="674" spans="1:32" ht="12.75" customHeight="1">
      <c r="A674" s="2"/>
      <c r="B674" s="35"/>
      <c r="C674" s="2"/>
      <c r="D674" s="2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2"/>
      <c r="T674" s="2"/>
      <c r="U674" s="2"/>
      <c r="V674" s="2"/>
      <c r="W674" s="2"/>
      <c r="X674" s="2"/>
      <c r="Y674" s="64"/>
      <c r="Z674" s="64"/>
      <c r="AA674" s="2"/>
      <c r="AB674" s="2"/>
      <c r="AC674" s="2"/>
      <c r="AD674" s="2"/>
      <c r="AE674" s="2"/>
      <c r="AF674" s="2"/>
    </row>
    <row r="675" spans="1:32" ht="12.75" customHeight="1">
      <c r="A675" s="2"/>
      <c r="B675" s="35"/>
      <c r="C675" s="2"/>
      <c r="D675" s="2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2"/>
      <c r="T675" s="2"/>
      <c r="U675" s="2"/>
      <c r="V675" s="2"/>
      <c r="W675" s="2"/>
      <c r="X675" s="2"/>
      <c r="Y675" s="64"/>
      <c r="Z675" s="64"/>
      <c r="AA675" s="2"/>
      <c r="AB675" s="2"/>
      <c r="AC675" s="2"/>
      <c r="AD675" s="2"/>
      <c r="AE675" s="2"/>
      <c r="AF675" s="2"/>
    </row>
    <row r="676" spans="1:32" ht="12.75" customHeight="1">
      <c r="A676" s="2"/>
      <c r="B676" s="35"/>
      <c r="C676" s="2"/>
      <c r="D676" s="2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2"/>
      <c r="T676" s="2"/>
      <c r="U676" s="2"/>
      <c r="V676" s="2"/>
      <c r="W676" s="2"/>
      <c r="X676" s="2"/>
      <c r="Y676" s="64"/>
      <c r="Z676" s="64"/>
      <c r="AA676" s="2"/>
      <c r="AB676" s="2"/>
      <c r="AC676" s="2"/>
      <c r="AD676" s="2"/>
      <c r="AE676" s="2"/>
      <c r="AF676" s="2"/>
    </row>
    <row r="677" spans="1:32" ht="12.75" customHeight="1">
      <c r="A677" s="2"/>
      <c r="B677" s="35"/>
      <c r="C677" s="2"/>
      <c r="D677" s="2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2"/>
      <c r="T677" s="2"/>
      <c r="U677" s="2"/>
      <c r="V677" s="2"/>
      <c r="W677" s="2"/>
      <c r="X677" s="2"/>
      <c r="Y677" s="64"/>
      <c r="Z677" s="64"/>
      <c r="AA677" s="2"/>
      <c r="AB677" s="2"/>
      <c r="AC677" s="2"/>
      <c r="AD677" s="2"/>
      <c r="AE677" s="2"/>
      <c r="AF677" s="2"/>
    </row>
    <row r="678" spans="1:32" ht="12.75" customHeight="1">
      <c r="A678" s="2"/>
      <c r="B678" s="35"/>
      <c r="C678" s="2"/>
      <c r="D678" s="2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2"/>
      <c r="T678" s="2"/>
      <c r="U678" s="2"/>
      <c r="V678" s="2"/>
      <c r="W678" s="2"/>
      <c r="X678" s="2"/>
      <c r="Y678" s="64"/>
      <c r="Z678" s="64"/>
      <c r="AA678" s="2"/>
      <c r="AB678" s="2"/>
      <c r="AC678" s="2"/>
      <c r="AD678" s="2"/>
      <c r="AE678" s="2"/>
      <c r="AF678" s="2"/>
    </row>
    <row r="679" spans="1:32" ht="12.75" customHeight="1">
      <c r="A679" s="2"/>
      <c r="B679" s="35"/>
      <c r="C679" s="2"/>
      <c r="D679" s="2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2"/>
      <c r="T679" s="2"/>
      <c r="U679" s="2"/>
      <c r="V679" s="2"/>
      <c r="W679" s="2"/>
      <c r="X679" s="2"/>
      <c r="Y679" s="64"/>
      <c r="Z679" s="64"/>
      <c r="AA679" s="2"/>
      <c r="AB679" s="2"/>
      <c r="AC679" s="2"/>
      <c r="AD679" s="2"/>
      <c r="AE679" s="2"/>
      <c r="AF679" s="2"/>
    </row>
    <row r="680" spans="1:32" ht="12.75" customHeight="1">
      <c r="A680" s="2"/>
      <c r="B680" s="35"/>
      <c r="C680" s="2"/>
      <c r="D680" s="2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2"/>
      <c r="T680" s="2"/>
      <c r="U680" s="2"/>
      <c r="V680" s="2"/>
      <c r="W680" s="2"/>
      <c r="X680" s="2"/>
      <c r="Y680" s="64"/>
      <c r="Z680" s="64"/>
      <c r="AA680" s="2"/>
      <c r="AB680" s="2"/>
      <c r="AC680" s="2"/>
      <c r="AD680" s="2"/>
      <c r="AE680" s="2"/>
      <c r="AF680" s="2"/>
    </row>
    <row r="681" spans="1:32" ht="12.75" customHeight="1">
      <c r="A681" s="2"/>
      <c r="B681" s="35"/>
      <c r="C681" s="2"/>
      <c r="D681" s="2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2"/>
      <c r="T681" s="2"/>
      <c r="U681" s="2"/>
      <c r="V681" s="2"/>
      <c r="W681" s="2"/>
      <c r="X681" s="2"/>
      <c r="Y681" s="64"/>
      <c r="Z681" s="64"/>
      <c r="AA681" s="2"/>
      <c r="AB681" s="2"/>
      <c r="AC681" s="2"/>
      <c r="AD681" s="2"/>
      <c r="AE681" s="2"/>
      <c r="AF681" s="2"/>
    </row>
    <row r="682" spans="1:32" ht="12.75" customHeight="1">
      <c r="A682" s="2"/>
      <c r="B682" s="35"/>
      <c r="C682" s="2"/>
      <c r="D682" s="2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2"/>
      <c r="T682" s="2"/>
      <c r="U682" s="2"/>
      <c r="V682" s="2"/>
      <c r="W682" s="2"/>
      <c r="X682" s="2"/>
      <c r="Y682" s="64"/>
      <c r="Z682" s="64"/>
      <c r="AA682" s="2"/>
      <c r="AB682" s="2"/>
      <c r="AC682" s="2"/>
      <c r="AD682" s="2"/>
      <c r="AE682" s="2"/>
      <c r="AF682" s="2"/>
    </row>
    <row r="683" spans="1:32" ht="12.75" customHeight="1">
      <c r="A683" s="2"/>
      <c r="B683" s="35"/>
      <c r="C683" s="2"/>
      <c r="D683" s="2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2"/>
      <c r="T683" s="2"/>
      <c r="U683" s="2"/>
      <c r="V683" s="2"/>
      <c r="W683" s="2"/>
      <c r="X683" s="2"/>
      <c r="Y683" s="64"/>
      <c r="Z683" s="64"/>
      <c r="AA683" s="2"/>
      <c r="AB683" s="2"/>
      <c r="AC683" s="2"/>
      <c r="AD683" s="2"/>
      <c r="AE683" s="2"/>
      <c r="AF683" s="2"/>
    </row>
    <row r="684" spans="1:32" ht="12.75" customHeight="1">
      <c r="A684" s="2"/>
      <c r="B684" s="35"/>
      <c r="C684" s="2"/>
      <c r="D684" s="2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2"/>
      <c r="T684" s="2"/>
      <c r="U684" s="2"/>
      <c r="V684" s="2"/>
      <c r="W684" s="2"/>
      <c r="X684" s="2"/>
      <c r="Y684" s="64"/>
      <c r="Z684" s="64"/>
      <c r="AA684" s="2"/>
      <c r="AB684" s="2"/>
      <c r="AC684" s="2"/>
      <c r="AD684" s="2"/>
      <c r="AE684" s="2"/>
      <c r="AF684" s="2"/>
    </row>
    <row r="685" spans="1:32" ht="12.75" customHeight="1">
      <c r="A685" s="2"/>
      <c r="B685" s="35"/>
      <c r="C685" s="2"/>
      <c r="D685" s="2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2"/>
      <c r="T685" s="2"/>
      <c r="U685" s="2"/>
      <c r="V685" s="2"/>
      <c r="W685" s="2"/>
      <c r="X685" s="2"/>
      <c r="Y685" s="64"/>
      <c r="Z685" s="64"/>
      <c r="AA685" s="2"/>
      <c r="AB685" s="2"/>
      <c r="AC685" s="2"/>
      <c r="AD685" s="2"/>
      <c r="AE685" s="2"/>
      <c r="AF685" s="2"/>
    </row>
    <row r="686" spans="1:32" ht="12.75" customHeight="1">
      <c r="A686" s="2"/>
      <c r="B686" s="35"/>
      <c r="C686" s="2"/>
      <c r="D686" s="2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2"/>
      <c r="T686" s="2"/>
      <c r="U686" s="2"/>
      <c r="V686" s="2"/>
      <c r="W686" s="2"/>
      <c r="X686" s="2"/>
      <c r="Y686" s="64"/>
      <c r="Z686" s="64"/>
      <c r="AA686" s="2"/>
      <c r="AB686" s="2"/>
      <c r="AC686" s="2"/>
      <c r="AD686" s="2"/>
      <c r="AE686" s="2"/>
      <c r="AF686" s="2"/>
    </row>
    <row r="687" spans="1:32" ht="12.75" customHeight="1">
      <c r="A687" s="2"/>
      <c r="B687" s="35"/>
      <c r="C687" s="2"/>
      <c r="D687" s="2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2"/>
      <c r="T687" s="2"/>
      <c r="U687" s="2"/>
      <c r="V687" s="2"/>
      <c r="W687" s="2"/>
      <c r="X687" s="2"/>
      <c r="Y687" s="64"/>
      <c r="Z687" s="64"/>
      <c r="AA687" s="2"/>
      <c r="AB687" s="2"/>
      <c r="AC687" s="2"/>
      <c r="AD687" s="2"/>
      <c r="AE687" s="2"/>
      <c r="AF687" s="2"/>
    </row>
    <row r="688" spans="1:32" ht="12.75" customHeight="1">
      <c r="A688" s="2"/>
      <c r="B688" s="35"/>
      <c r="C688" s="2"/>
      <c r="D688" s="2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2"/>
      <c r="T688" s="2"/>
      <c r="U688" s="2"/>
      <c r="V688" s="2"/>
      <c r="W688" s="2"/>
      <c r="X688" s="2"/>
      <c r="Y688" s="64"/>
      <c r="Z688" s="64"/>
      <c r="AA688" s="2"/>
      <c r="AB688" s="2"/>
      <c r="AC688" s="2"/>
      <c r="AD688" s="2"/>
      <c r="AE688" s="2"/>
      <c r="AF688" s="2"/>
    </row>
    <row r="689" spans="1:32" ht="12.75" customHeight="1">
      <c r="A689" s="2"/>
      <c r="B689" s="35"/>
      <c r="C689" s="2"/>
      <c r="D689" s="2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2"/>
      <c r="T689" s="2"/>
      <c r="U689" s="2"/>
      <c r="V689" s="2"/>
      <c r="W689" s="2"/>
      <c r="X689" s="2"/>
      <c r="Y689" s="64"/>
      <c r="Z689" s="64"/>
      <c r="AA689" s="2"/>
      <c r="AB689" s="2"/>
      <c r="AC689" s="2"/>
      <c r="AD689" s="2"/>
      <c r="AE689" s="2"/>
      <c r="AF689" s="2"/>
    </row>
    <row r="690" spans="1:32" ht="12.75" customHeight="1">
      <c r="A690" s="2"/>
      <c r="B690" s="35"/>
      <c r="C690" s="2"/>
      <c r="D690" s="2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2"/>
      <c r="T690" s="2"/>
      <c r="U690" s="2"/>
      <c r="V690" s="2"/>
      <c r="W690" s="2"/>
      <c r="X690" s="2"/>
      <c r="Y690" s="64"/>
      <c r="Z690" s="64"/>
      <c r="AA690" s="2"/>
      <c r="AB690" s="2"/>
      <c r="AC690" s="2"/>
      <c r="AD690" s="2"/>
      <c r="AE690" s="2"/>
      <c r="AF690" s="2"/>
    </row>
    <row r="691" spans="1:32" ht="12.75" customHeight="1">
      <c r="A691" s="2"/>
      <c r="B691" s="35"/>
      <c r="C691" s="2"/>
      <c r="D691" s="2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2"/>
      <c r="T691" s="2"/>
      <c r="U691" s="2"/>
      <c r="V691" s="2"/>
      <c r="W691" s="2"/>
      <c r="X691" s="2"/>
      <c r="Y691" s="64"/>
      <c r="Z691" s="64"/>
      <c r="AA691" s="2"/>
      <c r="AB691" s="2"/>
      <c r="AC691" s="2"/>
      <c r="AD691" s="2"/>
      <c r="AE691" s="2"/>
      <c r="AF691" s="2"/>
    </row>
    <row r="692" spans="1:32" ht="12.75" customHeight="1">
      <c r="A692" s="2"/>
      <c r="B692" s="35"/>
      <c r="C692" s="2"/>
      <c r="D692" s="2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2"/>
      <c r="T692" s="2"/>
      <c r="U692" s="2"/>
      <c r="V692" s="2"/>
      <c r="W692" s="2"/>
      <c r="X692" s="2"/>
      <c r="Y692" s="64"/>
      <c r="Z692" s="64"/>
      <c r="AA692" s="2"/>
      <c r="AB692" s="2"/>
      <c r="AC692" s="2"/>
      <c r="AD692" s="2"/>
      <c r="AE692" s="2"/>
      <c r="AF692" s="2"/>
    </row>
    <row r="693" spans="1:32" ht="12.75" customHeight="1">
      <c r="A693" s="2"/>
      <c r="B693" s="35"/>
      <c r="C693" s="2"/>
      <c r="D693" s="2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2"/>
      <c r="T693" s="2"/>
      <c r="U693" s="2"/>
      <c r="V693" s="2"/>
      <c r="W693" s="2"/>
      <c r="X693" s="2"/>
      <c r="Y693" s="64"/>
      <c r="Z693" s="64"/>
      <c r="AA693" s="2"/>
      <c r="AB693" s="2"/>
      <c r="AC693" s="2"/>
      <c r="AD693" s="2"/>
      <c r="AE693" s="2"/>
      <c r="AF693" s="2"/>
    </row>
    <row r="694" spans="1:32" ht="12.75" customHeight="1">
      <c r="A694" s="2"/>
      <c r="B694" s="35"/>
      <c r="C694" s="2"/>
      <c r="D694" s="2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2"/>
      <c r="T694" s="2"/>
      <c r="U694" s="2"/>
      <c r="V694" s="2"/>
      <c r="W694" s="2"/>
      <c r="X694" s="2"/>
      <c r="Y694" s="64"/>
      <c r="Z694" s="64"/>
      <c r="AA694" s="2"/>
      <c r="AB694" s="2"/>
      <c r="AC694" s="2"/>
      <c r="AD694" s="2"/>
      <c r="AE694" s="2"/>
      <c r="AF694" s="2"/>
    </row>
    <row r="695" spans="1:32" ht="12.75" customHeight="1">
      <c r="A695" s="2"/>
      <c r="B695" s="35"/>
      <c r="C695" s="2"/>
      <c r="D695" s="2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2"/>
      <c r="T695" s="2"/>
      <c r="U695" s="2"/>
      <c r="V695" s="2"/>
      <c r="W695" s="2"/>
      <c r="X695" s="2"/>
      <c r="Y695" s="64"/>
      <c r="Z695" s="64"/>
      <c r="AA695" s="2"/>
      <c r="AB695" s="2"/>
      <c r="AC695" s="2"/>
      <c r="AD695" s="2"/>
      <c r="AE695" s="2"/>
      <c r="AF695" s="2"/>
    </row>
    <row r="696" spans="1:32" ht="12.75" customHeight="1">
      <c r="A696" s="2"/>
      <c r="B696" s="35"/>
      <c r="C696" s="2"/>
      <c r="D696" s="2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2"/>
      <c r="T696" s="2"/>
      <c r="U696" s="2"/>
      <c r="V696" s="2"/>
      <c r="W696" s="2"/>
      <c r="X696" s="2"/>
      <c r="Y696" s="64"/>
      <c r="Z696" s="64"/>
      <c r="AA696" s="2"/>
      <c r="AB696" s="2"/>
      <c r="AC696" s="2"/>
      <c r="AD696" s="2"/>
      <c r="AE696" s="2"/>
      <c r="AF696" s="2"/>
    </row>
    <row r="697" spans="1:32" ht="12.75" customHeight="1">
      <c r="A697" s="2"/>
      <c r="B697" s="35"/>
      <c r="C697" s="2"/>
      <c r="D697" s="2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2"/>
      <c r="T697" s="2"/>
      <c r="U697" s="2"/>
      <c r="V697" s="2"/>
      <c r="W697" s="2"/>
      <c r="X697" s="2"/>
      <c r="Y697" s="64"/>
      <c r="Z697" s="64"/>
      <c r="AA697" s="2"/>
      <c r="AB697" s="2"/>
      <c r="AC697" s="2"/>
      <c r="AD697" s="2"/>
      <c r="AE697" s="2"/>
      <c r="AF697" s="2"/>
    </row>
    <row r="698" spans="1:32" ht="12.75" customHeight="1">
      <c r="A698" s="2"/>
      <c r="B698" s="35"/>
      <c r="C698" s="2"/>
      <c r="D698" s="2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2"/>
      <c r="T698" s="2"/>
      <c r="U698" s="2"/>
      <c r="V698" s="2"/>
      <c r="W698" s="2"/>
      <c r="X698" s="2"/>
      <c r="Y698" s="64"/>
      <c r="Z698" s="64"/>
      <c r="AA698" s="2"/>
      <c r="AB698" s="2"/>
      <c r="AC698" s="2"/>
      <c r="AD698" s="2"/>
      <c r="AE698" s="2"/>
      <c r="AF698" s="2"/>
    </row>
    <row r="699" spans="1:32" ht="12.75" customHeight="1">
      <c r="A699" s="2"/>
      <c r="B699" s="35"/>
      <c r="C699" s="2"/>
      <c r="D699" s="2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2"/>
      <c r="T699" s="2"/>
      <c r="U699" s="2"/>
      <c r="V699" s="2"/>
      <c r="W699" s="2"/>
      <c r="X699" s="2"/>
      <c r="Y699" s="64"/>
      <c r="Z699" s="64"/>
      <c r="AA699" s="2"/>
      <c r="AB699" s="2"/>
      <c r="AC699" s="2"/>
      <c r="AD699" s="2"/>
      <c r="AE699" s="2"/>
      <c r="AF699" s="2"/>
    </row>
    <row r="700" spans="1:32" ht="12.75" customHeight="1">
      <c r="A700" s="2"/>
      <c r="B700" s="35"/>
      <c r="C700" s="2"/>
      <c r="D700" s="2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2"/>
      <c r="T700" s="2"/>
      <c r="U700" s="2"/>
      <c r="V700" s="2"/>
      <c r="W700" s="2"/>
      <c r="X700" s="2"/>
      <c r="Y700" s="64"/>
      <c r="Z700" s="64"/>
      <c r="AA700" s="2"/>
      <c r="AB700" s="2"/>
      <c r="AC700" s="2"/>
      <c r="AD700" s="2"/>
      <c r="AE700" s="2"/>
      <c r="AF700" s="2"/>
    </row>
    <row r="701" spans="1:32" ht="12.75" customHeight="1">
      <c r="A701" s="2"/>
      <c r="B701" s="35"/>
      <c r="C701" s="2"/>
      <c r="D701" s="2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2"/>
      <c r="T701" s="2"/>
      <c r="U701" s="2"/>
      <c r="V701" s="2"/>
      <c r="W701" s="2"/>
      <c r="X701" s="2"/>
      <c r="Y701" s="64"/>
      <c r="Z701" s="64"/>
      <c r="AA701" s="2"/>
      <c r="AB701" s="2"/>
      <c r="AC701" s="2"/>
      <c r="AD701" s="2"/>
      <c r="AE701" s="2"/>
      <c r="AF701" s="2"/>
    </row>
    <row r="702" spans="1:32" ht="12.75" customHeight="1">
      <c r="A702" s="2"/>
      <c r="B702" s="35"/>
      <c r="C702" s="2"/>
      <c r="D702" s="2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2"/>
      <c r="T702" s="2"/>
      <c r="U702" s="2"/>
      <c r="V702" s="2"/>
      <c r="W702" s="2"/>
      <c r="X702" s="2"/>
      <c r="Y702" s="64"/>
      <c r="Z702" s="64"/>
      <c r="AA702" s="2"/>
      <c r="AB702" s="2"/>
      <c r="AC702" s="2"/>
      <c r="AD702" s="2"/>
      <c r="AE702" s="2"/>
      <c r="AF702" s="2"/>
    </row>
    <row r="703" spans="1:32" ht="12.75" customHeight="1">
      <c r="A703" s="2"/>
      <c r="B703" s="35"/>
      <c r="C703" s="2"/>
      <c r="D703" s="2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2"/>
      <c r="T703" s="2"/>
      <c r="U703" s="2"/>
      <c r="V703" s="2"/>
      <c r="W703" s="2"/>
      <c r="X703" s="2"/>
      <c r="Y703" s="64"/>
      <c r="Z703" s="64"/>
      <c r="AA703" s="2"/>
      <c r="AB703" s="2"/>
      <c r="AC703" s="2"/>
      <c r="AD703" s="2"/>
      <c r="AE703" s="2"/>
      <c r="AF703" s="2"/>
    </row>
    <row r="704" spans="1:32" ht="12.75" customHeight="1">
      <c r="A704" s="2"/>
      <c r="B704" s="35"/>
      <c r="C704" s="2"/>
      <c r="D704" s="2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2"/>
      <c r="T704" s="2"/>
      <c r="U704" s="2"/>
      <c r="V704" s="2"/>
      <c r="W704" s="2"/>
      <c r="X704" s="2"/>
      <c r="Y704" s="64"/>
      <c r="Z704" s="64"/>
      <c r="AA704" s="2"/>
      <c r="AB704" s="2"/>
      <c r="AC704" s="2"/>
      <c r="AD704" s="2"/>
      <c r="AE704" s="2"/>
      <c r="AF704" s="2"/>
    </row>
    <row r="705" spans="1:32" ht="12.75" customHeight="1">
      <c r="A705" s="2"/>
      <c r="B705" s="35"/>
      <c r="C705" s="2"/>
      <c r="D705" s="2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2"/>
      <c r="T705" s="2"/>
      <c r="U705" s="2"/>
      <c r="V705" s="2"/>
      <c r="W705" s="2"/>
      <c r="X705" s="2"/>
      <c r="Y705" s="64"/>
      <c r="Z705" s="64"/>
      <c r="AA705" s="2"/>
      <c r="AB705" s="2"/>
      <c r="AC705" s="2"/>
      <c r="AD705" s="2"/>
      <c r="AE705" s="2"/>
      <c r="AF705" s="2"/>
    </row>
    <row r="706" spans="1:32" ht="12.75" customHeight="1">
      <c r="A706" s="2"/>
      <c r="B706" s="35"/>
      <c r="C706" s="2"/>
      <c r="D706" s="2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2"/>
      <c r="T706" s="2"/>
      <c r="U706" s="2"/>
      <c r="V706" s="2"/>
      <c r="W706" s="2"/>
      <c r="X706" s="2"/>
      <c r="Y706" s="64"/>
      <c r="Z706" s="64"/>
      <c r="AA706" s="2"/>
      <c r="AB706" s="2"/>
      <c r="AC706" s="2"/>
      <c r="AD706" s="2"/>
      <c r="AE706" s="2"/>
      <c r="AF706" s="2"/>
    </row>
    <row r="707" spans="1:32" ht="12.75" customHeight="1">
      <c r="A707" s="2"/>
      <c r="B707" s="35"/>
      <c r="C707" s="2"/>
      <c r="D707" s="2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2"/>
      <c r="T707" s="2"/>
      <c r="U707" s="2"/>
      <c r="V707" s="2"/>
      <c r="W707" s="2"/>
      <c r="X707" s="2"/>
      <c r="Y707" s="64"/>
      <c r="Z707" s="64"/>
      <c r="AA707" s="2"/>
      <c r="AB707" s="2"/>
      <c r="AC707" s="2"/>
      <c r="AD707" s="2"/>
      <c r="AE707" s="2"/>
      <c r="AF707" s="2"/>
    </row>
    <row r="708" spans="1:32" ht="12.75" customHeight="1">
      <c r="A708" s="2"/>
      <c r="B708" s="35"/>
      <c r="C708" s="2"/>
      <c r="D708" s="2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2"/>
      <c r="T708" s="2"/>
      <c r="U708" s="2"/>
      <c r="V708" s="2"/>
      <c r="W708" s="2"/>
      <c r="X708" s="2"/>
      <c r="Y708" s="64"/>
      <c r="Z708" s="64"/>
      <c r="AA708" s="2"/>
      <c r="AB708" s="2"/>
      <c r="AC708" s="2"/>
      <c r="AD708" s="2"/>
      <c r="AE708" s="2"/>
      <c r="AF708" s="2"/>
    </row>
    <row r="709" spans="1:32" ht="12.75" customHeight="1">
      <c r="A709" s="2"/>
      <c r="B709" s="35"/>
      <c r="C709" s="2"/>
      <c r="D709" s="2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2"/>
      <c r="T709" s="2"/>
      <c r="U709" s="2"/>
      <c r="V709" s="2"/>
      <c r="W709" s="2"/>
      <c r="X709" s="2"/>
      <c r="Y709" s="64"/>
      <c r="Z709" s="64"/>
      <c r="AA709" s="2"/>
      <c r="AB709" s="2"/>
      <c r="AC709" s="2"/>
      <c r="AD709" s="2"/>
      <c r="AE709" s="2"/>
      <c r="AF709" s="2"/>
    </row>
    <row r="710" spans="1:32" ht="12.75" customHeight="1">
      <c r="A710" s="2"/>
      <c r="B710" s="35"/>
      <c r="C710" s="2"/>
      <c r="D710" s="2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2"/>
      <c r="T710" s="2"/>
      <c r="U710" s="2"/>
      <c r="V710" s="2"/>
      <c r="W710" s="2"/>
      <c r="X710" s="2"/>
      <c r="Y710" s="64"/>
      <c r="Z710" s="64"/>
      <c r="AA710" s="2"/>
      <c r="AB710" s="2"/>
      <c r="AC710" s="2"/>
      <c r="AD710" s="2"/>
      <c r="AE710" s="2"/>
      <c r="AF710" s="2"/>
    </row>
    <row r="711" spans="1:32" ht="12.75" customHeight="1">
      <c r="A711" s="2"/>
      <c r="B711" s="35"/>
      <c r="C711" s="2"/>
      <c r="D711" s="2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2"/>
      <c r="T711" s="2"/>
      <c r="U711" s="2"/>
      <c r="V711" s="2"/>
      <c r="W711" s="2"/>
      <c r="X711" s="2"/>
      <c r="Y711" s="64"/>
      <c r="Z711" s="64"/>
      <c r="AA711" s="2"/>
      <c r="AB711" s="2"/>
      <c r="AC711" s="2"/>
      <c r="AD711" s="2"/>
      <c r="AE711" s="2"/>
      <c r="AF711" s="2"/>
    </row>
    <row r="712" spans="1:32" ht="12.75" customHeight="1">
      <c r="A712" s="2"/>
      <c r="B712" s="35"/>
      <c r="C712" s="2"/>
      <c r="D712" s="2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2"/>
      <c r="T712" s="2"/>
      <c r="U712" s="2"/>
      <c r="V712" s="2"/>
      <c r="W712" s="2"/>
      <c r="X712" s="2"/>
      <c r="Y712" s="64"/>
      <c r="Z712" s="64"/>
      <c r="AA712" s="2"/>
      <c r="AB712" s="2"/>
      <c r="AC712" s="2"/>
      <c r="AD712" s="2"/>
      <c r="AE712" s="2"/>
      <c r="AF712" s="2"/>
    </row>
    <row r="713" spans="1:32" ht="12.75" customHeight="1">
      <c r="A713" s="2"/>
      <c r="B713" s="35"/>
      <c r="C713" s="2"/>
      <c r="D713" s="2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2"/>
      <c r="T713" s="2"/>
      <c r="U713" s="2"/>
      <c r="V713" s="2"/>
      <c r="W713" s="2"/>
      <c r="X713" s="2"/>
      <c r="Y713" s="64"/>
      <c r="Z713" s="64"/>
      <c r="AA713" s="2"/>
      <c r="AB713" s="2"/>
      <c r="AC713" s="2"/>
      <c r="AD713" s="2"/>
      <c r="AE713" s="2"/>
      <c r="AF713" s="2"/>
    </row>
    <row r="714" spans="1:32" ht="12.75" customHeight="1">
      <c r="A714" s="2"/>
      <c r="B714" s="35"/>
      <c r="C714" s="2"/>
      <c r="D714" s="2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2"/>
      <c r="T714" s="2"/>
      <c r="U714" s="2"/>
      <c r="V714" s="2"/>
      <c r="W714" s="2"/>
      <c r="X714" s="2"/>
      <c r="Y714" s="64"/>
      <c r="Z714" s="64"/>
      <c r="AA714" s="2"/>
      <c r="AB714" s="2"/>
      <c r="AC714" s="2"/>
      <c r="AD714" s="2"/>
      <c r="AE714" s="2"/>
      <c r="AF714" s="2"/>
    </row>
    <row r="715" spans="1:32" ht="12.75" customHeight="1">
      <c r="A715" s="2"/>
      <c r="B715" s="35"/>
      <c r="C715" s="2"/>
      <c r="D715" s="2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2"/>
      <c r="T715" s="2"/>
      <c r="U715" s="2"/>
      <c r="V715" s="2"/>
      <c r="W715" s="2"/>
      <c r="X715" s="2"/>
      <c r="Y715" s="64"/>
      <c r="Z715" s="64"/>
      <c r="AA715" s="2"/>
      <c r="AB715" s="2"/>
      <c r="AC715" s="2"/>
      <c r="AD715" s="2"/>
      <c r="AE715" s="2"/>
      <c r="AF715" s="2"/>
    </row>
    <row r="716" spans="1:32" ht="12.75" customHeight="1">
      <c r="A716" s="2"/>
      <c r="B716" s="35"/>
      <c r="C716" s="2"/>
      <c r="D716" s="2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2"/>
      <c r="T716" s="2"/>
      <c r="U716" s="2"/>
      <c r="V716" s="2"/>
      <c r="W716" s="2"/>
      <c r="X716" s="2"/>
      <c r="Y716" s="64"/>
      <c r="Z716" s="64"/>
      <c r="AA716" s="2"/>
      <c r="AB716" s="2"/>
      <c r="AC716" s="2"/>
      <c r="AD716" s="2"/>
      <c r="AE716" s="2"/>
      <c r="AF716" s="2"/>
    </row>
    <row r="717" spans="1:32" ht="12.75" customHeight="1">
      <c r="A717" s="2"/>
      <c r="B717" s="35"/>
      <c r="C717" s="2"/>
      <c r="D717" s="2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2"/>
      <c r="T717" s="2"/>
      <c r="U717" s="2"/>
      <c r="V717" s="2"/>
      <c r="W717" s="2"/>
      <c r="X717" s="2"/>
      <c r="Y717" s="64"/>
      <c r="Z717" s="64"/>
      <c r="AA717" s="2"/>
      <c r="AB717" s="2"/>
      <c r="AC717" s="2"/>
      <c r="AD717" s="2"/>
      <c r="AE717" s="2"/>
      <c r="AF717" s="2"/>
    </row>
    <row r="718" spans="1:32" ht="12.75" customHeight="1">
      <c r="A718" s="2"/>
      <c r="B718" s="35"/>
      <c r="C718" s="2"/>
      <c r="D718" s="2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2"/>
      <c r="T718" s="2"/>
      <c r="U718" s="2"/>
      <c r="V718" s="2"/>
      <c r="W718" s="2"/>
      <c r="X718" s="2"/>
      <c r="Y718" s="64"/>
      <c r="Z718" s="64"/>
      <c r="AA718" s="2"/>
      <c r="AB718" s="2"/>
      <c r="AC718" s="2"/>
      <c r="AD718" s="2"/>
      <c r="AE718" s="2"/>
      <c r="AF718" s="2"/>
    </row>
    <row r="719" spans="1:32" ht="12.75" customHeight="1">
      <c r="A719" s="2"/>
      <c r="B719" s="35"/>
      <c r="C719" s="2"/>
      <c r="D719" s="2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2"/>
      <c r="T719" s="2"/>
      <c r="U719" s="2"/>
      <c r="V719" s="2"/>
      <c r="W719" s="2"/>
      <c r="X719" s="2"/>
      <c r="Y719" s="64"/>
      <c r="Z719" s="64"/>
      <c r="AA719" s="2"/>
      <c r="AB719" s="2"/>
      <c r="AC719" s="2"/>
      <c r="AD719" s="2"/>
      <c r="AE719" s="2"/>
      <c r="AF719" s="2"/>
    </row>
    <row r="720" spans="1:32" ht="12.75" customHeight="1">
      <c r="A720" s="2"/>
      <c r="B720" s="35"/>
      <c r="C720" s="2"/>
      <c r="D720" s="2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2"/>
      <c r="T720" s="2"/>
      <c r="U720" s="2"/>
      <c r="V720" s="2"/>
      <c r="W720" s="2"/>
      <c r="X720" s="2"/>
      <c r="Y720" s="64"/>
      <c r="Z720" s="64"/>
      <c r="AA720" s="2"/>
      <c r="AB720" s="2"/>
      <c r="AC720" s="2"/>
      <c r="AD720" s="2"/>
      <c r="AE720" s="2"/>
      <c r="AF720" s="2"/>
    </row>
    <row r="721" spans="1:32" ht="12.75" customHeight="1">
      <c r="A721" s="2"/>
      <c r="B721" s="35"/>
      <c r="C721" s="2"/>
      <c r="D721" s="2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2"/>
      <c r="T721" s="2"/>
      <c r="U721" s="2"/>
      <c r="V721" s="2"/>
      <c r="W721" s="2"/>
      <c r="X721" s="2"/>
      <c r="Y721" s="64"/>
      <c r="Z721" s="64"/>
      <c r="AA721" s="2"/>
      <c r="AB721" s="2"/>
      <c r="AC721" s="2"/>
      <c r="AD721" s="2"/>
      <c r="AE721" s="2"/>
      <c r="AF721" s="2"/>
    </row>
    <row r="722" spans="1:32" ht="12.75" customHeight="1">
      <c r="A722" s="2"/>
      <c r="B722" s="35"/>
      <c r="C722" s="2"/>
      <c r="D722" s="2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2"/>
      <c r="T722" s="2"/>
      <c r="U722" s="2"/>
      <c r="V722" s="2"/>
      <c r="W722" s="2"/>
      <c r="X722" s="2"/>
      <c r="Y722" s="64"/>
      <c r="Z722" s="64"/>
      <c r="AA722" s="2"/>
      <c r="AB722" s="2"/>
      <c r="AC722" s="2"/>
      <c r="AD722" s="2"/>
      <c r="AE722" s="2"/>
      <c r="AF722" s="2"/>
    </row>
    <row r="723" spans="1:32" ht="12.75" customHeight="1">
      <c r="A723" s="2"/>
      <c r="B723" s="35"/>
      <c r="C723" s="2"/>
      <c r="D723" s="2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2"/>
      <c r="T723" s="2"/>
      <c r="U723" s="2"/>
      <c r="V723" s="2"/>
      <c r="W723" s="2"/>
      <c r="X723" s="2"/>
      <c r="Y723" s="64"/>
      <c r="Z723" s="64"/>
      <c r="AA723" s="2"/>
      <c r="AB723" s="2"/>
      <c r="AC723" s="2"/>
      <c r="AD723" s="2"/>
      <c r="AE723" s="2"/>
      <c r="AF723" s="2"/>
    </row>
    <row r="724" spans="1:32" ht="12.75" customHeight="1">
      <c r="A724" s="2"/>
      <c r="B724" s="35"/>
      <c r="C724" s="2"/>
      <c r="D724" s="2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2"/>
      <c r="T724" s="2"/>
      <c r="U724" s="2"/>
      <c r="V724" s="2"/>
      <c r="W724" s="2"/>
      <c r="X724" s="2"/>
      <c r="Y724" s="64"/>
      <c r="Z724" s="64"/>
      <c r="AA724" s="2"/>
      <c r="AB724" s="2"/>
      <c r="AC724" s="2"/>
      <c r="AD724" s="2"/>
      <c r="AE724" s="2"/>
      <c r="AF724" s="2"/>
    </row>
    <row r="725" spans="1:32" ht="12.75" customHeight="1">
      <c r="A725" s="2"/>
      <c r="B725" s="35"/>
      <c r="C725" s="2"/>
      <c r="D725" s="2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2"/>
      <c r="T725" s="2"/>
      <c r="U725" s="2"/>
      <c r="V725" s="2"/>
      <c r="W725" s="2"/>
      <c r="X725" s="2"/>
      <c r="Y725" s="64"/>
      <c r="Z725" s="64"/>
      <c r="AA725" s="2"/>
      <c r="AB725" s="2"/>
      <c r="AC725" s="2"/>
      <c r="AD725" s="2"/>
      <c r="AE725" s="2"/>
      <c r="AF725" s="2"/>
    </row>
    <row r="726" spans="1:32" ht="12.75" customHeight="1">
      <c r="A726" s="2"/>
      <c r="B726" s="35"/>
      <c r="C726" s="2"/>
      <c r="D726" s="2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2"/>
      <c r="T726" s="2"/>
      <c r="U726" s="2"/>
      <c r="V726" s="2"/>
      <c r="W726" s="2"/>
      <c r="X726" s="2"/>
      <c r="Y726" s="64"/>
      <c r="Z726" s="64"/>
      <c r="AA726" s="2"/>
      <c r="AB726" s="2"/>
      <c r="AC726" s="2"/>
      <c r="AD726" s="2"/>
      <c r="AE726" s="2"/>
      <c r="AF726" s="2"/>
    </row>
    <row r="727" spans="1:32" ht="12.75" customHeight="1">
      <c r="A727" s="2"/>
      <c r="B727" s="35"/>
      <c r="C727" s="2"/>
      <c r="D727" s="2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2"/>
      <c r="T727" s="2"/>
      <c r="U727" s="2"/>
      <c r="V727" s="2"/>
      <c r="W727" s="2"/>
      <c r="X727" s="2"/>
      <c r="Y727" s="64"/>
      <c r="Z727" s="64"/>
      <c r="AA727" s="2"/>
      <c r="AB727" s="2"/>
      <c r="AC727" s="2"/>
      <c r="AD727" s="2"/>
      <c r="AE727" s="2"/>
      <c r="AF727" s="2"/>
    </row>
    <row r="728" spans="1:32" ht="12.75" customHeight="1">
      <c r="A728" s="2"/>
      <c r="B728" s="35"/>
      <c r="C728" s="2"/>
      <c r="D728" s="2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2"/>
      <c r="T728" s="2"/>
      <c r="U728" s="2"/>
      <c r="V728" s="2"/>
      <c r="W728" s="2"/>
      <c r="X728" s="2"/>
      <c r="Y728" s="64"/>
      <c r="Z728" s="64"/>
      <c r="AA728" s="2"/>
      <c r="AB728" s="2"/>
      <c r="AC728" s="2"/>
      <c r="AD728" s="2"/>
      <c r="AE728" s="2"/>
      <c r="AF728" s="2"/>
    </row>
    <row r="729" spans="1:32" ht="12.75" customHeight="1">
      <c r="A729" s="2"/>
      <c r="B729" s="35"/>
      <c r="C729" s="2"/>
      <c r="D729" s="2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2"/>
      <c r="T729" s="2"/>
      <c r="U729" s="2"/>
      <c r="V729" s="2"/>
      <c r="W729" s="2"/>
      <c r="X729" s="2"/>
      <c r="Y729" s="64"/>
      <c r="Z729" s="64"/>
      <c r="AA729" s="2"/>
      <c r="AB729" s="2"/>
      <c r="AC729" s="2"/>
      <c r="AD729" s="2"/>
      <c r="AE729" s="2"/>
      <c r="AF729" s="2"/>
    </row>
    <row r="730" spans="1:32" ht="12.75" customHeight="1">
      <c r="A730" s="2"/>
      <c r="B730" s="35"/>
      <c r="C730" s="2"/>
      <c r="D730" s="2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2"/>
      <c r="T730" s="2"/>
      <c r="U730" s="2"/>
      <c r="V730" s="2"/>
      <c r="W730" s="2"/>
      <c r="X730" s="2"/>
      <c r="Y730" s="64"/>
      <c r="Z730" s="64"/>
      <c r="AA730" s="2"/>
      <c r="AB730" s="2"/>
      <c r="AC730" s="2"/>
      <c r="AD730" s="2"/>
      <c r="AE730" s="2"/>
      <c r="AF730" s="2"/>
    </row>
    <row r="731" spans="1:32" ht="12.75" customHeight="1">
      <c r="A731" s="2"/>
      <c r="B731" s="35"/>
      <c r="C731" s="2"/>
      <c r="D731" s="2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2"/>
      <c r="T731" s="2"/>
      <c r="U731" s="2"/>
      <c r="V731" s="2"/>
      <c r="W731" s="2"/>
      <c r="X731" s="2"/>
      <c r="Y731" s="64"/>
      <c r="Z731" s="64"/>
      <c r="AA731" s="2"/>
      <c r="AB731" s="2"/>
      <c r="AC731" s="2"/>
      <c r="AD731" s="2"/>
      <c r="AE731" s="2"/>
      <c r="AF731" s="2"/>
    </row>
    <row r="732" spans="1:32" ht="12.75" customHeight="1">
      <c r="A732" s="2"/>
      <c r="B732" s="35"/>
      <c r="C732" s="2"/>
      <c r="D732" s="2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2"/>
      <c r="T732" s="2"/>
      <c r="U732" s="2"/>
      <c r="V732" s="2"/>
      <c r="W732" s="2"/>
      <c r="X732" s="2"/>
      <c r="Y732" s="64"/>
      <c r="Z732" s="64"/>
      <c r="AA732" s="2"/>
      <c r="AB732" s="2"/>
      <c r="AC732" s="2"/>
      <c r="AD732" s="2"/>
      <c r="AE732" s="2"/>
      <c r="AF732" s="2"/>
    </row>
    <row r="733" spans="1:32" ht="12.75" customHeight="1">
      <c r="A733" s="2"/>
      <c r="B733" s="35"/>
      <c r="C733" s="2"/>
      <c r="D733" s="2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2"/>
      <c r="T733" s="2"/>
      <c r="U733" s="2"/>
      <c r="V733" s="2"/>
      <c r="W733" s="2"/>
      <c r="X733" s="2"/>
      <c r="Y733" s="64"/>
      <c r="Z733" s="64"/>
      <c r="AA733" s="2"/>
      <c r="AB733" s="2"/>
      <c r="AC733" s="2"/>
      <c r="AD733" s="2"/>
      <c r="AE733" s="2"/>
      <c r="AF733" s="2"/>
    </row>
    <row r="734" spans="1:32" ht="12.75" customHeight="1">
      <c r="A734" s="2"/>
      <c r="B734" s="35"/>
      <c r="C734" s="2"/>
      <c r="D734" s="2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2"/>
      <c r="T734" s="2"/>
      <c r="U734" s="2"/>
      <c r="V734" s="2"/>
      <c r="W734" s="2"/>
      <c r="X734" s="2"/>
      <c r="Y734" s="64"/>
      <c r="Z734" s="64"/>
      <c r="AA734" s="2"/>
      <c r="AB734" s="2"/>
      <c r="AC734" s="2"/>
      <c r="AD734" s="2"/>
      <c r="AE734" s="2"/>
      <c r="AF734" s="2"/>
    </row>
    <row r="735" spans="1:32" ht="12.75" customHeight="1">
      <c r="A735" s="2"/>
      <c r="B735" s="35"/>
      <c r="C735" s="2"/>
      <c r="D735" s="2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2"/>
      <c r="T735" s="2"/>
      <c r="U735" s="2"/>
      <c r="V735" s="2"/>
      <c r="W735" s="2"/>
      <c r="X735" s="2"/>
      <c r="Y735" s="64"/>
      <c r="Z735" s="64"/>
      <c r="AA735" s="2"/>
      <c r="AB735" s="2"/>
      <c r="AC735" s="2"/>
      <c r="AD735" s="2"/>
      <c r="AE735" s="2"/>
      <c r="AF735" s="2"/>
    </row>
    <row r="736" spans="1:32" ht="12.75" customHeight="1">
      <c r="A736" s="2"/>
      <c r="B736" s="35"/>
      <c r="C736" s="2"/>
      <c r="D736" s="2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2"/>
      <c r="T736" s="2"/>
      <c r="U736" s="2"/>
      <c r="V736" s="2"/>
      <c r="W736" s="2"/>
      <c r="X736" s="2"/>
      <c r="Y736" s="64"/>
      <c r="Z736" s="64"/>
      <c r="AA736" s="2"/>
      <c r="AB736" s="2"/>
      <c r="AC736" s="2"/>
      <c r="AD736" s="2"/>
      <c r="AE736" s="2"/>
      <c r="AF736" s="2"/>
    </row>
    <row r="737" spans="1:32" ht="12.75" customHeight="1">
      <c r="A737" s="2"/>
      <c r="B737" s="35"/>
      <c r="C737" s="2"/>
      <c r="D737" s="2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2"/>
      <c r="T737" s="2"/>
      <c r="U737" s="2"/>
      <c r="V737" s="2"/>
      <c r="W737" s="2"/>
      <c r="X737" s="2"/>
      <c r="Y737" s="64"/>
      <c r="Z737" s="64"/>
      <c r="AA737" s="2"/>
      <c r="AB737" s="2"/>
      <c r="AC737" s="2"/>
      <c r="AD737" s="2"/>
      <c r="AE737" s="2"/>
      <c r="AF737" s="2"/>
    </row>
    <row r="738" spans="1:32" ht="12.75" customHeight="1">
      <c r="A738" s="2"/>
      <c r="B738" s="35"/>
      <c r="C738" s="2"/>
      <c r="D738" s="2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2"/>
      <c r="T738" s="2"/>
      <c r="U738" s="2"/>
      <c r="V738" s="2"/>
      <c r="W738" s="2"/>
      <c r="X738" s="2"/>
      <c r="Y738" s="64"/>
      <c r="Z738" s="64"/>
      <c r="AA738" s="2"/>
      <c r="AB738" s="2"/>
      <c r="AC738" s="2"/>
      <c r="AD738" s="2"/>
      <c r="AE738" s="2"/>
      <c r="AF738" s="2"/>
    </row>
    <row r="739" spans="1:32" ht="12.75" customHeight="1">
      <c r="A739" s="2"/>
      <c r="B739" s="35"/>
      <c r="C739" s="2"/>
      <c r="D739" s="2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2"/>
      <c r="T739" s="2"/>
      <c r="U739" s="2"/>
      <c r="V739" s="2"/>
      <c r="W739" s="2"/>
      <c r="X739" s="2"/>
      <c r="Y739" s="64"/>
      <c r="Z739" s="64"/>
      <c r="AA739" s="2"/>
      <c r="AB739" s="2"/>
      <c r="AC739" s="2"/>
      <c r="AD739" s="2"/>
      <c r="AE739" s="2"/>
      <c r="AF739" s="2"/>
    </row>
    <row r="740" spans="1:32" ht="12.75" customHeight="1">
      <c r="A740" s="2"/>
      <c r="B740" s="35"/>
      <c r="C740" s="2"/>
      <c r="D740" s="2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2"/>
      <c r="T740" s="2"/>
      <c r="U740" s="2"/>
      <c r="V740" s="2"/>
      <c r="W740" s="2"/>
      <c r="X740" s="2"/>
      <c r="Y740" s="64"/>
      <c r="Z740" s="64"/>
      <c r="AA740" s="2"/>
      <c r="AB740" s="2"/>
      <c r="AC740" s="2"/>
      <c r="AD740" s="2"/>
      <c r="AE740" s="2"/>
      <c r="AF740" s="2"/>
    </row>
    <row r="741" spans="1:32" ht="12.75" customHeight="1">
      <c r="A741" s="2"/>
      <c r="B741" s="35"/>
      <c r="C741" s="2"/>
      <c r="D741" s="2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2"/>
      <c r="T741" s="2"/>
      <c r="U741" s="2"/>
      <c r="V741" s="2"/>
      <c r="W741" s="2"/>
      <c r="X741" s="2"/>
      <c r="Y741" s="64"/>
      <c r="Z741" s="64"/>
      <c r="AA741" s="2"/>
      <c r="AB741" s="2"/>
      <c r="AC741" s="2"/>
      <c r="AD741" s="2"/>
      <c r="AE741" s="2"/>
      <c r="AF741" s="2"/>
    </row>
    <row r="742" spans="1:32" ht="12.75" customHeight="1">
      <c r="A742" s="2"/>
      <c r="B742" s="35"/>
      <c r="C742" s="2"/>
      <c r="D742" s="2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2"/>
      <c r="T742" s="2"/>
      <c r="U742" s="2"/>
      <c r="V742" s="2"/>
      <c r="W742" s="2"/>
      <c r="X742" s="2"/>
      <c r="Y742" s="64"/>
      <c r="Z742" s="64"/>
      <c r="AA742" s="2"/>
      <c r="AB742" s="2"/>
      <c r="AC742" s="2"/>
      <c r="AD742" s="2"/>
      <c r="AE742" s="2"/>
      <c r="AF742" s="2"/>
    </row>
    <row r="743" spans="1:32" ht="12.75" customHeight="1">
      <c r="A743" s="2"/>
      <c r="B743" s="35"/>
      <c r="C743" s="2"/>
      <c r="D743" s="2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2"/>
      <c r="T743" s="2"/>
      <c r="U743" s="2"/>
      <c r="V743" s="2"/>
      <c r="W743" s="2"/>
      <c r="X743" s="2"/>
      <c r="Y743" s="64"/>
      <c r="Z743" s="64"/>
      <c r="AA743" s="2"/>
      <c r="AB743" s="2"/>
      <c r="AC743" s="2"/>
      <c r="AD743" s="2"/>
      <c r="AE743" s="2"/>
      <c r="AF743" s="2"/>
    </row>
    <row r="744" spans="1:32" ht="12.75" customHeight="1">
      <c r="A744" s="2"/>
      <c r="B744" s="35"/>
      <c r="C744" s="2"/>
      <c r="D744" s="2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2"/>
      <c r="T744" s="2"/>
      <c r="U744" s="2"/>
      <c r="V744" s="2"/>
      <c r="W744" s="2"/>
      <c r="X744" s="2"/>
      <c r="Y744" s="64"/>
      <c r="Z744" s="64"/>
      <c r="AA744" s="2"/>
      <c r="AB744" s="2"/>
      <c r="AC744" s="2"/>
      <c r="AD744" s="2"/>
      <c r="AE744" s="2"/>
      <c r="AF744" s="2"/>
    </row>
    <row r="745" spans="1:32" ht="12.75" customHeight="1">
      <c r="A745" s="2"/>
      <c r="B745" s="35"/>
      <c r="C745" s="2"/>
      <c r="D745" s="2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2"/>
      <c r="T745" s="2"/>
      <c r="U745" s="2"/>
      <c r="V745" s="2"/>
      <c r="W745" s="2"/>
      <c r="X745" s="2"/>
      <c r="Y745" s="64"/>
      <c r="Z745" s="64"/>
      <c r="AA745" s="2"/>
      <c r="AB745" s="2"/>
      <c r="AC745" s="2"/>
      <c r="AD745" s="2"/>
      <c r="AE745" s="2"/>
      <c r="AF745" s="2"/>
    </row>
    <row r="746" spans="1:32" ht="12.75" customHeight="1">
      <c r="A746" s="2"/>
      <c r="B746" s="35"/>
      <c r="C746" s="2"/>
      <c r="D746" s="2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2"/>
      <c r="T746" s="2"/>
      <c r="U746" s="2"/>
      <c r="V746" s="2"/>
      <c r="W746" s="2"/>
      <c r="X746" s="2"/>
      <c r="Y746" s="64"/>
      <c r="Z746" s="64"/>
      <c r="AA746" s="2"/>
      <c r="AB746" s="2"/>
      <c r="AC746" s="2"/>
      <c r="AD746" s="2"/>
      <c r="AE746" s="2"/>
      <c r="AF746" s="2"/>
    </row>
    <row r="747" spans="1:32" ht="12.75" customHeight="1">
      <c r="A747" s="2"/>
      <c r="B747" s="35"/>
      <c r="C747" s="2"/>
      <c r="D747" s="2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2"/>
      <c r="T747" s="2"/>
      <c r="U747" s="2"/>
      <c r="V747" s="2"/>
      <c r="W747" s="2"/>
      <c r="X747" s="2"/>
      <c r="Y747" s="64"/>
      <c r="Z747" s="64"/>
      <c r="AA747" s="2"/>
      <c r="AB747" s="2"/>
      <c r="AC747" s="2"/>
      <c r="AD747" s="2"/>
      <c r="AE747" s="2"/>
      <c r="AF747" s="2"/>
    </row>
    <row r="748" spans="1:32" ht="12.75" customHeight="1">
      <c r="A748" s="2"/>
      <c r="B748" s="35"/>
      <c r="C748" s="2"/>
      <c r="D748" s="2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2"/>
      <c r="T748" s="2"/>
      <c r="U748" s="2"/>
      <c r="V748" s="2"/>
      <c r="W748" s="2"/>
      <c r="X748" s="2"/>
      <c r="Y748" s="64"/>
      <c r="Z748" s="64"/>
      <c r="AA748" s="2"/>
      <c r="AB748" s="2"/>
      <c r="AC748" s="2"/>
      <c r="AD748" s="2"/>
      <c r="AE748" s="2"/>
      <c r="AF748" s="2"/>
    </row>
    <row r="749" spans="1:32" ht="12.75" customHeight="1">
      <c r="A749" s="2"/>
      <c r="B749" s="35"/>
      <c r="C749" s="2"/>
      <c r="D749" s="2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2"/>
      <c r="T749" s="2"/>
      <c r="U749" s="2"/>
      <c r="V749" s="2"/>
      <c r="W749" s="2"/>
      <c r="X749" s="2"/>
      <c r="Y749" s="64"/>
      <c r="Z749" s="64"/>
      <c r="AA749" s="2"/>
      <c r="AB749" s="2"/>
      <c r="AC749" s="2"/>
      <c r="AD749" s="2"/>
      <c r="AE749" s="2"/>
      <c r="AF749" s="2"/>
    </row>
    <row r="750" spans="1:32" ht="12.75" customHeight="1">
      <c r="A750" s="2"/>
      <c r="B750" s="35"/>
      <c r="C750" s="2"/>
      <c r="D750" s="2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2"/>
      <c r="T750" s="2"/>
      <c r="U750" s="2"/>
      <c r="V750" s="2"/>
      <c r="W750" s="2"/>
      <c r="X750" s="2"/>
      <c r="Y750" s="64"/>
      <c r="Z750" s="64"/>
      <c r="AA750" s="2"/>
      <c r="AB750" s="2"/>
      <c r="AC750" s="2"/>
      <c r="AD750" s="2"/>
      <c r="AE750" s="2"/>
      <c r="AF750" s="2"/>
    </row>
    <row r="751" spans="1:32" ht="12.75" customHeight="1">
      <c r="A751" s="2"/>
      <c r="B751" s="35"/>
      <c r="C751" s="2"/>
      <c r="D751" s="2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2"/>
      <c r="T751" s="2"/>
      <c r="U751" s="2"/>
      <c r="V751" s="2"/>
      <c r="W751" s="2"/>
      <c r="X751" s="2"/>
      <c r="Y751" s="64"/>
      <c r="Z751" s="64"/>
      <c r="AA751" s="2"/>
      <c r="AB751" s="2"/>
      <c r="AC751" s="2"/>
      <c r="AD751" s="2"/>
      <c r="AE751" s="2"/>
      <c r="AF751" s="2"/>
    </row>
    <row r="752" spans="1:32" ht="12.75" customHeight="1">
      <c r="A752" s="2"/>
      <c r="B752" s="35"/>
      <c r="C752" s="2"/>
      <c r="D752" s="2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2"/>
      <c r="T752" s="2"/>
      <c r="U752" s="2"/>
      <c r="V752" s="2"/>
      <c r="W752" s="2"/>
      <c r="X752" s="2"/>
      <c r="Y752" s="64"/>
      <c r="Z752" s="64"/>
      <c r="AA752" s="2"/>
      <c r="AB752" s="2"/>
      <c r="AC752" s="2"/>
      <c r="AD752" s="2"/>
      <c r="AE752" s="2"/>
      <c r="AF752" s="2"/>
    </row>
    <row r="753" spans="1:32" ht="12.75" customHeight="1">
      <c r="A753" s="2"/>
      <c r="B753" s="35"/>
      <c r="C753" s="2"/>
      <c r="D753" s="2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2"/>
      <c r="T753" s="2"/>
      <c r="U753" s="2"/>
      <c r="V753" s="2"/>
      <c r="W753" s="2"/>
      <c r="X753" s="2"/>
      <c r="Y753" s="64"/>
      <c r="Z753" s="64"/>
      <c r="AA753" s="2"/>
      <c r="AB753" s="2"/>
      <c r="AC753" s="2"/>
      <c r="AD753" s="2"/>
      <c r="AE753" s="2"/>
      <c r="AF753" s="2"/>
    </row>
    <row r="754" spans="1:32" ht="12.75" customHeight="1">
      <c r="A754" s="2"/>
      <c r="B754" s="35"/>
      <c r="C754" s="2"/>
      <c r="D754" s="2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2"/>
      <c r="T754" s="2"/>
      <c r="U754" s="2"/>
      <c r="V754" s="2"/>
      <c r="W754" s="2"/>
      <c r="X754" s="2"/>
      <c r="Y754" s="64"/>
      <c r="Z754" s="64"/>
      <c r="AA754" s="2"/>
      <c r="AB754" s="2"/>
      <c r="AC754" s="2"/>
      <c r="AD754" s="2"/>
      <c r="AE754" s="2"/>
      <c r="AF754" s="2"/>
    </row>
    <row r="755" spans="1:32" ht="12.75" customHeight="1">
      <c r="A755" s="2"/>
      <c r="B755" s="35"/>
      <c r="C755" s="2"/>
      <c r="D755" s="2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2"/>
      <c r="T755" s="2"/>
      <c r="U755" s="2"/>
      <c r="V755" s="2"/>
      <c r="W755" s="2"/>
      <c r="X755" s="2"/>
      <c r="Y755" s="64"/>
      <c r="Z755" s="64"/>
      <c r="AA755" s="2"/>
      <c r="AB755" s="2"/>
      <c r="AC755" s="2"/>
      <c r="AD755" s="2"/>
      <c r="AE755" s="2"/>
      <c r="AF755" s="2"/>
    </row>
    <row r="756" spans="1:32" ht="12.75" customHeight="1">
      <c r="A756" s="2"/>
      <c r="B756" s="35"/>
      <c r="C756" s="2"/>
      <c r="D756" s="2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2"/>
      <c r="T756" s="2"/>
      <c r="U756" s="2"/>
      <c r="V756" s="2"/>
      <c r="W756" s="2"/>
      <c r="X756" s="2"/>
      <c r="Y756" s="64"/>
      <c r="Z756" s="64"/>
      <c r="AA756" s="2"/>
      <c r="AB756" s="2"/>
      <c r="AC756" s="2"/>
      <c r="AD756" s="2"/>
      <c r="AE756" s="2"/>
      <c r="AF756" s="2"/>
    </row>
    <row r="757" spans="1:32" ht="12.75" customHeight="1">
      <c r="A757" s="2"/>
      <c r="B757" s="35"/>
      <c r="C757" s="2"/>
      <c r="D757" s="2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2"/>
      <c r="T757" s="2"/>
      <c r="U757" s="2"/>
      <c r="V757" s="2"/>
      <c r="W757" s="2"/>
      <c r="X757" s="2"/>
      <c r="Y757" s="64"/>
      <c r="Z757" s="64"/>
      <c r="AA757" s="2"/>
      <c r="AB757" s="2"/>
      <c r="AC757" s="2"/>
      <c r="AD757" s="2"/>
      <c r="AE757" s="2"/>
      <c r="AF757" s="2"/>
    </row>
    <row r="758" spans="1:32" ht="12.75" customHeight="1">
      <c r="A758" s="2"/>
      <c r="B758" s="35"/>
      <c r="C758" s="2"/>
      <c r="D758" s="2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2"/>
      <c r="T758" s="2"/>
      <c r="U758" s="2"/>
      <c r="V758" s="2"/>
      <c r="W758" s="2"/>
      <c r="X758" s="2"/>
      <c r="Y758" s="64"/>
      <c r="Z758" s="64"/>
      <c r="AA758" s="2"/>
      <c r="AB758" s="2"/>
      <c r="AC758" s="2"/>
      <c r="AD758" s="2"/>
      <c r="AE758" s="2"/>
      <c r="AF758" s="2"/>
    </row>
    <row r="759" spans="1:32" ht="12.75" customHeight="1">
      <c r="A759" s="2"/>
      <c r="B759" s="35"/>
      <c r="C759" s="2"/>
      <c r="D759" s="2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2"/>
      <c r="T759" s="2"/>
      <c r="U759" s="2"/>
      <c r="V759" s="2"/>
      <c r="W759" s="2"/>
      <c r="X759" s="2"/>
      <c r="Y759" s="64"/>
      <c r="Z759" s="64"/>
      <c r="AA759" s="2"/>
      <c r="AB759" s="2"/>
      <c r="AC759" s="2"/>
      <c r="AD759" s="2"/>
      <c r="AE759" s="2"/>
      <c r="AF759" s="2"/>
    </row>
    <row r="760" spans="1:32" ht="12.75" customHeight="1">
      <c r="A760" s="2"/>
      <c r="B760" s="35"/>
      <c r="C760" s="2"/>
      <c r="D760" s="2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2"/>
      <c r="T760" s="2"/>
      <c r="U760" s="2"/>
      <c r="V760" s="2"/>
      <c r="W760" s="2"/>
      <c r="X760" s="2"/>
      <c r="Y760" s="64"/>
      <c r="Z760" s="64"/>
      <c r="AA760" s="2"/>
      <c r="AB760" s="2"/>
      <c r="AC760" s="2"/>
      <c r="AD760" s="2"/>
      <c r="AE760" s="2"/>
      <c r="AF760" s="2"/>
    </row>
    <row r="761" spans="1:32" ht="12.75" customHeight="1">
      <c r="A761" s="2"/>
      <c r="B761" s="35"/>
      <c r="C761" s="2"/>
      <c r="D761" s="2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2"/>
      <c r="T761" s="2"/>
      <c r="U761" s="2"/>
      <c r="V761" s="2"/>
      <c r="W761" s="2"/>
      <c r="X761" s="2"/>
      <c r="Y761" s="64"/>
      <c r="Z761" s="64"/>
      <c r="AA761" s="2"/>
      <c r="AB761" s="2"/>
      <c r="AC761" s="2"/>
      <c r="AD761" s="2"/>
      <c r="AE761" s="2"/>
      <c r="AF761" s="2"/>
    </row>
    <row r="762" spans="1:32" ht="12.75" customHeight="1">
      <c r="A762" s="2"/>
      <c r="B762" s="35"/>
      <c r="C762" s="2"/>
      <c r="D762" s="2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2"/>
      <c r="T762" s="2"/>
      <c r="U762" s="2"/>
      <c r="V762" s="2"/>
      <c r="W762" s="2"/>
      <c r="X762" s="2"/>
      <c r="Y762" s="64"/>
      <c r="Z762" s="64"/>
      <c r="AA762" s="2"/>
      <c r="AB762" s="2"/>
      <c r="AC762" s="2"/>
      <c r="AD762" s="2"/>
      <c r="AE762" s="2"/>
      <c r="AF762" s="2"/>
    </row>
    <row r="763" spans="1:32" ht="12.75" customHeight="1">
      <c r="A763" s="2"/>
      <c r="B763" s="35"/>
      <c r="C763" s="2"/>
      <c r="D763" s="2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2"/>
      <c r="T763" s="2"/>
      <c r="U763" s="2"/>
      <c r="V763" s="2"/>
      <c r="W763" s="2"/>
      <c r="X763" s="2"/>
      <c r="Y763" s="64"/>
      <c r="Z763" s="64"/>
      <c r="AA763" s="2"/>
      <c r="AB763" s="2"/>
      <c r="AC763" s="2"/>
      <c r="AD763" s="2"/>
      <c r="AE763" s="2"/>
      <c r="AF763" s="2"/>
    </row>
    <row r="764" spans="1:32" ht="12.75" customHeight="1">
      <c r="A764" s="2"/>
      <c r="B764" s="35"/>
      <c r="C764" s="2"/>
      <c r="D764" s="2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2"/>
      <c r="T764" s="2"/>
      <c r="U764" s="2"/>
      <c r="V764" s="2"/>
      <c r="W764" s="2"/>
      <c r="X764" s="2"/>
      <c r="Y764" s="64"/>
      <c r="Z764" s="64"/>
      <c r="AA764" s="2"/>
      <c r="AB764" s="2"/>
      <c r="AC764" s="2"/>
      <c r="AD764" s="2"/>
      <c r="AE764" s="2"/>
      <c r="AF764" s="2"/>
    </row>
    <row r="765" spans="1:32" ht="12.75" customHeight="1">
      <c r="A765" s="2"/>
      <c r="B765" s="35"/>
      <c r="C765" s="2"/>
      <c r="D765" s="2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2"/>
      <c r="T765" s="2"/>
      <c r="U765" s="2"/>
      <c r="V765" s="2"/>
      <c r="W765" s="2"/>
      <c r="X765" s="2"/>
      <c r="Y765" s="64"/>
      <c r="Z765" s="64"/>
      <c r="AA765" s="2"/>
      <c r="AB765" s="2"/>
      <c r="AC765" s="2"/>
      <c r="AD765" s="2"/>
      <c r="AE765" s="2"/>
      <c r="AF765" s="2"/>
    </row>
    <row r="766" spans="1:32" ht="12.75" customHeight="1">
      <c r="A766" s="2"/>
      <c r="B766" s="35"/>
      <c r="C766" s="2"/>
      <c r="D766" s="2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2"/>
      <c r="T766" s="2"/>
      <c r="U766" s="2"/>
      <c r="V766" s="2"/>
      <c r="W766" s="2"/>
      <c r="X766" s="2"/>
      <c r="Y766" s="64"/>
      <c r="Z766" s="64"/>
      <c r="AA766" s="2"/>
      <c r="AB766" s="2"/>
      <c r="AC766" s="2"/>
      <c r="AD766" s="2"/>
      <c r="AE766" s="2"/>
      <c r="AF766" s="2"/>
    </row>
    <row r="767" spans="1:32" ht="12.75" customHeight="1">
      <c r="A767" s="2"/>
      <c r="B767" s="35"/>
      <c r="C767" s="2"/>
      <c r="D767" s="2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2"/>
      <c r="T767" s="2"/>
      <c r="U767" s="2"/>
      <c r="V767" s="2"/>
      <c r="W767" s="2"/>
      <c r="X767" s="2"/>
      <c r="Y767" s="64"/>
      <c r="Z767" s="64"/>
      <c r="AA767" s="2"/>
      <c r="AB767" s="2"/>
      <c r="AC767" s="2"/>
      <c r="AD767" s="2"/>
      <c r="AE767" s="2"/>
      <c r="AF767" s="2"/>
    </row>
    <row r="768" spans="1:32" ht="12.75" customHeight="1">
      <c r="A768" s="2"/>
      <c r="B768" s="35"/>
      <c r="C768" s="2"/>
      <c r="D768" s="2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2"/>
      <c r="T768" s="2"/>
      <c r="U768" s="2"/>
      <c r="V768" s="2"/>
      <c r="W768" s="2"/>
      <c r="X768" s="2"/>
      <c r="Y768" s="64"/>
      <c r="Z768" s="64"/>
      <c r="AA768" s="2"/>
      <c r="AB768" s="2"/>
      <c r="AC768" s="2"/>
      <c r="AD768" s="2"/>
      <c r="AE768" s="2"/>
      <c r="AF768" s="2"/>
    </row>
    <row r="769" spans="1:32" ht="12.75" customHeight="1">
      <c r="A769" s="2"/>
      <c r="B769" s="35"/>
      <c r="C769" s="2"/>
      <c r="D769" s="2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2"/>
      <c r="T769" s="2"/>
      <c r="U769" s="2"/>
      <c r="V769" s="2"/>
      <c r="W769" s="2"/>
      <c r="X769" s="2"/>
      <c r="Y769" s="64"/>
      <c r="Z769" s="64"/>
      <c r="AA769" s="2"/>
      <c r="AB769" s="2"/>
      <c r="AC769" s="2"/>
      <c r="AD769" s="2"/>
      <c r="AE769" s="2"/>
      <c r="AF769" s="2"/>
    </row>
    <row r="770" spans="1:32" ht="12.75" customHeight="1">
      <c r="A770" s="2"/>
      <c r="B770" s="35"/>
      <c r="C770" s="2"/>
      <c r="D770" s="2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2"/>
      <c r="T770" s="2"/>
      <c r="U770" s="2"/>
      <c r="V770" s="2"/>
      <c r="W770" s="2"/>
      <c r="X770" s="2"/>
      <c r="Y770" s="64"/>
      <c r="Z770" s="64"/>
      <c r="AA770" s="2"/>
      <c r="AB770" s="2"/>
      <c r="AC770" s="2"/>
      <c r="AD770" s="2"/>
      <c r="AE770" s="2"/>
      <c r="AF770" s="2"/>
    </row>
    <row r="771" spans="1:32" ht="12.75" customHeight="1">
      <c r="A771" s="2"/>
      <c r="B771" s="35"/>
      <c r="C771" s="2"/>
      <c r="D771" s="2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2"/>
      <c r="T771" s="2"/>
      <c r="U771" s="2"/>
      <c r="V771" s="2"/>
      <c r="W771" s="2"/>
      <c r="X771" s="2"/>
      <c r="Y771" s="64"/>
      <c r="Z771" s="64"/>
      <c r="AA771" s="2"/>
      <c r="AB771" s="2"/>
      <c r="AC771" s="2"/>
      <c r="AD771" s="2"/>
      <c r="AE771" s="2"/>
      <c r="AF771" s="2"/>
    </row>
    <row r="772" spans="1:32" ht="12.75" customHeight="1">
      <c r="A772" s="2"/>
      <c r="B772" s="35"/>
      <c r="C772" s="2"/>
      <c r="D772" s="2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2"/>
      <c r="T772" s="2"/>
      <c r="U772" s="2"/>
      <c r="V772" s="2"/>
      <c r="W772" s="2"/>
      <c r="X772" s="2"/>
      <c r="Y772" s="64"/>
      <c r="Z772" s="64"/>
      <c r="AA772" s="2"/>
      <c r="AB772" s="2"/>
      <c r="AC772" s="2"/>
      <c r="AD772" s="2"/>
      <c r="AE772" s="2"/>
      <c r="AF772" s="2"/>
    </row>
    <row r="773" spans="1:32" ht="12.75" customHeight="1">
      <c r="A773" s="2"/>
      <c r="B773" s="35"/>
      <c r="C773" s="2"/>
      <c r="D773" s="2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2"/>
      <c r="T773" s="2"/>
      <c r="U773" s="2"/>
      <c r="V773" s="2"/>
      <c r="W773" s="2"/>
      <c r="X773" s="2"/>
      <c r="Y773" s="64"/>
      <c r="Z773" s="64"/>
      <c r="AA773" s="2"/>
      <c r="AB773" s="2"/>
      <c r="AC773" s="2"/>
      <c r="AD773" s="2"/>
      <c r="AE773" s="2"/>
      <c r="AF773" s="2"/>
    </row>
    <row r="774" spans="1:32" ht="12.75" customHeight="1">
      <c r="A774" s="2"/>
      <c r="B774" s="35"/>
      <c r="C774" s="2"/>
      <c r="D774" s="2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2"/>
      <c r="T774" s="2"/>
      <c r="U774" s="2"/>
      <c r="V774" s="2"/>
      <c r="W774" s="2"/>
      <c r="X774" s="2"/>
      <c r="Y774" s="64"/>
      <c r="Z774" s="64"/>
      <c r="AA774" s="2"/>
      <c r="AB774" s="2"/>
      <c r="AC774" s="2"/>
      <c r="AD774" s="2"/>
      <c r="AE774" s="2"/>
      <c r="AF774" s="2"/>
    </row>
    <row r="775" spans="1:32" ht="12.75" customHeight="1">
      <c r="A775" s="2"/>
      <c r="B775" s="35"/>
      <c r="C775" s="2"/>
      <c r="D775" s="2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2"/>
      <c r="T775" s="2"/>
      <c r="U775" s="2"/>
      <c r="V775" s="2"/>
      <c r="W775" s="2"/>
      <c r="X775" s="2"/>
      <c r="Y775" s="64"/>
      <c r="Z775" s="64"/>
      <c r="AA775" s="2"/>
      <c r="AB775" s="2"/>
      <c r="AC775" s="2"/>
      <c r="AD775" s="2"/>
      <c r="AE775" s="2"/>
      <c r="AF775" s="2"/>
    </row>
    <row r="776" spans="1:32" ht="12.75" customHeight="1">
      <c r="A776" s="2"/>
      <c r="B776" s="35"/>
      <c r="C776" s="2"/>
      <c r="D776" s="2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2"/>
      <c r="T776" s="2"/>
      <c r="U776" s="2"/>
      <c r="V776" s="2"/>
      <c r="W776" s="2"/>
      <c r="X776" s="2"/>
      <c r="Y776" s="64"/>
      <c r="Z776" s="64"/>
      <c r="AA776" s="2"/>
      <c r="AB776" s="2"/>
      <c r="AC776" s="2"/>
      <c r="AD776" s="2"/>
      <c r="AE776" s="2"/>
      <c r="AF776" s="2"/>
    </row>
    <row r="777" spans="1:32" ht="12.75" customHeight="1">
      <c r="A777" s="2"/>
      <c r="B777" s="35"/>
      <c r="C777" s="2"/>
      <c r="D777" s="2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2"/>
      <c r="T777" s="2"/>
      <c r="U777" s="2"/>
      <c r="V777" s="2"/>
      <c r="W777" s="2"/>
      <c r="X777" s="2"/>
      <c r="Y777" s="64"/>
      <c r="Z777" s="64"/>
      <c r="AA777" s="2"/>
      <c r="AB777" s="2"/>
      <c r="AC777" s="2"/>
      <c r="AD777" s="2"/>
      <c r="AE777" s="2"/>
      <c r="AF777" s="2"/>
    </row>
    <row r="778" spans="1:32" ht="12.75" customHeight="1">
      <c r="A778" s="2"/>
      <c r="B778" s="35"/>
      <c r="C778" s="2"/>
      <c r="D778" s="2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2"/>
      <c r="T778" s="2"/>
      <c r="U778" s="2"/>
      <c r="V778" s="2"/>
      <c r="W778" s="2"/>
      <c r="X778" s="2"/>
      <c r="Y778" s="64"/>
      <c r="Z778" s="64"/>
      <c r="AA778" s="2"/>
      <c r="AB778" s="2"/>
      <c r="AC778" s="2"/>
      <c r="AD778" s="2"/>
      <c r="AE778" s="2"/>
      <c r="AF778" s="2"/>
    </row>
    <row r="779" spans="1:32" ht="12.75" customHeight="1">
      <c r="A779" s="2"/>
      <c r="B779" s="35"/>
      <c r="C779" s="2"/>
      <c r="D779" s="2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2"/>
      <c r="T779" s="2"/>
      <c r="U779" s="2"/>
      <c r="V779" s="2"/>
      <c r="W779" s="2"/>
      <c r="X779" s="2"/>
      <c r="Y779" s="64"/>
      <c r="Z779" s="64"/>
      <c r="AA779" s="2"/>
      <c r="AB779" s="2"/>
      <c r="AC779" s="2"/>
      <c r="AD779" s="2"/>
      <c r="AE779" s="2"/>
      <c r="AF779" s="2"/>
    </row>
    <row r="780" spans="1:32" ht="12.75" customHeight="1">
      <c r="A780" s="2"/>
      <c r="B780" s="35"/>
      <c r="C780" s="2"/>
      <c r="D780" s="2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2"/>
      <c r="T780" s="2"/>
      <c r="U780" s="2"/>
      <c r="V780" s="2"/>
      <c r="W780" s="2"/>
      <c r="X780" s="2"/>
      <c r="Y780" s="64"/>
      <c r="Z780" s="64"/>
      <c r="AA780" s="2"/>
      <c r="AB780" s="2"/>
      <c r="AC780" s="2"/>
      <c r="AD780" s="2"/>
      <c r="AE780" s="2"/>
      <c r="AF780" s="2"/>
    </row>
    <row r="781" spans="1:32" ht="12.75" customHeight="1">
      <c r="A781" s="2"/>
      <c r="B781" s="35"/>
      <c r="C781" s="2"/>
      <c r="D781" s="2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2"/>
      <c r="T781" s="2"/>
      <c r="U781" s="2"/>
      <c r="V781" s="2"/>
      <c r="W781" s="2"/>
      <c r="X781" s="2"/>
      <c r="Y781" s="64"/>
      <c r="Z781" s="64"/>
      <c r="AA781" s="2"/>
      <c r="AB781" s="2"/>
      <c r="AC781" s="2"/>
      <c r="AD781" s="2"/>
      <c r="AE781" s="2"/>
      <c r="AF781" s="2"/>
    </row>
    <row r="782" spans="1:32" ht="12.75" customHeight="1">
      <c r="A782" s="2"/>
      <c r="B782" s="35"/>
      <c r="C782" s="2"/>
      <c r="D782" s="2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2"/>
      <c r="T782" s="2"/>
      <c r="U782" s="2"/>
      <c r="V782" s="2"/>
      <c r="W782" s="2"/>
      <c r="X782" s="2"/>
      <c r="Y782" s="64"/>
      <c r="Z782" s="64"/>
      <c r="AA782" s="2"/>
      <c r="AB782" s="2"/>
      <c r="AC782" s="2"/>
      <c r="AD782" s="2"/>
      <c r="AE782" s="2"/>
      <c r="AF782" s="2"/>
    </row>
    <row r="783" spans="1:32" ht="12.75" customHeight="1">
      <c r="A783" s="2"/>
      <c r="B783" s="35"/>
      <c r="C783" s="2"/>
      <c r="D783" s="2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2"/>
      <c r="T783" s="2"/>
      <c r="U783" s="2"/>
      <c r="V783" s="2"/>
      <c r="W783" s="2"/>
      <c r="X783" s="2"/>
      <c r="Y783" s="64"/>
      <c r="Z783" s="64"/>
      <c r="AA783" s="2"/>
      <c r="AB783" s="2"/>
      <c r="AC783" s="2"/>
      <c r="AD783" s="2"/>
      <c r="AE783" s="2"/>
      <c r="AF783" s="2"/>
    </row>
    <row r="784" spans="1:32" ht="12.75" customHeight="1">
      <c r="A784" s="2"/>
      <c r="B784" s="35"/>
      <c r="C784" s="2"/>
      <c r="D784" s="2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2"/>
      <c r="T784" s="2"/>
      <c r="U784" s="2"/>
      <c r="V784" s="2"/>
      <c r="W784" s="2"/>
      <c r="X784" s="2"/>
      <c r="Y784" s="64"/>
      <c r="Z784" s="64"/>
      <c r="AA784" s="2"/>
      <c r="AB784" s="2"/>
      <c r="AC784" s="2"/>
      <c r="AD784" s="2"/>
      <c r="AE784" s="2"/>
      <c r="AF784" s="2"/>
    </row>
    <row r="785" spans="1:32" ht="12.75" customHeight="1">
      <c r="A785" s="2"/>
      <c r="B785" s="35"/>
      <c r="C785" s="2"/>
      <c r="D785" s="2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2"/>
      <c r="T785" s="2"/>
      <c r="U785" s="2"/>
      <c r="V785" s="2"/>
      <c r="W785" s="2"/>
      <c r="X785" s="2"/>
      <c r="Y785" s="64"/>
      <c r="Z785" s="64"/>
      <c r="AA785" s="2"/>
      <c r="AB785" s="2"/>
      <c r="AC785" s="2"/>
      <c r="AD785" s="2"/>
      <c r="AE785" s="2"/>
      <c r="AF785" s="2"/>
    </row>
    <row r="786" spans="1:32" ht="12.75" customHeight="1">
      <c r="A786" s="2"/>
      <c r="B786" s="35"/>
      <c r="C786" s="2"/>
      <c r="D786" s="2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2"/>
      <c r="T786" s="2"/>
      <c r="U786" s="2"/>
      <c r="V786" s="2"/>
      <c r="W786" s="2"/>
      <c r="X786" s="2"/>
      <c r="Y786" s="64"/>
      <c r="Z786" s="64"/>
      <c r="AA786" s="2"/>
      <c r="AB786" s="2"/>
      <c r="AC786" s="2"/>
      <c r="AD786" s="2"/>
      <c r="AE786" s="2"/>
      <c r="AF786" s="2"/>
    </row>
    <row r="787" spans="1:32" ht="12.75" customHeight="1">
      <c r="A787" s="2"/>
      <c r="B787" s="35"/>
      <c r="C787" s="2"/>
      <c r="D787" s="2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2"/>
      <c r="T787" s="2"/>
      <c r="U787" s="2"/>
      <c r="V787" s="2"/>
      <c r="W787" s="2"/>
      <c r="X787" s="2"/>
      <c r="Y787" s="64"/>
      <c r="Z787" s="64"/>
      <c r="AA787" s="2"/>
      <c r="AB787" s="2"/>
      <c r="AC787" s="2"/>
      <c r="AD787" s="2"/>
      <c r="AE787" s="2"/>
      <c r="AF787" s="2"/>
    </row>
    <row r="788" spans="1:32" ht="12.75" customHeight="1">
      <c r="A788" s="2"/>
      <c r="B788" s="35"/>
      <c r="C788" s="2"/>
      <c r="D788" s="2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2"/>
      <c r="T788" s="2"/>
      <c r="U788" s="2"/>
      <c r="V788" s="2"/>
      <c r="W788" s="2"/>
      <c r="X788" s="2"/>
      <c r="Y788" s="64"/>
      <c r="Z788" s="64"/>
      <c r="AA788" s="2"/>
      <c r="AB788" s="2"/>
      <c r="AC788" s="2"/>
      <c r="AD788" s="2"/>
      <c r="AE788" s="2"/>
      <c r="AF788" s="2"/>
    </row>
    <row r="789" spans="1:32" ht="12.75" customHeight="1">
      <c r="A789" s="2"/>
      <c r="B789" s="35"/>
      <c r="C789" s="2"/>
      <c r="D789" s="2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2"/>
      <c r="T789" s="2"/>
      <c r="U789" s="2"/>
      <c r="V789" s="2"/>
      <c r="W789" s="2"/>
      <c r="X789" s="2"/>
      <c r="Y789" s="64"/>
      <c r="Z789" s="64"/>
      <c r="AA789" s="2"/>
      <c r="AB789" s="2"/>
      <c r="AC789" s="2"/>
      <c r="AD789" s="2"/>
      <c r="AE789" s="2"/>
      <c r="AF789" s="2"/>
    </row>
    <row r="790" spans="1:32" ht="12.75" customHeight="1">
      <c r="A790" s="2"/>
      <c r="B790" s="35"/>
      <c r="C790" s="2"/>
      <c r="D790" s="2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2"/>
      <c r="T790" s="2"/>
      <c r="U790" s="2"/>
      <c r="V790" s="2"/>
      <c r="W790" s="2"/>
      <c r="X790" s="2"/>
      <c r="Y790" s="64"/>
      <c r="Z790" s="64"/>
      <c r="AA790" s="2"/>
      <c r="AB790" s="2"/>
      <c r="AC790" s="2"/>
      <c r="AD790" s="2"/>
      <c r="AE790" s="2"/>
      <c r="AF790" s="2"/>
    </row>
    <row r="791" spans="1:32" ht="12.75" customHeight="1">
      <c r="A791" s="2"/>
      <c r="B791" s="35"/>
      <c r="C791" s="2"/>
      <c r="D791" s="2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2"/>
      <c r="T791" s="2"/>
      <c r="U791" s="2"/>
      <c r="V791" s="2"/>
      <c r="W791" s="2"/>
      <c r="X791" s="2"/>
      <c r="Y791" s="64"/>
      <c r="Z791" s="64"/>
      <c r="AA791" s="2"/>
      <c r="AB791" s="2"/>
      <c r="AC791" s="2"/>
      <c r="AD791" s="2"/>
      <c r="AE791" s="2"/>
      <c r="AF791" s="2"/>
    </row>
    <row r="792" spans="1:32" ht="12.75" customHeight="1">
      <c r="A792" s="2"/>
      <c r="B792" s="35"/>
      <c r="C792" s="2"/>
      <c r="D792" s="2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2"/>
      <c r="T792" s="2"/>
      <c r="U792" s="2"/>
      <c r="V792" s="2"/>
      <c r="W792" s="2"/>
      <c r="X792" s="2"/>
      <c r="Y792" s="64"/>
      <c r="Z792" s="64"/>
      <c r="AA792" s="2"/>
      <c r="AB792" s="2"/>
      <c r="AC792" s="2"/>
      <c r="AD792" s="2"/>
      <c r="AE792" s="2"/>
      <c r="AF792" s="2"/>
    </row>
    <row r="793" spans="1:32" ht="12.75" customHeight="1">
      <c r="A793" s="2"/>
      <c r="B793" s="35"/>
      <c r="C793" s="2"/>
      <c r="D793" s="2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2"/>
      <c r="T793" s="2"/>
      <c r="U793" s="2"/>
      <c r="V793" s="2"/>
      <c r="W793" s="2"/>
      <c r="X793" s="2"/>
      <c r="Y793" s="64"/>
      <c r="Z793" s="64"/>
      <c r="AA793" s="2"/>
      <c r="AB793" s="2"/>
      <c r="AC793" s="2"/>
      <c r="AD793" s="2"/>
      <c r="AE793" s="2"/>
      <c r="AF793" s="2"/>
    </row>
    <row r="794" spans="1:32" ht="12.75" customHeight="1">
      <c r="A794" s="2"/>
      <c r="B794" s="35"/>
      <c r="C794" s="2"/>
      <c r="D794" s="2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2"/>
      <c r="T794" s="2"/>
      <c r="U794" s="2"/>
      <c r="V794" s="2"/>
      <c r="W794" s="2"/>
      <c r="X794" s="2"/>
      <c r="Y794" s="64"/>
      <c r="Z794" s="64"/>
      <c r="AA794" s="2"/>
      <c r="AB794" s="2"/>
      <c r="AC794" s="2"/>
      <c r="AD794" s="2"/>
      <c r="AE794" s="2"/>
      <c r="AF794" s="2"/>
    </row>
    <row r="795" spans="1:32" ht="12.75" customHeight="1">
      <c r="A795" s="2"/>
      <c r="B795" s="35"/>
      <c r="C795" s="2"/>
      <c r="D795" s="2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2"/>
      <c r="T795" s="2"/>
      <c r="U795" s="2"/>
      <c r="V795" s="2"/>
      <c r="W795" s="2"/>
      <c r="X795" s="2"/>
      <c r="Y795" s="64"/>
      <c r="Z795" s="64"/>
      <c r="AA795" s="2"/>
      <c r="AB795" s="2"/>
      <c r="AC795" s="2"/>
      <c r="AD795" s="2"/>
      <c r="AE795" s="2"/>
      <c r="AF795" s="2"/>
    </row>
    <row r="796" spans="1:32" ht="12.75" customHeight="1">
      <c r="A796" s="2"/>
      <c r="B796" s="35"/>
      <c r="C796" s="2"/>
      <c r="D796" s="2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2"/>
      <c r="T796" s="2"/>
      <c r="U796" s="2"/>
      <c r="V796" s="2"/>
      <c r="W796" s="2"/>
      <c r="X796" s="2"/>
      <c r="Y796" s="64"/>
      <c r="Z796" s="64"/>
      <c r="AA796" s="2"/>
      <c r="AB796" s="2"/>
      <c r="AC796" s="2"/>
      <c r="AD796" s="2"/>
      <c r="AE796" s="2"/>
      <c r="AF796" s="2"/>
    </row>
    <row r="797" spans="1:32" ht="12.75" customHeight="1">
      <c r="A797" s="2"/>
      <c r="B797" s="35"/>
      <c r="C797" s="2"/>
      <c r="D797" s="2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2"/>
      <c r="T797" s="2"/>
      <c r="U797" s="2"/>
      <c r="V797" s="2"/>
      <c r="W797" s="2"/>
      <c r="X797" s="2"/>
      <c r="Y797" s="64"/>
      <c r="Z797" s="64"/>
      <c r="AA797" s="2"/>
      <c r="AB797" s="2"/>
      <c r="AC797" s="2"/>
      <c r="AD797" s="2"/>
      <c r="AE797" s="2"/>
      <c r="AF797" s="2"/>
    </row>
    <row r="798" spans="1:32" ht="12.75" customHeight="1">
      <c r="A798" s="2"/>
      <c r="B798" s="35"/>
      <c r="C798" s="2"/>
      <c r="D798" s="2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2"/>
      <c r="T798" s="2"/>
      <c r="U798" s="2"/>
      <c r="V798" s="2"/>
      <c r="W798" s="2"/>
      <c r="X798" s="2"/>
      <c r="Y798" s="64"/>
      <c r="Z798" s="64"/>
      <c r="AA798" s="2"/>
      <c r="AB798" s="2"/>
      <c r="AC798" s="2"/>
      <c r="AD798" s="2"/>
      <c r="AE798" s="2"/>
      <c r="AF798" s="2"/>
    </row>
    <row r="799" spans="1:32" ht="12.75" customHeight="1">
      <c r="A799" s="2"/>
      <c r="B799" s="35"/>
      <c r="C799" s="2"/>
      <c r="D799" s="2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2"/>
      <c r="T799" s="2"/>
      <c r="U799" s="2"/>
      <c r="V799" s="2"/>
      <c r="W799" s="2"/>
      <c r="X799" s="2"/>
      <c r="Y799" s="64"/>
      <c r="Z799" s="64"/>
      <c r="AA799" s="2"/>
      <c r="AB799" s="2"/>
      <c r="AC799" s="2"/>
      <c r="AD799" s="2"/>
      <c r="AE799" s="2"/>
      <c r="AF799" s="2"/>
    </row>
    <row r="800" spans="1:32" ht="12.75" customHeight="1">
      <c r="A800" s="2"/>
      <c r="B800" s="35"/>
      <c r="C800" s="2"/>
      <c r="D800" s="2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2"/>
      <c r="T800" s="2"/>
      <c r="U800" s="2"/>
      <c r="V800" s="2"/>
      <c r="W800" s="2"/>
      <c r="X800" s="2"/>
      <c r="Y800" s="64"/>
      <c r="Z800" s="64"/>
      <c r="AA800" s="2"/>
      <c r="AB800" s="2"/>
      <c r="AC800" s="2"/>
      <c r="AD800" s="2"/>
      <c r="AE800" s="2"/>
      <c r="AF800" s="2"/>
    </row>
    <row r="801" spans="1:32" ht="12.75" customHeight="1">
      <c r="A801" s="2"/>
      <c r="B801" s="35"/>
      <c r="C801" s="2"/>
      <c r="D801" s="2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2"/>
      <c r="T801" s="2"/>
      <c r="U801" s="2"/>
      <c r="V801" s="2"/>
      <c r="W801" s="2"/>
      <c r="X801" s="2"/>
      <c r="Y801" s="64"/>
      <c r="Z801" s="64"/>
      <c r="AA801" s="2"/>
      <c r="AB801" s="2"/>
      <c r="AC801" s="2"/>
      <c r="AD801" s="2"/>
      <c r="AE801" s="2"/>
      <c r="AF801" s="2"/>
    </row>
    <row r="802" spans="1:32" ht="12.75" customHeight="1">
      <c r="A802" s="2"/>
      <c r="B802" s="35"/>
      <c r="C802" s="2"/>
      <c r="D802" s="2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2"/>
      <c r="T802" s="2"/>
      <c r="U802" s="2"/>
      <c r="V802" s="2"/>
      <c r="W802" s="2"/>
      <c r="X802" s="2"/>
      <c r="Y802" s="64"/>
      <c r="Z802" s="64"/>
      <c r="AA802" s="2"/>
      <c r="AB802" s="2"/>
      <c r="AC802" s="2"/>
      <c r="AD802" s="2"/>
      <c r="AE802" s="2"/>
      <c r="AF802" s="2"/>
    </row>
    <row r="803" spans="1:32" ht="12.75" customHeight="1">
      <c r="A803" s="2"/>
      <c r="B803" s="35"/>
      <c r="C803" s="2"/>
      <c r="D803" s="2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2"/>
      <c r="T803" s="2"/>
      <c r="U803" s="2"/>
      <c r="V803" s="2"/>
      <c r="W803" s="2"/>
      <c r="X803" s="2"/>
      <c r="Y803" s="64"/>
      <c r="Z803" s="64"/>
      <c r="AA803" s="2"/>
      <c r="AB803" s="2"/>
      <c r="AC803" s="2"/>
      <c r="AD803" s="2"/>
      <c r="AE803" s="2"/>
      <c r="AF803" s="2"/>
    </row>
    <row r="804" spans="1:32" ht="12.75" customHeight="1">
      <c r="A804" s="2"/>
      <c r="B804" s="35"/>
      <c r="C804" s="2"/>
      <c r="D804" s="2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2"/>
      <c r="T804" s="2"/>
      <c r="U804" s="2"/>
      <c r="V804" s="2"/>
      <c r="W804" s="2"/>
      <c r="X804" s="2"/>
      <c r="Y804" s="64"/>
      <c r="Z804" s="64"/>
      <c r="AA804" s="2"/>
      <c r="AB804" s="2"/>
      <c r="AC804" s="2"/>
      <c r="AD804" s="2"/>
      <c r="AE804" s="2"/>
      <c r="AF804" s="2"/>
    </row>
    <row r="805" spans="1:32" ht="12.75" customHeight="1">
      <c r="A805" s="2"/>
      <c r="B805" s="35"/>
      <c r="C805" s="2"/>
      <c r="D805" s="2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2"/>
      <c r="T805" s="2"/>
      <c r="U805" s="2"/>
      <c r="V805" s="2"/>
      <c r="W805" s="2"/>
      <c r="X805" s="2"/>
      <c r="Y805" s="64"/>
      <c r="Z805" s="64"/>
      <c r="AA805" s="2"/>
      <c r="AB805" s="2"/>
      <c r="AC805" s="2"/>
      <c r="AD805" s="2"/>
      <c r="AE805" s="2"/>
      <c r="AF805" s="2"/>
    </row>
    <row r="806" spans="1:32" ht="12.75" customHeight="1">
      <c r="A806" s="2"/>
      <c r="B806" s="35"/>
      <c r="C806" s="2"/>
      <c r="D806" s="2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2"/>
      <c r="T806" s="2"/>
      <c r="U806" s="2"/>
      <c r="V806" s="2"/>
      <c r="W806" s="2"/>
      <c r="X806" s="2"/>
      <c r="Y806" s="64"/>
      <c r="Z806" s="64"/>
      <c r="AA806" s="2"/>
      <c r="AB806" s="2"/>
      <c r="AC806" s="2"/>
      <c r="AD806" s="2"/>
      <c r="AE806" s="2"/>
      <c r="AF806" s="2"/>
    </row>
    <row r="807" spans="1:32" ht="12.75" customHeight="1">
      <c r="A807" s="2"/>
      <c r="B807" s="35"/>
      <c r="C807" s="2"/>
      <c r="D807" s="2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2"/>
      <c r="T807" s="2"/>
      <c r="U807" s="2"/>
      <c r="V807" s="2"/>
      <c r="W807" s="2"/>
      <c r="X807" s="2"/>
      <c r="Y807" s="64"/>
      <c r="Z807" s="64"/>
      <c r="AA807" s="2"/>
      <c r="AB807" s="2"/>
      <c r="AC807" s="2"/>
      <c r="AD807" s="2"/>
      <c r="AE807" s="2"/>
      <c r="AF807" s="2"/>
    </row>
    <row r="808" spans="1:32" ht="12.75" customHeight="1">
      <c r="A808" s="2"/>
      <c r="B808" s="35"/>
      <c r="C808" s="2"/>
      <c r="D808" s="2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2"/>
      <c r="T808" s="2"/>
      <c r="U808" s="2"/>
      <c r="V808" s="2"/>
      <c r="W808" s="2"/>
      <c r="X808" s="2"/>
      <c r="Y808" s="64"/>
      <c r="Z808" s="64"/>
      <c r="AA808" s="2"/>
      <c r="AB808" s="2"/>
      <c r="AC808" s="2"/>
      <c r="AD808" s="2"/>
      <c r="AE808" s="2"/>
      <c r="AF808" s="2"/>
    </row>
    <row r="809" spans="1:32" ht="12.75" customHeight="1">
      <c r="A809" s="2"/>
      <c r="B809" s="35"/>
      <c r="C809" s="2"/>
      <c r="D809" s="2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2"/>
      <c r="T809" s="2"/>
      <c r="U809" s="2"/>
      <c r="V809" s="2"/>
      <c r="W809" s="2"/>
      <c r="X809" s="2"/>
      <c r="Y809" s="64"/>
      <c r="Z809" s="64"/>
      <c r="AA809" s="2"/>
      <c r="AB809" s="2"/>
      <c r="AC809" s="2"/>
      <c r="AD809" s="2"/>
      <c r="AE809" s="2"/>
      <c r="AF809" s="2"/>
    </row>
    <row r="810" spans="1:32" ht="12.75" customHeight="1">
      <c r="A810" s="2"/>
      <c r="B810" s="35"/>
      <c r="C810" s="2"/>
      <c r="D810" s="2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2"/>
      <c r="T810" s="2"/>
      <c r="U810" s="2"/>
      <c r="V810" s="2"/>
      <c r="W810" s="2"/>
      <c r="X810" s="2"/>
      <c r="Y810" s="64"/>
      <c r="Z810" s="64"/>
      <c r="AA810" s="2"/>
      <c r="AB810" s="2"/>
      <c r="AC810" s="2"/>
      <c r="AD810" s="2"/>
      <c r="AE810" s="2"/>
      <c r="AF810" s="2"/>
    </row>
    <row r="811" spans="1:32" ht="12.75" customHeight="1">
      <c r="A811" s="2"/>
      <c r="B811" s="35"/>
      <c r="C811" s="2"/>
      <c r="D811" s="2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2"/>
      <c r="T811" s="2"/>
      <c r="U811" s="2"/>
      <c r="V811" s="2"/>
      <c r="W811" s="2"/>
      <c r="X811" s="2"/>
      <c r="Y811" s="64"/>
      <c r="Z811" s="64"/>
      <c r="AA811" s="2"/>
      <c r="AB811" s="2"/>
      <c r="AC811" s="2"/>
      <c r="AD811" s="2"/>
      <c r="AE811" s="2"/>
      <c r="AF811" s="2"/>
    </row>
    <row r="812" spans="1:32" ht="12.75" customHeight="1">
      <c r="A812" s="2"/>
      <c r="B812" s="35"/>
      <c r="C812" s="2"/>
      <c r="D812" s="2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2"/>
      <c r="T812" s="2"/>
      <c r="U812" s="2"/>
      <c r="V812" s="2"/>
      <c r="W812" s="2"/>
      <c r="X812" s="2"/>
      <c r="Y812" s="64"/>
      <c r="Z812" s="64"/>
      <c r="AA812" s="2"/>
      <c r="AB812" s="2"/>
      <c r="AC812" s="2"/>
      <c r="AD812" s="2"/>
      <c r="AE812" s="2"/>
      <c r="AF812" s="2"/>
    </row>
    <row r="813" spans="1:32" ht="12.75" customHeight="1">
      <c r="A813" s="2"/>
      <c r="B813" s="35"/>
      <c r="C813" s="2"/>
      <c r="D813" s="2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2"/>
      <c r="T813" s="2"/>
      <c r="U813" s="2"/>
      <c r="V813" s="2"/>
      <c r="W813" s="2"/>
      <c r="X813" s="2"/>
      <c r="Y813" s="64"/>
      <c r="Z813" s="64"/>
      <c r="AA813" s="2"/>
      <c r="AB813" s="2"/>
      <c r="AC813" s="2"/>
      <c r="AD813" s="2"/>
      <c r="AE813" s="2"/>
      <c r="AF813" s="2"/>
    </row>
    <row r="814" spans="1:32" ht="12.75" customHeight="1">
      <c r="A814" s="2"/>
      <c r="B814" s="35"/>
      <c r="C814" s="2"/>
      <c r="D814" s="2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2"/>
      <c r="T814" s="2"/>
      <c r="U814" s="2"/>
      <c r="V814" s="2"/>
      <c r="W814" s="2"/>
      <c r="X814" s="2"/>
      <c r="Y814" s="64"/>
      <c r="Z814" s="64"/>
      <c r="AA814" s="2"/>
      <c r="AB814" s="2"/>
      <c r="AC814" s="2"/>
      <c r="AD814" s="2"/>
      <c r="AE814" s="2"/>
      <c r="AF814" s="2"/>
    </row>
    <row r="815" spans="1:32" ht="12.75" customHeight="1">
      <c r="A815" s="2"/>
      <c r="B815" s="35"/>
      <c r="C815" s="2"/>
      <c r="D815" s="2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2"/>
      <c r="T815" s="2"/>
      <c r="U815" s="2"/>
      <c r="V815" s="2"/>
      <c r="W815" s="2"/>
      <c r="X815" s="2"/>
      <c r="Y815" s="64"/>
      <c r="Z815" s="64"/>
      <c r="AA815" s="2"/>
      <c r="AB815" s="2"/>
      <c r="AC815" s="2"/>
      <c r="AD815" s="2"/>
      <c r="AE815" s="2"/>
      <c r="AF815" s="2"/>
    </row>
    <row r="816" spans="1:32" ht="12.75" customHeight="1">
      <c r="A816" s="2"/>
      <c r="B816" s="35"/>
      <c r="C816" s="2"/>
      <c r="D816" s="2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2"/>
      <c r="T816" s="2"/>
      <c r="U816" s="2"/>
      <c r="V816" s="2"/>
      <c r="W816" s="2"/>
      <c r="X816" s="2"/>
      <c r="Y816" s="64"/>
      <c r="Z816" s="64"/>
      <c r="AA816" s="2"/>
      <c r="AB816" s="2"/>
      <c r="AC816" s="2"/>
      <c r="AD816" s="2"/>
      <c r="AE816" s="2"/>
      <c r="AF816" s="2"/>
    </row>
    <row r="817" spans="1:32" ht="12.75" customHeight="1">
      <c r="A817" s="2"/>
      <c r="B817" s="35"/>
      <c r="C817" s="2"/>
      <c r="D817" s="2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2"/>
      <c r="T817" s="2"/>
      <c r="U817" s="2"/>
      <c r="V817" s="2"/>
      <c r="W817" s="2"/>
      <c r="X817" s="2"/>
      <c r="Y817" s="64"/>
      <c r="Z817" s="64"/>
      <c r="AA817" s="2"/>
      <c r="AB817" s="2"/>
      <c r="AC817" s="2"/>
      <c r="AD817" s="2"/>
      <c r="AE817" s="2"/>
      <c r="AF817" s="2"/>
    </row>
    <row r="818" spans="1:32" ht="12.75" customHeight="1">
      <c r="A818" s="2"/>
      <c r="B818" s="35"/>
      <c r="C818" s="2"/>
      <c r="D818" s="2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2"/>
      <c r="T818" s="2"/>
      <c r="U818" s="2"/>
      <c r="V818" s="2"/>
      <c r="W818" s="2"/>
      <c r="X818" s="2"/>
      <c r="Y818" s="64"/>
      <c r="Z818" s="64"/>
      <c r="AA818" s="2"/>
      <c r="AB818" s="2"/>
      <c r="AC818" s="2"/>
      <c r="AD818" s="2"/>
      <c r="AE818" s="2"/>
      <c r="AF818" s="2"/>
    </row>
    <row r="819" spans="1:32" ht="12.75" customHeight="1">
      <c r="A819" s="2"/>
      <c r="B819" s="35"/>
      <c r="C819" s="2"/>
      <c r="D819" s="2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2"/>
      <c r="T819" s="2"/>
      <c r="U819" s="2"/>
      <c r="V819" s="2"/>
      <c r="W819" s="2"/>
      <c r="X819" s="2"/>
      <c r="Y819" s="64"/>
      <c r="Z819" s="64"/>
      <c r="AA819" s="2"/>
      <c r="AB819" s="2"/>
      <c r="AC819" s="2"/>
      <c r="AD819" s="2"/>
      <c r="AE819" s="2"/>
      <c r="AF819" s="2"/>
    </row>
    <row r="820" spans="1:32" ht="12.75" customHeight="1">
      <c r="A820" s="2"/>
      <c r="B820" s="35"/>
      <c r="C820" s="2"/>
      <c r="D820" s="2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2"/>
      <c r="T820" s="2"/>
      <c r="U820" s="2"/>
      <c r="V820" s="2"/>
      <c r="W820" s="2"/>
      <c r="X820" s="2"/>
      <c r="Y820" s="64"/>
      <c r="Z820" s="64"/>
      <c r="AA820" s="2"/>
      <c r="AB820" s="2"/>
      <c r="AC820" s="2"/>
      <c r="AD820" s="2"/>
      <c r="AE820" s="2"/>
      <c r="AF820" s="2"/>
    </row>
    <row r="821" spans="1:32" ht="12.75" customHeight="1">
      <c r="A821" s="2"/>
      <c r="B821" s="35"/>
      <c r="C821" s="2"/>
      <c r="D821" s="2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2"/>
      <c r="T821" s="2"/>
      <c r="U821" s="2"/>
      <c r="V821" s="2"/>
      <c r="W821" s="2"/>
      <c r="X821" s="2"/>
      <c r="Y821" s="64"/>
      <c r="Z821" s="64"/>
      <c r="AA821" s="2"/>
      <c r="AB821" s="2"/>
      <c r="AC821" s="2"/>
      <c r="AD821" s="2"/>
      <c r="AE821" s="2"/>
      <c r="AF821" s="2"/>
    </row>
    <row r="822" spans="1:32" ht="12.75" customHeight="1">
      <c r="A822" s="2"/>
      <c r="B822" s="35"/>
      <c r="C822" s="2"/>
      <c r="D822" s="2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2"/>
      <c r="T822" s="2"/>
      <c r="U822" s="2"/>
      <c r="V822" s="2"/>
      <c r="W822" s="2"/>
      <c r="X822" s="2"/>
      <c r="Y822" s="64"/>
      <c r="Z822" s="64"/>
      <c r="AA822" s="2"/>
      <c r="AB822" s="2"/>
      <c r="AC822" s="2"/>
      <c r="AD822" s="2"/>
      <c r="AE822" s="2"/>
      <c r="AF822" s="2"/>
    </row>
    <row r="823" spans="1:32" ht="12.75" customHeight="1">
      <c r="A823" s="2"/>
      <c r="B823" s="35"/>
      <c r="C823" s="2"/>
      <c r="D823" s="2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2"/>
      <c r="T823" s="2"/>
      <c r="U823" s="2"/>
      <c r="V823" s="2"/>
      <c r="W823" s="2"/>
      <c r="X823" s="2"/>
      <c r="Y823" s="64"/>
      <c r="Z823" s="64"/>
      <c r="AA823" s="2"/>
      <c r="AB823" s="2"/>
      <c r="AC823" s="2"/>
      <c r="AD823" s="2"/>
      <c r="AE823" s="2"/>
      <c r="AF823" s="2"/>
    </row>
    <row r="824" spans="1:32" ht="12.75" customHeight="1">
      <c r="A824" s="2"/>
      <c r="B824" s="35"/>
      <c r="C824" s="2"/>
      <c r="D824" s="2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2"/>
      <c r="T824" s="2"/>
      <c r="U824" s="2"/>
      <c r="V824" s="2"/>
      <c r="W824" s="2"/>
      <c r="X824" s="2"/>
      <c r="Y824" s="64"/>
      <c r="Z824" s="64"/>
      <c r="AA824" s="2"/>
      <c r="AB824" s="2"/>
      <c r="AC824" s="2"/>
      <c r="AD824" s="2"/>
      <c r="AE824" s="2"/>
      <c r="AF824" s="2"/>
    </row>
    <row r="825" spans="1:32" ht="12.75" customHeight="1">
      <c r="A825" s="2"/>
      <c r="B825" s="35"/>
      <c r="C825" s="2"/>
      <c r="D825" s="2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2"/>
      <c r="T825" s="2"/>
      <c r="U825" s="2"/>
      <c r="V825" s="2"/>
      <c r="W825" s="2"/>
      <c r="X825" s="2"/>
      <c r="Y825" s="64"/>
      <c r="Z825" s="64"/>
      <c r="AA825" s="2"/>
      <c r="AB825" s="2"/>
      <c r="AC825" s="2"/>
      <c r="AD825" s="2"/>
      <c r="AE825" s="2"/>
      <c r="AF825" s="2"/>
    </row>
    <row r="826" spans="1:32" ht="12.75" customHeight="1">
      <c r="A826" s="2"/>
      <c r="B826" s="35"/>
      <c r="C826" s="2"/>
      <c r="D826" s="2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2"/>
      <c r="T826" s="2"/>
      <c r="U826" s="2"/>
      <c r="V826" s="2"/>
      <c r="W826" s="2"/>
      <c r="X826" s="2"/>
      <c r="Y826" s="64"/>
      <c r="Z826" s="64"/>
      <c r="AA826" s="2"/>
      <c r="AB826" s="2"/>
      <c r="AC826" s="2"/>
      <c r="AD826" s="2"/>
      <c r="AE826" s="2"/>
      <c r="AF826" s="2"/>
    </row>
    <row r="827" spans="1:32" ht="12.75" customHeight="1">
      <c r="A827" s="2"/>
      <c r="B827" s="35"/>
      <c r="C827" s="2"/>
      <c r="D827" s="2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2"/>
      <c r="T827" s="2"/>
      <c r="U827" s="2"/>
      <c r="V827" s="2"/>
      <c r="W827" s="2"/>
      <c r="X827" s="2"/>
      <c r="Y827" s="64"/>
      <c r="Z827" s="64"/>
      <c r="AA827" s="2"/>
      <c r="AB827" s="2"/>
      <c r="AC827" s="2"/>
      <c r="AD827" s="2"/>
      <c r="AE827" s="2"/>
      <c r="AF827" s="2"/>
    </row>
    <row r="828" spans="1:32" ht="12.75" customHeight="1">
      <c r="A828" s="2"/>
      <c r="B828" s="35"/>
      <c r="C828" s="2"/>
      <c r="D828" s="2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2"/>
      <c r="T828" s="2"/>
      <c r="U828" s="2"/>
      <c r="V828" s="2"/>
      <c r="W828" s="2"/>
      <c r="X828" s="2"/>
      <c r="Y828" s="64"/>
      <c r="Z828" s="64"/>
      <c r="AA828" s="2"/>
      <c r="AB828" s="2"/>
      <c r="AC828" s="2"/>
      <c r="AD828" s="2"/>
      <c r="AE828" s="2"/>
      <c r="AF828" s="2"/>
    </row>
    <row r="829" spans="1:32" ht="12.75" customHeight="1">
      <c r="A829" s="2"/>
      <c r="B829" s="35"/>
      <c r="C829" s="2"/>
      <c r="D829" s="2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2"/>
      <c r="T829" s="2"/>
      <c r="U829" s="2"/>
      <c r="V829" s="2"/>
      <c r="W829" s="2"/>
      <c r="X829" s="2"/>
      <c r="Y829" s="64"/>
      <c r="Z829" s="64"/>
      <c r="AA829" s="2"/>
      <c r="AB829" s="2"/>
      <c r="AC829" s="2"/>
      <c r="AD829" s="2"/>
      <c r="AE829" s="2"/>
      <c r="AF829" s="2"/>
    </row>
    <row r="830" spans="1:32" ht="12.75" customHeight="1">
      <c r="A830" s="2"/>
      <c r="B830" s="35"/>
      <c r="C830" s="2"/>
      <c r="D830" s="2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2"/>
      <c r="T830" s="2"/>
      <c r="U830" s="2"/>
      <c r="V830" s="2"/>
      <c r="W830" s="2"/>
      <c r="X830" s="2"/>
      <c r="Y830" s="64"/>
      <c r="Z830" s="64"/>
      <c r="AA830" s="2"/>
      <c r="AB830" s="2"/>
      <c r="AC830" s="2"/>
      <c r="AD830" s="2"/>
      <c r="AE830" s="2"/>
      <c r="AF830" s="2"/>
    </row>
    <row r="831" spans="1:32" ht="12.75" customHeight="1">
      <c r="A831" s="2"/>
      <c r="B831" s="35"/>
      <c r="C831" s="2"/>
      <c r="D831" s="2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2"/>
      <c r="T831" s="2"/>
      <c r="U831" s="2"/>
      <c r="V831" s="2"/>
      <c r="W831" s="2"/>
      <c r="X831" s="2"/>
      <c r="Y831" s="64"/>
      <c r="Z831" s="64"/>
      <c r="AA831" s="2"/>
      <c r="AB831" s="2"/>
      <c r="AC831" s="2"/>
      <c r="AD831" s="2"/>
      <c r="AE831" s="2"/>
      <c r="AF831" s="2"/>
    </row>
    <row r="832" spans="1:32" ht="12.75" customHeight="1">
      <c r="A832" s="2"/>
      <c r="B832" s="35"/>
      <c r="C832" s="2"/>
      <c r="D832" s="2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2"/>
      <c r="T832" s="2"/>
      <c r="U832" s="2"/>
      <c r="V832" s="2"/>
      <c r="W832" s="2"/>
      <c r="X832" s="2"/>
      <c r="Y832" s="64"/>
      <c r="Z832" s="64"/>
      <c r="AA832" s="2"/>
      <c r="AB832" s="2"/>
      <c r="AC832" s="2"/>
      <c r="AD832" s="2"/>
      <c r="AE832" s="2"/>
      <c r="AF832" s="2"/>
    </row>
    <row r="833" spans="1:32" ht="12.75" customHeight="1">
      <c r="A833" s="2"/>
      <c r="B833" s="35"/>
      <c r="C833" s="2"/>
      <c r="D833" s="2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2"/>
      <c r="T833" s="2"/>
      <c r="U833" s="2"/>
      <c r="V833" s="2"/>
      <c r="W833" s="2"/>
      <c r="X833" s="2"/>
      <c r="Y833" s="64"/>
      <c r="Z833" s="64"/>
      <c r="AA833" s="2"/>
      <c r="AB833" s="2"/>
      <c r="AC833" s="2"/>
      <c r="AD833" s="2"/>
      <c r="AE833" s="2"/>
      <c r="AF833" s="2"/>
    </row>
    <row r="834" spans="1:32" ht="12.75" customHeight="1">
      <c r="A834" s="2"/>
      <c r="B834" s="35"/>
      <c r="C834" s="2"/>
      <c r="D834" s="2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2"/>
      <c r="T834" s="2"/>
      <c r="U834" s="2"/>
      <c r="V834" s="2"/>
      <c r="W834" s="2"/>
      <c r="X834" s="2"/>
      <c r="Y834" s="64"/>
      <c r="Z834" s="64"/>
      <c r="AA834" s="2"/>
      <c r="AB834" s="2"/>
      <c r="AC834" s="2"/>
      <c r="AD834" s="2"/>
      <c r="AE834" s="2"/>
      <c r="AF834" s="2"/>
    </row>
    <row r="835" spans="1:32" ht="12.75" customHeight="1">
      <c r="A835" s="2"/>
      <c r="B835" s="35"/>
      <c r="C835" s="2"/>
      <c r="D835" s="2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2"/>
      <c r="T835" s="2"/>
      <c r="U835" s="2"/>
      <c r="V835" s="2"/>
      <c r="W835" s="2"/>
      <c r="X835" s="2"/>
      <c r="Y835" s="64"/>
      <c r="Z835" s="64"/>
      <c r="AA835" s="2"/>
      <c r="AB835" s="2"/>
      <c r="AC835" s="2"/>
      <c r="AD835" s="2"/>
      <c r="AE835" s="2"/>
      <c r="AF835" s="2"/>
    </row>
    <row r="836" spans="1:32" ht="12.75" customHeight="1">
      <c r="A836" s="2"/>
      <c r="B836" s="35"/>
      <c r="C836" s="2"/>
      <c r="D836" s="2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2"/>
      <c r="T836" s="2"/>
      <c r="U836" s="2"/>
      <c r="V836" s="2"/>
      <c r="W836" s="2"/>
      <c r="X836" s="2"/>
      <c r="Y836" s="64"/>
      <c r="Z836" s="64"/>
      <c r="AA836" s="2"/>
      <c r="AB836" s="2"/>
      <c r="AC836" s="2"/>
      <c r="AD836" s="2"/>
      <c r="AE836" s="2"/>
      <c r="AF836" s="2"/>
    </row>
    <row r="837" spans="1:32" ht="12.75" customHeight="1">
      <c r="A837" s="2"/>
      <c r="B837" s="35"/>
      <c r="C837" s="2"/>
      <c r="D837" s="2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2"/>
      <c r="T837" s="2"/>
      <c r="U837" s="2"/>
      <c r="V837" s="2"/>
      <c r="W837" s="2"/>
      <c r="X837" s="2"/>
      <c r="Y837" s="64"/>
      <c r="Z837" s="64"/>
      <c r="AA837" s="2"/>
      <c r="AB837" s="2"/>
      <c r="AC837" s="2"/>
      <c r="AD837" s="2"/>
      <c r="AE837" s="2"/>
      <c r="AF837" s="2"/>
    </row>
    <row r="838" spans="1:32" ht="12.75" customHeight="1">
      <c r="A838" s="2"/>
      <c r="B838" s="35"/>
      <c r="C838" s="2"/>
      <c r="D838" s="2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2"/>
      <c r="T838" s="2"/>
      <c r="U838" s="2"/>
      <c r="V838" s="2"/>
      <c r="W838" s="2"/>
      <c r="X838" s="2"/>
      <c r="Y838" s="64"/>
      <c r="Z838" s="64"/>
      <c r="AA838" s="2"/>
      <c r="AB838" s="2"/>
      <c r="AC838" s="2"/>
      <c r="AD838" s="2"/>
      <c r="AE838" s="2"/>
      <c r="AF838" s="2"/>
    </row>
    <row r="839" spans="1:32" ht="12.75" customHeight="1">
      <c r="A839" s="2"/>
      <c r="B839" s="35"/>
      <c r="C839" s="2"/>
      <c r="D839" s="2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2"/>
      <c r="T839" s="2"/>
      <c r="U839" s="2"/>
      <c r="V839" s="2"/>
      <c r="W839" s="2"/>
      <c r="X839" s="2"/>
      <c r="Y839" s="64"/>
      <c r="Z839" s="64"/>
      <c r="AA839" s="2"/>
      <c r="AB839" s="2"/>
      <c r="AC839" s="2"/>
      <c r="AD839" s="2"/>
      <c r="AE839" s="2"/>
      <c r="AF839" s="2"/>
    </row>
    <row r="840" spans="1:32" ht="12.75" customHeight="1">
      <c r="A840" s="2"/>
      <c r="B840" s="35"/>
      <c r="C840" s="2"/>
      <c r="D840" s="2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2"/>
      <c r="T840" s="2"/>
      <c r="U840" s="2"/>
      <c r="V840" s="2"/>
      <c r="W840" s="2"/>
      <c r="X840" s="2"/>
      <c r="Y840" s="64"/>
      <c r="Z840" s="64"/>
      <c r="AA840" s="2"/>
      <c r="AB840" s="2"/>
      <c r="AC840" s="2"/>
      <c r="AD840" s="2"/>
      <c r="AE840" s="2"/>
      <c r="AF840" s="2"/>
    </row>
    <row r="841" spans="1:32" ht="12.75" customHeight="1">
      <c r="A841" s="2"/>
      <c r="B841" s="35"/>
      <c r="C841" s="2"/>
      <c r="D841" s="2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2"/>
      <c r="T841" s="2"/>
      <c r="U841" s="2"/>
      <c r="V841" s="2"/>
      <c r="W841" s="2"/>
      <c r="X841" s="2"/>
      <c r="Y841" s="64"/>
      <c r="Z841" s="64"/>
      <c r="AA841" s="2"/>
      <c r="AB841" s="2"/>
      <c r="AC841" s="2"/>
      <c r="AD841" s="2"/>
      <c r="AE841" s="2"/>
      <c r="AF841" s="2"/>
    </row>
    <row r="842" spans="1:32" ht="12.75" customHeight="1">
      <c r="A842" s="2"/>
      <c r="B842" s="35"/>
      <c r="C842" s="2"/>
      <c r="D842" s="2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2"/>
      <c r="T842" s="2"/>
      <c r="U842" s="2"/>
      <c r="V842" s="2"/>
      <c r="W842" s="2"/>
      <c r="X842" s="2"/>
      <c r="Y842" s="64"/>
      <c r="Z842" s="64"/>
      <c r="AA842" s="2"/>
      <c r="AB842" s="2"/>
      <c r="AC842" s="2"/>
      <c r="AD842" s="2"/>
      <c r="AE842" s="2"/>
      <c r="AF842" s="2"/>
    </row>
    <row r="843" spans="1:32" ht="12.75" customHeight="1">
      <c r="A843" s="2"/>
      <c r="B843" s="35"/>
      <c r="C843" s="2"/>
      <c r="D843" s="2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2"/>
      <c r="T843" s="2"/>
      <c r="U843" s="2"/>
      <c r="V843" s="2"/>
      <c r="W843" s="2"/>
      <c r="X843" s="2"/>
      <c r="Y843" s="64"/>
      <c r="Z843" s="64"/>
      <c r="AA843" s="2"/>
      <c r="AB843" s="2"/>
      <c r="AC843" s="2"/>
      <c r="AD843" s="2"/>
      <c r="AE843" s="2"/>
      <c r="AF843" s="2"/>
    </row>
    <row r="844" spans="1:32" ht="12.75" customHeight="1">
      <c r="A844" s="2"/>
      <c r="B844" s="35"/>
      <c r="C844" s="2"/>
      <c r="D844" s="2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2"/>
      <c r="T844" s="2"/>
      <c r="U844" s="2"/>
      <c r="V844" s="2"/>
      <c r="W844" s="2"/>
      <c r="X844" s="2"/>
      <c r="Y844" s="64"/>
      <c r="Z844" s="64"/>
      <c r="AA844" s="2"/>
      <c r="AB844" s="2"/>
      <c r="AC844" s="2"/>
      <c r="AD844" s="2"/>
      <c r="AE844" s="2"/>
      <c r="AF844" s="2"/>
    </row>
    <row r="845" spans="1:32" ht="12.75" customHeight="1">
      <c r="A845" s="2"/>
      <c r="B845" s="35"/>
      <c r="C845" s="2"/>
      <c r="D845" s="2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2"/>
      <c r="T845" s="2"/>
      <c r="U845" s="2"/>
      <c r="V845" s="2"/>
      <c r="W845" s="2"/>
      <c r="X845" s="2"/>
      <c r="Y845" s="64"/>
      <c r="Z845" s="64"/>
      <c r="AA845" s="2"/>
      <c r="AB845" s="2"/>
      <c r="AC845" s="2"/>
      <c r="AD845" s="2"/>
      <c r="AE845" s="2"/>
      <c r="AF845" s="2"/>
    </row>
    <row r="846" spans="1:32" ht="12.75" customHeight="1">
      <c r="A846" s="2"/>
      <c r="B846" s="35"/>
      <c r="C846" s="2"/>
      <c r="D846" s="2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2"/>
      <c r="T846" s="2"/>
      <c r="U846" s="2"/>
      <c r="V846" s="2"/>
      <c r="W846" s="2"/>
      <c r="X846" s="2"/>
      <c r="Y846" s="64"/>
      <c r="Z846" s="64"/>
      <c r="AA846" s="2"/>
      <c r="AB846" s="2"/>
      <c r="AC846" s="2"/>
      <c r="AD846" s="2"/>
      <c r="AE846" s="2"/>
      <c r="AF846" s="2"/>
    </row>
    <row r="847" spans="1:32" ht="12.75" customHeight="1">
      <c r="A847" s="2"/>
      <c r="B847" s="35"/>
      <c r="C847" s="2"/>
      <c r="D847" s="2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2"/>
      <c r="T847" s="2"/>
      <c r="U847" s="2"/>
      <c r="V847" s="2"/>
      <c r="W847" s="2"/>
      <c r="X847" s="2"/>
      <c r="Y847" s="64"/>
      <c r="Z847" s="64"/>
      <c r="AA847" s="2"/>
      <c r="AB847" s="2"/>
      <c r="AC847" s="2"/>
      <c r="AD847" s="2"/>
      <c r="AE847" s="2"/>
      <c r="AF847" s="2"/>
    </row>
    <row r="848" spans="1:32" ht="12.75" customHeight="1">
      <c r="A848" s="2"/>
      <c r="B848" s="35"/>
      <c r="C848" s="2"/>
      <c r="D848" s="2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2"/>
      <c r="T848" s="2"/>
      <c r="U848" s="2"/>
      <c r="V848" s="2"/>
      <c r="W848" s="2"/>
      <c r="X848" s="2"/>
      <c r="Y848" s="64"/>
      <c r="Z848" s="64"/>
      <c r="AA848" s="2"/>
      <c r="AB848" s="2"/>
      <c r="AC848" s="2"/>
      <c r="AD848" s="2"/>
      <c r="AE848" s="2"/>
      <c r="AF848" s="2"/>
    </row>
    <row r="849" spans="1:32" ht="12.75" customHeight="1">
      <c r="A849" s="2"/>
      <c r="B849" s="35"/>
      <c r="C849" s="2"/>
      <c r="D849" s="2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2"/>
      <c r="T849" s="2"/>
      <c r="U849" s="2"/>
      <c r="V849" s="2"/>
      <c r="W849" s="2"/>
      <c r="X849" s="2"/>
      <c r="Y849" s="64"/>
      <c r="Z849" s="64"/>
      <c r="AA849" s="2"/>
      <c r="AB849" s="2"/>
      <c r="AC849" s="2"/>
      <c r="AD849" s="2"/>
      <c r="AE849" s="2"/>
      <c r="AF849" s="2"/>
    </row>
    <row r="850" spans="1:32" ht="12.75" customHeight="1">
      <c r="A850" s="2"/>
      <c r="B850" s="35"/>
      <c r="C850" s="2"/>
      <c r="D850" s="2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2"/>
      <c r="T850" s="2"/>
      <c r="U850" s="2"/>
      <c r="V850" s="2"/>
      <c r="W850" s="2"/>
      <c r="X850" s="2"/>
      <c r="Y850" s="64"/>
      <c r="Z850" s="64"/>
      <c r="AA850" s="2"/>
      <c r="AB850" s="2"/>
      <c r="AC850" s="2"/>
      <c r="AD850" s="2"/>
      <c r="AE850" s="2"/>
      <c r="AF850" s="2"/>
    </row>
    <row r="851" spans="1:32" ht="12.75" customHeight="1">
      <c r="A851" s="2"/>
      <c r="B851" s="35"/>
      <c r="C851" s="2"/>
      <c r="D851" s="2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2"/>
      <c r="T851" s="2"/>
      <c r="U851" s="2"/>
      <c r="V851" s="2"/>
      <c r="W851" s="2"/>
      <c r="X851" s="2"/>
      <c r="Y851" s="64"/>
      <c r="Z851" s="64"/>
      <c r="AA851" s="2"/>
      <c r="AB851" s="2"/>
      <c r="AC851" s="2"/>
      <c r="AD851" s="2"/>
      <c r="AE851" s="2"/>
      <c r="AF851" s="2"/>
    </row>
    <row r="852" spans="1:32" ht="12.75" customHeight="1">
      <c r="A852" s="2"/>
      <c r="B852" s="35"/>
      <c r="C852" s="2"/>
      <c r="D852" s="2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2"/>
      <c r="T852" s="2"/>
      <c r="U852" s="2"/>
      <c r="V852" s="2"/>
      <c r="W852" s="2"/>
      <c r="X852" s="2"/>
      <c r="Y852" s="64"/>
      <c r="Z852" s="64"/>
      <c r="AA852" s="2"/>
      <c r="AB852" s="2"/>
      <c r="AC852" s="2"/>
      <c r="AD852" s="2"/>
      <c r="AE852" s="2"/>
      <c r="AF852" s="2"/>
    </row>
    <row r="853" spans="1:32" ht="12.75" customHeight="1">
      <c r="A853" s="2"/>
      <c r="B853" s="35"/>
      <c r="C853" s="2"/>
      <c r="D853" s="2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2"/>
      <c r="T853" s="2"/>
      <c r="U853" s="2"/>
      <c r="V853" s="2"/>
      <c r="W853" s="2"/>
      <c r="X853" s="2"/>
      <c r="Y853" s="64"/>
      <c r="Z853" s="64"/>
      <c r="AA853" s="2"/>
      <c r="AB853" s="2"/>
      <c r="AC853" s="2"/>
      <c r="AD853" s="2"/>
      <c r="AE853" s="2"/>
      <c r="AF853" s="2"/>
    </row>
    <row r="854" spans="1:32" ht="12.75" customHeight="1">
      <c r="A854" s="2"/>
      <c r="B854" s="35"/>
      <c r="C854" s="2"/>
      <c r="D854" s="2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2"/>
      <c r="T854" s="2"/>
      <c r="U854" s="2"/>
      <c r="V854" s="2"/>
      <c r="W854" s="2"/>
      <c r="X854" s="2"/>
      <c r="Y854" s="64"/>
      <c r="Z854" s="64"/>
      <c r="AA854" s="2"/>
      <c r="AB854" s="2"/>
      <c r="AC854" s="2"/>
      <c r="AD854" s="2"/>
      <c r="AE854" s="2"/>
      <c r="AF854" s="2"/>
    </row>
    <row r="855" spans="1:32" ht="12.75" customHeight="1">
      <c r="A855" s="2"/>
      <c r="B855" s="35"/>
      <c r="C855" s="2"/>
      <c r="D855" s="2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2"/>
      <c r="T855" s="2"/>
      <c r="U855" s="2"/>
      <c r="V855" s="2"/>
      <c r="W855" s="2"/>
      <c r="X855" s="2"/>
      <c r="Y855" s="64"/>
      <c r="Z855" s="64"/>
      <c r="AA855" s="2"/>
      <c r="AB855" s="2"/>
      <c r="AC855" s="2"/>
      <c r="AD855" s="2"/>
      <c r="AE855" s="2"/>
      <c r="AF855" s="2"/>
    </row>
    <row r="856" spans="1:32" ht="12.75" customHeight="1">
      <c r="A856" s="2"/>
      <c r="B856" s="35"/>
      <c r="C856" s="2"/>
      <c r="D856" s="2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2"/>
      <c r="T856" s="2"/>
      <c r="U856" s="2"/>
      <c r="V856" s="2"/>
      <c r="W856" s="2"/>
      <c r="X856" s="2"/>
      <c r="Y856" s="64"/>
      <c r="Z856" s="64"/>
      <c r="AA856" s="2"/>
      <c r="AB856" s="2"/>
      <c r="AC856" s="2"/>
      <c r="AD856" s="2"/>
      <c r="AE856" s="2"/>
      <c r="AF856" s="2"/>
    </row>
    <row r="857" spans="1:32" ht="12.75" customHeight="1">
      <c r="A857" s="2"/>
      <c r="B857" s="35"/>
      <c r="C857" s="2"/>
      <c r="D857" s="2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2"/>
      <c r="T857" s="2"/>
      <c r="U857" s="2"/>
      <c r="V857" s="2"/>
      <c r="W857" s="2"/>
      <c r="X857" s="2"/>
      <c r="Y857" s="64"/>
      <c r="Z857" s="64"/>
      <c r="AA857" s="2"/>
      <c r="AB857" s="2"/>
      <c r="AC857" s="2"/>
      <c r="AD857" s="2"/>
      <c r="AE857" s="2"/>
      <c r="AF857" s="2"/>
    </row>
    <row r="858" spans="1:32" ht="12.75" customHeight="1">
      <c r="A858" s="2"/>
      <c r="B858" s="35"/>
      <c r="C858" s="2"/>
      <c r="D858" s="2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2"/>
      <c r="T858" s="2"/>
      <c r="U858" s="2"/>
      <c r="V858" s="2"/>
      <c r="W858" s="2"/>
      <c r="X858" s="2"/>
      <c r="Y858" s="64"/>
      <c r="Z858" s="64"/>
      <c r="AA858" s="2"/>
      <c r="AB858" s="2"/>
      <c r="AC858" s="2"/>
      <c r="AD858" s="2"/>
      <c r="AE858" s="2"/>
      <c r="AF858" s="2"/>
    </row>
    <row r="859" spans="1:32" ht="12.75" customHeight="1">
      <c r="A859" s="2"/>
      <c r="B859" s="35"/>
      <c r="C859" s="2"/>
      <c r="D859" s="2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2"/>
      <c r="T859" s="2"/>
      <c r="U859" s="2"/>
      <c r="V859" s="2"/>
      <c r="W859" s="2"/>
      <c r="X859" s="2"/>
      <c r="Y859" s="64"/>
      <c r="Z859" s="64"/>
      <c r="AA859" s="2"/>
      <c r="AB859" s="2"/>
      <c r="AC859" s="2"/>
      <c r="AD859" s="2"/>
      <c r="AE859" s="2"/>
      <c r="AF859" s="2"/>
    </row>
    <row r="860" spans="1:32" ht="12.75" customHeight="1">
      <c r="A860" s="2"/>
      <c r="B860" s="35"/>
      <c r="C860" s="2"/>
      <c r="D860" s="2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2"/>
      <c r="T860" s="2"/>
      <c r="U860" s="2"/>
      <c r="V860" s="2"/>
      <c r="W860" s="2"/>
      <c r="X860" s="2"/>
      <c r="Y860" s="64"/>
      <c r="Z860" s="64"/>
      <c r="AA860" s="2"/>
      <c r="AB860" s="2"/>
      <c r="AC860" s="2"/>
      <c r="AD860" s="2"/>
      <c r="AE860" s="2"/>
      <c r="AF860" s="2"/>
    </row>
    <row r="861" spans="1:32" ht="12.75" customHeight="1">
      <c r="A861" s="2"/>
      <c r="B861" s="35"/>
      <c r="C861" s="2"/>
      <c r="D861" s="2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2"/>
      <c r="T861" s="2"/>
      <c r="U861" s="2"/>
      <c r="V861" s="2"/>
      <c r="W861" s="2"/>
      <c r="X861" s="2"/>
      <c r="Y861" s="64"/>
      <c r="Z861" s="64"/>
      <c r="AA861" s="2"/>
      <c r="AB861" s="2"/>
      <c r="AC861" s="2"/>
      <c r="AD861" s="2"/>
      <c r="AE861" s="2"/>
      <c r="AF861" s="2"/>
    </row>
    <row r="862" spans="1:32" ht="12.75" customHeight="1">
      <c r="A862" s="2"/>
      <c r="B862" s="35"/>
      <c r="C862" s="2"/>
      <c r="D862" s="2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2"/>
      <c r="T862" s="2"/>
      <c r="U862" s="2"/>
      <c r="V862" s="2"/>
      <c r="W862" s="2"/>
      <c r="X862" s="2"/>
      <c r="Y862" s="64"/>
      <c r="Z862" s="64"/>
      <c r="AA862" s="2"/>
      <c r="AB862" s="2"/>
      <c r="AC862" s="2"/>
      <c r="AD862" s="2"/>
      <c r="AE862" s="2"/>
      <c r="AF862" s="2"/>
    </row>
    <row r="863" spans="1:32" ht="12.75" customHeight="1">
      <c r="A863" s="2"/>
      <c r="B863" s="35"/>
      <c r="C863" s="2"/>
      <c r="D863" s="2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2"/>
      <c r="T863" s="2"/>
      <c r="U863" s="2"/>
      <c r="V863" s="2"/>
      <c r="W863" s="2"/>
      <c r="X863" s="2"/>
      <c r="Y863" s="64"/>
      <c r="Z863" s="64"/>
      <c r="AA863" s="2"/>
      <c r="AB863" s="2"/>
      <c r="AC863" s="2"/>
      <c r="AD863" s="2"/>
      <c r="AE863" s="2"/>
      <c r="AF863" s="2"/>
    </row>
    <row r="864" spans="1:32" ht="12.75" customHeight="1">
      <c r="A864" s="2"/>
      <c r="B864" s="35"/>
      <c r="C864" s="2"/>
      <c r="D864" s="2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2"/>
      <c r="T864" s="2"/>
      <c r="U864" s="2"/>
      <c r="V864" s="2"/>
      <c r="W864" s="2"/>
      <c r="X864" s="2"/>
      <c r="Y864" s="64"/>
      <c r="Z864" s="64"/>
      <c r="AA864" s="2"/>
      <c r="AB864" s="2"/>
      <c r="AC864" s="2"/>
      <c r="AD864" s="2"/>
      <c r="AE864" s="2"/>
      <c r="AF864" s="2"/>
    </row>
    <row r="865" spans="1:32" ht="12.75" customHeight="1">
      <c r="A865" s="2"/>
      <c r="B865" s="35"/>
      <c r="C865" s="2"/>
      <c r="D865" s="2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2"/>
      <c r="T865" s="2"/>
      <c r="U865" s="2"/>
      <c r="V865" s="2"/>
      <c r="W865" s="2"/>
      <c r="X865" s="2"/>
      <c r="Y865" s="64"/>
      <c r="Z865" s="64"/>
      <c r="AA865" s="2"/>
      <c r="AB865" s="2"/>
      <c r="AC865" s="2"/>
      <c r="AD865" s="2"/>
      <c r="AE865" s="2"/>
      <c r="AF865" s="2"/>
    </row>
    <row r="866" spans="1:32" ht="12.75" customHeight="1">
      <c r="A866" s="2"/>
      <c r="B866" s="35"/>
      <c r="C866" s="2"/>
      <c r="D866" s="2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2"/>
      <c r="T866" s="2"/>
      <c r="U866" s="2"/>
      <c r="V866" s="2"/>
      <c r="W866" s="2"/>
      <c r="X866" s="2"/>
      <c r="Y866" s="64"/>
      <c r="Z866" s="64"/>
      <c r="AA866" s="2"/>
      <c r="AB866" s="2"/>
      <c r="AC866" s="2"/>
      <c r="AD866" s="2"/>
      <c r="AE866" s="2"/>
      <c r="AF866" s="2"/>
    </row>
    <row r="867" spans="1:32" ht="12.75" customHeight="1">
      <c r="A867" s="2"/>
      <c r="B867" s="35"/>
      <c r="C867" s="2"/>
      <c r="D867" s="2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2"/>
      <c r="T867" s="2"/>
      <c r="U867" s="2"/>
      <c r="V867" s="2"/>
      <c r="W867" s="2"/>
      <c r="X867" s="2"/>
      <c r="Y867" s="64"/>
      <c r="Z867" s="64"/>
      <c r="AA867" s="2"/>
      <c r="AB867" s="2"/>
      <c r="AC867" s="2"/>
      <c r="AD867" s="2"/>
      <c r="AE867" s="2"/>
      <c r="AF867" s="2"/>
    </row>
    <row r="868" spans="1:32" ht="12.75" customHeight="1">
      <c r="A868" s="2"/>
      <c r="B868" s="35"/>
      <c r="C868" s="2"/>
      <c r="D868" s="2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2"/>
      <c r="T868" s="2"/>
      <c r="U868" s="2"/>
      <c r="V868" s="2"/>
      <c r="W868" s="2"/>
      <c r="X868" s="2"/>
      <c r="Y868" s="64"/>
      <c r="Z868" s="64"/>
      <c r="AA868" s="2"/>
      <c r="AB868" s="2"/>
      <c r="AC868" s="2"/>
      <c r="AD868" s="2"/>
      <c r="AE868" s="2"/>
      <c r="AF868" s="2"/>
    </row>
    <row r="869" spans="1:32" ht="12.75" customHeight="1">
      <c r="A869" s="2"/>
      <c r="B869" s="35"/>
      <c r="C869" s="2"/>
      <c r="D869" s="2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2"/>
      <c r="T869" s="2"/>
      <c r="U869" s="2"/>
      <c r="V869" s="2"/>
      <c r="W869" s="2"/>
      <c r="X869" s="2"/>
      <c r="Y869" s="64"/>
      <c r="Z869" s="64"/>
      <c r="AA869" s="2"/>
      <c r="AB869" s="2"/>
      <c r="AC869" s="2"/>
      <c r="AD869" s="2"/>
      <c r="AE869" s="2"/>
      <c r="AF869" s="2"/>
    </row>
    <row r="870" spans="1:32" ht="12.75" customHeight="1">
      <c r="A870" s="2"/>
      <c r="B870" s="35"/>
      <c r="C870" s="2"/>
      <c r="D870" s="2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2"/>
      <c r="T870" s="2"/>
      <c r="U870" s="2"/>
      <c r="V870" s="2"/>
      <c r="W870" s="2"/>
      <c r="X870" s="2"/>
      <c r="Y870" s="64"/>
      <c r="Z870" s="64"/>
      <c r="AA870" s="2"/>
      <c r="AB870" s="2"/>
      <c r="AC870" s="2"/>
      <c r="AD870" s="2"/>
      <c r="AE870" s="2"/>
      <c r="AF870" s="2"/>
    </row>
    <row r="871" spans="1:32" ht="12.75" customHeight="1">
      <c r="A871" s="2"/>
      <c r="B871" s="35"/>
      <c r="C871" s="2"/>
      <c r="D871" s="2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2"/>
      <c r="T871" s="2"/>
      <c r="U871" s="2"/>
      <c r="V871" s="2"/>
      <c r="W871" s="2"/>
      <c r="X871" s="2"/>
      <c r="Y871" s="64"/>
      <c r="Z871" s="64"/>
      <c r="AA871" s="2"/>
      <c r="AB871" s="2"/>
      <c r="AC871" s="2"/>
      <c r="AD871" s="2"/>
      <c r="AE871" s="2"/>
      <c r="AF871" s="2"/>
    </row>
    <row r="872" spans="1:32" ht="12.75" customHeight="1">
      <c r="A872" s="2"/>
      <c r="B872" s="35"/>
      <c r="C872" s="2"/>
      <c r="D872" s="2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2"/>
      <c r="T872" s="2"/>
      <c r="U872" s="2"/>
      <c r="V872" s="2"/>
      <c r="W872" s="2"/>
      <c r="X872" s="2"/>
      <c r="Y872" s="64"/>
      <c r="Z872" s="64"/>
      <c r="AA872" s="2"/>
      <c r="AB872" s="2"/>
      <c r="AC872" s="2"/>
      <c r="AD872" s="2"/>
      <c r="AE872" s="2"/>
      <c r="AF872" s="2"/>
    </row>
    <row r="873" spans="1:32" ht="12.75" customHeight="1">
      <c r="A873" s="2"/>
      <c r="B873" s="35"/>
      <c r="C873" s="2"/>
      <c r="D873" s="2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2"/>
      <c r="T873" s="2"/>
      <c r="U873" s="2"/>
      <c r="V873" s="2"/>
      <c r="W873" s="2"/>
      <c r="X873" s="2"/>
      <c r="Y873" s="64"/>
      <c r="Z873" s="64"/>
      <c r="AA873" s="2"/>
      <c r="AB873" s="2"/>
      <c r="AC873" s="2"/>
      <c r="AD873" s="2"/>
      <c r="AE873" s="2"/>
      <c r="AF873" s="2"/>
    </row>
    <row r="874" spans="1:32" ht="12.75" customHeight="1">
      <c r="A874" s="2"/>
      <c r="B874" s="35"/>
      <c r="C874" s="2"/>
      <c r="D874" s="2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2"/>
      <c r="T874" s="2"/>
      <c r="U874" s="2"/>
      <c r="V874" s="2"/>
      <c r="W874" s="2"/>
      <c r="X874" s="2"/>
      <c r="Y874" s="64"/>
      <c r="Z874" s="64"/>
      <c r="AA874" s="2"/>
      <c r="AB874" s="2"/>
      <c r="AC874" s="2"/>
      <c r="AD874" s="2"/>
      <c r="AE874" s="2"/>
      <c r="AF874" s="2"/>
    </row>
    <row r="875" spans="1:32" ht="12.75" customHeight="1">
      <c r="A875" s="2"/>
      <c r="B875" s="35"/>
      <c r="C875" s="2"/>
      <c r="D875" s="2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2"/>
      <c r="T875" s="2"/>
      <c r="U875" s="2"/>
      <c r="V875" s="2"/>
      <c r="W875" s="2"/>
      <c r="X875" s="2"/>
      <c r="Y875" s="64"/>
      <c r="Z875" s="64"/>
      <c r="AA875" s="2"/>
      <c r="AB875" s="2"/>
      <c r="AC875" s="2"/>
      <c r="AD875" s="2"/>
      <c r="AE875" s="2"/>
      <c r="AF875" s="2"/>
    </row>
    <row r="876" spans="1:32" ht="12.75" customHeight="1">
      <c r="A876" s="2"/>
      <c r="B876" s="35"/>
      <c r="C876" s="2"/>
      <c r="D876" s="2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2"/>
      <c r="T876" s="2"/>
      <c r="U876" s="2"/>
      <c r="V876" s="2"/>
      <c r="W876" s="2"/>
      <c r="X876" s="2"/>
      <c r="Y876" s="64"/>
      <c r="Z876" s="64"/>
      <c r="AA876" s="2"/>
      <c r="AB876" s="2"/>
      <c r="AC876" s="2"/>
      <c r="AD876" s="2"/>
      <c r="AE876" s="2"/>
      <c r="AF876" s="2"/>
    </row>
    <row r="877" spans="1:32" ht="12.75" customHeight="1">
      <c r="A877" s="2"/>
      <c r="B877" s="35"/>
      <c r="C877" s="2"/>
      <c r="D877" s="2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2"/>
      <c r="T877" s="2"/>
      <c r="U877" s="2"/>
      <c r="V877" s="2"/>
      <c r="W877" s="2"/>
      <c r="X877" s="2"/>
      <c r="Y877" s="64"/>
      <c r="Z877" s="64"/>
      <c r="AA877" s="2"/>
      <c r="AB877" s="2"/>
      <c r="AC877" s="2"/>
      <c r="AD877" s="2"/>
      <c r="AE877" s="2"/>
      <c r="AF877" s="2"/>
    </row>
    <row r="878" spans="1:32" ht="12.75" customHeight="1">
      <c r="A878" s="2"/>
      <c r="B878" s="35"/>
      <c r="C878" s="2"/>
      <c r="D878" s="2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2"/>
      <c r="T878" s="2"/>
      <c r="U878" s="2"/>
      <c r="V878" s="2"/>
      <c r="W878" s="2"/>
      <c r="X878" s="2"/>
      <c r="Y878" s="64"/>
      <c r="Z878" s="64"/>
      <c r="AA878" s="2"/>
      <c r="AB878" s="2"/>
      <c r="AC878" s="2"/>
      <c r="AD878" s="2"/>
      <c r="AE878" s="2"/>
      <c r="AF878" s="2"/>
    </row>
    <row r="879" spans="1:32" ht="12.75" customHeight="1">
      <c r="A879" s="2"/>
      <c r="B879" s="35"/>
      <c r="C879" s="2"/>
      <c r="D879" s="2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2"/>
      <c r="T879" s="2"/>
      <c r="U879" s="2"/>
      <c r="V879" s="2"/>
      <c r="W879" s="2"/>
      <c r="X879" s="2"/>
      <c r="Y879" s="64"/>
      <c r="Z879" s="64"/>
      <c r="AA879" s="2"/>
      <c r="AB879" s="2"/>
      <c r="AC879" s="2"/>
      <c r="AD879" s="2"/>
      <c r="AE879" s="2"/>
      <c r="AF879" s="2"/>
    </row>
    <row r="880" spans="1:32" ht="12.75" customHeight="1">
      <c r="A880" s="2"/>
      <c r="B880" s="35"/>
      <c r="C880" s="2"/>
      <c r="D880" s="2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2"/>
      <c r="T880" s="2"/>
      <c r="U880" s="2"/>
      <c r="V880" s="2"/>
      <c r="W880" s="2"/>
      <c r="X880" s="2"/>
      <c r="Y880" s="64"/>
      <c r="Z880" s="64"/>
      <c r="AA880" s="2"/>
      <c r="AB880" s="2"/>
      <c r="AC880" s="2"/>
      <c r="AD880" s="2"/>
      <c r="AE880" s="2"/>
      <c r="AF880" s="2"/>
    </row>
    <row r="881" spans="1:32" ht="12.75" customHeight="1">
      <c r="A881" s="2"/>
      <c r="B881" s="35"/>
      <c r="C881" s="2"/>
      <c r="D881" s="2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2"/>
      <c r="T881" s="2"/>
      <c r="U881" s="2"/>
      <c r="V881" s="2"/>
      <c r="W881" s="2"/>
      <c r="X881" s="2"/>
      <c r="Y881" s="64"/>
      <c r="Z881" s="64"/>
      <c r="AA881" s="2"/>
      <c r="AB881" s="2"/>
      <c r="AC881" s="2"/>
      <c r="AD881" s="2"/>
      <c r="AE881" s="2"/>
      <c r="AF881" s="2"/>
    </row>
    <row r="882" spans="1:32" ht="12.75" customHeight="1">
      <c r="A882" s="2"/>
      <c r="B882" s="35"/>
      <c r="C882" s="2"/>
      <c r="D882" s="2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2"/>
      <c r="T882" s="2"/>
      <c r="U882" s="2"/>
      <c r="V882" s="2"/>
      <c r="W882" s="2"/>
      <c r="X882" s="2"/>
      <c r="Y882" s="64"/>
      <c r="Z882" s="64"/>
      <c r="AA882" s="2"/>
      <c r="AB882" s="2"/>
      <c r="AC882" s="2"/>
      <c r="AD882" s="2"/>
      <c r="AE882" s="2"/>
      <c r="AF882" s="2"/>
    </row>
    <row r="883" spans="1:32" ht="12.75" customHeight="1">
      <c r="A883" s="2"/>
      <c r="B883" s="35"/>
      <c r="C883" s="2"/>
      <c r="D883" s="2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2"/>
      <c r="T883" s="2"/>
      <c r="U883" s="2"/>
      <c r="V883" s="2"/>
      <c r="W883" s="2"/>
      <c r="X883" s="2"/>
      <c r="Y883" s="64"/>
      <c r="Z883" s="64"/>
      <c r="AA883" s="2"/>
      <c r="AB883" s="2"/>
      <c r="AC883" s="2"/>
      <c r="AD883" s="2"/>
      <c r="AE883" s="2"/>
      <c r="AF883" s="2"/>
    </row>
    <row r="884" spans="1:32" ht="12.75" customHeight="1">
      <c r="A884" s="2"/>
      <c r="B884" s="35"/>
      <c r="C884" s="2"/>
      <c r="D884" s="2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2"/>
      <c r="T884" s="2"/>
      <c r="U884" s="2"/>
      <c r="V884" s="2"/>
      <c r="W884" s="2"/>
      <c r="X884" s="2"/>
      <c r="Y884" s="64"/>
      <c r="Z884" s="64"/>
      <c r="AA884" s="2"/>
      <c r="AB884" s="2"/>
      <c r="AC884" s="2"/>
      <c r="AD884" s="2"/>
      <c r="AE884" s="2"/>
      <c r="AF884" s="2"/>
    </row>
    <row r="885" spans="1:32" ht="12.75" customHeight="1">
      <c r="A885" s="2"/>
      <c r="B885" s="35"/>
      <c r="C885" s="2"/>
      <c r="D885" s="2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2"/>
      <c r="T885" s="2"/>
      <c r="U885" s="2"/>
      <c r="V885" s="2"/>
      <c r="W885" s="2"/>
      <c r="X885" s="2"/>
      <c r="Y885" s="64"/>
      <c r="Z885" s="64"/>
      <c r="AA885" s="2"/>
      <c r="AB885" s="2"/>
      <c r="AC885" s="2"/>
      <c r="AD885" s="2"/>
      <c r="AE885" s="2"/>
      <c r="AF885" s="2"/>
    </row>
    <row r="886" spans="1:32" ht="12.75" customHeight="1">
      <c r="A886" s="2"/>
      <c r="B886" s="35"/>
      <c r="C886" s="2"/>
      <c r="D886" s="2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2"/>
      <c r="T886" s="2"/>
      <c r="U886" s="2"/>
      <c r="V886" s="2"/>
      <c r="W886" s="2"/>
      <c r="X886" s="2"/>
      <c r="Y886" s="64"/>
      <c r="Z886" s="64"/>
      <c r="AA886" s="2"/>
      <c r="AB886" s="2"/>
      <c r="AC886" s="2"/>
      <c r="AD886" s="2"/>
      <c r="AE886" s="2"/>
      <c r="AF886" s="2"/>
    </row>
    <row r="887" spans="1:32" ht="12.75" customHeight="1">
      <c r="A887" s="2"/>
      <c r="B887" s="35"/>
      <c r="C887" s="2"/>
      <c r="D887" s="2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2"/>
      <c r="T887" s="2"/>
      <c r="U887" s="2"/>
      <c r="V887" s="2"/>
      <c r="W887" s="2"/>
      <c r="X887" s="2"/>
      <c r="Y887" s="64"/>
      <c r="Z887" s="64"/>
      <c r="AA887" s="2"/>
      <c r="AB887" s="2"/>
      <c r="AC887" s="2"/>
      <c r="AD887" s="2"/>
      <c r="AE887" s="2"/>
      <c r="AF887" s="2"/>
    </row>
    <row r="888" spans="1:32" ht="12.75" customHeight="1">
      <c r="A888" s="2"/>
      <c r="B888" s="35"/>
      <c r="C888" s="2"/>
      <c r="D888" s="2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2"/>
      <c r="T888" s="2"/>
      <c r="U888" s="2"/>
      <c r="V888" s="2"/>
      <c r="W888" s="2"/>
      <c r="X888" s="2"/>
      <c r="Y888" s="64"/>
      <c r="Z888" s="64"/>
      <c r="AA888" s="2"/>
      <c r="AB888" s="2"/>
      <c r="AC888" s="2"/>
      <c r="AD888" s="2"/>
      <c r="AE888" s="2"/>
      <c r="AF888" s="2"/>
    </row>
    <row r="889" spans="1:32" ht="12.75" customHeight="1">
      <c r="A889" s="2"/>
      <c r="B889" s="35"/>
      <c r="C889" s="2"/>
      <c r="D889" s="2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2"/>
      <c r="T889" s="2"/>
      <c r="U889" s="2"/>
      <c r="V889" s="2"/>
      <c r="W889" s="2"/>
      <c r="X889" s="2"/>
      <c r="Y889" s="64"/>
      <c r="Z889" s="64"/>
      <c r="AA889" s="2"/>
      <c r="AB889" s="2"/>
      <c r="AC889" s="2"/>
      <c r="AD889" s="2"/>
      <c r="AE889" s="2"/>
      <c r="AF889" s="2"/>
    </row>
    <row r="890" spans="1:32" ht="12.75" customHeight="1">
      <c r="A890" s="2"/>
      <c r="B890" s="35"/>
      <c r="C890" s="2"/>
      <c r="D890" s="2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2"/>
      <c r="T890" s="2"/>
      <c r="U890" s="2"/>
      <c r="V890" s="2"/>
      <c r="W890" s="2"/>
      <c r="X890" s="2"/>
      <c r="Y890" s="64"/>
      <c r="Z890" s="64"/>
      <c r="AA890" s="2"/>
      <c r="AB890" s="2"/>
      <c r="AC890" s="2"/>
      <c r="AD890" s="2"/>
      <c r="AE890" s="2"/>
      <c r="AF890" s="2"/>
    </row>
    <row r="891" spans="1:32" ht="12.75" customHeight="1">
      <c r="A891" s="2"/>
      <c r="B891" s="35"/>
      <c r="C891" s="2"/>
      <c r="D891" s="2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2"/>
      <c r="T891" s="2"/>
      <c r="U891" s="2"/>
      <c r="V891" s="2"/>
      <c r="W891" s="2"/>
      <c r="X891" s="2"/>
      <c r="Y891" s="64"/>
      <c r="Z891" s="64"/>
      <c r="AA891" s="2"/>
      <c r="AB891" s="2"/>
      <c r="AC891" s="2"/>
      <c r="AD891" s="2"/>
      <c r="AE891" s="2"/>
      <c r="AF891" s="2"/>
    </row>
    <row r="892" spans="1:32" ht="12.75" customHeight="1">
      <c r="A892" s="2"/>
      <c r="B892" s="35"/>
      <c r="C892" s="2"/>
      <c r="D892" s="2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2"/>
      <c r="T892" s="2"/>
      <c r="U892" s="2"/>
      <c r="V892" s="2"/>
      <c r="W892" s="2"/>
      <c r="X892" s="2"/>
      <c r="Y892" s="64"/>
      <c r="Z892" s="64"/>
      <c r="AA892" s="2"/>
      <c r="AB892" s="2"/>
      <c r="AC892" s="2"/>
      <c r="AD892" s="2"/>
      <c r="AE892" s="2"/>
      <c r="AF892" s="2"/>
    </row>
    <row r="893" spans="1:32" ht="12.75" customHeight="1">
      <c r="A893" s="2"/>
      <c r="B893" s="35"/>
      <c r="C893" s="2"/>
      <c r="D893" s="2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2"/>
      <c r="T893" s="2"/>
      <c r="U893" s="2"/>
      <c r="V893" s="2"/>
      <c r="W893" s="2"/>
      <c r="X893" s="2"/>
      <c r="Y893" s="64"/>
      <c r="Z893" s="64"/>
      <c r="AA893" s="2"/>
      <c r="AB893" s="2"/>
      <c r="AC893" s="2"/>
      <c r="AD893" s="2"/>
      <c r="AE893" s="2"/>
      <c r="AF893" s="2"/>
    </row>
    <row r="894" spans="1:32" ht="12.75" customHeight="1">
      <c r="A894" s="2"/>
      <c r="B894" s="35"/>
      <c r="C894" s="2"/>
      <c r="D894" s="2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2"/>
      <c r="T894" s="2"/>
      <c r="U894" s="2"/>
      <c r="V894" s="2"/>
      <c r="W894" s="2"/>
      <c r="X894" s="2"/>
      <c r="Y894" s="64"/>
      <c r="Z894" s="64"/>
      <c r="AA894" s="2"/>
      <c r="AB894" s="2"/>
      <c r="AC894" s="2"/>
      <c r="AD894" s="2"/>
      <c r="AE894" s="2"/>
      <c r="AF894" s="2"/>
    </row>
    <row r="895" spans="1:32" ht="12.75" customHeight="1">
      <c r="A895" s="2"/>
      <c r="B895" s="35"/>
      <c r="C895" s="2"/>
      <c r="D895" s="2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2"/>
      <c r="T895" s="2"/>
      <c r="U895" s="2"/>
      <c r="V895" s="2"/>
      <c r="W895" s="2"/>
      <c r="X895" s="2"/>
      <c r="Y895" s="64"/>
      <c r="Z895" s="64"/>
      <c r="AA895" s="2"/>
      <c r="AB895" s="2"/>
      <c r="AC895" s="2"/>
      <c r="AD895" s="2"/>
      <c r="AE895" s="2"/>
      <c r="AF895" s="2"/>
    </row>
    <row r="896" spans="1:32" ht="12.75" customHeight="1">
      <c r="A896" s="2"/>
      <c r="B896" s="35"/>
      <c r="C896" s="2"/>
      <c r="D896" s="2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2"/>
      <c r="T896" s="2"/>
      <c r="U896" s="2"/>
      <c r="V896" s="2"/>
      <c r="W896" s="2"/>
      <c r="X896" s="2"/>
      <c r="Y896" s="64"/>
      <c r="Z896" s="64"/>
      <c r="AA896" s="2"/>
      <c r="AB896" s="2"/>
      <c r="AC896" s="2"/>
      <c r="AD896" s="2"/>
      <c r="AE896" s="2"/>
      <c r="AF896" s="2"/>
    </row>
    <row r="897" spans="1:32" ht="12.75" customHeight="1">
      <c r="A897" s="2"/>
      <c r="B897" s="35"/>
      <c r="C897" s="2"/>
      <c r="D897" s="2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2"/>
      <c r="T897" s="2"/>
      <c r="U897" s="2"/>
      <c r="V897" s="2"/>
      <c r="W897" s="2"/>
      <c r="X897" s="2"/>
      <c r="Y897" s="64"/>
      <c r="Z897" s="64"/>
      <c r="AA897" s="2"/>
      <c r="AB897" s="2"/>
      <c r="AC897" s="2"/>
      <c r="AD897" s="2"/>
      <c r="AE897" s="2"/>
      <c r="AF897" s="2"/>
    </row>
    <row r="898" spans="1:32" ht="12.75" customHeight="1">
      <c r="A898" s="2"/>
      <c r="B898" s="35"/>
      <c r="C898" s="2"/>
      <c r="D898" s="2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2"/>
      <c r="T898" s="2"/>
      <c r="U898" s="2"/>
      <c r="V898" s="2"/>
      <c r="W898" s="2"/>
      <c r="X898" s="2"/>
      <c r="Y898" s="64"/>
      <c r="Z898" s="64"/>
      <c r="AA898" s="2"/>
      <c r="AB898" s="2"/>
      <c r="AC898" s="2"/>
      <c r="AD898" s="2"/>
      <c r="AE898" s="2"/>
      <c r="AF898" s="2"/>
    </row>
    <row r="899" spans="1:32" ht="12.75" customHeight="1">
      <c r="A899" s="2"/>
      <c r="B899" s="35"/>
      <c r="C899" s="2"/>
      <c r="D899" s="2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2"/>
      <c r="T899" s="2"/>
      <c r="U899" s="2"/>
      <c r="V899" s="2"/>
      <c r="W899" s="2"/>
      <c r="X899" s="2"/>
      <c r="Y899" s="64"/>
      <c r="Z899" s="64"/>
      <c r="AA899" s="2"/>
      <c r="AB899" s="2"/>
      <c r="AC899" s="2"/>
      <c r="AD899" s="2"/>
      <c r="AE899" s="2"/>
      <c r="AF899" s="2"/>
    </row>
    <row r="900" spans="1:32" ht="12.75" customHeight="1">
      <c r="A900" s="2"/>
      <c r="B900" s="35"/>
      <c r="C900" s="2"/>
      <c r="D900" s="2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2"/>
      <c r="T900" s="2"/>
      <c r="U900" s="2"/>
      <c r="V900" s="2"/>
      <c r="W900" s="2"/>
      <c r="X900" s="2"/>
      <c r="Y900" s="64"/>
      <c r="Z900" s="64"/>
      <c r="AA900" s="2"/>
      <c r="AB900" s="2"/>
      <c r="AC900" s="2"/>
      <c r="AD900" s="2"/>
      <c r="AE900" s="2"/>
      <c r="AF900" s="2"/>
    </row>
    <row r="901" spans="1:32" ht="12.75" customHeight="1">
      <c r="A901" s="2"/>
      <c r="B901" s="35"/>
      <c r="C901" s="2"/>
      <c r="D901" s="2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2"/>
      <c r="T901" s="2"/>
      <c r="U901" s="2"/>
      <c r="V901" s="2"/>
      <c r="W901" s="2"/>
      <c r="X901" s="2"/>
      <c r="Y901" s="64"/>
      <c r="Z901" s="64"/>
      <c r="AA901" s="2"/>
      <c r="AB901" s="2"/>
      <c r="AC901" s="2"/>
      <c r="AD901" s="2"/>
      <c r="AE901" s="2"/>
      <c r="AF901" s="2"/>
    </row>
    <row r="902" spans="1:32" ht="12.75" customHeight="1">
      <c r="A902" s="2"/>
      <c r="B902" s="35"/>
      <c r="C902" s="2"/>
      <c r="D902" s="2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2"/>
      <c r="T902" s="2"/>
      <c r="U902" s="2"/>
      <c r="V902" s="2"/>
      <c r="W902" s="2"/>
      <c r="X902" s="2"/>
      <c r="Y902" s="64"/>
      <c r="Z902" s="64"/>
      <c r="AA902" s="2"/>
      <c r="AB902" s="2"/>
      <c r="AC902" s="2"/>
      <c r="AD902" s="2"/>
      <c r="AE902" s="2"/>
      <c r="AF902" s="2"/>
    </row>
    <row r="903" spans="1:32" ht="12.75" customHeight="1">
      <c r="A903" s="2"/>
      <c r="B903" s="35"/>
      <c r="C903" s="2"/>
      <c r="D903" s="2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2"/>
      <c r="T903" s="2"/>
      <c r="U903" s="2"/>
      <c r="V903" s="2"/>
      <c r="W903" s="2"/>
      <c r="X903" s="2"/>
      <c r="Y903" s="64"/>
      <c r="Z903" s="64"/>
      <c r="AA903" s="2"/>
      <c r="AB903" s="2"/>
      <c r="AC903" s="2"/>
      <c r="AD903" s="2"/>
      <c r="AE903" s="2"/>
      <c r="AF903" s="2"/>
    </row>
    <row r="904" spans="1:32" ht="12.75" customHeight="1">
      <c r="A904" s="2"/>
      <c r="B904" s="35"/>
      <c r="C904" s="2"/>
      <c r="D904" s="2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2"/>
      <c r="T904" s="2"/>
      <c r="U904" s="2"/>
      <c r="V904" s="2"/>
      <c r="W904" s="2"/>
      <c r="X904" s="2"/>
      <c r="Y904" s="64"/>
      <c r="Z904" s="64"/>
      <c r="AA904" s="2"/>
      <c r="AB904" s="2"/>
      <c r="AC904" s="2"/>
      <c r="AD904" s="2"/>
      <c r="AE904" s="2"/>
      <c r="AF904" s="2"/>
    </row>
    <row r="905" spans="1:32" ht="12.75" customHeight="1">
      <c r="A905" s="2"/>
      <c r="B905" s="35"/>
      <c r="C905" s="2"/>
      <c r="D905" s="2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2"/>
      <c r="T905" s="2"/>
      <c r="U905" s="2"/>
      <c r="V905" s="2"/>
      <c r="W905" s="2"/>
      <c r="X905" s="2"/>
      <c r="Y905" s="64"/>
      <c r="Z905" s="64"/>
      <c r="AA905" s="2"/>
      <c r="AB905" s="2"/>
      <c r="AC905" s="2"/>
      <c r="AD905" s="2"/>
      <c r="AE905" s="2"/>
      <c r="AF905" s="2"/>
    </row>
    <row r="906" spans="1:32" ht="12.75" customHeight="1">
      <c r="A906" s="2"/>
      <c r="B906" s="35"/>
      <c r="C906" s="2"/>
      <c r="D906" s="2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2"/>
      <c r="T906" s="2"/>
      <c r="U906" s="2"/>
      <c r="V906" s="2"/>
      <c r="W906" s="2"/>
      <c r="X906" s="2"/>
      <c r="Y906" s="64"/>
      <c r="Z906" s="64"/>
      <c r="AA906" s="2"/>
      <c r="AB906" s="2"/>
      <c r="AC906" s="2"/>
      <c r="AD906" s="2"/>
      <c r="AE906" s="2"/>
      <c r="AF906" s="2"/>
    </row>
    <row r="907" spans="1:32" ht="12.75" customHeight="1">
      <c r="A907" s="2"/>
      <c r="B907" s="35"/>
      <c r="C907" s="2"/>
      <c r="D907" s="2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2"/>
      <c r="T907" s="2"/>
      <c r="U907" s="2"/>
      <c r="V907" s="2"/>
      <c r="W907" s="2"/>
      <c r="X907" s="2"/>
      <c r="Y907" s="64"/>
      <c r="Z907" s="64"/>
      <c r="AA907" s="2"/>
      <c r="AB907" s="2"/>
      <c r="AC907" s="2"/>
      <c r="AD907" s="2"/>
      <c r="AE907" s="2"/>
      <c r="AF907" s="2"/>
    </row>
    <row r="908" spans="1:32" ht="12.75" customHeight="1">
      <c r="A908" s="2"/>
      <c r="B908" s="35"/>
      <c r="C908" s="2"/>
      <c r="D908" s="2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2"/>
      <c r="T908" s="2"/>
      <c r="U908" s="2"/>
      <c r="V908" s="2"/>
      <c r="W908" s="2"/>
      <c r="X908" s="2"/>
      <c r="Y908" s="64"/>
      <c r="Z908" s="64"/>
      <c r="AA908" s="2"/>
      <c r="AB908" s="2"/>
      <c r="AC908" s="2"/>
      <c r="AD908" s="2"/>
      <c r="AE908" s="2"/>
      <c r="AF908" s="2"/>
    </row>
    <row r="909" spans="1:32" ht="12.75" customHeight="1">
      <c r="A909" s="2"/>
      <c r="B909" s="35"/>
      <c r="C909" s="2"/>
      <c r="D909" s="2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2"/>
      <c r="T909" s="2"/>
      <c r="U909" s="2"/>
      <c r="V909" s="2"/>
      <c r="W909" s="2"/>
      <c r="X909" s="2"/>
      <c r="Y909" s="64"/>
      <c r="Z909" s="64"/>
      <c r="AA909" s="2"/>
      <c r="AB909" s="2"/>
      <c r="AC909" s="2"/>
      <c r="AD909" s="2"/>
      <c r="AE909" s="2"/>
      <c r="AF909" s="2"/>
    </row>
    <row r="910" spans="1:32" ht="12.75" customHeight="1">
      <c r="A910" s="2"/>
      <c r="B910" s="35"/>
      <c r="C910" s="2"/>
      <c r="D910" s="2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2"/>
      <c r="T910" s="2"/>
      <c r="U910" s="2"/>
      <c r="V910" s="2"/>
      <c r="W910" s="2"/>
      <c r="X910" s="2"/>
      <c r="Y910" s="64"/>
      <c r="Z910" s="64"/>
      <c r="AA910" s="2"/>
      <c r="AB910" s="2"/>
      <c r="AC910" s="2"/>
      <c r="AD910" s="2"/>
      <c r="AE910" s="2"/>
      <c r="AF910" s="2"/>
    </row>
    <row r="911" spans="1:32" ht="12.75" customHeight="1">
      <c r="A911" s="2"/>
      <c r="B911" s="35"/>
      <c r="C911" s="2"/>
      <c r="D911" s="2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2"/>
      <c r="T911" s="2"/>
      <c r="U911" s="2"/>
      <c r="V911" s="2"/>
      <c r="W911" s="2"/>
      <c r="X911" s="2"/>
      <c r="Y911" s="64"/>
      <c r="Z911" s="64"/>
      <c r="AA911" s="2"/>
      <c r="AB911" s="2"/>
      <c r="AC911" s="2"/>
      <c r="AD911" s="2"/>
      <c r="AE911" s="2"/>
      <c r="AF911" s="2"/>
    </row>
    <row r="912" spans="1:32" ht="12.75" customHeight="1">
      <c r="A912" s="2"/>
      <c r="B912" s="35"/>
      <c r="C912" s="2"/>
      <c r="D912" s="2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2"/>
      <c r="T912" s="2"/>
      <c r="U912" s="2"/>
      <c r="V912" s="2"/>
      <c r="W912" s="2"/>
      <c r="X912" s="2"/>
      <c r="Y912" s="64"/>
      <c r="Z912" s="64"/>
      <c r="AA912" s="2"/>
      <c r="AB912" s="2"/>
      <c r="AC912" s="2"/>
      <c r="AD912" s="2"/>
      <c r="AE912" s="2"/>
      <c r="AF912" s="2"/>
    </row>
    <row r="913" spans="1:32" ht="12.75" customHeight="1">
      <c r="A913" s="2"/>
      <c r="B913" s="35"/>
      <c r="C913" s="2"/>
      <c r="D913" s="2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2"/>
      <c r="T913" s="2"/>
      <c r="U913" s="2"/>
      <c r="V913" s="2"/>
      <c r="W913" s="2"/>
      <c r="X913" s="2"/>
      <c r="Y913" s="64"/>
      <c r="Z913" s="64"/>
      <c r="AA913" s="2"/>
      <c r="AB913" s="2"/>
      <c r="AC913" s="2"/>
      <c r="AD913" s="2"/>
      <c r="AE913" s="2"/>
      <c r="AF913" s="2"/>
    </row>
    <row r="914" spans="1:32" ht="12.75" customHeight="1">
      <c r="A914" s="2"/>
      <c r="B914" s="35"/>
      <c r="C914" s="2"/>
      <c r="D914" s="2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2"/>
      <c r="T914" s="2"/>
      <c r="U914" s="2"/>
      <c r="V914" s="2"/>
      <c r="W914" s="2"/>
      <c r="X914" s="2"/>
      <c r="Y914" s="64"/>
      <c r="Z914" s="64"/>
      <c r="AA914" s="2"/>
      <c r="AB914" s="2"/>
      <c r="AC914" s="2"/>
      <c r="AD914" s="2"/>
      <c r="AE914" s="2"/>
      <c r="AF914" s="2"/>
    </row>
    <row r="915" spans="1:32" ht="12.75" customHeight="1">
      <c r="A915" s="2"/>
      <c r="B915" s="35"/>
      <c r="C915" s="2"/>
      <c r="D915" s="2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2"/>
      <c r="T915" s="2"/>
      <c r="U915" s="2"/>
      <c r="V915" s="2"/>
      <c r="W915" s="2"/>
      <c r="X915" s="2"/>
      <c r="Y915" s="64"/>
      <c r="Z915" s="64"/>
      <c r="AA915" s="2"/>
      <c r="AB915" s="2"/>
      <c r="AC915" s="2"/>
      <c r="AD915" s="2"/>
      <c r="AE915" s="2"/>
      <c r="AF915" s="2"/>
    </row>
    <row r="916" spans="1:32" ht="12.75" customHeight="1">
      <c r="A916" s="2"/>
      <c r="B916" s="35"/>
      <c r="C916" s="2"/>
      <c r="D916" s="2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2"/>
      <c r="T916" s="2"/>
      <c r="U916" s="2"/>
      <c r="V916" s="2"/>
      <c r="W916" s="2"/>
      <c r="X916" s="2"/>
      <c r="Y916" s="64"/>
      <c r="Z916" s="64"/>
      <c r="AA916" s="2"/>
      <c r="AB916" s="2"/>
      <c r="AC916" s="2"/>
      <c r="AD916" s="2"/>
      <c r="AE916" s="2"/>
      <c r="AF916" s="2"/>
    </row>
    <row r="917" spans="1:32" ht="12.75" customHeight="1">
      <c r="A917" s="2"/>
      <c r="B917" s="35"/>
      <c r="C917" s="2"/>
      <c r="D917" s="2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2"/>
      <c r="T917" s="2"/>
      <c r="U917" s="2"/>
      <c r="V917" s="2"/>
      <c r="W917" s="2"/>
      <c r="X917" s="2"/>
      <c r="Y917" s="64"/>
      <c r="Z917" s="64"/>
      <c r="AA917" s="2"/>
      <c r="AB917" s="2"/>
      <c r="AC917" s="2"/>
      <c r="AD917" s="2"/>
      <c r="AE917" s="2"/>
      <c r="AF917" s="2"/>
    </row>
    <row r="918" spans="1:32" ht="12.75" customHeight="1">
      <c r="A918" s="2"/>
      <c r="B918" s="35"/>
      <c r="C918" s="2"/>
      <c r="D918" s="2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2"/>
      <c r="T918" s="2"/>
      <c r="U918" s="2"/>
      <c r="V918" s="2"/>
      <c r="W918" s="2"/>
      <c r="X918" s="2"/>
      <c r="Y918" s="64"/>
      <c r="Z918" s="64"/>
      <c r="AA918" s="2"/>
      <c r="AB918" s="2"/>
      <c r="AC918" s="2"/>
      <c r="AD918" s="2"/>
      <c r="AE918" s="2"/>
      <c r="AF918" s="2"/>
    </row>
    <row r="919" spans="1:32" ht="12.75" customHeight="1">
      <c r="A919" s="2"/>
      <c r="B919" s="35"/>
      <c r="C919" s="2"/>
      <c r="D919" s="2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2"/>
      <c r="T919" s="2"/>
      <c r="U919" s="2"/>
      <c r="V919" s="2"/>
      <c r="W919" s="2"/>
      <c r="X919" s="2"/>
      <c r="Y919" s="64"/>
      <c r="Z919" s="64"/>
      <c r="AA919" s="2"/>
      <c r="AB919" s="2"/>
      <c r="AC919" s="2"/>
      <c r="AD919" s="2"/>
      <c r="AE919" s="2"/>
      <c r="AF919" s="2"/>
    </row>
    <row r="920" spans="1:32" ht="12.75" customHeight="1">
      <c r="A920" s="2"/>
      <c r="B920" s="35"/>
      <c r="C920" s="2"/>
      <c r="D920" s="2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2"/>
      <c r="T920" s="2"/>
      <c r="U920" s="2"/>
      <c r="V920" s="2"/>
      <c r="W920" s="2"/>
      <c r="X920" s="2"/>
      <c r="Y920" s="64"/>
      <c r="Z920" s="64"/>
      <c r="AA920" s="2"/>
      <c r="AB920" s="2"/>
      <c r="AC920" s="2"/>
      <c r="AD920" s="2"/>
      <c r="AE920" s="2"/>
      <c r="AF920" s="2"/>
    </row>
    <row r="921" spans="1:32" ht="12.75" customHeight="1">
      <c r="A921" s="2"/>
      <c r="B921" s="35"/>
      <c r="C921" s="2"/>
      <c r="D921" s="2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2"/>
      <c r="T921" s="2"/>
      <c r="U921" s="2"/>
      <c r="V921" s="2"/>
      <c r="W921" s="2"/>
      <c r="X921" s="2"/>
      <c r="Y921" s="64"/>
      <c r="Z921" s="64"/>
      <c r="AA921" s="2"/>
      <c r="AB921" s="2"/>
      <c r="AC921" s="2"/>
      <c r="AD921" s="2"/>
      <c r="AE921" s="2"/>
      <c r="AF921" s="2"/>
    </row>
    <row r="922" spans="1:32" ht="12.75" customHeight="1">
      <c r="A922" s="2"/>
      <c r="B922" s="35"/>
      <c r="C922" s="2"/>
      <c r="D922" s="2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2"/>
      <c r="T922" s="2"/>
      <c r="U922" s="2"/>
      <c r="V922" s="2"/>
      <c r="W922" s="2"/>
      <c r="X922" s="2"/>
      <c r="Y922" s="64"/>
      <c r="Z922" s="64"/>
      <c r="AA922" s="2"/>
      <c r="AB922" s="2"/>
      <c r="AC922" s="2"/>
      <c r="AD922" s="2"/>
      <c r="AE922" s="2"/>
      <c r="AF922" s="2"/>
    </row>
    <row r="923" spans="1:32" ht="12.75" customHeight="1">
      <c r="A923" s="2"/>
      <c r="B923" s="35"/>
      <c r="C923" s="2"/>
      <c r="D923" s="2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2"/>
      <c r="T923" s="2"/>
      <c r="U923" s="2"/>
      <c r="V923" s="2"/>
      <c r="W923" s="2"/>
      <c r="X923" s="2"/>
      <c r="Y923" s="64"/>
      <c r="Z923" s="64"/>
      <c r="AA923" s="2"/>
      <c r="AB923" s="2"/>
      <c r="AC923" s="2"/>
      <c r="AD923" s="2"/>
      <c r="AE923" s="2"/>
      <c r="AF923" s="2"/>
    </row>
    <row r="924" spans="1:32" ht="12.75" customHeight="1">
      <c r="A924" s="2"/>
      <c r="B924" s="35"/>
      <c r="C924" s="2"/>
      <c r="D924" s="2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2"/>
      <c r="T924" s="2"/>
      <c r="U924" s="2"/>
      <c r="V924" s="2"/>
      <c r="W924" s="2"/>
      <c r="X924" s="2"/>
      <c r="Y924" s="64"/>
      <c r="Z924" s="64"/>
      <c r="AA924" s="2"/>
      <c r="AB924" s="2"/>
      <c r="AC924" s="2"/>
      <c r="AD924" s="2"/>
      <c r="AE924" s="2"/>
      <c r="AF924" s="2"/>
    </row>
    <row r="925" spans="1:32" ht="12.75" customHeight="1">
      <c r="A925" s="2"/>
      <c r="B925" s="35"/>
      <c r="C925" s="2"/>
      <c r="D925" s="2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2"/>
      <c r="T925" s="2"/>
      <c r="U925" s="2"/>
      <c r="V925" s="2"/>
      <c r="W925" s="2"/>
      <c r="X925" s="2"/>
      <c r="Y925" s="64"/>
      <c r="Z925" s="64"/>
      <c r="AA925" s="2"/>
      <c r="AB925" s="2"/>
      <c r="AC925" s="2"/>
      <c r="AD925" s="2"/>
      <c r="AE925" s="2"/>
      <c r="AF925" s="2"/>
    </row>
    <row r="926" spans="1:32" ht="12.75" customHeight="1">
      <c r="A926" s="2"/>
      <c r="B926" s="35"/>
      <c r="C926" s="2"/>
      <c r="D926" s="2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2"/>
      <c r="T926" s="2"/>
      <c r="U926" s="2"/>
      <c r="V926" s="2"/>
      <c r="W926" s="2"/>
      <c r="X926" s="2"/>
      <c r="Y926" s="64"/>
      <c r="Z926" s="64"/>
      <c r="AA926" s="2"/>
      <c r="AB926" s="2"/>
      <c r="AC926" s="2"/>
      <c r="AD926" s="2"/>
      <c r="AE926" s="2"/>
      <c r="AF926" s="2"/>
    </row>
    <row r="927" spans="1:32" ht="12.75" customHeight="1">
      <c r="A927" s="2"/>
      <c r="B927" s="35"/>
      <c r="C927" s="2"/>
      <c r="D927" s="2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2"/>
      <c r="T927" s="2"/>
      <c r="U927" s="2"/>
      <c r="V927" s="2"/>
      <c r="W927" s="2"/>
      <c r="X927" s="2"/>
      <c r="Y927" s="64"/>
      <c r="Z927" s="64"/>
      <c r="AA927" s="2"/>
      <c r="AB927" s="2"/>
      <c r="AC927" s="2"/>
      <c r="AD927" s="2"/>
      <c r="AE927" s="2"/>
      <c r="AF927" s="2"/>
    </row>
    <row r="928" spans="1:32" ht="12.75" customHeight="1">
      <c r="A928" s="2"/>
      <c r="B928" s="35"/>
      <c r="C928" s="2"/>
      <c r="D928" s="2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2"/>
      <c r="T928" s="2"/>
      <c r="U928" s="2"/>
      <c r="V928" s="2"/>
      <c r="W928" s="2"/>
      <c r="X928" s="2"/>
      <c r="Y928" s="64"/>
      <c r="Z928" s="64"/>
      <c r="AA928" s="2"/>
      <c r="AB928" s="2"/>
      <c r="AC928" s="2"/>
      <c r="AD928" s="2"/>
      <c r="AE928" s="2"/>
      <c r="AF928" s="2"/>
    </row>
    <row r="929" spans="1:32" ht="12.75" customHeight="1">
      <c r="A929" s="2"/>
      <c r="B929" s="35"/>
      <c r="C929" s="2"/>
      <c r="D929" s="2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2"/>
      <c r="T929" s="2"/>
      <c r="U929" s="2"/>
      <c r="V929" s="2"/>
      <c r="W929" s="2"/>
      <c r="X929" s="2"/>
      <c r="Y929" s="64"/>
      <c r="Z929" s="64"/>
      <c r="AA929" s="2"/>
      <c r="AB929" s="2"/>
      <c r="AC929" s="2"/>
      <c r="AD929" s="2"/>
      <c r="AE929" s="2"/>
      <c r="AF929" s="2"/>
    </row>
    <row r="930" spans="1:32" ht="12.75" customHeight="1">
      <c r="A930" s="2"/>
      <c r="B930" s="35"/>
      <c r="C930" s="2"/>
      <c r="D930" s="2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2"/>
      <c r="T930" s="2"/>
      <c r="U930" s="2"/>
      <c r="V930" s="2"/>
      <c r="W930" s="2"/>
      <c r="X930" s="2"/>
      <c r="Y930" s="64"/>
      <c r="Z930" s="64"/>
      <c r="AA930" s="2"/>
      <c r="AB930" s="2"/>
      <c r="AC930" s="2"/>
      <c r="AD930" s="2"/>
      <c r="AE930" s="2"/>
      <c r="AF930" s="2"/>
    </row>
    <row r="931" spans="1:32" ht="12.75" customHeight="1">
      <c r="A931" s="2"/>
      <c r="B931" s="35"/>
      <c r="C931" s="2"/>
      <c r="D931" s="2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2"/>
      <c r="T931" s="2"/>
      <c r="U931" s="2"/>
      <c r="V931" s="2"/>
      <c r="W931" s="2"/>
      <c r="X931" s="2"/>
      <c r="Y931" s="64"/>
      <c r="Z931" s="64"/>
      <c r="AA931" s="2"/>
      <c r="AB931" s="2"/>
      <c r="AC931" s="2"/>
      <c r="AD931" s="2"/>
      <c r="AE931" s="2"/>
      <c r="AF931" s="2"/>
    </row>
    <row r="932" spans="1:32" ht="12.75" customHeight="1">
      <c r="A932" s="2"/>
      <c r="B932" s="35"/>
      <c r="C932" s="2"/>
      <c r="D932" s="2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2"/>
      <c r="T932" s="2"/>
      <c r="U932" s="2"/>
      <c r="V932" s="2"/>
      <c r="W932" s="2"/>
      <c r="X932" s="2"/>
      <c r="Y932" s="64"/>
      <c r="Z932" s="64"/>
      <c r="AA932" s="2"/>
      <c r="AB932" s="2"/>
      <c r="AC932" s="2"/>
      <c r="AD932" s="2"/>
      <c r="AE932" s="2"/>
      <c r="AF932" s="2"/>
    </row>
    <row r="933" spans="1:32" ht="12.75" customHeight="1">
      <c r="A933" s="2"/>
      <c r="B933" s="35"/>
      <c r="C933" s="2"/>
      <c r="D933" s="2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2"/>
      <c r="T933" s="2"/>
      <c r="U933" s="2"/>
      <c r="V933" s="2"/>
      <c r="W933" s="2"/>
      <c r="X933" s="2"/>
      <c r="Y933" s="64"/>
      <c r="Z933" s="64"/>
      <c r="AA933" s="2"/>
      <c r="AB933" s="2"/>
      <c r="AC933" s="2"/>
      <c r="AD933" s="2"/>
      <c r="AE933" s="2"/>
      <c r="AF933" s="2"/>
    </row>
    <row r="934" spans="1:32" ht="12.75" customHeight="1">
      <c r="A934" s="2"/>
      <c r="B934" s="35"/>
      <c r="C934" s="2"/>
      <c r="D934" s="2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2"/>
      <c r="T934" s="2"/>
      <c r="U934" s="2"/>
      <c r="V934" s="2"/>
      <c r="W934" s="2"/>
      <c r="X934" s="2"/>
      <c r="Y934" s="64"/>
      <c r="Z934" s="64"/>
      <c r="AA934" s="2"/>
      <c r="AB934" s="2"/>
      <c r="AC934" s="2"/>
      <c r="AD934" s="2"/>
      <c r="AE934" s="2"/>
      <c r="AF934" s="2"/>
    </row>
    <row r="935" spans="1:32" ht="12.75" customHeight="1">
      <c r="A935" s="2"/>
      <c r="B935" s="35"/>
      <c r="C935" s="2"/>
      <c r="D935" s="2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2"/>
      <c r="T935" s="2"/>
      <c r="U935" s="2"/>
      <c r="V935" s="2"/>
      <c r="W935" s="2"/>
      <c r="X935" s="2"/>
      <c r="Y935" s="64"/>
      <c r="Z935" s="64"/>
      <c r="AA935" s="2"/>
      <c r="AB935" s="2"/>
      <c r="AC935" s="2"/>
      <c r="AD935" s="2"/>
      <c r="AE935" s="2"/>
      <c r="AF935" s="2"/>
    </row>
    <row r="936" spans="1:32" ht="12.75" customHeight="1">
      <c r="A936" s="2"/>
      <c r="B936" s="35"/>
      <c r="C936" s="2"/>
      <c r="D936" s="2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2"/>
      <c r="T936" s="2"/>
      <c r="U936" s="2"/>
      <c r="V936" s="2"/>
      <c r="W936" s="2"/>
      <c r="X936" s="2"/>
      <c r="Y936" s="64"/>
      <c r="Z936" s="64"/>
      <c r="AA936" s="2"/>
      <c r="AB936" s="2"/>
      <c r="AC936" s="2"/>
      <c r="AD936" s="2"/>
      <c r="AE936" s="2"/>
      <c r="AF936" s="2"/>
    </row>
    <row r="937" spans="1:32" ht="12.75" customHeight="1">
      <c r="A937" s="2"/>
      <c r="B937" s="35"/>
      <c r="C937" s="2"/>
      <c r="D937" s="2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2"/>
      <c r="T937" s="2"/>
      <c r="U937" s="2"/>
      <c r="V937" s="2"/>
      <c r="W937" s="2"/>
      <c r="X937" s="2"/>
      <c r="Y937" s="64"/>
      <c r="Z937" s="64"/>
      <c r="AA937" s="2"/>
      <c r="AB937" s="2"/>
      <c r="AC937" s="2"/>
      <c r="AD937" s="2"/>
      <c r="AE937" s="2"/>
      <c r="AF937" s="2"/>
    </row>
    <row r="938" spans="1:32" ht="12.75" customHeight="1">
      <c r="A938" s="2"/>
      <c r="B938" s="35"/>
      <c r="C938" s="2"/>
      <c r="D938" s="2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2"/>
      <c r="T938" s="2"/>
      <c r="U938" s="2"/>
      <c r="V938" s="2"/>
      <c r="W938" s="2"/>
      <c r="X938" s="2"/>
      <c r="Y938" s="64"/>
      <c r="Z938" s="64"/>
      <c r="AA938" s="2"/>
      <c r="AB938" s="2"/>
      <c r="AC938" s="2"/>
      <c r="AD938" s="2"/>
      <c r="AE938" s="2"/>
      <c r="AF938" s="2"/>
    </row>
    <row r="939" spans="1:32" ht="12.75" customHeight="1">
      <c r="A939" s="2"/>
      <c r="B939" s="35"/>
      <c r="C939" s="2"/>
      <c r="D939" s="2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2"/>
      <c r="T939" s="2"/>
      <c r="U939" s="2"/>
      <c r="V939" s="2"/>
      <c r="W939" s="2"/>
      <c r="X939" s="2"/>
      <c r="Y939" s="64"/>
      <c r="Z939" s="64"/>
      <c r="AA939" s="2"/>
      <c r="AB939" s="2"/>
      <c r="AC939" s="2"/>
      <c r="AD939" s="2"/>
      <c r="AE939" s="2"/>
      <c r="AF939" s="2"/>
    </row>
    <row r="940" spans="1:32" ht="12.75" customHeight="1">
      <c r="A940" s="2"/>
      <c r="B940" s="35"/>
      <c r="C940" s="2"/>
      <c r="D940" s="2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2"/>
      <c r="T940" s="2"/>
      <c r="U940" s="2"/>
      <c r="V940" s="2"/>
      <c r="W940" s="2"/>
      <c r="X940" s="2"/>
      <c r="Y940" s="64"/>
      <c r="Z940" s="64"/>
      <c r="AA940" s="2"/>
      <c r="AB940" s="2"/>
      <c r="AC940" s="2"/>
      <c r="AD940" s="2"/>
      <c r="AE940" s="2"/>
      <c r="AF940" s="2"/>
    </row>
    <row r="941" spans="1:32" ht="12.75" customHeight="1">
      <c r="A941" s="2"/>
      <c r="B941" s="35"/>
      <c r="C941" s="2"/>
      <c r="D941" s="2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2"/>
      <c r="T941" s="2"/>
      <c r="U941" s="2"/>
      <c r="V941" s="2"/>
      <c r="W941" s="2"/>
      <c r="X941" s="2"/>
      <c r="Y941" s="64"/>
      <c r="Z941" s="64"/>
      <c r="AA941" s="2"/>
      <c r="AB941" s="2"/>
      <c r="AC941" s="2"/>
      <c r="AD941" s="2"/>
      <c r="AE941" s="2"/>
      <c r="AF941" s="2"/>
    </row>
    <row r="942" spans="1:32" ht="12.75" customHeight="1">
      <c r="A942" s="2"/>
      <c r="B942" s="35"/>
      <c r="C942" s="2"/>
      <c r="D942" s="2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2"/>
      <c r="T942" s="2"/>
      <c r="U942" s="2"/>
      <c r="V942" s="2"/>
      <c r="W942" s="2"/>
      <c r="X942" s="2"/>
      <c r="Y942" s="64"/>
      <c r="Z942" s="64"/>
      <c r="AA942" s="2"/>
      <c r="AB942" s="2"/>
      <c r="AC942" s="2"/>
      <c r="AD942" s="2"/>
      <c r="AE942" s="2"/>
      <c r="AF942" s="2"/>
    </row>
    <row r="943" spans="1:32" ht="12.75" customHeight="1">
      <c r="A943" s="2"/>
      <c r="B943" s="35"/>
      <c r="C943" s="2"/>
      <c r="D943" s="2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2"/>
      <c r="T943" s="2"/>
      <c r="U943" s="2"/>
      <c r="V943" s="2"/>
      <c r="W943" s="2"/>
      <c r="X943" s="2"/>
      <c r="Y943" s="64"/>
      <c r="Z943" s="64"/>
      <c r="AA943" s="2"/>
      <c r="AB943" s="2"/>
      <c r="AC943" s="2"/>
      <c r="AD943" s="2"/>
      <c r="AE943" s="2"/>
      <c r="AF943" s="2"/>
    </row>
    <row r="944" spans="1:32" ht="12.75" customHeight="1">
      <c r="A944" s="2"/>
      <c r="B944" s="35"/>
      <c r="C944" s="2"/>
      <c r="D944" s="2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2"/>
      <c r="T944" s="2"/>
      <c r="U944" s="2"/>
      <c r="V944" s="2"/>
      <c r="W944" s="2"/>
      <c r="X944" s="2"/>
      <c r="Y944" s="64"/>
      <c r="Z944" s="64"/>
      <c r="AA944" s="2"/>
      <c r="AB944" s="2"/>
      <c r="AC944" s="2"/>
      <c r="AD944" s="2"/>
      <c r="AE944" s="2"/>
      <c r="AF944" s="2"/>
    </row>
    <row r="945" spans="1:32" ht="12.75" customHeight="1">
      <c r="A945" s="2"/>
      <c r="B945" s="35"/>
      <c r="C945" s="2"/>
      <c r="D945" s="2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2"/>
      <c r="T945" s="2"/>
      <c r="U945" s="2"/>
      <c r="V945" s="2"/>
      <c r="W945" s="2"/>
      <c r="X945" s="2"/>
      <c r="Y945" s="64"/>
      <c r="Z945" s="64"/>
      <c r="AA945" s="2"/>
      <c r="AB945" s="2"/>
      <c r="AC945" s="2"/>
      <c r="AD945" s="2"/>
      <c r="AE945" s="2"/>
      <c r="AF945" s="2"/>
    </row>
    <row r="946" spans="1:32" ht="12.75" customHeight="1">
      <c r="A946" s="2"/>
      <c r="B946" s="35"/>
      <c r="C946" s="2"/>
      <c r="D946" s="2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2"/>
      <c r="T946" s="2"/>
      <c r="U946" s="2"/>
      <c r="V946" s="2"/>
      <c r="W946" s="2"/>
      <c r="X946" s="2"/>
      <c r="Y946" s="64"/>
      <c r="Z946" s="64"/>
      <c r="AA946" s="2"/>
      <c r="AB946" s="2"/>
      <c r="AC946" s="2"/>
      <c r="AD946" s="2"/>
      <c r="AE946" s="2"/>
      <c r="AF946" s="2"/>
    </row>
    <row r="947" spans="1:32" ht="12.75" customHeight="1">
      <c r="A947" s="2"/>
      <c r="B947" s="35"/>
      <c r="C947" s="2"/>
      <c r="D947" s="2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2"/>
      <c r="T947" s="2"/>
      <c r="U947" s="2"/>
      <c r="V947" s="2"/>
      <c r="W947" s="2"/>
      <c r="X947" s="2"/>
      <c r="Y947" s="64"/>
      <c r="Z947" s="64"/>
      <c r="AA947" s="2"/>
      <c r="AB947" s="2"/>
      <c r="AC947" s="2"/>
      <c r="AD947" s="2"/>
      <c r="AE947" s="2"/>
      <c r="AF947" s="2"/>
    </row>
    <row r="948" spans="1:32" ht="12.75" customHeight="1">
      <c r="A948" s="2"/>
      <c r="B948" s="35"/>
      <c r="C948" s="2"/>
      <c r="D948" s="2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2"/>
      <c r="T948" s="2"/>
      <c r="U948" s="2"/>
      <c r="V948" s="2"/>
      <c r="W948" s="2"/>
      <c r="X948" s="2"/>
      <c r="Y948" s="64"/>
      <c r="Z948" s="64"/>
      <c r="AA948" s="2"/>
      <c r="AB948" s="2"/>
      <c r="AC948" s="2"/>
      <c r="AD948" s="2"/>
      <c r="AE948" s="2"/>
      <c r="AF948" s="2"/>
    </row>
    <row r="949" spans="1:32" ht="12.75" customHeight="1">
      <c r="A949" s="2"/>
      <c r="B949" s="35"/>
      <c r="C949" s="2"/>
      <c r="D949" s="2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2"/>
      <c r="T949" s="2"/>
      <c r="U949" s="2"/>
      <c r="V949" s="2"/>
      <c r="W949" s="2"/>
      <c r="X949" s="2"/>
      <c r="Y949" s="64"/>
      <c r="Z949" s="64"/>
      <c r="AA949" s="2"/>
      <c r="AB949" s="2"/>
      <c r="AC949" s="2"/>
      <c r="AD949" s="2"/>
      <c r="AE949" s="2"/>
      <c r="AF949" s="2"/>
    </row>
    <row r="950" spans="1:32" ht="12.75" customHeight="1">
      <c r="A950" s="2"/>
      <c r="B950" s="35"/>
      <c r="C950" s="2"/>
      <c r="D950" s="2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2"/>
      <c r="T950" s="2"/>
      <c r="U950" s="2"/>
      <c r="V950" s="2"/>
      <c r="W950" s="2"/>
      <c r="X950" s="2"/>
      <c r="Y950" s="64"/>
      <c r="Z950" s="64"/>
      <c r="AA950" s="2"/>
      <c r="AB950" s="2"/>
      <c r="AC950" s="2"/>
      <c r="AD950" s="2"/>
      <c r="AE950" s="2"/>
      <c r="AF950" s="2"/>
    </row>
    <row r="951" spans="1:32" ht="12.75" customHeight="1">
      <c r="A951" s="2"/>
      <c r="B951" s="35"/>
      <c r="C951" s="2"/>
      <c r="D951" s="2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2"/>
      <c r="T951" s="2"/>
      <c r="U951" s="2"/>
      <c r="V951" s="2"/>
      <c r="W951" s="2"/>
      <c r="X951" s="2"/>
      <c r="Y951" s="64"/>
      <c r="Z951" s="64"/>
      <c r="AA951" s="2"/>
      <c r="AB951" s="2"/>
      <c r="AC951" s="2"/>
      <c r="AD951" s="2"/>
      <c r="AE951" s="2"/>
      <c r="AF951" s="2"/>
    </row>
    <row r="952" spans="1:32" ht="12.75" customHeight="1">
      <c r="A952" s="2"/>
      <c r="B952" s="35"/>
      <c r="C952" s="2"/>
      <c r="D952" s="2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2"/>
      <c r="T952" s="2"/>
      <c r="U952" s="2"/>
      <c r="V952" s="2"/>
      <c r="W952" s="2"/>
      <c r="X952" s="2"/>
      <c r="Y952" s="64"/>
      <c r="Z952" s="64"/>
      <c r="AA952" s="2"/>
      <c r="AB952" s="2"/>
      <c r="AC952" s="2"/>
      <c r="AD952" s="2"/>
      <c r="AE952" s="2"/>
      <c r="AF952" s="2"/>
    </row>
    <row r="953" spans="1:32" ht="12.75" customHeight="1">
      <c r="A953" s="2"/>
      <c r="B953" s="35"/>
      <c r="C953" s="2"/>
      <c r="D953" s="2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2"/>
      <c r="T953" s="2"/>
      <c r="U953" s="2"/>
      <c r="V953" s="2"/>
      <c r="W953" s="2"/>
      <c r="X953" s="2"/>
      <c r="Y953" s="64"/>
      <c r="Z953" s="64"/>
      <c r="AA953" s="2"/>
      <c r="AB953" s="2"/>
      <c r="AC953" s="2"/>
      <c r="AD953" s="2"/>
      <c r="AE953" s="2"/>
      <c r="AF953" s="2"/>
    </row>
    <row r="954" spans="1:32" ht="12.75" customHeight="1">
      <c r="A954" s="2"/>
      <c r="B954" s="35"/>
      <c r="C954" s="2"/>
      <c r="D954" s="2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2"/>
      <c r="T954" s="2"/>
      <c r="U954" s="2"/>
      <c r="V954" s="2"/>
      <c r="W954" s="2"/>
      <c r="X954" s="2"/>
      <c r="Y954" s="64"/>
      <c r="Z954" s="64"/>
      <c r="AA954" s="2"/>
      <c r="AB954" s="2"/>
      <c r="AC954" s="2"/>
      <c r="AD954" s="2"/>
      <c r="AE954" s="2"/>
      <c r="AF954" s="2"/>
    </row>
    <row r="955" spans="1:32" ht="12.75" customHeight="1">
      <c r="A955" s="2"/>
      <c r="B955" s="35"/>
      <c r="C955" s="2"/>
      <c r="D955" s="2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2"/>
      <c r="T955" s="2"/>
      <c r="U955" s="2"/>
      <c r="V955" s="2"/>
      <c r="W955" s="2"/>
      <c r="X955" s="2"/>
      <c r="Y955" s="64"/>
      <c r="Z955" s="64"/>
      <c r="AA955" s="2"/>
      <c r="AB955" s="2"/>
      <c r="AC955" s="2"/>
      <c r="AD955" s="2"/>
      <c r="AE955" s="2"/>
      <c r="AF955" s="2"/>
    </row>
    <row r="956" spans="1:32" ht="12.75" customHeight="1">
      <c r="A956" s="2"/>
      <c r="B956" s="35"/>
      <c r="C956" s="2"/>
      <c r="D956" s="2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2"/>
      <c r="T956" s="2"/>
      <c r="U956" s="2"/>
      <c r="V956" s="2"/>
      <c r="W956" s="2"/>
      <c r="X956" s="2"/>
      <c r="Y956" s="64"/>
      <c r="Z956" s="64"/>
      <c r="AA956" s="2"/>
      <c r="AB956" s="2"/>
      <c r="AC956" s="2"/>
      <c r="AD956" s="2"/>
      <c r="AE956" s="2"/>
      <c r="AF956" s="2"/>
    </row>
    <row r="957" spans="1:32" ht="12.75" customHeight="1">
      <c r="A957" s="2"/>
      <c r="B957" s="35"/>
      <c r="C957" s="2"/>
      <c r="D957" s="2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2"/>
      <c r="T957" s="2"/>
      <c r="U957" s="2"/>
      <c r="V957" s="2"/>
      <c r="W957" s="2"/>
      <c r="X957" s="2"/>
      <c r="Y957" s="64"/>
      <c r="Z957" s="64"/>
      <c r="AA957" s="2"/>
      <c r="AB957" s="2"/>
      <c r="AC957" s="2"/>
      <c r="AD957" s="2"/>
      <c r="AE957" s="2"/>
      <c r="AF957" s="2"/>
    </row>
    <row r="958" spans="1:32" ht="12.75" customHeight="1">
      <c r="A958" s="2"/>
      <c r="B958" s="35"/>
      <c r="C958" s="2"/>
      <c r="D958" s="2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2"/>
      <c r="T958" s="2"/>
      <c r="U958" s="2"/>
      <c r="V958" s="2"/>
      <c r="W958" s="2"/>
      <c r="X958" s="2"/>
      <c r="Y958" s="64"/>
      <c r="Z958" s="64"/>
      <c r="AA958" s="2"/>
      <c r="AB958" s="2"/>
      <c r="AC958" s="2"/>
      <c r="AD958" s="2"/>
      <c r="AE958" s="2"/>
      <c r="AF958" s="2"/>
    </row>
    <row r="959" spans="1:32" ht="12.75" customHeight="1">
      <c r="A959" s="2"/>
      <c r="B959" s="35"/>
      <c r="C959" s="2"/>
      <c r="D959" s="2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2"/>
      <c r="T959" s="2"/>
      <c r="U959" s="2"/>
      <c r="V959" s="2"/>
      <c r="W959" s="2"/>
      <c r="X959" s="2"/>
      <c r="Y959" s="64"/>
      <c r="Z959" s="64"/>
      <c r="AA959" s="2"/>
      <c r="AB959" s="2"/>
      <c r="AC959" s="2"/>
      <c r="AD959" s="2"/>
      <c r="AE959" s="2"/>
      <c r="AF959" s="2"/>
    </row>
    <row r="960" spans="1:32" ht="12.75" customHeight="1">
      <c r="A960" s="2"/>
      <c r="B960" s="35"/>
      <c r="C960" s="2"/>
      <c r="D960" s="2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2"/>
      <c r="T960" s="2"/>
      <c r="U960" s="2"/>
      <c r="V960" s="2"/>
      <c r="W960" s="2"/>
      <c r="X960" s="2"/>
      <c r="Y960" s="64"/>
      <c r="Z960" s="64"/>
      <c r="AA960" s="2"/>
      <c r="AB960" s="2"/>
      <c r="AC960" s="2"/>
      <c r="AD960" s="2"/>
      <c r="AE960" s="2"/>
      <c r="AF960" s="2"/>
    </row>
    <row r="961" spans="1:32" ht="12.75" customHeight="1">
      <c r="A961" s="2"/>
      <c r="B961" s="35"/>
      <c r="C961" s="2"/>
      <c r="D961" s="2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2"/>
      <c r="T961" s="2"/>
      <c r="U961" s="2"/>
      <c r="V961" s="2"/>
      <c r="W961" s="2"/>
      <c r="X961" s="2"/>
      <c r="Y961" s="64"/>
      <c r="Z961" s="64"/>
      <c r="AA961" s="2"/>
      <c r="AB961" s="2"/>
      <c r="AC961" s="2"/>
      <c r="AD961" s="2"/>
      <c r="AE961" s="2"/>
      <c r="AF961" s="2"/>
    </row>
    <row r="962" spans="1:32" ht="12.75" customHeight="1">
      <c r="A962" s="2"/>
      <c r="B962" s="35"/>
      <c r="C962" s="2"/>
      <c r="D962" s="2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2"/>
      <c r="T962" s="2"/>
      <c r="U962" s="2"/>
      <c r="V962" s="2"/>
      <c r="W962" s="2"/>
      <c r="X962" s="2"/>
      <c r="Y962" s="64"/>
      <c r="Z962" s="64"/>
      <c r="AA962" s="2"/>
      <c r="AB962" s="2"/>
      <c r="AC962" s="2"/>
      <c r="AD962" s="2"/>
      <c r="AE962" s="2"/>
      <c r="AF962" s="2"/>
    </row>
    <row r="963" spans="1:32" ht="12.75" customHeight="1">
      <c r="A963" s="2"/>
      <c r="B963" s="35"/>
      <c r="C963" s="2"/>
      <c r="D963" s="2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2"/>
      <c r="T963" s="2"/>
      <c r="U963" s="2"/>
      <c r="V963" s="2"/>
      <c r="W963" s="2"/>
      <c r="X963" s="2"/>
      <c r="Y963" s="64"/>
      <c r="Z963" s="64"/>
      <c r="AA963" s="2"/>
      <c r="AB963" s="2"/>
      <c r="AC963" s="2"/>
      <c r="AD963" s="2"/>
      <c r="AE963" s="2"/>
      <c r="AF963" s="2"/>
    </row>
    <row r="964" spans="1:32" ht="12.75" customHeight="1">
      <c r="A964" s="2"/>
      <c r="B964" s="35"/>
      <c r="C964" s="2"/>
      <c r="D964" s="2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2"/>
      <c r="T964" s="2"/>
      <c r="U964" s="2"/>
      <c r="V964" s="2"/>
      <c r="W964" s="2"/>
      <c r="X964" s="2"/>
      <c r="Y964" s="64"/>
      <c r="Z964" s="64"/>
      <c r="AA964" s="2"/>
      <c r="AB964" s="2"/>
      <c r="AC964" s="2"/>
      <c r="AD964" s="2"/>
      <c r="AE964" s="2"/>
      <c r="AF964" s="2"/>
    </row>
    <row r="965" spans="1:32" ht="12.75" customHeight="1">
      <c r="A965" s="2"/>
      <c r="B965" s="35"/>
      <c r="C965" s="2"/>
      <c r="D965" s="2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2"/>
      <c r="T965" s="2"/>
      <c r="U965" s="2"/>
      <c r="V965" s="2"/>
      <c r="W965" s="2"/>
      <c r="X965" s="2"/>
      <c r="Y965" s="64"/>
      <c r="Z965" s="64"/>
      <c r="AA965" s="2"/>
      <c r="AB965" s="2"/>
      <c r="AC965" s="2"/>
      <c r="AD965" s="2"/>
      <c r="AE965" s="2"/>
      <c r="AF965" s="2"/>
    </row>
    <row r="966" spans="1:32" ht="12.75" customHeight="1">
      <c r="A966" s="2"/>
      <c r="B966" s="35"/>
      <c r="C966" s="2"/>
      <c r="D966" s="2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2"/>
      <c r="T966" s="2"/>
      <c r="U966" s="2"/>
      <c r="V966" s="2"/>
      <c r="W966" s="2"/>
      <c r="X966" s="2"/>
      <c r="Y966" s="64"/>
      <c r="Z966" s="64"/>
      <c r="AA966" s="2"/>
      <c r="AB966" s="2"/>
      <c r="AC966" s="2"/>
      <c r="AD966" s="2"/>
      <c r="AE966" s="2"/>
      <c r="AF966" s="2"/>
    </row>
    <row r="967" spans="1:32" ht="12.75" customHeight="1">
      <c r="A967" s="2"/>
      <c r="B967" s="35"/>
      <c r="C967" s="2"/>
      <c r="D967" s="2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2"/>
      <c r="T967" s="2"/>
      <c r="U967" s="2"/>
      <c r="V967" s="2"/>
      <c r="W967" s="2"/>
      <c r="X967" s="2"/>
      <c r="Y967" s="64"/>
      <c r="Z967" s="64"/>
      <c r="AA967" s="2"/>
      <c r="AB967" s="2"/>
      <c r="AC967" s="2"/>
      <c r="AD967" s="2"/>
      <c r="AE967" s="2"/>
      <c r="AF967" s="2"/>
    </row>
    <row r="968" spans="1:32" ht="12.75" customHeight="1">
      <c r="A968" s="2"/>
      <c r="B968" s="35"/>
      <c r="C968" s="2"/>
      <c r="D968" s="2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2"/>
      <c r="T968" s="2"/>
      <c r="U968" s="2"/>
      <c r="V968" s="2"/>
      <c r="W968" s="2"/>
      <c r="X968" s="2"/>
      <c r="Y968" s="64"/>
      <c r="Z968" s="64"/>
      <c r="AA968" s="2"/>
      <c r="AB968" s="2"/>
      <c r="AC968" s="2"/>
      <c r="AD968" s="2"/>
      <c r="AE968" s="2"/>
      <c r="AF968" s="2"/>
    </row>
    <row r="969" spans="1:32" ht="12.75" customHeight="1">
      <c r="A969" s="2"/>
      <c r="B969" s="35"/>
      <c r="C969" s="2"/>
      <c r="D969" s="2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2"/>
      <c r="T969" s="2"/>
      <c r="U969" s="2"/>
      <c r="V969" s="2"/>
      <c r="W969" s="2"/>
      <c r="X969" s="2"/>
      <c r="Y969" s="64"/>
      <c r="Z969" s="64"/>
      <c r="AA969" s="2"/>
      <c r="AB969" s="2"/>
      <c r="AC969" s="2"/>
      <c r="AD969" s="2"/>
      <c r="AE969" s="2"/>
      <c r="AF969" s="2"/>
    </row>
    <row r="970" spans="1:32" ht="12.75" customHeight="1">
      <c r="A970" s="2"/>
      <c r="B970" s="35"/>
      <c r="C970" s="2"/>
      <c r="D970" s="2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2"/>
      <c r="T970" s="2"/>
      <c r="U970" s="2"/>
      <c r="V970" s="2"/>
      <c r="W970" s="2"/>
      <c r="X970" s="2"/>
      <c r="Y970" s="64"/>
      <c r="Z970" s="64"/>
      <c r="AA970" s="2"/>
      <c r="AB970" s="2"/>
      <c r="AC970" s="2"/>
      <c r="AD970" s="2"/>
      <c r="AE970" s="2"/>
      <c r="AF970" s="2"/>
    </row>
    <row r="971" spans="1:32" ht="12.75" customHeight="1">
      <c r="A971" s="2"/>
      <c r="B971" s="35"/>
      <c r="C971" s="2"/>
      <c r="D971" s="2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2"/>
      <c r="T971" s="2"/>
      <c r="U971" s="2"/>
      <c r="V971" s="2"/>
      <c r="W971" s="2"/>
      <c r="X971" s="2"/>
      <c r="Y971" s="64"/>
      <c r="Z971" s="64"/>
      <c r="AA971" s="2"/>
      <c r="AB971" s="2"/>
      <c r="AC971" s="2"/>
      <c r="AD971" s="2"/>
      <c r="AE971" s="2"/>
      <c r="AF971" s="2"/>
    </row>
    <row r="972" spans="1:32" ht="12.75" customHeight="1">
      <c r="A972" s="2"/>
      <c r="B972" s="35"/>
      <c r="C972" s="2"/>
      <c r="D972" s="2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2"/>
      <c r="T972" s="2"/>
      <c r="U972" s="2"/>
      <c r="V972" s="2"/>
      <c r="W972" s="2"/>
      <c r="X972" s="2"/>
      <c r="Y972" s="64"/>
      <c r="Z972" s="64"/>
      <c r="AA972" s="2"/>
      <c r="AB972" s="2"/>
      <c r="AC972" s="2"/>
      <c r="AD972" s="2"/>
      <c r="AE972" s="2"/>
      <c r="AF972" s="2"/>
    </row>
    <row r="973" spans="1:32" ht="12.75" customHeight="1">
      <c r="A973" s="2"/>
      <c r="B973" s="35"/>
      <c r="C973" s="2"/>
      <c r="D973" s="2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2"/>
      <c r="T973" s="2"/>
      <c r="U973" s="2"/>
      <c r="V973" s="2"/>
      <c r="W973" s="2"/>
      <c r="X973" s="2"/>
      <c r="Y973" s="64"/>
      <c r="Z973" s="64"/>
      <c r="AA973" s="2"/>
      <c r="AB973" s="2"/>
      <c r="AC973" s="2"/>
      <c r="AD973" s="2"/>
      <c r="AE973" s="2"/>
      <c r="AF973" s="2"/>
    </row>
    <row r="974" spans="1:32" ht="12.75" customHeight="1">
      <c r="A974" s="2"/>
      <c r="B974" s="35"/>
      <c r="C974" s="2"/>
      <c r="D974" s="2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2"/>
      <c r="T974" s="2"/>
      <c r="U974" s="2"/>
      <c r="V974" s="2"/>
      <c r="W974" s="2"/>
      <c r="X974" s="2"/>
      <c r="Y974" s="64"/>
      <c r="Z974" s="64"/>
      <c r="AA974" s="2"/>
      <c r="AB974" s="2"/>
      <c r="AC974" s="2"/>
      <c r="AD974" s="2"/>
      <c r="AE974" s="2"/>
      <c r="AF974" s="2"/>
    </row>
    <row r="975" spans="1:32" ht="12.75" customHeight="1">
      <c r="A975" s="2"/>
      <c r="B975" s="35"/>
      <c r="C975" s="2"/>
      <c r="D975" s="2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2"/>
      <c r="T975" s="2"/>
      <c r="U975" s="2"/>
      <c r="V975" s="2"/>
      <c r="W975" s="2"/>
      <c r="X975" s="2"/>
      <c r="Y975" s="64"/>
      <c r="Z975" s="64"/>
      <c r="AA975" s="2"/>
      <c r="AB975" s="2"/>
      <c r="AC975" s="2"/>
      <c r="AD975" s="2"/>
      <c r="AE975" s="2"/>
      <c r="AF975" s="2"/>
    </row>
    <row r="976" spans="1:32" ht="12.75" customHeight="1">
      <c r="A976" s="2"/>
      <c r="B976" s="35"/>
      <c r="C976" s="2"/>
      <c r="D976" s="2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2"/>
      <c r="T976" s="2"/>
      <c r="U976" s="2"/>
      <c r="V976" s="2"/>
      <c r="W976" s="2"/>
      <c r="X976" s="2"/>
      <c r="Y976" s="64"/>
      <c r="Z976" s="64"/>
      <c r="AA976" s="2"/>
      <c r="AB976" s="2"/>
      <c r="AC976" s="2"/>
      <c r="AD976" s="2"/>
      <c r="AE976" s="2"/>
      <c r="AF976" s="2"/>
    </row>
    <row r="977" spans="1:32" ht="12.75" customHeight="1">
      <c r="A977" s="2"/>
      <c r="B977" s="35"/>
      <c r="C977" s="2"/>
      <c r="D977" s="2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2"/>
      <c r="T977" s="2"/>
      <c r="U977" s="2"/>
      <c r="V977" s="2"/>
      <c r="W977" s="2"/>
      <c r="X977" s="2"/>
      <c r="Y977" s="64"/>
      <c r="Z977" s="64"/>
      <c r="AA977" s="2"/>
      <c r="AB977" s="2"/>
      <c r="AC977" s="2"/>
      <c r="AD977" s="2"/>
      <c r="AE977" s="2"/>
      <c r="AF977" s="2"/>
    </row>
    <row r="978" spans="1:32" ht="12.75" customHeight="1">
      <c r="A978" s="2"/>
      <c r="B978" s="35"/>
      <c r="C978" s="2"/>
      <c r="D978" s="2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2"/>
      <c r="T978" s="2"/>
      <c r="U978" s="2"/>
      <c r="V978" s="2"/>
      <c r="W978" s="2"/>
      <c r="X978" s="2"/>
      <c r="Y978" s="64"/>
      <c r="Z978" s="64"/>
      <c r="AA978" s="2"/>
      <c r="AB978" s="2"/>
      <c r="AC978" s="2"/>
      <c r="AD978" s="2"/>
      <c r="AE978" s="2"/>
      <c r="AF978" s="2"/>
    </row>
    <row r="979" spans="1:32" ht="12.75" customHeight="1">
      <c r="A979" s="2"/>
      <c r="B979" s="35"/>
      <c r="C979" s="2"/>
      <c r="D979" s="2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2"/>
      <c r="T979" s="2"/>
      <c r="U979" s="2"/>
      <c r="V979" s="2"/>
      <c r="W979" s="2"/>
      <c r="X979" s="2"/>
      <c r="Y979" s="64"/>
      <c r="Z979" s="64"/>
      <c r="AA979" s="2"/>
      <c r="AB979" s="2"/>
      <c r="AC979" s="2"/>
      <c r="AD979" s="2"/>
      <c r="AE979" s="2"/>
      <c r="AF979" s="2"/>
    </row>
    <row r="980" spans="1:32" ht="12.75" customHeight="1">
      <c r="A980" s="2"/>
      <c r="B980" s="35"/>
      <c r="C980" s="2"/>
      <c r="D980" s="2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2"/>
      <c r="T980" s="2"/>
      <c r="U980" s="2"/>
      <c r="V980" s="2"/>
      <c r="W980" s="2"/>
      <c r="X980" s="2"/>
      <c r="Y980" s="64"/>
      <c r="Z980" s="64"/>
      <c r="AA980" s="2"/>
      <c r="AB980" s="2"/>
      <c r="AC980" s="2"/>
      <c r="AD980" s="2"/>
      <c r="AE980" s="2"/>
      <c r="AF980" s="2"/>
    </row>
    <row r="981" spans="1:32" ht="12.75" customHeight="1">
      <c r="A981" s="2"/>
      <c r="B981" s="35"/>
      <c r="C981" s="2"/>
      <c r="D981" s="2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2"/>
      <c r="T981" s="2"/>
      <c r="U981" s="2"/>
      <c r="V981" s="2"/>
      <c r="W981" s="2"/>
      <c r="X981" s="2"/>
      <c r="Y981" s="64"/>
      <c r="Z981" s="64"/>
      <c r="AA981" s="2"/>
      <c r="AB981" s="2"/>
      <c r="AC981" s="2"/>
      <c r="AD981" s="2"/>
      <c r="AE981" s="2"/>
      <c r="AF981" s="2"/>
    </row>
    <row r="982" spans="1:32" ht="12.75" customHeight="1">
      <c r="A982" s="2"/>
      <c r="B982" s="35"/>
      <c r="C982" s="2"/>
      <c r="D982" s="2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2"/>
      <c r="T982" s="2"/>
      <c r="U982" s="2"/>
      <c r="V982" s="2"/>
      <c r="W982" s="2"/>
      <c r="X982" s="2"/>
      <c r="Y982" s="64"/>
      <c r="Z982" s="64"/>
      <c r="AA982" s="2"/>
      <c r="AB982" s="2"/>
      <c r="AC982" s="2"/>
      <c r="AD982" s="2"/>
      <c r="AE982" s="2"/>
      <c r="AF982" s="2"/>
    </row>
    <row r="983" spans="1:32" ht="12.75" customHeight="1">
      <c r="A983" s="2"/>
      <c r="B983" s="35"/>
      <c r="C983" s="2"/>
      <c r="D983" s="2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2"/>
      <c r="T983" s="2"/>
      <c r="U983" s="2"/>
      <c r="V983" s="2"/>
      <c r="W983" s="2"/>
      <c r="X983" s="2"/>
      <c r="Y983" s="64"/>
      <c r="Z983" s="64"/>
      <c r="AA983" s="2"/>
      <c r="AB983" s="2"/>
      <c r="AC983" s="2"/>
      <c r="AD983" s="2"/>
      <c r="AE983" s="2"/>
      <c r="AF983" s="2"/>
    </row>
    <row r="984" spans="1:32" ht="12.75" customHeight="1">
      <c r="A984" s="2"/>
      <c r="B984" s="35"/>
      <c r="C984" s="2"/>
      <c r="D984" s="2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2"/>
      <c r="T984" s="2"/>
      <c r="U984" s="2"/>
      <c r="V984" s="2"/>
      <c r="W984" s="2"/>
      <c r="X984" s="2"/>
      <c r="Y984" s="64"/>
      <c r="Z984" s="64"/>
      <c r="AA984" s="2"/>
      <c r="AB984" s="2"/>
      <c r="AC984" s="2"/>
      <c r="AD984" s="2"/>
      <c r="AE984" s="2"/>
      <c r="AF984" s="2"/>
    </row>
    <row r="985" spans="1:32" ht="12.75" customHeight="1">
      <c r="A985" s="2"/>
      <c r="B985" s="35"/>
      <c r="C985" s="2"/>
      <c r="D985" s="2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2"/>
      <c r="T985" s="2"/>
      <c r="U985" s="2"/>
      <c r="V985" s="2"/>
      <c r="W985" s="2"/>
      <c r="X985" s="2"/>
      <c r="Y985" s="64"/>
      <c r="Z985" s="64"/>
      <c r="AA985" s="2"/>
      <c r="AB985" s="2"/>
      <c r="AC985" s="2"/>
      <c r="AD985" s="2"/>
      <c r="AE985" s="2"/>
      <c r="AF985" s="2"/>
    </row>
    <row r="986" spans="1:32" ht="12.75" customHeight="1">
      <c r="A986" s="2"/>
      <c r="B986" s="35"/>
      <c r="C986" s="2"/>
      <c r="D986" s="2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2"/>
      <c r="T986" s="2"/>
      <c r="U986" s="2"/>
      <c r="V986" s="2"/>
      <c r="W986" s="2"/>
      <c r="X986" s="2"/>
      <c r="Y986" s="64"/>
      <c r="Z986" s="64"/>
      <c r="AA986" s="2"/>
      <c r="AB986" s="2"/>
      <c r="AC986" s="2"/>
      <c r="AD986" s="2"/>
      <c r="AE986" s="2"/>
      <c r="AF986" s="2"/>
    </row>
    <row r="987" spans="1:32" ht="12.75" customHeight="1">
      <c r="A987" s="2"/>
      <c r="B987" s="35"/>
      <c r="C987" s="2"/>
      <c r="D987" s="2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2"/>
      <c r="T987" s="2"/>
      <c r="U987" s="2"/>
      <c r="V987" s="2"/>
      <c r="W987" s="2"/>
      <c r="X987" s="2"/>
      <c r="Y987" s="64"/>
      <c r="Z987" s="64"/>
      <c r="AA987" s="2"/>
      <c r="AB987" s="2"/>
      <c r="AC987" s="2"/>
      <c r="AD987" s="2"/>
      <c r="AE987" s="2"/>
      <c r="AF987" s="2"/>
    </row>
    <row r="988" spans="1:32" ht="12.75" customHeight="1">
      <c r="A988" s="2"/>
      <c r="B988" s="35"/>
      <c r="C988" s="2"/>
      <c r="D988" s="2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2"/>
      <c r="T988" s="2"/>
      <c r="U988" s="2"/>
      <c r="V988" s="2"/>
      <c r="W988" s="2"/>
      <c r="X988" s="2"/>
      <c r="Y988" s="64"/>
      <c r="Z988" s="64"/>
      <c r="AA988" s="2"/>
      <c r="AB988" s="2"/>
      <c r="AC988" s="2"/>
      <c r="AD988" s="2"/>
      <c r="AE988" s="2"/>
      <c r="AF988" s="2"/>
    </row>
    <row r="989" spans="1:32" ht="12.75" customHeight="1">
      <c r="A989" s="2"/>
      <c r="B989" s="35"/>
      <c r="C989" s="2"/>
      <c r="D989" s="2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2"/>
      <c r="T989" s="2"/>
      <c r="U989" s="2"/>
      <c r="V989" s="2"/>
      <c r="W989" s="2"/>
      <c r="X989" s="2"/>
      <c r="Y989" s="64"/>
      <c r="Z989" s="64"/>
      <c r="AA989" s="2"/>
      <c r="AB989" s="2"/>
      <c r="AC989" s="2"/>
      <c r="AD989" s="2"/>
      <c r="AE989" s="2"/>
      <c r="AF989" s="2"/>
    </row>
    <row r="990" spans="1:32" ht="12.75" customHeight="1">
      <c r="A990" s="2"/>
      <c r="B990" s="35"/>
      <c r="C990" s="2"/>
      <c r="D990" s="2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2"/>
      <c r="T990" s="2"/>
      <c r="U990" s="2"/>
      <c r="V990" s="2"/>
      <c r="W990" s="2"/>
      <c r="X990" s="2"/>
      <c r="Y990" s="64"/>
      <c r="Z990" s="64"/>
      <c r="AA990" s="2"/>
      <c r="AB990" s="2"/>
      <c r="AC990" s="2"/>
      <c r="AD990" s="2"/>
      <c r="AE990" s="2"/>
      <c r="AF990" s="2"/>
    </row>
    <row r="991" spans="1:32" ht="12.75" customHeight="1">
      <c r="A991" s="2"/>
      <c r="B991" s="35"/>
      <c r="C991" s="2"/>
      <c r="D991" s="2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2"/>
      <c r="T991" s="2"/>
      <c r="U991" s="2"/>
      <c r="V991" s="2"/>
      <c r="W991" s="2"/>
      <c r="X991" s="2"/>
      <c r="Y991" s="64"/>
      <c r="Z991" s="64"/>
      <c r="AA991" s="2"/>
      <c r="AB991" s="2"/>
      <c r="AC991" s="2"/>
      <c r="AD991" s="2"/>
      <c r="AE991" s="2"/>
      <c r="AF991" s="2"/>
    </row>
    <row r="992" spans="1:32" ht="12.75" customHeight="1">
      <c r="A992" s="2"/>
      <c r="B992" s="35"/>
      <c r="C992" s="2"/>
      <c r="D992" s="2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2"/>
      <c r="T992" s="2"/>
      <c r="U992" s="2"/>
      <c r="V992" s="2"/>
      <c r="W992" s="2"/>
      <c r="X992" s="2"/>
      <c r="Y992" s="64"/>
      <c r="Z992" s="64"/>
      <c r="AA992" s="2"/>
      <c r="AB992" s="2"/>
      <c r="AC992" s="2"/>
      <c r="AD992" s="2"/>
      <c r="AE992" s="2"/>
      <c r="AF992" s="2"/>
    </row>
    <row r="993" spans="1:32" ht="12.75" customHeight="1">
      <c r="A993" s="2"/>
      <c r="B993" s="35"/>
      <c r="C993" s="2"/>
      <c r="D993" s="2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2"/>
      <c r="T993" s="2"/>
      <c r="U993" s="2"/>
      <c r="V993" s="2"/>
      <c r="W993" s="2"/>
      <c r="X993" s="2"/>
      <c r="Y993" s="64"/>
      <c r="Z993" s="64"/>
      <c r="AA993" s="2"/>
      <c r="AB993" s="2"/>
      <c r="AC993" s="2"/>
      <c r="AD993" s="2"/>
      <c r="AE993" s="2"/>
      <c r="AF993" s="2"/>
    </row>
    <row r="994" spans="1:32" ht="12.75" customHeight="1">
      <c r="A994" s="2"/>
      <c r="B994" s="35"/>
      <c r="C994" s="2"/>
      <c r="D994" s="2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2"/>
      <c r="T994" s="2"/>
      <c r="U994" s="2"/>
      <c r="V994" s="2"/>
      <c r="W994" s="2"/>
      <c r="X994" s="2"/>
      <c r="Y994" s="64"/>
      <c r="Z994" s="64"/>
      <c r="AA994" s="2"/>
      <c r="AB994" s="2"/>
      <c r="AC994" s="2"/>
      <c r="AD994" s="2"/>
      <c r="AE994" s="2"/>
      <c r="AF994" s="2"/>
    </row>
    <row r="995" spans="1:32" ht="12.75" customHeight="1">
      <c r="A995" s="2"/>
      <c r="B995" s="35"/>
      <c r="C995" s="2"/>
      <c r="D995" s="2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2"/>
      <c r="T995" s="2"/>
      <c r="U995" s="2"/>
      <c r="V995" s="2"/>
      <c r="W995" s="2"/>
      <c r="X995" s="2"/>
      <c r="Y995" s="64"/>
      <c r="Z995" s="64"/>
      <c r="AA995" s="2"/>
      <c r="AB995" s="2"/>
      <c r="AC995" s="2"/>
      <c r="AD995" s="2"/>
      <c r="AE995" s="2"/>
      <c r="AF995" s="2"/>
    </row>
    <row r="996" spans="1:32" ht="12.75" customHeight="1">
      <c r="A996" s="2"/>
      <c r="B996" s="35"/>
      <c r="C996" s="2"/>
      <c r="D996" s="2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2"/>
      <c r="T996" s="2"/>
      <c r="U996" s="2"/>
      <c r="V996" s="2"/>
      <c r="W996" s="2"/>
      <c r="X996" s="2"/>
      <c r="Y996" s="64"/>
      <c r="Z996" s="64"/>
      <c r="AA996" s="2"/>
      <c r="AB996" s="2"/>
      <c r="AC996" s="2"/>
      <c r="AD996" s="2"/>
      <c r="AE996" s="2"/>
      <c r="AF996" s="2"/>
    </row>
    <row r="997" spans="1:32" ht="12.75" customHeight="1">
      <c r="A997" s="2"/>
      <c r="B997" s="35"/>
      <c r="C997" s="2"/>
      <c r="D997" s="2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2"/>
      <c r="T997" s="2"/>
      <c r="U997" s="2"/>
      <c r="V997" s="2"/>
      <c r="W997" s="2"/>
      <c r="X997" s="2"/>
      <c r="Y997" s="64"/>
      <c r="Z997" s="64"/>
      <c r="AA997" s="2"/>
      <c r="AB997" s="2"/>
      <c r="AC997" s="2"/>
      <c r="AD997" s="2"/>
      <c r="AE997" s="2"/>
      <c r="AF997" s="2"/>
    </row>
    <row r="998" spans="1:32" ht="12.75" customHeight="1">
      <c r="A998" s="2"/>
      <c r="B998" s="35"/>
      <c r="C998" s="2"/>
      <c r="D998" s="2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2"/>
      <c r="T998" s="2"/>
      <c r="U998" s="2"/>
      <c r="V998" s="2"/>
      <c r="W998" s="2"/>
      <c r="X998" s="2"/>
      <c r="Y998" s="64"/>
      <c r="Z998" s="64"/>
      <c r="AA998" s="2"/>
      <c r="AB998" s="2"/>
      <c r="AC998" s="2"/>
      <c r="AD998" s="2"/>
      <c r="AE998" s="2"/>
      <c r="AF998" s="2"/>
    </row>
    <row r="999" spans="1:32" ht="12.75" customHeight="1">
      <c r="A999" s="2"/>
      <c r="B999" s="35"/>
      <c r="C999" s="2"/>
      <c r="D999" s="2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2"/>
      <c r="T999" s="2"/>
      <c r="U999" s="2"/>
      <c r="V999" s="2"/>
      <c r="W999" s="2"/>
      <c r="X999" s="2"/>
      <c r="Y999" s="64"/>
      <c r="Z999" s="64"/>
      <c r="AA999" s="2"/>
      <c r="AB999" s="2"/>
      <c r="AC999" s="2"/>
      <c r="AD999" s="2"/>
      <c r="AE999" s="2"/>
      <c r="AF999" s="2"/>
    </row>
    <row r="1000" spans="1:32" ht="12.75" customHeight="1">
      <c r="A1000" s="2"/>
      <c r="B1000" s="35"/>
      <c r="C1000" s="2"/>
      <c r="D1000" s="2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2"/>
      <c r="T1000" s="2"/>
      <c r="U1000" s="2"/>
      <c r="V1000" s="2"/>
      <c r="W1000" s="2"/>
      <c r="X1000" s="2"/>
      <c r="Y1000" s="64"/>
      <c r="Z1000" s="64"/>
      <c r="AA1000" s="2"/>
      <c r="AB1000" s="2"/>
      <c r="AC1000" s="2"/>
      <c r="AD1000" s="2"/>
      <c r="AE1000" s="2"/>
      <c r="AF1000" s="2"/>
    </row>
    <row r="1001" spans="1:32" ht="12.75" customHeight="1">
      <c r="A1001" s="2"/>
      <c r="B1001" s="35"/>
      <c r="C1001" s="2"/>
      <c r="D1001" s="2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2"/>
      <c r="T1001" s="2"/>
      <c r="U1001" s="2"/>
      <c r="V1001" s="2"/>
      <c r="W1001" s="2"/>
      <c r="X1001" s="2"/>
      <c r="Y1001" s="64"/>
      <c r="Z1001" s="64"/>
      <c r="AA1001" s="2"/>
      <c r="AB1001" s="2"/>
      <c r="AC1001" s="2"/>
      <c r="AD1001" s="2"/>
      <c r="AE1001" s="2"/>
      <c r="AF1001" s="2"/>
    </row>
    <row r="1002" spans="1:32" ht="12.75" customHeight="1">
      <c r="A1002" s="2"/>
      <c r="B1002" s="35"/>
      <c r="C1002" s="2"/>
      <c r="D1002" s="2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2"/>
      <c r="T1002" s="2"/>
      <c r="U1002" s="2"/>
      <c r="V1002" s="2"/>
      <c r="W1002" s="2"/>
      <c r="X1002" s="2"/>
      <c r="Y1002" s="64"/>
      <c r="Z1002" s="64"/>
      <c r="AA1002" s="2"/>
      <c r="AB1002" s="2"/>
      <c r="AC1002" s="2"/>
      <c r="AD1002" s="2"/>
      <c r="AE1002" s="2"/>
      <c r="AF1002" s="2"/>
    </row>
    <row r="1003" spans="1:32" ht="12.75" customHeight="1">
      <c r="A1003" s="2"/>
      <c r="B1003" s="35"/>
      <c r="C1003" s="2"/>
      <c r="D1003" s="2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2"/>
      <c r="T1003" s="2"/>
      <c r="U1003" s="2"/>
      <c r="V1003" s="2"/>
      <c r="W1003" s="2"/>
      <c r="X1003" s="2"/>
      <c r="Y1003" s="64"/>
      <c r="Z1003" s="64"/>
      <c r="AA1003" s="2"/>
      <c r="AB1003" s="2"/>
      <c r="AC1003" s="2"/>
      <c r="AD1003" s="2"/>
      <c r="AE1003" s="2"/>
      <c r="AF1003" s="2"/>
    </row>
    <row r="1004" spans="1:32" ht="12.75" customHeight="1">
      <c r="A1004" s="2"/>
      <c r="B1004" s="35"/>
      <c r="C1004" s="2"/>
      <c r="D1004" s="2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2"/>
      <c r="T1004" s="2"/>
      <c r="U1004" s="2"/>
      <c r="V1004" s="2"/>
      <c r="W1004" s="2"/>
      <c r="X1004" s="2"/>
      <c r="Y1004" s="64"/>
      <c r="Z1004" s="64"/>
      <c r="AA1004" s="2"/>
      <c r="AB1004" s="2"/>
      <c r="AC1004" s="2"/>
      <c r="AD1004" s="2"/>
      <c r="AE1004" s="2"/>
      <c r="AF1004" s="2"/>
    </row>
    <row r="1005" spans="1:32" ht="12.75" customHeight="1">
      <c r="A1005" s="2"/>
      <c r="B1005" s="35"/>
      <c r="C1005" s="2"/>
      <c r="D1005" s="2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2"/>
      <c r="T1005" s="2"/>
      <c r="U1005" s="2"/>
      <c r="V1005" s="2"/>
      <c r="W1005" s="2"/>
      <c r="X1005" s="2"/>
      <c r="Y1005" s="64"/>
      <c r="Z1005" s="64"/>
      <c r="AA1005" s="2"/>
      <c r="AB1005" s="2"/>
      <c r="AC1005" s="2"/>
      <c r="AD1005" s="2"/>
      <c r="AE1005" s="2"/>
      <c r="AF1005" s="2"/>
    </row>
    <row r="1006" spans="1:32" ht="12.75" customHeight="1">
      <c r="A1006" s="2"/>
      <c r="B1006" s="35"/>
      <c r="C1006" s="2"/>
      <c r="D1006" s="2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2"/>
      <c r="T1006" s="2"/>
      <c r="U1006" s="2"/>
      <c r="V1006" s="2"/>
      <c r="W1006" s="2"/>
      <c r="X1006" s="2"/>
      <c r="Y1006" s="64"/>
      <c r="Z1006" s="64"/>
      <c r="AA1006" s="2"/>
      <c r="AB1006" s="2"/>
      <c r="AC1006" s="2"/>
      <c r="AD1006" s="2"/>
      <c r="AE1006" s="2"/>
      <c r="AF1006" s="2"/>
    </row>
    <row r="1007" spans="1:32" ht="12.75" customHeight="1">
      <c r="A1007" s="2"/>
      <c r="B1007" s="35"/>
      <c r="C1007" s="2"/>
      <c r="D1007" s="2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2"/>
      <c r="T1007" s="2"/>
      <c r="U1007" s="2"/>
      <c r="V1007" s="2"/>
      <c r="W1007" s="2"/>
      <c r="X1007" s="2"/>
      <c r="Y1007" s="64"/>
      <c r="Z1007" s="64"/>
      <c r="AA1007" s="2"/>
      <c r="AB1007" s="2"/>
      <c r="AC1007" s="2"/>
      <c r="AD1007" s="2"/>
      <c r="AE1007" s="2"/>
      <c r="AF1007" s="2"/>
    </row>
  </sheetData>
  <mergeCells count="22">
    <mergeCell ref="AB40:AB41"/>
    <mergeCell ref="I8:N8"/>
    <mergeCell ref="B34:B35"/>
    <mergeCell ref="B10:B11"/>
    <mergeCell ref="U8:W8"/>
    <mergeCell ref="B28:B29"/>
    <mergeCell ref="B24:B25"/>
    <mergeCell ref="O8:T8"/>
    <mergeCell ref="B36:B37"/>
    <mergeCell ref="B20:B21"/>
    <mergeCell ref="B40:B41"/>
    <mergeCell ref="B30:B31"/>
    <mergeCell ref="B8:H8"/>
    <mergeCell ref="B32:B33"/>
    <mergeCell ref="B22:B23"/>
    <mergeCell ref="B16:B17"/>
    <mergeCell ref="B12:B13"/>
    <mergeCell ref="B18:B19"/>
    <mergeCell ref="B38:B39"/>
    <mergeCell ref="B14:B15"/>
    <mergeCell ref="Z8:AB8"/>
    <mergeCell ref="B26:B27"/>
  </mergeCells>
  <conditionalFormatting sqref="D10:D39">
    <cfRule type="cellIs" dxfId="23" priority="1" operator="equal">
      <formula>"Average"</formula>
    </cfRule>
    <cfRule type="containsText" dxfId="22" priority="7" operator="containsText" text="NQ">
      <formula>NOT(ISERROR(SEARCH(("NQ"),(D10))))</formula>
    </cfRule>
  </conditionalFormatting>
  <conditionalFormatting sqref="F3:L3">
    <cfRule type="cellIs" dxfId="21" priority="6" operator="greaterThanOrEqual">
      <formula>0</formula>
    </cfRule>
  </conditionalFormatting>
  <conditionalFormatting sqref="G10:G39">
    <cfRule type="cellIs" dxfId="20" priority="8" operator="lessThan">
      <formula>20</formula>
    </cfRule>
    <cfRule type="cellIs" dxfId="19" priority="9" operator="lessThan">
      <formula>10</formula>
    </cfRule>
  </conditionalFormatting>
  <conditionalFormatting sqref="U1:U6">
    <cfRule type="cellIs" dxfId="18" priority="4" operator="greaterThanOrEqual">
      <formula>0</formula>
    </cfRule>
    <cfRule type="cellIs" dxfId="17" priority="5" operator="lessThan">
      <formula>0</formula>
    </cfRule>
  </conditionalFormatting>
  <conditionalFormatting sqref="U10:U39">
    <cfRule type="cellIs" dxfId="16" priority="2" operator="between">
      <formula>1</formula>
      <formula>9.999</formula>
    </cfRule>
  </conditionalFormatting>
  <conditionalFormatting sqref="V10:W39">
    <cfRule type="cellIs" dxfId="15" priority="3" operator="between">
      <formula>2</formula>
      <formula>9.999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00"/>
    <outlinePr summaryBelow="0" summaryRight="0"/>
  </sheetPr>
  <dimension ref="A1:AO959"/>
  <sheetViews>
    <sheetView tabSelected="1" workbookViewId="0">
      <pane ySplit="4" topLeftCell="A5" activePane="bottomLeft" state="frozen"/>
      <selection pane="bottomLeft" activeCell="E32" sqref="E32"/>
    </sheetView>
  </sheetViews>
  <sheetFormatPr defaultColWidth="12.5703125" defaultRowHeight="12.75"/>
  <cols>
    <col min="1" max="1" width="3" bestFit="1" customWidth="1"/>
    <col min="2" max="2" width="26.7109375" customWidth="1"/>
    <col min="3" max="3" width="9.28515625" bestFit="1" customWidth="1"/>
    <col min="4" max="4" width="10.5703125" bestFit="1" customWidth="1"/>
    <col min="5" max="5" width="9.7109375" bestFit="1" customWidth="1"/>
    <col min="6" max="6" width="6.5703125" bestFit="1" customWidth="1"/>
    <col min="7" max="7" width="8.7109375" bestFit="1" customWidth="1"/>
    <col min="8" max="8" width="30.42578125" bestFit="1" customWidth="1"/>
    <col min="9" max="9" width="15.5703125" customWidth="1"/>
    <col min="10" max="10" width="4.85546875" bestFit="1" customWidth="1"/>
    <col min="11" max="11" width="5.5703125" bestFit="1" customWidth="1"/>
    <col min="12" max="13" width="5" bestFit="1" customWidth="1"/>
    <col min="14" max="14" width="7.28515625" bestFit="1" customWidth="1"/>
    <col min="15" max="15" width="6.5703125" bestFit="1" customWidth="1"/>
    <col min="16" max="16" width="7.28515625" bestFit="1" customWidth="1"/>
    <col min="17" max="17" width="10.140625" bestFit="1" customWidth="1"/>
    <col min="18" max="18" width="5" bestFit="1" customWidth="1"/>
    <col min="19" max="19" width="6.5703125" bestFit="1" customWidth="1"/>
    <col min="20" max="20" width="5.5703125" bestFit="1" customWidth="1"/>
    <col min="21" max="21" width="5" bestFit="1" customWidth="1"/>
    <col min="22" max="22" width="9" bestFit="1" customWidth="1"/>
    <col min="23" max="23" width="12" bestFit="1" customWidth="1"/>
    <col min="24" max="24" width="23.85546875" bestFit="1" customWidth="1"/>
    <col min="25" max="25" width="9.42578125" bestFit="1" customWidth="1"/>
    <col min="26" max="26" width="4" bestFit="1" customWidth="1"/>
    <col min="27" max="27" width="4.5703125" bestFit="1" customWidth="1"/>
    <col min="28" max="28" width="4" bestFit="1" customWidth="1"/>
    <col min="29" max="29" width="4.5703125" bestFit="1" customWidth="1"/>
    <col min="30" max="30" width="4" bestFit="1" customWidth="1"/>
    <col min="31" max="31" width="4.5703125" bestFit="1" customWidth="1"/>
    <col min="32" max="33" width="7" bestFit="1" customWidth="1"/>
    <col min="34" max="35" width="8.5703125" bestFit="1" customWidth="1"/>
    <col min="36" max="37" width="5.5703125" bestFit="1" customWidth="1"/>
    <col min="38" max="39" width="8.140625" bestFit="1" customWidth="1"/>
    <col min="40" max="41" width="12" bestFit="1" customWidth="1"/>
  </cols>
  <sheetData>
    <row r="1" spans="1:41" ht="23.25" customHeight="1">
      <c r="A1" s="65"/>
      <c r="B1" s="66" t="s">
        <v>281</v>
      </c>
      <c r="C1" s="320" t="s">
        <v>282</v>
      </c>
      <c r="D1" s="67" t="s">
        <v>283</v>
      </c>
      <c r="E1" s="67" t="s">
        <v>284</v>
      </c>
      <c r="F1" s="331"/>
      <c r="H1" s="68" t="s">
        <v>285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9"/>
      <c r="U1" s="69"/>
      <c r="V1" s="69"/>
      <c r="W1" s="69"/>
      <c r="X1" s="70"/>
      <c r="Y1" s="65"/>
      <c r="Z1" s="65"/>
      <c r="AA1" s="71"/>
      <c r="AB1" s="71"/>
      <c r="AC1" s="71"/>
      <c r="AD1" s="71"/>
      <c r="AE1" s="71"/>
      <c r="AF1" s="71"/>
      <c r="AG1" s="71"/>
      <c r="AJ1" s="71"/>
      <c r="AK1" s="71"/>
      <c r="AL1" s="71"/>
      <c r="AM1" s="71"/>
    </row>
    <row r="2" spans="1:41" ht="23.25" customHeight="1">
      <c r="A2" s="72"/>
      <c r="B2" s="72" t="s">
        <v>286</v>
      </c>
      <c r="C2" s="321">
        <v>0.63</v>
      </c>
      <c r="D2" s="319">
        <f>1-C2</f>
        <v>0.37</v>
      </c>
      <c r="E2" s="319">
        <v>6.7</v>
      </c>
      <c r="F2" s="73"/>
      <c r="G2" s="73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384"/>
      <c r="U2" s="74"/>
      <c r="V2" s="75"/>
      <c r="W2" s="69"/>
      <c r="X2" s="70"/>
      <c r="Y2" s="65"/>
      <c r="Z2" s="378" t="s">
        <v>240</v>
      </c>
      <c r="AA2" s="377"/>
      <c r="AB2" s="378" t="s">
        <v>238</v>
      </c>
      <c r="AC2" s="377"/>
      <c r="AD2" s="379" t="s">
        <v>287</v>
      </c>
      <c r="AE2" s="377"/>
      <c r="AF2" s="383" t="s">
        <v>288</v>
      </c>
      <c r="AG2" s="377"/>
      <c r="AH2" s="383" t="s">
        <v>289</v>
      </c>
      <c r="AI2" s="377"/>
      <c r="AJ2" s="379" t="s">
        <v>290</v>
      </c>
      <c r="AK2" s="377"/>
      <c r="AL2" s="379" t="s">
        <v>291</v>
      </c>
      <c r="AM2" s="377"/>
      <c r="AN2" s="385" t="s">
        <v>257</v>
      </c>
      <c r="AO2" s="377"/>
    </row>
    <row r="3" spans="1:41" ht="23.25" customHeight="1">
      <c r="A3" s="348"/>
      <c r="B3" s="348" t="s">
        <v>292</v>
      </c>
      <c r="C3" s="348"/>
      <c r="D3" s="348"/>
      <c r="E3" s="348"/>
      <c r="F3" s="348"/>
      <c r="G3" s="348"/>
      <c r="H3" s="348"/>
      <c r="I3" s="348"/>
      <c r="J3" s="380" t="s">
        <v>293</v>
      </c>
      <c r="K3" s="381"/>
      <c r="L3" s="381"/>
      <c r="M3" s="381"/>
      <c r="N3" s="381"/>
      <c r="O3" s="381"/>
      <c r="P3" s="381"/>
      <c r="Q3" s="381"/>
      <c r="R3" s="381"/>
      <c r="S3" s="382"/>
      <c r="T3" s="377"/>
      <c r="U3" s="74"/>
      <c r="V3" s="77"/>
      <c r="W3" s="69"/>
      <c r="X3" s="70"/>
      <c r="Y3" s="65"/>
      <c r="Z3" s="378" t="s">
        <v>294</v>
      </c>
      <c r="AA3" s="377"/>
      <c r="AB3" s="378" t="s">
        <v>294</v>
      </c>
      <c r="AC3" s="377"/>
      <c r="AD3" s="379" t="s">
        <v>294</v>
      </c>
      <c r="AE3" s="377"/>
      <c r="AF3" s="377"/>
      <c r="AG3" s="377"/>
      <c r="AH3" s="377"/>
      <c r="AI3" s="377"/>
      <c r="AJ3" s="377"/>
      <c r="AK3" s="377"/>
      <c r="AL3" s="377"/>
      <c r="AM3" s="377"/>
      <c r="AN3" s="377"/>
      <c r="AO3" s="377"/>
    </row>
    <row r="4" spans="1:41" ht="25.5" customHeight="1">
      <c r="A4" s="349" t="s">
        <v>7</v>
      </c>
      <c r="B4" s="349" t="s">
        <v>295</v>
      </c>
      <c r="C4" s="349" t="s">
        <v>296</v>
      </c>
      <c r="D4" s="349" t="s">
        <v>9</v>
      </c>
      <c r="E4" s="349" t="s">
        <v>297</v>
      </c>
      <c r="F4" s="364" t="s">
        <v>1215</v>
      </c>
      <c r="G4" s="364" t="s">
        <v>298</v>
      </c>
      <c r="H4" s="349" t="s">
        <v>299</v>
      </c>
      <c r="I4" s="364" t="s">
        <v>300</v>
      </c>
      <c r="J4" s="350" t="s">
        <v>240</v>
      </c>
      <c r="K4" s="350" t="s">
        <v>301</v>
      </c>
      <c r="L4" s="350" t="s">
        <v>302</v>
      </c>
      <c r="M4" s="350" t="s">
        <v>303</v>
      </c>
      <c r="N4" s="350" t="s">
        <v>304</v>
      </c>
      <c r="O4" s="350" t="s">
        <v>305</v>
      </c>
      <c r="P4" s="350" t="s">
        <v>238</v>
      </c>
      <c r="Q4" s="350" t="s">
        <v>291</v>
      </c>
      <c r="R4" s="350" t="s">
        <v>306</v>
      </c>
      <c r="S4" s="350" t="s">
        <v>299</v>
      </c>
      <c r="T4" s="74" t="s">
        <v>290</v>
      </c>
      <c r="U4" s="78" t="s">
        <v>307</v>
      </c>
      <c r="V4" s="65" t="s">
        <v>308</v>
      </c>
      <c r="W4" s="65" t="s">
        <v>309</v>
      </c>
      <c r="X4" s="79"/>
      <c r="Y4" s="65" t="s">
        <v>9</v>
      </c>
      <c r="Z4" s="71">
        <v>0.5</v>
      </c>
      <c r="AA4" s="71">
        <v>-0.5</v>
      </c>
      <c r="AB4" s="71">
        <v>0.5</v>
      </c>
      <c r="AC4" s="71">
        <v>-0.5</v>
      </c>
      <c r="AD4" s="71">
        <v>0.5</v>
      </c>
      <c r="AE4" s="71">
        <v>-0.5</v>
      </c>
      <c r="AF4" s="71">
        <v>0.5</v>
      </c>
      <c r="AG4" s="71">
        <v>-0.5</v>
      </c>
      <c r="AH4" s="71">
        <v>0.5</v>
      </c>
      <c r="AI4" s="71">
        <v>-0.5</v>
      </c>
      <c r="AJ4" s="71">
        <v>0.5</v>
      </c>
      <c r="AK4" s="71">
        <v>-0.5</v>
      </c>
      <c r="AL4" s="71">
        <v>0.5</v>
      </c>
      <c r="AM4" s="71">
        <v>-0.5</v>
      </c>
      <c r="AN4" s="71">
        <v>0.5</v>
      </c>
      <c r="AO4" s="71">
        <v>-0.5</v>
      </c>
    </row>
    <row r="5" spans="1:41">
      <c r="A5" s="370">
        <v>1</v>
      </c>
      <c r="B5" s="332" t="s">
        <v>99</v>
      </c>
      <c r="C5" s="333" t="s">
        <v>310</v>
      </c>
      <c r="D5" s="334" t="s">
        <v>100</v>
      </c>
      <c r="E5" s="335">
        <f>IFERROR(_xlfn.XLOOKUP(B5,'Starting Pitchers'!$W$6:$W$1400,'Starting Pitchers'!$AA$6:$AA$1400),2.52)</f>
        <v>2.8</v>
      </c>
      <c r="F5" s="336">
        <f>IF(C5="R",_xlfn.XLOOKUP(D6,'Team Batting vs R - Season'!$C$6:$C$35,'Team Batting vs R - Season'!$R$6:$R$35),_xlfn.XLOOKUP(D6,'Team Batting vs L - Season'!$C$6:$C$35,'Team Batting vs L - Season'!$R$6:$R$35))</f>
        <v>0.93229148342567847</v>
      </c>
      <c r="G5" s="338">
        <f xml:space="preserve"> E5 * (F5)^1.2 * 0.8</f>
        <v>2.0592547604653251</v>
      </c>
      <c r="H5" s="351">
        <f>IFERROR(Game1NegBin!B23,"")</f>
        <v>0.40830186660962831</v>
      </c>
      <c r="I5" s="365" t="e" cm="1" vm="1">
        <f t="array" aca="1" ref="I5" ca="1">B5:D34</f>
        <v>#VALUE!</v>
      </c>
      <c r="J5" s="337"/>
      <c r="K5" s="337"/>
      <c r="L5" s="337"/>
      <c r="M5" s="337"/>
      <c r="N5" s="337"/>
      <c r="O5" s="337"/>
      <c r="P5" s="337"/>
      <c r="Q5" s="339"/>
      <c r="R5" s="339"/>
      <c r="S5" s="340"/>
      <c r="T5" s="80">
        <f t="shared" ref="T5:T34" si="0">IFERROR((((R5-1)*H5-(1-H5))/(R5-1))*10,"")</f>
        <v>10</v>
      </c>
      <c r="U5" s="81" t="str">
        <f t="shared" ref="U5:U34" si="1">IF(AND(T5&gt;1, T5&lt;5), "BET", "")</f>
        <v/>
      </c>
      <c r="V5" s="82">
        <f t="shared" ref="V5:V34" si="2">H5-S5</f>
        <v>0.40830186660962831</v>
      </c>
      <c r="W5" s="1">
        <f>IFERROR((1-(Dashboard!$E$7*0.1)) / (H5 - (Dashboard!$E$7*0.1)), "")</f>
        <v>2.9192168373718594</v>
      </c>
      <c r="X5" s="79" t="e">
        <f>IF(T5&lt;&gt;"",#REF!&amp;" f5 ML"&amp;"("&amp;P5&amp;")"&amp;" "&amp;ROUND(T5*100,2)&amp;"%","")</f>
        <v>#REF!</v>
      </c>
      <c r="Y5" s="83" t="e">
        <f>#REF!</f>
        <v>#REF!</v>
      </c>
      <c r="Z5" s="71" t="str">
        <f ca="1">IFERROR(__xludf.DUMMYFUNCTION("IFERROR(
  INDEX(
    FILTER(
      MLOddsP!$K:$K,
      MLOddsP!$D:$D=""BetOnline.ag"",
      MLOddsP!$L:$L=$AA$4,
      MLOddsP!$I:$I = XLOOKUP(D5, Validations!$E$2:$E$31, Validations!$H$2:$H$31)
    ),
    1
  ),
  """"
)"),"")</f>
        <v/>
      </c>
      <c r="AA5" s="71" t="str">
        <f ca="1">IFERROR(__xludf.DUMMYFUNCTION("IFERROR(
  INDEX(
    FILTER(
      MLOddsP!$K:$K,
      MLOddsP!$D:$D=""BetOnline.ag"",
      MLOddsP!$L:$L=$AB$4,
      MLOddsP!$I:$I = XLOOKUP(D5, Validations!$E$2:$E$31, Validations!$H$2:$H$31)
    ),
    1
  ),
  """"
)"),"")</f>
        <v/>
      </c>
      <c r="AB5" s="71" t="str">
        <f ca="1">IFERROR(__xludf.DUMMYFUNCTION("IFERROR(
  INDEX(
    FILTER(
      MLOddsP!$K:$K,
      MLOddsP!$D:$D=""Pinnacle"",
      MLOddsP!$L:$L=$AC$4,
      MLOddsP!$I:$I = XLOOKUP(D5, Validations!$E$2:$E$31, Validations!$H$2:$H$31)
    ),
    1
  ),
  """"
)"),"")</f>
        <v/>
      </c>
      <c r="AC5" s="71" t="str">
        <f ca="1">IFERROR(__xludf.DUMMYFUNCTION("IFERROR(
  INDEX(
    FILTER(
      MLOddsP!$K:$K,
      MLOddsP!$D:$D=""Pinnacle"",
      MLOddsP!$L:$L=$AD$4,
      MLOddsP!$I:$I = XLOOKUP(D5, Validations!$E$2:$E$31, Validations!$H$2:$H$31)
    ),
    1
  ),
  """"
)"),"")</f>
        <v/>
      </c>
      <c r="AD5" s="71">
        <f t="shared" ref="AD5:AD34" ca="1" si="3">MAX(Z5, AB5)</f>
        <v>0</v>
      </c>
      <c r="AE5" s="71">
        <f t="shared" ref="AE5:AE34" ca="1" si="4">MAX(AA5, AC5)</f>
        <v>0</v>
      </c>
      <c r="AF5" s="84" t="e">
        <f t="shared" ref="AF5:AF34" ca="1" si="5">1/AD5</f>
        <v>#DIV/0!</v>
      </c>
      <c r="AG5" s="84" t="e">
        <f t="shared" ref="AG5:AG34" ca="1" si="6">1/AE5</f>
        <v>#DIV/0!</v>
      </c>
      <c r="AH5" s="85">
        <f>Game1Poisson!$F$30+Game1Poisson!$F$32</f>
        <v>0.49997681935551408</v>
      </c>
      <c r="AI5" s="85">
        <f>Game1Poisson!$F$30</f>
        <v>0.31384221897980508</v>
      </c>
      <c r="AJ5" s="86">
        <f t="shared" ref="AJ5:AJ34" ca="1" si="7">IFERROR((((AD5-1)*AH5-(1-AH5))/(AD5-1))*10,"")</f>
        <v>10</v>
      </c>
      <c r="AK5" s="86">
        <f t="shared" ref="AK5:AK34" ca="1" si="8">IFERROR((((AE5-1)*AI5-(1-AI5))/(AE5-1))*10,"")</f>
        <v>10</v>
      </c>
      <c r="AL5" s="71" t="str">
        <f t="shared" ref="AL5:AL34" ca="1" si="9">IF(Z5="","Pinnacle",IF(Z5&gt;AB5,"BOL","Pinnacle"))</f>
        <v>Pinnacle</v>
      </c>
      <c r="AM5" s="71" t="str">
        <f t="shared" ref="AM5:AM34" ca="1" si="10">IF(AA5="","Pinnacle",IF(AA5&gt;AC5,"BOL","Pinnacle"))</f>
        <v>Pinnacle</v>
      </c>
      <c r="AN5" s="1">
        <f>IFERROR((1-(Dashboard!$F$7*0.1)) / (AH5 - (Dashboard!$E$7*0.1)), "")</f>
        <v>2.0001159099395975</v>
      </c>
      <c r="AO5" s="1">
        <f>IFERROR((1-(Dashboard!$E$7*0.1)) / (AI5 - (Dashboard!$E$7*0.1)), "")</f>
        <v>4.2087105357104182</v>
      </c>
    </row>
    <row r="6" spans="1:41">
      <c r="A6" s="371">
        <v>1</v>
      </c>
      <c r="B6" s="332" t="s">
        <v>111</v>
      </c>
      <c r="C6" s="333" t="s">
        <v>310</v>
      </c>
      <c r="D6" s="334" t="s">
        <v>53</v>
      </c>
      <c r="E6" s="335">
        <f>IFERROR(_xlfn.XLOOKUP(B6,'Starting Pitchers'!$W$6:$W$1400,'Starting Pitchers'!$AA$6:$AA$1400),2.52)</f>
        <v>3.125</v>
      </c>
      <c r="F6" s="336">
        <f>IF(C6="R",_xlfn.XLOOKUP(D5,'Team Batting vs R - Season'!$C$6:$C$35,'Team Batting vs R - Season'!$R$6:$R$35),_xlfn.XLOOKUP(D5,'Team Batting vs L - Season'!$C$6:$C$35,'Team Batting vs L - Season'!$R$6:$R$35))</f>
        <v>1.0267684832968251</v>
      </c>
      <c r="G6" s="338">
        <f t="shared" ref="G6:G34" si="11" xml:space="preserve"> E6 * (F6)^1.2 * 0.8</f>
        <v>2.5805188991313051</v>
      </c>
      <c r="H6" s="351">
        <f>IFERROR(Game1NegBin!C23,"")</f>
        <v>0.59169813339037169</v>
      </c>
      <c r="I6" s="365">
        <f t="shared" ref="I6:I34" si="12">IFERROR(IF(H6&gt;0.5, -(H6/(1-H6))*100, ((1-H6)/H6)*100),"")</f>
        <v>-144.91683280891928</v>
      </c>
      <c r="J6" s="337"/>
      <c r="K6" s="337"/>
      <c r="L6" s="337"/>
      <c r="M6" s="337"/>
      <c r="N6" s="337"/>
      <c r="O6" s="337"/>
      <c r="P6" s="337"/>
      <c r="Q6" s="339"/>
      <c r="R6" s="339"/>
      <c r="S6" s="340"/>
      <c r="T6" s="80">
        <f t="shared" si="0"/>
        <v>10</v>
      </c>
      <c r="U6" s="81" t="str">
        <f t="shared" si="1"/>
        <v/>
      </c>
      <c r="V6" s="82">
        <f t="shared" si="2"/>
        <v>0.59169813339037169</v>
      </c>
      <c r="W6" s="1">
        <f>IFERROR((1-(Dashboard!$E$7*0.1)) / (H6 - (Dashboard!$E$7*0.1)), "")</f>
        <v>1.8303913293188507</v>
      </c>
      <c r="X6" s="79" t="e">
        <f>IF(T6&lt;&gt;"",#REF!&amp;" f5 ML"&amp;"("&amp;P6&amp;")"&amp;" "&amp;ROUND(T6*100,2)&amp;"%","")</f>
        <v>#REF!</v>
      </c>
      <c r="Y6" s="83" t="e">
        <f>#REF!</f>
        <v>#REF!</v>
      </c>
      <c r="Z6" s="71" t="str">
        <f ca="1">IFERROR(__xludf.DUMMYFUNCTION("IFERROR(
  INDEX(
    FILTER(
      MLOddsP!$K:$K,
      MLOddsP!$D:$D=""BetOnline.ag"",
      MLOddsP!$L:$L=$AA$4,
      MLOddsP!$I:$I = XLOOKUP(D6, Validations!$E$2:$E$31, Validations!$H$2:$H$31)
    ),
    1
  ),
  """"
)"),"")</f>
        <v/>
      </c>
      <c r="AA6" s="71" t="str">
        <f ca="1">IFERROR(__xludf.DUMMYFUNCTION("IFERROR(
  INDEX(
    FILTER(
      MLOddsP!$K:$K,
      MLOddsP!$D:$D=""BetOnline.ag"",
      MLOddsP!$L:$L=$AB$4,
      MLOddsP!$I:$I = XLOOKUP(D6, Validations!$E$2:$E$31, Validations!$H$2:$H$31)
    ),
    1
  ),
  """"
)"),"")</f>
        <v/>
      </c>
      <c r="AB6" s="71" t="str">
        <f ca="1">IFERROR(__xludf.DUMMYFUNCTION("IFERROR(
  INDEX(
    FILTER(
      MLOddsP!$K:$K,
      MLOddsP!$D:$D=""Pinnacle"",
      MLOddsP!$L:$L=$AC$4,
      MLOddsP!$I:$I = XLOOKUP(D6, Validations!$E$2:$E$31, Validations!$H$2:$H$31)
    ),
    1
  ),
  """"
)"),"")</f>
        <v/>
      </c>
      <c r="AC6" s="71" t="str">
        <f ca="1">IFERROR(__xludf.DUMMYFUNCTION("IFERROR(
  INDEX(
    FILTER(
      MLOddsP!$K:$K,
      MLOddsP!$D:$D=""Pinnacle"",
      MLOddsP!$L:$L=$AD$4,
      MLOddsP!$I:$I = XLOOKUP(D6, Validations!$E$2:$E$31, Validations!$H$2:$H$31)
    ),
    1
  ),
  """"
)"),"")</f>
        <v/>
      </c>
      <c r="AD6" s="71">
        <f t="shared" ca="1" si="3"/>
        <v>0</v>
      </c>
      <c r="AE6" s="71">
        <f t="shared" ca="1" si="4"/>
        <v>0</v>
      </c>
      <c r="AF6" s="84" t="e">
        <f t="shared" ca="1" si="5"/>
        <v>#DIV/0!</v>
      </c>
      <c r="AG6" s="84" t="e">
        <f t="shared" ca="1" si="6"/>
        <v>#DIV/0!</v>
      </c>
      <c r="AH6" s="85">
        <f>Game1Poisson!$F$31+Game1Poisson!$F$32</f>
        <v>0.68615778102019487</v>
      </c>
      <c r="AI6" s="85">
        <f>Game1Poisson!$F$31</f>
        <v>0.50002318064448592</v>
      </c>
      <c r="AJ6" s="86">
        <f t="shared" ca="1" si="7"/>
        <v>10</v>
      </c>
      <c r="AK6" s="86">
        <f t="shared" ca="1" si="8"/>
        <v>10</v>
      </c>
      <c r="AL6" s="71" t="str">
        <f t="shared" ca="1" si="9"/>
        <v>Pinnacle</v>
      </c>
      <c r="AM6" s="71" t="str">
        <f t="shared" ca="1" si="10"/>
        <v>Pinnacle</v>
      </c>
      <c r="AN6" s="1">
        <f>IFERROR((1-(Dashboard!$F$7*0.1)) / (AH6 - (Dashboard!$E$7*0.1)), "")</f>
        <v>1.364820234250951</v>
      </c>
      <c r="AO6" s="1">
        <f>IFERROR((1-(Dashboard!$E$7*0.1)) / (AI6 - (Dashboard!$E$7*0.1)), "")</f>
        <v>2.2498696164307046</v>
      </c>
    </row>
    <row r="7" spans="1:41">
      <c r="A7" s="369">
        <v>2</v>
      </c>
      <c r="B7" s="342" t="s">
        <v>52</v>
      </c>
      <c r="C7" s="343" t="s">
        <v>310</v>
      </c>
      <c r="D7" s="344" t="s">
        <v>58</v>
      </c>
      <c r="E7" s="335">
        <f>IFERROR(_xlfn.XLOOKUP(B7,'Starting Pitchers'!$W$6:$W$1400,'Starting Pitchers'!$AA$6:$AA$1400),2.52)</f>
        <v>1.5</v>
      </c>
      <c r="F7" s="428">
        <f>IF(C7="R",_xlfn.XLOOKUP(D8,'Team Batting vs R - Season'!$C$6:$C$35,'Team Batting vs R - Season'!$R$6:$R$35),_xlfn.XLOOKUP(D8,'Team Batting vs L - Season'!$C$6:$C$35,'Team Batting vs L - Season'!$R$6:$R$35))</f>
        <v>1.0562925457565582</v>
      </c>
      <c r="G7" s="429">
        <f t="shared" si="11"/>
        <v>1.2815108987336001</v>
      </c>
      <c r="H7" s="352">
        <f>IFERROR(Game2NegBin!B23,"")</f>
        <v>0.66310085557052389</v>
      </c>
      <c r="I7" s="366">
        <f t="shared" si="12"/>
        <v>-196.82473717570761</v>
      </c>
      <c r="J7" s="345"/>
      <c r="K7" s="345"/>
      <c r="L7" s="345"/>
      <c r="M7" s="345"/>
      <c r="N7" s="345"/>
      <c r="O7" s="345"/>
      <c r="P7" s="345"/>
      <c r="Q7" s="346"/>
      <c r="R7" s="346"/>
      <c r="S7" s="347"/>
      <c r="T7" s="80">
        <f t="shared" si="0"/>
        <v>10</v>
      </c>
      <c r="U7" s="81" t="str">
        <f t="shared" si="1"/>
        <v/>
      </c>
      <c r="V7" s="82">
        <f t="shared" si="2"/>
        <v>0.66310085557052389</v>
      </c>
      <c r="W7" s="1">
        <f>IFERROR((1-(Dashboard!$E$7*0.1)) / (H7 - (Dashboard!$E$7*0.1)), "")</f>
        <v>1.5982927234023394</v>
      </c>
      <c r="X7" s="79" t="e">
        <f>IF(T7&lt;&gt;"",#REF!&amp;" f5 ML"&amp;"("&amp;P7&amp;")"&amp;" "&amp;ROUND(T7*100,2)&amp;"%","")</f>
        <v>#REF!</v>
      </c>
      <c r="Y7" s="83" t="e">
        <f>#REF!</f>
        <v>#REF!</v>
      </c>
      <c r="Z7" s="71" t="str">
        <f ca="1">IFERROR(__xludf.DUMMYFUNCTION("IFERROR(
  INDEX(
    FILTER(
      MLOddsP!$K:$K,
      MLOddsP!$D:$D=""BetOnline.ag"",
      MLOddsP!$L:$L=$AA$4,
      MLOddsP!$I:$I = XLOOKUP(D7, Validations!$E$2:$E$31, Validations!$H$2:$H$31)
    ),
    1
  ),
  """"
)"),"")</f>
        <v/>
      </c>
      <c r="AA7" s="71" t="str">
        <f ca="1">IFERROR(__xludf.DUMMYFUNCTION("IFERROR(
  INDEX(
    FILTER(
      MLOddsP!$K:$K,
      MLOddsP!$D:$D=""BetOnline.ag"",
      MLOddsP!$L:$L=$AB$4,
      MLOddsP!$I:$I = XLOOKUP(D7, Validations!$E$2:$E$31, Validations!$H$2:$H$31)
    ),
    1
  ),
  """"
)"),"")</f>
        <v/>
      </c>
      <c r="AB7" s="71" t="str">
        <f ca="1">IFERROR(__xludf.DUMMYFUNCTION("IFERROR(
  INDEX(
    FILTER(
      MLOddsP!$K:$K,
      MLOddsP!$D:$D=""Pinnacle"",
      MLOddsP!$L:$L=$AC$4,
      MLOddsP!$I:$I = XLOOKUP(D7, Validations!$E$2:$E$31, Validations!$H$2:$H$31)
    ),
    1
  ),
  """"
)"),"")</f>
        <v/>
      </c>
      <c r="AC7" s="71" t="str">
        <f ca="1">IFERROR(__xludf.DUMMYFUNCTION("IFERROR(
  INDEX(
    FILTER(
      MLOddsP!$K:$K,
      MLOddsP!$D:$D=""Pinnacle"",
      MLOddsP!$L:$L=$AD$4,
      MLOddsP!$I:$I = XLOOKUP(D7, Validations!$E$2:$E$31, Validations!$H$2:$H$31)
    ),
    1
  ),
  """"
)"),"")</f>
        <v/>
      </c>
      <c r="AD7" s="71">
        <f t="shared" ca="1" si="3"/>
        <v>0</v>
      </c>
      <c r="AE7" s="71">
        <f t="shared" ca="1" si="4"/>
        <v>0</v>
      </c>
      <c r="AF7" s="84" t="e">
        <f t="shared" ca="1" si="5"/>
        <v>#DIV/0!</v>
      </c>
      <c r="AG7" s="84" t="e">
        <f t="shared" ca="1" si="6"/>
        <v>#DIV/0!</v>
      </c>
      <c r="AH7" s="85">
        <f>Game2Poisson!$F$30+Game2Poisson!$F$32</f>
        <v>0.77467570372782446</v>
      </c>
      <c r="AI7" s="85">
        <f>Game2Poisson!$F$30</f>
        <v>0.48449763334523838</v>
      </c>
      <c r="AJ7" s="86">
        <f t="shared" ca="1" si="7"/>
        <v>10</v>
      </c>
      <c r="AK7" s="86">
        <f t="shared" ca="1" si="8"/>
        <v>10</v>
      </c>
      <c r="AL7" s="71" t="str">
        <f t="shared" ca="1" si="9"/>
        <v>Pinnacle</v>
      </c>
      <c r="AM7" s="71" t="str">
        <f t="shared" ca="1" si="10"/>
        <v>Pinnacle</v>
      </c>
      <c r="AN7" s="1">
        <f>IFERROR((1-(Dashboard!$F$7*0.1)) / (AH7 - (Dashboard!$E$7*0.1)), "")</f>
        <v>1.1857548679754051</v>
      </c>
      <c r="AO7" s="1">
        <f>IFERROR((1-(Dashboard!$E$7*0.1)) / (AI7 - (Dashboard!$E$7*0.1)), "")</f>
        <v>2.3407166181225749</v>
      </c>
    </row>
    <row r="8" spans="1:41">
      <c r="A8" s="368">
        <v>2</v>
      </c>
      <c r="B8" s="342" t="s">
        <v>183</v>
      </c>
      <c r="C8" s="343" t="s">
        <v>310</v>
      </c>
      <c r="D8" s="344" t="s">
        <v>88</v>
      </c>
      <c r="E8" s="335">
        <f>IFERROR(_xlfn.XLOOKUP(B8,'Starting Pitchers'!$W$6:$W$1400,'Starting Pitchers'!$AA$6:$AA$1400),2.52)</f>
        <v>1</v>
      </c>
      <c r="F8" s="428">
        <f>IF(C8="R",_xlfn.XLOOKUP(D7,'Team Batting vs R - Season'!$C$6:$C$35,'Team Batting vs R - Season'!$R$6:$R$35),_xlfn.XLOOKUP(D7,'Team Batting vs L - Season'!$C$6:$C$35,'Team Batting vs L - Season'!$R$6:$R$35))</f>
        <v>0.973625170869305</v>
      </c>
      <c r="G8" s="429">
        <f t="shared" si="11"/>
        <v>0.77474742001497776</v>
      </c>
      <c r="H8" s="352">
        <f>IFERROR(Game2NegBin!C23,"")</f>
        <v>0.33689914442947611</v>
      </c>
      <c r="I8" s="366">
        <f t="shared" si="12"/>
        <v>196.82473717570761</v>
      </c>
      <c r="J8" s="345"/>
      <c r="K8" s="345"/>
      <c r="L8" s="345"/>
      <c r="M8" s="345"/>
      <c r="N8" s="345"/>
      <c r="O8" s="345"/>
      <c r="P8" s="345"/>
      <c r="Q8" s="346"/>
      <c r="R8" s="346"/>
      <c r="S8" s="347"/>
      <c r="T8" s="80">
        <f t="shared" si="0"/>
        <v>10</v>
      </c>
      <c r="U8" s="81" t="str">
        <f t="shared" si="1"/>
        <v/>
      </c>
      <c r="V8" s="82">
        <f t="shared" si="2"/>
        <v>0.33689914442947611</v>
      </c>
      <c r="W8" s="1">
        <f>IFERROR((1-(Dashboard!$E$7*0.1)) / (H8 - (Dashboard!$E$7*0.1)), "")</f>
        <v>3.799085058612047</v>
      </c>
      <c r="X8" s="79" t="e">
        <f>IF(T8&lt;&gt;"",#REF!&amp;" f5 ML"&amp;"("&amp;P8&amp;")"&amp;" "&amp;ROUND(T8*100,2)&amp;"%","")</f>
        <v>#REF!</v>
      </c>
      <c r="Y8" s="83" t="e">
        <f>#REF!</f>
        <v>#REF!</v>
      </c>
      <c r="Z8" s="71" t="str">
        <f ca="1">IFERROR(__xludf.DUMMYFUNCTION("IFERROR(
  INDEX(
    FILTER(
      MLOddsP!$K:$K,
      MLOddsP!$D:$D=""BetOnline.ag"",
      MLOddsP!$L:$L=$AA$4,
      MLOddsP!$I:$I = XLOOKUP(D8, Validations!$E$2:$E$31, Validations!$H$2:$H$31)
    ),
    1
  ),
  """"
)"),"")</f>
        <v/>
      </c>
      <c r="AA8" s="71" t="str">
        <f ca="1">IFERROR(__xludf.DUMMYFUNCTION("IFERROR(
  INDEX(
    FILTER(
      MLOddsP!$K:$K,
      MLOddsP!$D:$D=""BetOnline.ag"",
      MLOddsP!$L:$L=$AB$4,
      MLOddsP!$I:$I = XLOOKUP(D8, Validations!$E$2:$E$31, Validations!$H$2:$H$31)
    ),
    1
  ),
  """"
)"),"")</f>
        <v/>
      </c>
      <c r="AB8" s="71" t="str">
        <f ca="1">IFERROR(__xludf.DUMMYFUNCTION("IFERROR(
  INDEX(
    FILTER(
      MLOddsP!$K:$K,
      MLOddsP!$D:$D=""Pinnacle"",
      MLOddsP!$L:$L=$AC$4,
      MLOddsP!$I:$I = XLOOKUP(D8, Validations!$E$2:$E$31, Validations!$H$2:$H$31)
    ),
    1
  ),
  """"
)"),"")</f>
        <v/>
      </c>
      <c r="AC8" s="71" t="str">
        <f ca="1">IFERROR(__xludf.DUMMYFUNCTION("IFERROR(
  INDEX(
    FILTER(
      MLOddsP!$K:$K,
      MLOddsP!$D:$D=""Pinnacle"",
      MLOddsP!$L:$L=$AD$4,
      MLOddsP!$I:$I = XLOOKUP(D8, Validations!$E$2:$E$31, Validations!$H$2:$H$31)
    ),
    1
  ),
  """"
)"),"")</f>
        <v/>
      </c>
      <c r="AD8" s="71">
        <f t="shared" ca="1" si="3"/>
        <v>0</v>
      </c>
      <c r="AE8" s="71">
        <f t="shared" ca="1" si="4"/>
        <v>0</v>
      </c>
      <c r="AF8" s="84" t="e">
        <f t="shared" ca="1" si="5"/>
        <v>#DIV/0!</v>
      </c>
      <c r="AG8" s="84" t="e">
        <f t="shared" ca="1" si="6"/>
        <v>#DIV/0!</v>
      </c>
      <c r="AH8" s="85">
        <f>Game2Poisson!$F$31+Game2Poisson!$F$32</f>
        <v>0.51550236665476157</v>
      </c>
      <c r="AI8" s="85">
        <f>Game2Poisson!$F$31</f>
        <v>0.22532429627217551</v>
      </c>
      <c r="AJ8" s="86">
        <f t="shared" ca="1" si="7"/>
        <v>10</v>
      </c>
      <c r="AK8" s="86">
        <f t="shared" ca="1" si="8"/>
        <v>10</v>
      </c>
      <c r="AL8" s="71" t="str">
        <f t="shared" ca="1" si="9"/>
        <v>Pinnacle</v>
      </c>
      <c r="AM8" s="71" t="str">
        <f t="shared" ca="1" si="10"/>
        <v>Pinnacle</v>
      </c>
      <c r="AN8" s="1">
        <f>IFERROR((1-(Dashboard!$F$7*0.1)) / (AH8 - (Dashboard!$E$7*0.1)), "")</f>
        <v>1.9253801282549978</v>
      </c>
      <c r="AO8" s="1">
        <f>IFERROR((1-(Dashboard!$E$7*0.1)) / (AI8 - (Dashboard!$E$7*0.1)), "")</f>
        <v>7.1813688707687398</v>
      </c>
    </row>
    <row r="9" spans="1:41">
      <c r="A9" s="370">
        <v>3</v>
      </c>
      <c r="B9" s="332" t="s">
        <v>96</v>
      </c>
      <c r="C9" s="333" t="s">
        <v>311</v>
      </c>
      <c r="D9" s="334" t="s">
        <v>60</v>
      </c>
      <c r="E9" s="335">
        <f>IFERROR(_xlfn.XLOOKUP(B9,'Starting Pitchers'!$W$6:$W$1400,'Starting Pitchers'!$AA$6:$AA$1400),2.52)</f>
        <v>2.875</v>
      </c>
      <c r="F9" s="336">
        <f>IF(C9="R",_xlfn.XLOOKUP(D10,'Team Batting vs R - Season'!$C$6:$C$35,'Team Batting vs R - Season'!$R$6:$R$35),_xlfn.XLOOKUP(D10,'Team Batting vs L - Season'!$C$6:$C$35,'Team Batting vs L - Season'!$R$6:$R$35))</f>
        <v>1.1717791803615074</v>
      </c>
      <c r="G9" s="338">
        <f t="shared" si="11"/>
        <v>2.7819080350664733</v>
      </c>
      <c r="H9" s="351">
        <f>IFERROR(Game3NegBin!B23,"")</f>
        <v>0.50082020427425145</v>
      </c>
      <c r="I9" s="365">
        <f t="shared" si="12"/>
        <v>-100.32862078204066</v>
      </c>
      <c r="J9" s="337"/>
      <c r="K9" s="337"/>
      <c r="L9" s="337"/>
      <c r="M9" s="337"/>
      <c r="N9" s="337"/>
      <c r="O9" s="337"/>
      <c r="P9" s="337"/>
      <c r="Q9" s="339"/>
      <c r="R9" s="339"/>
      <c r="S9" s="340"/>
      <c r="T9" s="80">
        <f t="shared" si="0"/>
        <v>10</v>
      </c>
      <c r="U9" s="81" t="str">
        <f t="shared" si="1"/>
        <v/>
      </c>
      <c r="V9" s="82">
        <f t="shared" si="2"/>
        <v>0.50082020427425145</v>
      </c>
      <c r="W9" s="1">
        <f>IFERROR((1-(Dashboard!$E$7*0.1)) / (H9 - (Dashboard!$E$7*0.1)), "")</f>
        <v>2.2453957919351715</v>
      </c>
      <c r="Y9" s="83" t="e">
        <f>#REF!</f>
        <v>#REF!</v>
      </c>
      <c r="Z9" s="71" t="str">
        <f ca="1">IFERROR(__xludf.DUMMYFUNCTION("IFERROR(
  INDEX(
    FILTER(
      MLOddsP!$K:$K,
      MLOddsP!$D:$D=""BetOnline.ag"",
      MLOddsP!$L:$L=$AA$4,
      MLOddsP!$I:$I = XLOOKUP(D9, Validations!$E$2:$E$31, Validations!$H$2:$H$31)
    ),
    1
  ),
  """"
)"),"")</f>
        <v/>
      </c>
      <c r="AA9" s="71" t="str">
        <f ca="1">IFERROR(__xludf.DUMMYFUNCTION("IFERROR(
  INDEX(
    FILTER(
      MLOddsP!$K:$K,
      MLOddsP!$D:$D=""BetOnline.ag"",
      MLOddsP!$L:$L=$AB$4,
      MLOddsP!$I:$I = XLOOKUP(D9, Validations!$E$2:$E$31, Validations!$H$2:$H$31)
    ),
    1
  ),
  """"
)"),"")</f>
        <v/>
      </c>
      <c r="AB9" s="71" t="str">
        <f ca="1">IFERROR(__xludf.DUMMYFUNCTION("IFERROR(
  INDEX(
    FILTER(
      MLOddsP!$K:$K,
      MLOddsP!$D:$D=""Pinnacle"",
      MLOddsP!$L:$L=$AC$4,
      MLOddsP!$I:$I = XLOOKUP(D9, Validations!$E$2:$E$31, Validations!$H$2:$H$31)
    ),
    1
  ),
  """"
)"),"")</f>
        <v/>
      </c>
      <c r="AC9" s="71" t="str">
        <f ca="1">IFERROR(__xludf.DUMMYFUNCTION("IFERROR(
  INDEX(
    FILTER(
      MLOddsP!$K:$K,
      MLOddsP!$D:$D=""Pinnacle"",
      MLOddsP!$L:$L=$AD$4,
      MLOddsP!$I:$I = XLOOKUP(D9, Validations!$E$2:$E$31, Validations!$H$2:$H$31)
    ),
    1
  ),
  """"
)"),"")</f>
        <v/>
      </c>
      <c r="AD9" s="71">
        <f t="shared" ca="1" si="3"/>
        <v>0</v>
      </c>
      <c r="AE9" s="71">
        <f t="shared" ca="1" si="4"/>
        <v>0</v>
      </c>
      <c r="AF9" s="84" t="e">
        <f t="shared" ca="1" si="5"/>
        <v>#DIV/0!</v>
      </c>
      <c r="AG9" s="84" t="e">
        <f t="shared" ca="1" si="6"/>
        <v>#DIV/0!</v>
      </c>
      <c r="AH9" s="85">
        <f>Game3Poisson!$F$30+Game3Poisson!$F$32</f>
        <v>0.58763066947721909</v>
      </c>
      <c r="AI9" s="85">
        <f>Game3Poisson!$F$30</f>
        <v>0.41412143835680554</v>
      </c>
      <c r="AJ9" s="86">
        <f t="shared" ca="1" si="7"/>
        <v>10</v>
      </c>
      <c r="AK9" s="86">
        <f t="shared" ca="1" si="8"/>
        <v>10</v>
      </c>
      <c r="AL9" s="71" t="str">
        <f t="shared" ca="1" si="9"/>
        <v>Pinnacle</v>
      </c>
      <c r="AM9" s="71" t="str">
        <f t="shared" ca="1" si="10"/>
        <v>Pinnacle</v>
      </c>
      <c r="AN9" s="1">
        <f>IFERROR((1-(Dashboard!$F$7*0.1)) / (AH9 - (Dashboard!$E$7*0.1)), "")</f>
        <v>1.640585898458083</v>
      </c>
      <c r="AO9" s="1">
        <f>IFERROR((1-(Dashboard!$E$7*0.1)) / (AI9 - (Dashboard!$E$7*0.1)), "")</f>
        <v>2.8651339580894968</v>
      </c>
    </row>
    <row r="10" spans="1:41">
      <c r="A10" s="371">
        <v>3</v>
      </c>
      <c r="B10" s="332" t="s">
        <v>179</v>
      </c>
      <c r="C10" s="333" t="s">
        <v>310</v>
      </c>
      <c r="D10" s="334" t="s">
        <v>93</v>
      </c>
      <c r="E10" s="335">
        <f>IFERROR(_xlfn.XLOOKUP(B10,'Starting Pitchers'!$W$6:$W$1400,'Starting Pitchers'!$AA$6:$AA$1400),2.52)</f>
        <v>3.25</v>
      </c>
      <c r="F10" s="336">
        <f>IF(C10="R",_xlfn.XLOOKUP(D9,'Team Batting vs R - Season'!$C$6:$C$35,'Team Batting vs R - Season'!$R$6:$R$35),_xlfn.XLOOKUP(D9,'Team Batting vs L - Season'!$C$6:$C$35,'Team Batting vs L - Season'!$R$6:$R$35))</f>
        <v>1.0562925457565582</v>
      </c>
      <c r="G10" s="338">
        <f t="shared" si="11"/>
        <v>2.7766069472561337</v>
      </c>
      <c r="H10" s="351">
        <f>IFERROR(Game3NegBin!C23,"")</f>
        <v>0.49917979572574855</v>
      </c>
      <c r="I10" s="365">
        <f t="shared" si="12"/>
        <v>100.32862078204066</v>
      </c>
      <c r="J10" s="337"/>
      <c r="K10" s="337"/>
      <c r="L10" s="337"/>
      <c r="M10" s="337"/>
      <c r="N10" s="337"/>
      <c r="O10" s="337"/>
      <c r="P10" s="337"/>
      <c r="Q10" s="339"/>
      <c r="R10" s="339"/>
      <c r="S10" s="340"/>
      <c r="T10" s="80">
        <f t="shared" si="0"/>
        <v>10</v>
      </c>
      <c r="U10" s="81" t="str">
        <f t="shared" si="1"/>
        <v/>
      </c>
      <c r="V10" s="82">
        <f t="shared" si="2"/>
        <v>0.49917979572574855</v>
      </c>
      <c r="W10" s="1">
        <f>IFERROR((1-(Dashboard!$E$7*0.1)) / (H10 - (Dashboard!$E$7*0.1)), "")</f>
        <v>2.2546231288177059</v>
      </c>
      <c r="Y10" s="83" t="e">
        <f>#REF!</f>
        <v>#REF!</v>
      </c>
      <c r="Z10" s="71" t="str">
        <f ca="1">IFERROR(__xludf.DUMMYFUNCTION("IFERROR(
  INDEX(
    FILTER(
      MLOddsP!$K:$K,
      MLOddsP!$D:$D=""BetOnline.ag"",
      MLOddsP!$L:$L=$AA$4,
      MLOddsP!$I:$I = XLOOKUP(D10, Validations!$E$2:$E$31, Validations!$H$2:$H$31)
    ),
    1
  ),
  """"
)"),"")</f>
        <v/>
      </c>
      <c r="AA10" s="71" t="str">
        <f ca="1">IFERROR(__xludf.DUMMYFUNCTION("IFERROR(
  INDEX(
    FILTER(
      MLOddsP!$K:$K,
      MLOddsP!$D:$D=""BetOnline.ag"",
      MLOddsP!$L:$L=$AB$4,
      MLOddsP!$I:$I = XLOOKUP(D10, Validations!$E$2:$E$31, Validations!$H$2:$H$31)
    ),
    1
  ),
  """"
)"),"")</f>
        <v/>
      </c>
      <c r="AB10" s="71" t="str">
        <f ca="1">IFERROR(__xludf.DUMMYFUNCTION("IFERROR(
  INDEX(
    FILTER(
      MLOddsP!$K:$K,
      MLOddsP!$D:$D=""Pinnacle"",
      MLOddsP!$L:$L=$AC$4,
      MLOddsP!$I:$I = XLOOKUP(D10, Validations!$E$2:$E$31, Validations!$H$2:$H$31)
    ),
    1
  ),
  """"
)"),"")</f>
        <v/>
      </c>
      <c r="AC10" s="71" t="str">
        <f ca="1">IFERROR(__xludf.DUMMYFUNCTION("IFERROR(
  INDEX(
    FILTER(
      MLOddsP!$K:$K,
      MLOddsP!$D:$D=""Pinnacle"",
      MLOddsP!$L:$L=$AD$4,
      MLOddsP!$I:$I = XLOOKUP(D10, Validations!$E$2:$E$31, Validations!$H$2:$H$31)
    ),
    1
  ),
  """"
)"),"")</f>
        <v/>
      </c>
      <c r="AD10" s="71">
        <f t="shared" ca="1" si="3"/>
        <v>0</v>
      </c>
      <c r="AE10" s="71">
        <f t="shared" ca="1" si="4"/>
        <v>0</v>
      </c>
      <c r="AF10" s="84" t="e">
        <f t="shared" ca="1" si="5"/>
        <v>#DIV/0!</v>
      </c>
      <c r="AG10" s="84" t="e">
        <f t="shared" ca="1" si="6"/>
        <v>#DIV/0!</v>
      </c>
      <c r="AH10" s="85">
        <f>Game3Poisson!$F$31+Game3Poisson!$F$32</f>
        <v>0.58587856164319441</v>
      </c>
      <c r="AI10" s="85">
        <f>Game3Poisson!$F$31</f>
        <v>0.41236933052278085</v>
      </c>
      <c r="AJ10" s="86">
        <f t="shared" ca="1" si="7"/>
        <v>10</v>
      </c>
      <c r="AK10" s="86">
        <f t="shared" ca="1" si="8"/>
        <v>10</v>
      </c>
      <c r="AL10" s="71" t="str">
        <f t="shared" ca="1" si="9"/>
        <v>Pinnacle</v>
      </c>
      <c r="AM10" s="71" t="str">
        <f t="shared" ca="1" si="10"/>
        <v>Pinnacle</v>
      </c>
      <c r="AN10" s="1">
        <f>IFERROR((1-(Dashboard!$F$7*0.1)) / (AH10 - (Dashboard!$E$7*0.1)), "")</f>
        <v>1.6465019516285657</v>
      </c>
      <c r="AO10" s="1">
        <f>IFERROR((1-(Dashboard!$E$7*0.1)) / (AI10 - (Dashboard!$E$7*0.1)), "")</f>
        <v>2.8812047536605512</v>
      </c>
    </row>
    <row r="11" spans="1:41">
      <c r="A11" s="369">
        <v>4</v>
      </c>
      <c r="B11" s="342" t="s">
        <v>131</v>
      </c>
      <c r="C11" s="343" t="s">
        <v>310</v>
      </c>
      <c r="D11" s="344" t="s">
        <v>132</v>
      </c>
      <c r="E11" s="335">
        <f>IFERROR(_xlfn.XLOOKUP(B11,'Starting Pitchers'!$W$6:$W$1400,'Starting Pitchers'!$AA$6:$AA$1400),2.52)</f>
        <v>2.375</v>
      </c>
      <c r="F11" s="428">
        <f>IF(C11="R",_xlfn.XLOOKUP(D12,'Team Batting vs R - Season'!$C$6:$C$35,'Team Batting vs R - Season'!$R$6:$R$35),_xlfn.XLOOKUP(D12,'Team Batting vs L - Season'!$C$6:$C$35,'Team Batting vs L - Season'!$R$6:$R$35))</f>
        <v>0.96772035837735848</v>
      </c>
      <c r="G11" s="429">
        <f t="shared" si="11"/>
        <v>1.826642062696648</v>
      </c>
      <c r="H11" s="352">
        <f>IFERROR(Game4NegBin!B23,"")</f>
        <v>0.66486562650903946</v>
      </c>
      <c r="I11" s="366">
        <f t="shared" si="12"/>
        <v>-198.38777490455561</v>
      </c>
      <c r="J11" s="345"/>
      <c r="K11" s="345"/>
      <c r="L11" s="345"/>
      <c r="M11" s="345"/>
      <c r="N11" s="345"/>
      <c r="O11" s="345"/>
      <c r="P11" s="345"/>
      <c r="Q11" s="346"/>
      <c r="R11" s="346"/>
      <c r="S11" s="347"/>
      <c r="T11" s="80">
        <f t="shared" si="0"/>
        <v>10</v>
      </c>
      <c r="U11" s="81" t="str">
        <f t="shared" si="1"/>
        <v/>
      </c>
      <c r="V11" s="82">
        <f t="shared" si="2"/>
        <v>0.66486562650903946</v>
      </c>
      <c r="W11" s="1">
        <f>IFERROR((1-(Dashboard!$E$7*0.1)) / (H11 - (Dashboard!$E$7*0.1)), "")</f>
        <v>1.5932992870572509</v>
      </c>
      <c r="Y11" s="83" t="e">
        <f>#REF!</f>
        <v>#REF!</v>
      </c>
      <c r="Z11" s="71" t="str">
        <f ca="1">IFERROR(__xludf.DUMMYFUNCTION("IFERROR(
  INDEX(
    FILTER(
      MLOddsP!$K:$K,
      MLOddsP!$D:$D=""BetOnline.ag"",
      MLOddsP!$L:$L=$AA$4,
      MLOddsP!$I:$I = XLOOKUP(D11, Validations!$E$2:$E$31, Validations!$H$2:$H$31)
    ),
    1
  ),
  """"
)"),"")</f>
        <v/>
      </c>
      <c r="AA11" s="71" t="str">
        <f ca="1">IFERROR(__xludf.DUMMYFUNCTION("IFERROR(
  INDEX(
    FILTER(
      MLOddsP!$K:$K,
      MLOddsP!$D:$D=""BetOnline.ag"",
      MLOddsP!$L:$L=$AB$4,
      MLOddsP!$I:$I = XLOOKUP(D11, Validations!$E$2:$E$31, Validations!$H$2:$H$31)
    ),
    1
  ),
  """"
)"),"")</f>
        <v/>
      </c>
      <c r="AB11" s="71" t="str">
        <f ca="1">IFERROR(__xludf.DUMMYFUNCTION("IFERROR(
  INDEX(
    FILTER(
      MLOddsP!$K:$K,
      MLOddsP!$D:$D=""Pinnacle"",
      MLOddsP!$L:$L=$AC$4,
      MLOddsP!$I:$I = XLOOKUP(D11, Validations!$E$2:$E$31, Validations!$H$2:$H$31)
    ),
    1
  ),
  """"
)"),"")</f>
        <v/>
      </c>
      <c r="AC11" s="71" t="str">
        <f ca="1">IFERROR(__xludf.DUMMYFUNCTION("IFERROR(
  INDEX(
    FILTER(
      MLOddsP!$K:$K,
      MLOddsP!$D:$D=""Pinnacle"",
      MLOddsP!$L:$L=$AD$4,
      MLOddsP!$I:$I = XLOOKUP(D11, Validations!$E$2:$E$31, Validations!$H$2:$H$31)
    ),
    1
  ),
  """"
)"),"")</f>
        <v/>
      </c>
      <c r="AD11" s="71">
        <f t="shared" ca="1" si="3"/>
        <v>0</v>
      </c>
      <c r="AE11" s="71">
        <f t="shared" ca="1" si="4"/>
        <v>0</v>
      </c>
      <c r="AF11" s="84" t="e">
        <f t="shared" ca="1" si="5"/>
        <v>#DIV/0!</v>
      </c>
      <c r="AG11" s="84" t="e">
        <f t="shared" ca="1" si="6"/>
        <v>#DIV/0!</v>
      </c>
      <c r="AH11" s="85">
        <f>Game4Poisson!$F$30+Game4Poisson!$F$32</f>
        <v>0.76239149341748513</v>
      </c>
      <c r="AI11" s="85">
        <f>Game4Poisson!$F$30</f>
        <v>0.53316403758019726</v>
      </c>
      <c r="AJ11" s="86">
        <f t="shared" ca="1" si="7"/>
        <v>10</v>
      </c>
      <c r="AK11" s="86">
        <f t="shared" ca="1" si="8"/>
        <v>10</v>
      </c>
      <c r="AL11" s="71" t="str">
        <f t="shared" ca="1" si="9"/>
        <v>Pinnacle</v>
      </c>
      <c r="AM11" s="71" t="str">
        <f t="shared" ca="1" si="10"/>
        <v>Pinnacle</v>
      </c>
      <c r="AN11" s="1">
        <f>IFERROR((1-(Dashboard!$F$7*0.1)) / (AH11 - (Dashboard!$E$7*0.1)), "")</f>
        <v>1.2077449785361063</v>
      </c>
      <c r="AO11" s="1">
        <f>IFERROR((1-(Dashboard!$E$7*0.1)) / (AI11 - (Dashboard!$E$7*0.1)), "")</f>
        <v>2.0777348115686345</v>
      </c>
    </row>
    <row r="12" spans="1:41">
      <c r="A12" s="368">
        <v>4</v>
      </c>
      <c r="B12" s="342" t="s">
        <v>227</v>
      </c>
      <c r="C12" s="343" t="s">
        <v>310</v>
      </c>
      <c r="D12" s="344" t="s">
        <v>72</v>
      </c>
      <c r="E12" s="335">
        <f>IFERROR(_xlfn.XLOOKUP(B12,'Starting Pitchers'!$W$6:$W$1400,'Starting Pitchers'!$AA$6:$AA$1400),2.52)</f>
        <v>1.5</v>
      </c>
      <c r="F12" s="428">
        <f>IF(C12="R",_xlfn.XLOOKUP(D11,'Team Batting vs R - Season'!$C$6:$C$35,'Team Batting vs R - Season'!$R$6:$R$35),_xlfn.XLOOKUP(D11,'Team Batting vs L - Season'!$C$6:$C$35,'Team Batting vs L - Season'!$R$6:$R$35))</f>
        <v>0.96181554588541152</v>
      </c>
      <c r="G12" s="429">
        <f t="shared" si="11"/>
        <v>1.145226521098774</v>
      </c>
      <c r="H12" s="352">
        <f>IFERROR(Game4NegBin!C23,"")</f>
        <v>0.33513437349096048</v>
      </c>
      <c r="I12" s="366">
        <f t="shared" si="12"/>
        <v>198.38777490455567</v>
      </c>
      <c r="J12" s="345"/>
      <c r="K12" s="345"/>
      <c r="L12" s="345"/>
      <c r="M12" s="345"/>
      <c r="N12" s="345"/>
      <c r="O12" s="345"/>
      <c r="P12" s="345"/>
      <c r="Q12" s="346"/>
      <c r="R12" s="346"/>
      <c r="S12" s="347"/>
      <c r="T12" s="80">
        <f t="shared" si="0"/>
        <v>10</v>
      </c>
      <c r="U12" s="81" t="str">
        <f t="shared" si="1"/>
        <v/>
      </c>
      <c r="V12" s="82">
        <f t="shared" si="2"/>
        <v>0.33513437349096048</v>
      </c>
      <c r="W12" s="1">
        <f>IFERROR((1-(Dashboard!$E$7*0.1)) / (H12 - (Dashboard!$E$7*0.1)), "")</f>
        <v>3.8275986051635265</v>
      </c>
      <c r="Y12" s="83" t="e">
        <f>#REF!</f>
        <v>#REF!</v>
      </c>
      <c r="Z12" s="71" t="str">
        <f ca="1">IFERROR(__xludf.DUMMYFUNCTION("IFERROR(
  INDEX(
    FILTER(
      MLOddsP!$K:$K,
      MLOddsP!$D:$D=""BetOnline.ag"",
      MLOddsP!$L:$L=$AA$4,
      MLOddsP!$I:$I = XLOOKUP(D12, Validations!$E$2:$E$31, Validations!$H$2:$H$31)
    ),
    1
  ),
  """"
)"),"")</f>
        <v/>
      </c>
      <c r="AA12" s="71" t="str">
        <f ca="1">IFERROR(__xludf.DUMMYFUNCTION("IFERROR(
  INDEX(
    FILTER(
      MLOddsP!$K:$K,
      MLOddsP!$D:$D=""BetOnline.ag"",
      MLOddsP!$L:$L=$AB$4,
      MLOddsP!$I:$I = XLOOKUP(D12, Validations!$E$2:$E$31, Validations!$H$2:$H$31)
    ),
    1
  ),
  """"
)"),"")</f>
        <v/>
      </c>
      <c r="AB12" s="71" t="str">
        <f ca="1">IFERROR(__xludf.DUMMYFUNCTION("IFERROR(
  INDEX(
    FILTER(
      MLOddsP!$K:$K,
      MLOddsP!$D:$D=""Pinnacle"",
      MLOddsP!$L:$L=$AC$4,
      MLOddsP!$I:$I = XLOOKUP(D12, Validations!$E$2:$E$31, Validations!$H$2:$H$31)
    ),
    1
  ),
  """"
)"),"")</f>
        <v/>
      </c>
      <c r="AC12" s="71" t="str">
        <f ca="1">IFERROR(__xludf.DUMMYFUNCTION("IFERROR(
  INDEX(
    FILTER(
      MLOddsP!$K:$K,
      MLOddsP!$D:$D=""Pinnacle"",
      MLOddsP!$L:$L=$AD$4,
      MLOddsP!$I:$I = XLOOKUP(D12, Validations!$E$2:$E$31, Validations!$H$2:$H$31)
    ),
    1
  ),
  """"
)"),"")</f>
        <v/>
      </c>
      <c r="AD12" s="71">
        <f t="shared" ca="1" si="3"/>
        <v>0</v>
      </c>
      <c r="AE12" s="71">
        <f t="shared" ca="1" si="4"/>
        <v>0</v>
      </c>
      <c r="AF12" s="84" t="e">
        <f t="shared" ca="1" si="5"/>
        <v>#DIV/0!</v>
      </c>
      <c r="AG12" s="84" t="e">
        <f t="shared" ca="1" si="6"/>
        <v>#DIV/0!</v>
      </c>
      <c r="AH12" s="85">
        <f>Game4Poisson!$F$31+Game4Poisson!$F$32</f>
        <v>0.46683596241980274</v>
      </c>
      <c r="AI12" s="85">
        <f>Game4Poisson!$F$31</f>
        <v>0.23760850658251487</v>
      </c>
      <c r="AJ12" s="86">
        <f t="shared" ca="1" si="7"/>
        <v>10</v>
      </c>
      <c r="AK12" s="86">
        <f t="shared" ca="1" si="8"/>
        <v>10</v>
      </c>
      <c r="AL12" s="71" t="str">
        <f t="shared" ca="1" si="9"/>
        <v>Pinnacle</v>
      </c>
      <c r="AM12" s="71" t="str">
        <f t="shared" ca="1" si="10"/>
        <v>Pinnacle</v>
      </c>
      <c r="AN12" s="1">
        <f>IFERROR((1-(Dashboard!$F$7*0.1)) / (AH12 - (Dashboard!$E$7*0.1)), "")</f>
        <v>2.1808112670384521</v>
      </c>
      <c r="AO12" s="1">
        <f>IFERROR((1-(Dashboard!$E$7*0.1)) / (AI12 - (Dashboard!$E$7*0.1)), "")</f>
        <v>6.5402933463297828</v>
      </c>
    </row>
    <row r="13" spans="1:41">
      <c r="A13" s="367">
        <v>5</v>
      </c>
      <c r="B13" s="332" t="s">
        <v>205</v>
      </c>
      <c r="C13" s="333" t="s">
        <v>310</v>
      </c>
      <c r="D13" s="334" t="s">
        <v>86</v>
      </c>
      <c r="E13" s="335">
        <f>IFERROR(_xlfn.XLOOKUP(B13,'Starting Pitchers'!$W$6:$W$1400,'Starting Pitchers'!$AA$6:$AA$1400),2.52)</f>
        <v>1.75</v>
      </c>
      <c r="F13" s="336">
        <f>IF(C13="R",_xlfn.XLOOKUP(D14,'Team Batting vs R - Season'!$C$6:$C$35,'Team Batting vs R - Season'!$R$6:$R$35),_xlfn.XLOOKUP(D14,'Team Batting vs L - Season'!$C$6:$C$35,'Team Batting vs L - Season'!$R$6:$R$35))</f>
        <v>1.0858166082162917</v>
      </c>
      <c r="G13" s="338">
        <f t="shared" si="11"/>
        <v>1.545381866307149</v>
      </c>
      <c r="H13" s="351">
        <f>IFERROR(Game5NegBin!B23,"")</f>
        <v>0.19615724833609169</v>
      </c>
      <c r="I13" s="365">
        <f t="shared" si="12"/>
        <v>409.79507944902502</v>
      </c>
      <c r="J13" s="337"/>
      <c r="K13" s="337"/>
      <c r="L13" s="337"/>
      <c r="M13" s="337"/>
      <c r="N13" s="337"/>
      <c r="O13" s="337"/>
      <c r="P13" s="337"/>
      <c r="Q13" s="339"/>
      <c r="R13" s="339"/>
      <c r="S13" s="340"/>
      <c r="T13" s="80">
        <f t="shared" si="0"/>
        <v>10</v>
      </c>
      <c r="U13" s="81" t="str">
        <f t="shared" si="1"/>
        <v/>
      </c>
      <c r="V13" s="82">
        <f t="shared" si="2"/>
        <v>0.19615724833609169</v>
      </c>
      <c r="W13" s="1">
        <f>IFERROR((1-(Dashboard!$E$7*0.1)) / (H13 - (Dashboard!$E$7*0.1)), "")</f>
        <v>9.3596688296891895</v>
      </c>
      <c r="Y13" s="83" t="e">
        <f>#REF!</f>
        <v>#REF!</v>
      </c>
      <c r="Z13" s="71" t="str">
        <f ca="1">IFERROR(__xludf.DUMMYFUNCTION("IFERROR(
  INDEX(
    FILTER(
      MLOddsP!$K:$K,
      MLOddsP!$D:$D=""BetOnline.ag"",
      MLOddsP!$L:$L=$AA$4,
      MLOddsP!$I:$I = XLOOKUP(D13, Validations!$E$2:$E$31, Validations!$H$2:$H$31)
    ),
    1
  ),
  """"
)"),"")</f>
        <v/>
      </c>
      <c r="AA13" s="71" t="str">
        <f ca="1">IFERROR(__xludf.DUMMYFUNCTION("IFERROR(
  INDEX(
    FILTER(
      MLOddsP!$K:$K,
      MLOddsP!$D:$D=""BetOnline.ag"",
      MLOddsP!$L:$L=$AB$4,
      MLOddsP!$I:$I = XLOOKUP(D13, Validations!$E$2:$E$31, Validations!$H$2:$H$31)
    ),
    1
  ),
  """"
)"),"")</f>
        <v/>
      </c>
      <c r="AB13" s="71" t="str">
        <f ca="1">IFERROR(__xludf.DUMMYFUNCTION("IFERROR(
  INDEX(
    FILTER(
      MLOddsP!$K:$K,
      MLOddsP!$D:$D=""Pinnacle"",
      MLOddsP!$L:$L=$AC$4,
      MLOddsP!$I:$I = XLOOKUP(D13, Validations!$E$2:$E$31, Validations!$H$2:$H$31)
    ),
    1
  ),
  """"
)"),"")</f>
        <v/>
      </c>
      <c r="AC13" s="71" t="str">
        <f ca="1">IFERROR(__xludf.DUMMYFUNCTION("IFERROR(
  INDEX(
    FILTER(
      MLOddsP!$K:$K,
      MLOddsP!$D:$D=""Pinnacle"",
      MLOddsP!$L:$L=$AD$4,
      MLOddsP!$I:$I = XLOOKUP(D13, Validations!$E$2:$E$31, Validations!$H$2:$H$31)
    ),
    1
  ),
  """"
)"),"")</f>
        <v/>
      </c>
      <c r="AD13" s="71">
        <f t="shared" ca="1" si="3"/>
        <v>0</v>
      </c>
      <c r="AE13" s="71">
        <f t="shared" ca="1" si="4"/>
        <v>0</v>
      </c>
      <c r="AF13" s="84" t="e">
        <f t="shared" ca="1" si="5"/>
        <v>#DIV/0!</v>
      </c>
      <c r="AG13" s="84" t="e">
        <f t="shared" ca="1" si="6"/>
        <v>#DIV/0!</v>
      </c>
      <c r="AH13" s="85">
        <f>Game5Poisson!$F$30+Game5Poisson!$F$32</f>
        <v>0.24754946428825342</v>
      </c>
      <c r="AI13" s="85">
        <f>Game5Poisson!$F$30</f>
        <v>0.12337602979847266</v>
      </c>
      <c r="AJ13" s="86">
        <f t="shared" ca="1" si="7"/>
        <v>10</v>
      </c>
      <c r="AK13" s="86">
        <f t="shared" ca="1" si="8"/>
        <v>10</v>
      </c>
      <c r="AL13" s="71" t="str">
        <f t="shared" ca="1" si="9"/>
        <v>Pinnacle</v>
      </c>
      <c r="AM13" s="71" t="str">
        <f t="shared" ca="1" si="10"/>
        <v>Pinnacle</v>
      </c>
      <c r="AN13" s="1">
        <f>IFERROR((1-(Dashboard!$F$7*0.1)) / (AH13 - (Dashboard!$E$7*0.1)), "")</f>
        <v>5.4219105698487375</v>
      </c>
      <c r="AO13" s="1">
        <f>IFERROR((1-(Dashboard!$E$7*0.1)) / (AI13 - (Dashboard!$E$7*0.1)), "")</f>
        <v>38.500977615061231</v>
      </c>
    </row>
    <row r="14" spans="1:41">
      <c r="A14" s="371">
        <v>5</v>
      </c>
      <c r="B14" s="332" t="s">
        <v>182</v>
      </c>
      <c r="C14" s="333" t="s">
        <v>310</v>
      </c>
      <c r="D14" s="334" t="s">
        <v>68</v>
      </c>
      <c r="E14" s="335">
        <f>IFERROR(_xlfn.XLOOKUP(B14,'Starting Pitchers'!$W$6:$W$1400,'Starting Pitchers'!$AA$6:$AA$1400),2.52)</f>
        <v>4.875</v>
      </c>
      <c r="F14" s="336">
        <f>IF(C14="R",_xlfn.XLOOKUP(D13,'Team Batting vs R - Season'!$C$6:$C$35,'Team Batting vs R - Season'!$R$6:$R$35),_xlfn.XLOOKUP(D13,'Team Batting vs L - Season'!$C$6:$C$35,'Team Batting vs L - Season'!$R$6:$R$35))</f>
        <v>0.93229148342567847</v>
      </c>
      <c r="G14" s="338">
        <f t="shared" si="11"/>
        <v>3.585309627595878</v>
      </c>
      <c r="H14" s="351">
        <f>IFERROR(Game5NegBin!C23,"")</f>
        <v>0.80384275166390839</v>
      </c>
      <c r="I14" s="365">
        <f t="shared" si="12"/>
        <v>-409.79507944902531</v>
      </c>
      <c r="J14" s="337"/>
      <c r="K14" s="337"/>
      <c r="L14" s="337"/>
      <c r="M14" s="337"/>
      <c r="N14" s="337"/>
      <c r="O14" s="337"/>
      <c r="P14" s="337"/>
      <c r="Q14" s="339"/>
      <c r="R14" s="339"/>
      <c r="S14" s="340"/>
      <c r="T14" s="80">
        <f t="shared" si="0"/>
        <v>10</v>
      </c>
      <c r="U14" s="81" t="str">
        <f t="shared" si="1"/>
        <v/>
      </c>
      <c r="V14" s="82">
        <f t="shared" si="2"/>
        <v>0.80384275166390839</v>
      </c>
      <c r="W14" s="1">
        <f>IFERROR((1-(Dashboard!$E$7*0.1)) / (H14 - (Dashboard!$E$7*0.1)), "")</f>
        <v>1.2786947054187447</v>
      </c>
      <c r="Y14" s="83" t="e">
        <f>#REF!</f>
        <v>#REF!</v>
      </c>
      <c r="Z14" s="71" t="str">
        <f ca="1">IFERROR(__xludf.DUMMYFUNCTION("IFERROR(
  INDEX(
    FILTER(
      MLOddsP!$K:$K,
      MLOddsP!$D:$D=""BetOnline.ag"",
      MLOddsP!$L:$L=$AA$4,
      MLOddsP!$I:$I = XLOOKUP(D14, Validations!$E$2:$E$31, Validations!$H$2:$H$31)
    ),
    1
  ),
  """"
)"),"")</f>
        <v/>
      </c>
      <c r="AA14" s="71" t="str">
        <f ca="1">IFERROR(__xludf.DUMMYFUNCTION("IFERROR(
  INDEX(
    FILTER(
      MLOddsP!$K:$K,
      MLOddsP!$D:$D=""BetOnline.ag"",
      MLOddsP!$L:$L=$AB$4,
      MLOddsP!$I:$I = XLOOKUP(D14, Validations!$E$2:$E$31, Validations!$H$2:$H$31)
    ),
    1
  ),
  """"
)"),"")</f>
        <v/>
      </c>
      <c r="AB14" s="71" t="str">
        <f ca="1">IFERROR(__xludf.DUMMYFUNCTION("IFERROR(
  INDEX(
    FILTER(
      MLOddsP!$K:$K,
      MLOddsP!$D:$D=""Pinnacle"",
      MLOddsP!$L:$L=$AC$4,
      MLOddsP!$I:$I = XLOOKUP(D14, Validations!$E$2:$E$31, Validations!$H$2:$H$31)
    ),
    1
  ),
  """"
)"),"")</f>
        <v/>
      </c>
      <c r="AC14" s="71" t="str">
        <f ca="1">IFERROR(__xludf.DUMMYFUNCTION("IFERROR(
  INDEX(
    FILTER(
      MLOddsP!$K:$K,
      MLOddsP!$D:$D=""Pinnacle"",
      MLOddsP!$L:$L=$AD$4,
      MLOddsP!$I:$I = XLOOKUP(D14, Validations!$E$2:$E$31, Validations!$H$2:$H$31)
    ),
    1
  ),
  """"
)"),"")</f>
        <v/>
      </c>
      <c r="AD14" s="71">
        <f t="shared" ca="1" si="3"/>
        <v>0</v>
      </c>
      <c r="AE14" s="71">
        <f t="shared" ca="1" si="4"/>
        <v>0</v>
      </c>
      <c r="AF14" s="84" t="e">
        <f t="shared" ca="1" si="5"/>
        <v>#DIV/0!</v>
      </c>
      <c r="AG14" s="84" t="e">
        <f t="shared" ca="1" si="6"/>
        <v>#DIV/0!</v>
      </c>
      <c r="AH14" s="85">
        <f>Game5Poisson!$F$31+Game5Poisson!$F$32</f>
        <v>0.87662397020152738</v>
      </c>
      <c r="AI14" s="85">
        <f>Game5Poisson!$F$31</f>
        <v>0.75245053571174658</v>
      </c>
      <c r="AJ14" s="86">
        <f t="shared" ca="1" si="7"/>
        <v>10</v>
      </c>
      <c r="AK14" s="86">
        <f t="shared" ca="1" si="8"/>
        <v>10</v>
      </c>
      <c r="AL14" s="71" t="str">
        <f t="shared" ca="1" si="9"/>
        <v>Pinnacle</v>
      </c>
      <c r="AM14" s="71" t="str">
        <f t="shared" ca="1" si="10"/>
        <v>Pinnacle</v>
      </c>
      <c r="AN14" s="1">
        <f>IFERROR((1-(Dashboard!$F$7*0.1)) / (AH14 - (Dashboard!$E$7*0.1)), "")</f>
        <v>1.0300995471365721</v>
      </c>
      <c r="AO14" s="1">
        <f>IFERROR((1-(Dashboard!$E$7*0.1)) / (AI14 - (Dashboard!$E$7*0.1)), "")</f>
        <v>1.3794149146007002</v>
      </c>
    </row>
    <row r="15" spans="1:41">
      <c r="A15" s="369">
        <v>6</v>
      </c>
      <c r="B15" s="342" t="s">
        <v>202</v>
      </c>
      <c r="C15" s="343" t="s">
        <v>310</v>
      </c>
      <c r="D15" s="344" t="s">
        <v>51</v>
      </c>
      <c r="E15" s="335">
        <f>IFERROR(_xlfn.XLOOKUP(B15,'Starting Pitchers'!$W$6:$W$1400,'Starting Pitchers'!$AA$6:$AA$1400),2.52)</f>
        <v>3.5</v>
      </c>
      <c r="F15" s="428">
        <f>IF(C15="R",_xlfn.XLOOKUP(D16,'Team Batting vs R - Season'!$C$6:$C$35,'Team Batting vs R - Season'!$R$6:$R$35),_xlfn.XLOOKUP(D16,'Team Batting vs L - Season'!$C$6:$C$35,'Team Batting vs L - Season'!$R$6:$R$35))</f>
        <v>0.99724442083709153</v>
      </c>
      <c r="G15" s="429">
        <f t="shared" si="11"/>
        <v>2.7907438072104722</v>
      </c>
      <c r="H15" s="352">
        <f>IFERROR(Game6NegBin!B23,"")</f>
        <v>0.6149264665223495</v>
      </c>
      <c r="I15" s="366">
        <f t="shared" si="12"/>
        <v>-159.6906598510852</v>
      </c>
      <c r="J15" s="345"/>
      <c r="K15" s="345"/>
      <c r="L15" s="345"/>
      <c r="M15" s="345"/>
      <c r="N15" s="345"/>
      <c r="O15" s="345"/>
      <c r="P15" s="345"/>
      <c r="Q15" s="346"/>
      <c r="R15" s="346"/>
      <c r="S15" s="347"/>
      <c r="T15" s="80">
        <f t="shared" si="0"/>
        <v>10</v>
      </c>
      <c r="U15" s="81" t="str">
        <f t="shared" si="1"/>
        <v/>
      </c>
      <c r="V15" s="82">
        <f t="shared" si="2"/>
        <v>0.6149264665223495</v>
      </c>
      <c r="W15" s="1">
        <f>IFERROR((1-(Dashboard!$E$7*0.1)) / (H15 - (Dashboard!$E$7*0.1)), "")</f>
        <v>1.7478223756458187</v>
      </c>
      <c r="Y15" s="83" t="e">
        <f>#REF!</f>
        <v>#REF!</v>
      </c>
      <c r="Z15" s="71" t="str">
        <f ca="1">IFERROR(__xludf.DUMMYFUNCTION("IFERROR(
  INDEX(
    FILTER(
      MLOddsP!$K:$K,
      MLOddsP!$D:$D=""BetOnline.ag"",
      MLOddsP!$L:$L=$AA$4,
      MLOddsP!$I:$I = XLOOKUP(D15, Validations!$E$2:$E$31, Validations!$H$2:$H$31)
    ),
    1
  ),
  """"
)"),"")</f>
        <v/>
      </c>
      <c r="AA15" s="71" t="str">
        <f ca="1">IFERROR(__xludf.DUMMYFUNCTION("IFERROR(
  INDEX(
    FILTER(
      MLOddsP!$K:$K,
      MLOddsP!$D:$D=""BetOnline.ag"",
      MLOddsP!$L:$L=$AB$4,
      MLOddsP!$I:$I = XLOOKUP(D15, Validations!$E$2:$E$31, Validations!$H$2:$H$31)
    ),
    1
  ),
  """"
)"),"")</f>
        <v/>
      </c>
      <c r="AB15" s="71" t="str">
        <f ca="1">IFERROR(__xludf.DUMMYFUNCTION("IFERROR(
  INDEX(
    FILTER(
      MLOddsP!$K:$K,
      MLOddsP!$D:$D=""Pinnacle"",
      MLOddsP!$L:$L=$AC$4,
      MLOddsP!$I:$I = XLOOKUP(D15, Validations!$E$2:$E$31, Validations!$H$2:$H$31)
    ),
    1
  ),
  """"
)"),"")</f>
        <v/>
      </c>
      <c r="AC15" s="71" t="str">
        <f ca="1">IFERROR(__xludf.DUMMYFUNCTION("IFERROR(
  INDEX(
    FILTER(
      MLOddsP!$K:$K,
      MLOddsP!$D:$D=""Pinnacle"",
      MLOddsP!$L:$L=$AD$4,
      MLOddsP!$I:$I = XLOOKUP(D15, Validations!$E$2:$E$31, Validations!$H$2:$H$31)
    ),
    1
  ),
  """"
)"),"")</f>
        <v/>
      </c>
      <c r="AD15" s="71">
        <f t="shared" ca="1" si="3"/>
        <v>0</v>
      </c>
      <c r="AE15" s="71">
        <f t="shared" ca="1" si="4"/>
        <v>0</v>
      </c>
      <c r="AF15" s="84" t="e">
        <f t="shared" ca="1" si="5"/>
        <v>#DIV/0!</v>
      </c>
      <c r="AG15" s="84" t="e">
        <f t="shared" ca="1" si="6"/>
        <v>#DIV/0!</v>
      </c>
      <c r="AH15" s="85">
        <f>Game6Poisson!$F$30+Game6Poisson!$F$32</f>
        <v>0.7073094894578329</v>
      </c>
      <c r="AI15" s="85">
        <f>Game6Poisson!$F$30</f>
        <v>0.5294907488709264</v>
      </c>
      <c r="AJ15" s="86">
        <f t="shared" ca="1" si="7"/>
        <v>10</v>
      </c>
      <c r="AK15" s="86">
        <f t="shared" ca="1" si="8"/>
        <v>10</v>
      </c>
      <c r="AL15" s="71" t="str">
        <f t="shared" ca="1" si="9"/>
        <v>Pinnacle</v>
      </c>
      <c r="AM15" s="71" t="str">
        <f t="shared" ca="1" si="10"/>
        <v>Pinnacle</v>
      </c>
      <c r="AN15" s="1">
        <f>IFERROR((1-(Dashboard!$F$7*0.1)) / (AH15 - (Dashboard!$E$7*0.1)), "")</f>
        <v>1.3172855255632328</v>
      </c>
      <c r="AO15" s="1">
        <f>IFERROR((1-(Dashboard!$E$7*0.1)) / (AI15 - (Dashboard!$E$7*0.1)), "")</f>
        <v>2.0955049727287012</v>
      </c>
    </row>
    <row r="16" spans="1:41">
      <c r="A16" s="368">
        <v>6</v>
      </c>
      <c r="B16" s="342" t="s">
        <v>186</v>
      </c>
      <c r="C16" s="343" t="s">
        <v>310</v>
      </c>
      <c r="D16" s="344" t="s">
        <v>108</v>
      </c>
      <c r="E16" s="335">
        <f>IFERROR(_xlfn.XLOOKUP(B16,'Starting Pitchers'!$W$6:$W$1400,'Starting Pitchers'!$AA$6:$AA$1400),2.52)</f>
        <v>2.5</v>
      </c>
      <c r="F16" s="428">
        <f>IF(C16="R",_xlfn.XLOOKUP(D15,'Team Batting vs R - Season'!$C$6:$C$35,'Team Batting vs R - Season'!$R$6:$R$35),_xlfn.XLOOKUP(D15,'Team Batting vs L - Season'!$C$6:$C$35,'Team Batting vs L - Season'!$R$6:$R$35))</f>
        <v>1.0444829207726651</v>
      </c>
      <c r="G16" s="429">
        <f t="shared" si="11"/>
        <v>2.1072283818818565</v>
      </c>
      <c r="H16" s="352">
        <f>IFERROR(Game6NegBin!C23,"")</f>
        <v>0.38507353347765055</v>
      </c>
      <c r="I16" s="366">
        <f t="shared" si="12"/>
        <v>159.69065985108517</v>
      </c>
      <c r="J16" s="345"/>
      <c r="K16" s="345"/>
      <c r="L16" s="345"/>
      <c r="M16" s="345"/>
      <c r="N16" s="345"/>
      <c r="O16" s="345"/>
      <c r="P16" s="345"/>
      <c r="Q16" s="346"/>
      <c r="R16" s="346"/>
      <c r="S16" s="347"/>
      <c r="T16" s="80">
        <f t="shared" si="0"/>
        <v>10</v>
      </c>
      <c r="U16" s="81" t="str">
        <f t="shared" si="1"/>
        <v/>
      </c>
      <c r="V16" s="82">
        <f t="shared" si="2"/>
        <v>0.38507353347765055</v>
      </c>
      <c r="W16" s="1">
        <f>IFERROR((1-(Dashboard!$E$7*0.1)) / (H16 - (Dashboard!$E$7*0.1)), "")</f>
        <v>3.1570801716342394</v>
      </c>
      <c r="Y16" s="83" t="e">
        <f>#REF!</f>
        <v>#REF!</v>
      </c>
      <c r="Z16" s="71" t="str">
        <f ca="1">IFERROR(__xludf.DUMMYFUNCTION("IFERROR(
  INDEX(
    FILTER(
      MLOddsP!$K:$K,
      MLOddsP!$D:$D=""BetOnline.ag"",
      MLOddsP!$L:$L=$AA$4,
      MLOddsP!$I:$I = XLOOKUP(D16, Validations!$E$2:$E$31, Validations!$H$2:$H$31)
    ),
    1
  ),
  """"
)"),"")</f>
        <v/>
      </c>
      <c r="AA16" s="71" t="str">
        <f ca="1">IFERROR(__xludf.DUMMYFUNCTION("IFERROR(
  INDEX(
    FILTER(
      MLOddsP!$K:$K,
      MLOddsP!$D:$D=""BetOnline.ag"",
      MLOddsP!$L:$L=$AB$4,
      MLOddsP!$I:$I = XLOOKUP(D16, Validations!$E$2:$E$31, Validations!$H$2:$H$31)
    ),
    1
  ),
  """"
)"),"")</f>
        <v/>
      </c>
      <c r="AB16" s="71" t="str">
        <f ca="1">IFERROR(__xludf.DUMMYFUNCTION("IFERROR(
  INDEX(
    FILTER(
      MLOddsP!$K:$K,
      MLOddsP!$D:$D=""Pinnacle"",
      MLOddsP!$L:$L=$AC$4,
      MLOddsP!$I:$I = XLOOKUP(D16, Validations!$E$2:$E$31, Validations!$H$2:$H$31)
    ),
    1
  ),
  """"
)"),"")</f>
        <v/>
      </c>
      <c r="AC16" s="71" t="str">
        <f ca="1">IFERROR(__xludf.DUMMYFUNCTION("IFERROR(
  INDEX(
    FILTER(
      MLOddsP!$K:$K,
      MLOddsP!$D:$D=""Pinnacle"",
      MLOddsP!$L:$L=$AD$4,
      MLOddsP!$I:$I = XLOOKUP(D16, Validations!$E$2:$E$31, Validations!$H$2:$H$31)
    ),
    1
  ),
  """"
)"),"")</f>
        <v/>
      </c>
      <c r="AD16" s="71">
        <f t="shared" ca="1" si="3"/>
        <v>0</v>
      </c>
      <c r="AE16" s="71">
        <f t="shared" ca="1" si="4"/>
        <v>0</v>
      </c>
      <c r="AF16" s="84" t="e">
        <f t="shared" ca="1" si="5"/>
        <v>#DIV/0!</v>
      </c>
      <c r="AG16" s="84" t="e">
        <f t="shared" ca="1" si="6"/>
        <v>#DIV/0!</v>
      </c>
      <c r="AH16" s="85">
        <f>Game6Poisson!$F$31+Game6Poisson!$F$32</f>
        <v>0.4705092511290736</v>
      </c>
      <c r="AI16" s="85">
        <f>Game6Poisson!$F$31</f>
        <v>0.2926905105421671</v>
      </c>
      <c r="AJ16" s="86">
        <f t="shared" ca="1" si="7"/>
        <v>10</v>
      </c>
      <c r="AK16" s="86">
        <f t="shared" ca="1" si="8"/>
        <v>10</v>
      </c>
      <c r="AL16" s="71" t="str">
        <f t="shared" ca="1" si="9"/>
        <v>Pinnacle</v>
      </c>
      <c r="AM16" s="71" t="str">
        <f t="shared" ca="1" si="10"/>
        <v>Pinnacle</v>
      </c>
      <c r="AN16" s="1">
        <f>IFERROR((1-(Dashboard!$F$7*0.1)) / (AH16 - (Dashboard!$E$7*0.1)), "")</f>
        <v>2.1591903510158388</v>
      </c>
      <c r="AO16" s="1">
        <f>IFERROR((1-(Dashboard!$E$7*0.1)) / (AI16 - (Dashboard!$E$7*0.1)), "")</f>
        <v>4.6707022440684751</v>
      </c>
    </row>
    <row r="17" spans="1:41">
      <c r="A17" s="367">
        <v>7</v>
      </c>
      <c r="B17" s="332" t="s">
        <v>155</v>
      </c>
      <c r="C17" s="333" t="s">
        <v>310</v>
      </c>
      <c r="D17" s="334" t="s">
        <v>82</v>
      </c>
      <c r="E17" s="335">
        <f>IFERROR(_xlfn.XLOOKUP(B17,'Starting Pitchers'!$W$6:$W$1400,'Starting Pitchers'!$AA$6:$AA$1400),2.52)</f>
        <v>2.875</v>
      </c>
      <c r="F17" s="336">
        <f>IF(C17="R",_xlfn.XLOOKUP(D18,'Team Batting vs R - Season'!$C$6:$C$35,'Team Batting vs R - Season'!$R$6:$R$35),_xlfn.XLOOKUP(D18,'Team Batting vs L - Season'!$C$6:$C$35,'Team Batting vs L - Season'!$R$6:$R$35))</f>
        <v>1.1153406706760247</v>
      </c>
      <c r="G17" s="338">
        <f t="shared" si="11"/>
        <v>2.6219045834201022</v>
      </c>
      <c r="H17" s="351">
        <f>IFERROR(Game7NegBin!B23,"")</f>
        <v>0.75190149141964713</v>
      </c>
      <c r="I17" s="365">
        <f t="shared" si="12"/>
        <v>-303.0657039101568</v>
      </c>
      <c r="J17" s="337"/>
      <c r="K17" s="337"/>
      <c r="L17" s="337"/>
      <c r="M17" s="337"/>
      <c r="N17" s="337"/>
      <c r="O17" s="337"/>
      <c r="P17" s="337"/>
      <c r="Q17" s="339"/>
      <c r="R17" s="339"/>
      <c r="S17" s="340"/>
      <c r="T17" s="80">
        <f t="shared" si="0"/>
        <v>10</v>
      </c>
      <c r="U17" s="81" t="str">
        <f t="shared" si="1"/>
        <v/>
      </c>
      <c r="V17" s="82">
        <f t="shared" si="2"/>
        <v>0.75190149141964713</v>
      </c>
      <c r="W17" s="1">
        <f>IFERROR((1-(Dashboard!$E$7*0.1)) / (H17 - (Dashboard!$E$7*0.1)), "")</f>
        <v>1.3805766850449572</v>
      </c>
      <c r="Y17" s="83" t="e">
        <f>#REF!</f>
        <v>#REF!</v>
      </c>
      <c r="Z17" s="71" t="str">
        <f ca="1">IFERROR(__xludf.DUMMYFUNCTION("IFERROR(
  INDEX(
    FILTER(
      MLOddsP!$K:$K,
      MLOddsP!$D:$D=""BetOnline.ag"",
      MLOddsP!$L:$L=$AA$4,
      MLOddsP!$I:$I = XLOOKUP(D17, Validations!$E$2:$E$31, Validations!$H$2:$H$31)
    ),
    1
  ),
  """"
)"),"")</f>
        <v/>
      </c>
      <c r="AA17" s="71" t="str">
        <f ca="1">IFERROR(__xludf.DUMMYFUNCTION("IFERROR(
  INDEX(
    FILTER(
      MLOddsP!$K:$K,
      MLOddsP!$D:$D=""BetOnline.ag"",
      MLOddsP!$L:$L=$AB$4,
      MLOddsP!$I:$I = XLOOKUP(D17, Validations!$E$2:$E$31, Validations!$H$2:$H$31)
    ),
    1
  ),
  """"
)"),"")</f>
        <v/>
      </c>
      <c r="AB17" s="71" t="str">
        <f ca="1">IFERROR(__xludf.DUMMYFUNCTION("IFERROR(
  INDEX(
    FILTER(
      MLOddsP!$K:$K,
      MLOddsP!$D:$D=""Pinnacle"",
      MLOddsP!$L:$L=$AC$4,
      MLOddsP!$I:$I = XLOOKUP(D17, Validations!$E$2:$E$31, Validations!$H$2:$H$31)
    ),
    1
  ),
  """"
)"),"")</f>
        <v/>
      </c>
      <c r="AC17" s="71" t="str">
        <f ca="1">IFERROR(__xludf.DUMMYFUNCTION("IFERROR(
  INDEX(
    FILTER(
      MLOddsP!$K:$K,
      MLOddsP!$D:$D=""Pinnacle"",
      MLOddsP!$L:$L=$AD$4,
      MLOddsP!$I:$I = XLOOKUP(D17, Validations!$E$2:$E$31, Validations!$H$2:$H$31)
    ),
    1
  ),
  """"
)"),"")</f>
        <v/>
      </c>
      <c r="AD17" s="71">
        <f t="shared" ca="1" si="3"/>
        <v>0</v>
      </c>
      <c r="AE17" s="71">
        <f t="shared" ca="1" si="4"/>
        <v>0</v>
      </c>
      <c r="AF17" s="84" t="e">
        <f t="shared" ca="1" si="5"/>
        <v>#DIV/0!</v>
      </c>
      <c r="AG17" s="84" t="e">
        <f t="shared" ca="1" si="6"/>
        <v>#DIV/0!</v>
      </c>
      <c r="AH17" s="85">
        <f>Game7Poisson!$F$30+Game7Poisson!$F$32</f>
        <v>0.83065963273595167</v>
      </c>
      <c r="AI17" s="85">
        <f>Game7Poisson!$F$30</f>
        <v>0.65901674739380256</v>
      </c>
      <c r="AJ17" s="86">
        <f t="shared" ca="1" si="7"/>
        <v>10</v>
      </c>
      <c r="AK17" s="86">
        <f t="shared" ca="1" si="8"/>
        <v>10</v>
      </c>
      <c r="AL17" s="71" t="str">
        <f t="shared" ca="1" si="9"/>
        <v>Pinnacle</v>
      </c>
      <c r="AM17" s="71" t="str">
        <f t="shared" ca="1" si="10"/>
        <v>Pinnacle</v>
      </c>
      <c r="AN17" s="1">
        <f>IFERROR((1-(Dashboard!$F$7*0.1)) / (AH17 - (Dashboard!$E$7*0.1)), "")</f>
        <v>1.0949010512656949</v>
      </c>
      <c r="AO17" s="1">
        <f>IFERROR((1-(Dashboard!$E$7*0.1)) / (AI17 - (Dashboard!$E$7*0.1)), "")</f>
        <v>1.60996965510586</v>
      </c>
    </row>
    <row r="18" spans="1:41">
      <c r="A18" s="371">
        <v>7</v>
      </c>
      <c r="B18" s="332" t="s">
        <v>130</v>
      </c>
      <c r="C18" s="333" t="s">
        <v>311</v>
      </c>
      <c r="D18" s="334" t="s">
        <v>91</v>
      </c>
      <c r="E18" s="335">
        <f>IFERROR(_xlfn.XLOOKUP(B18,'Starting Pitchers'!$W$6:$W$1400,'Starting Pitchers'!$AA$6:$AA$1400),2.52)</f>
        <v>2</v>
      </c>
      <c r="F18" s="336">
        <f>IF(C18="R",_xlfn.XLOOKUP(D17,'Team Batting vs R - Season'!$C$6:$C$35,'Team Batting vs R - Season'!$R$6:$R$35),_xlfn.XLOOKUP(D17,'Team Batting vs L - Season'!$C$6:$C$35,'Team Batting vs L - Season'!$R$6:$R$35))</f>
        <v>0.83665169965623598</v>
      </c>
      <c r="G18" s="338">
        <f t="shared" si="11"/>
        <v>1.2917355733137645</v>
      </c>
      <c r="H18" s="351">
        <f>IFERROR(Game7NegBin!C23,"")</f>
        <v>0.2480985085803529</v>
      </c>
      <c r="I18" s="365">
        <f t="shared" si="12"/>
        <v>303.06570391015674</v>
      </c>
      <c r="J18" s="337"/>
      <c r="K18" s="337"/>
      <c r="L18" s="337"/>
      <c r="M18" s="337"/>
      <c r="N18" s="337"/>
      <c r="O18" s="337"/>
      <c r="P18" s="337"/>
      <c r="Q18" s="339"/>
      <c r="R18" s="339"/>
      <c r="S18" s="340"/>
      <c r="T18" s="80">
        <f t="shared" si="0"/>
        <v>10</v>
      </c>
      <c r="U18" s="81" t="str">
        <f t="shared" si="1"/>
        <v/>
      </c>
      <c r="V18" s="82">
        <f t="shared" si="2"/>
        <v>0.2480985085803529</v>
      </c>
      <c r="W18" s="1">
        <f>IFERROR((1-(Dashboard!$E$7*0.1)) / (H18 - (Dashboard!$E$7*0.1)), "")</f>
        <v>6.0770362147954557</v>
      </c>
      <c r="Y18" s="83" t="e">
        <f>#REF!</f>
        <v>#REF!</v>
      </c>
      <c r="Z18" s="71" t="str">
        <f ca="1">IFERROR(__xludf.DUMMYFUNCTION("IFERROR(
  INDEX(
    FILTER(
      MLOddsP!$K:$K,
      MLOddsP!$D:$D=""BetOnline.ag"",
      MLOddsP!$L:$L=$AA$4,
      MLOddsP!$I:$I = XLOOKUP(D18, Validations!$E$2:$E$31, Validations!$H$2:$H$31)
    ),
    1
  ),
  """"
)"),"")</f>
        <v/>
      </c>
      <c r="AA18" s="71" t="str">
        <f ca="1">IFERROR(__xludf.DUMMYFUNCTION("IFERROR(
  INDEX(
    FILTER(
      MLOddsP!$K:$K,
      MLOddsP!$D:$D=""BetOnline.ag"",
      MLOddsP!$L:$L=$AB$4,
      MLOddsP!$I:$I = XLOOKUP(D18, Validations!$E$2:$E$31, Validations!$H$2:$H$31)
    ),
    1
  ),
  """"
)"),"")</f>
        <v/>
      </c>
      <c r="AB18" s="71" t="str">
        <f ca="1">IFERROR(__xludf.DUMMYFUNCTION("IFERROR(
  INDEX(
    FILTER(
      MLOddsP!$K:$K,
      MLOddsP!$D:$D=""Pinnacle"",
      MLOddsP!$L:$L=$AC$4,
      MLOddsP!$I:$I = XLOOKUP(D18, Validations!$E$2:$E$31, Validations!$H$2:$H$31)
    ),
    1
  ),
  """"
)"),"")</f>
        <v/>
      </c>
      <c r="AC18" s="71" t="str">
        <f ca="1">IFERROR(__xludf.DUMMYFUNCTION("IFERROR(
  INDEX(
    FILTER(
      MLOddsP!$K:$K,
      MLOddsP!$D:$D=""Pinnacle"",
      MLOddsP!$L:$L=$AD$4,
      MLOddsP!$I:$I = XLOOKUP(D18, Validations!$E$2:$E$31, Validations!$H$2:$H$31)
    ),
    1
  ),
  """"
)"),"")</f>
        <v/>
      </c>
      <c r="AD18" s="71">
        <f t="shared" ca="1" si="3"/>
        <v>0</v>
      </c>
      <c r="AE18" s="71">
        <f t="shared" ca="1" si="4"/>
        <v>0</v>
      </c>
      <c r="AF18" s="84" t="e">
        <f t="shared" ca="1" si="5"/>
        <v>#DIV/0!</v>
      </c>
      <c r="AG18" s="84" t="e">
        <f t="shared" ca="1" si="6"/>
        <v>#DIV/0!</v>
      </c>
      <c r="AH18" s="85">
        <f>Game7Poisson!$F$31+Game7Poisson!$F$32</f>
        <v>0.3409832526061975</v>
      </c>
      <c r="AI18" s="85">
        <f>Game7Poisson!$F$31</f>
        <v>0.16934036726404839</v>
      </c>
      <c r="AJ18" s="86">
        <f t="shared" ca="1" si="7"/>
        <v>10</v>
      </c>
      <c r="AK18" s="86">
        <f t="shared" ca="1" si="8"/>
        <v>10</v>
      </c>
      <c r="AL18" s="71" t="str">
        <f t="shared" ca="1" si="9"/>
        <v>Pinnacle</v>
      </c>
      <c r="AM18" s="71" t="str">
        <f t="shared" ca="1" si="10"/>
        <v>Pinnacle</v>
      </c>
      <c r="AN18" s="1">
        <f>IFERROR((1-(Dashboard!$F$7*0.1)) / (AH18 - (Dashboard!$E$7*0.1)), "")</f>
        <v>3.3197327671036092</v>
      </c>
      <c r="AO18" s="1">
        <f>IFERROR((1-(Dashboard!$E$7*0.1)) / (AI18 - (Dashboard!$E$7*0.1)), "")</f>
        <v>12.979452453327751</v>
      </c>
    </row>
    <row r="19" spans="1:41">
      <c r="A19" s="369">
        <v>8</v>
      </c>
      <c r="B19" s="342" t="s">
        <v>181</v>
      </c>
      <c r="C19" s="343" t="s">
        <v>310</v>
      </c>
      <c r="D19" s="344" t="s">
        <v>36</v>
      </c>
      <c r="E19" s="335">
        <f>IFERROR(_xlfn.XLOOKUP(B19,'Starting Pitchers'!$W$6:$W$1400,'Starting Pitchers'!$AA$6:$AA$1400),2.52)</f>
        <v>2.5</v>
      </c>
      <c r="F19" s="428">
        <f>IF(C19="R",_xlfn.XLOOKUP(D20,'Team Batting vs R - Season'!$C$6:$C$35,'Team Batting vs R - Season'!$R$6:$R$35),_xlfn.XLOOKUP(D20,'Team Batting vs L - Season'!$C$6:$C$35,'Team Batting vs L - Season'!$R$6:$R$35))</f>
        <v>1.0090540458209851</v>
      </c>
      <c r="G19" s="429">
        <f t="shared" si="11"/>
        <v>2.0217493368403221</v>
      </c>
      <c r="H19" s="352">
        <f>IFERROR(Game8NegBin!B23,"")</f>
        <v>0.52756979299158635</v>
      </c>
      <c r="I19" s="366">
        <f t="shared" si="12"/>
        <v>-111.67147764160448</v>
      </c>
      <c r="J19" s="345"/>
      <c r="K19" s="345"/>
      <c r="L19" s="345"/>
      <c r="M19" s="345"/>
      <c r="N19" s="345"/>
      <c r="O19" s="345"/>
      <c r="P19" s="345"/>
      <c r="Q19" s="346"/>
      <c r="R19" s="346"/>
      <c r="S19" s="347"/>
      <c r="T19" s="80">
        <f t="shared" si="0"/>
        <v>10</v>
      </c>
      <c r="U19" s="81" t="str">
        <f t="shared" si="1"/>
        <v/>
      </c>
      <c r="V19" s="82">
        <f t="shared" si="2"/>
        <v>0.52756979299158635</v>
      </c>
      <c r="W19" s="1">
        <f>IFERROR((1-(Dashboard!$E$7*0.1)) / (H19 - (Dashboard!$E$7*0.1)), "")</f>
        <v>2.1049195119771009</v>
      </c>
      <c r="Y19" s="83" t="e">
        <f>#REF!</f>
        <v>#REF!</v>
      </c>
      <c r="Z19" s="71" t="str">
        <f ca="1">IFERROR(__xludf.DUMMYFUNCTION("IFERROR(
  INDEX(
    FILTER(
      MLOddsP!$K:$K,
      MLOddsP!$D:$D=""BetOnline.ag"",
      MLOddsP!$L:$L=$AA$4,
      MLOddsP!$I:$I = XLOOKUP(D19, Validations!$E$2:$E$31, Validations!$H$2:$H$31)
    ),
    1
  ),
  """"
)"),"")</f>
        <v/>
      </c>
      <c r="AA19" s="71" t="str">
        <f ca="1">IFERROR(__xludf.DUMMYFUNCTION("IFERROR(
  INDEX(
    FILTER(
      MLOddsP!$K:$K,
      MLOddsP!$D:$D=""BetOnline.ag"",
      MLOddsP!$L:$L=$AB$4,
      MLOddsP!$I:$I = XLOOKUP(D19, Validations!$E$2:$E$31, Validations!$H$2:$H$31)
    ),
    1
  ),
  """"
)"),"")</f>
        <v/>
      </c>
      <c r="AB19" s="71" t="str">
        <f ca="1">IFERROR(__xludf.DUMMYFUNCTION("IFERROR(
  INDEX(
    FILTER(
      MLOddsP!$K:$K,
      MLOddsP!$D:$D=""Pinnacle"",
      MLOddsP!$L:$L=$AC$4,
      MLOddsP!$I:$I = XLOOKUP(D19, Validations!$E$2:$E$31, Validations!$H$2:$H$31)
    ),
    1
  ),
  """"
)"),"")</f>
        <v/>
      </c>
      <c r="AC19" s="71" t="str">
        <f ca="1">IFERROR(__xludf.DUMMYFUNCTION("IFERROR(
  INDEX(
    FILTER(
      MLOddsP!$K:$K,
      MLOddsP!$D:$D=""Pinnacle"",
      MLOddsP!$L:$L=$AD$4,
      MLOddsP!$I:$I = XLOOKUP(D19, Validations!$E$2:$E$31, Validations!$H$2:$H$31)
    ),
    1
  ),
  """"
)"),"")</f>
        <v/>
      </c>
      <c r="AD19" s="71">
        <f t="shared" ca="1" si="3"/>
        <v>0</v>
      </c>
      <c r="AE19" s="71">
        <f t="shared" ca="1" si="4"/>
        <v>0</v>
      </c>
      <c r="AF19" s="84" t="e">
        <f t="shared" ca="1" si="5"/>
        <v>#DIV/0!</v>
      </c>
      <c r="AG19" s="84" t="e">
        <f t="shared" ca="1" si="6"/>
        <v>#DIV/0!</v>
      </c>
      <c r="AH19" s="85">
        <f>Game8Poisson!$F$30+Game8Poisson!$F$32</f>
        <v>0.63129076459235511</v>
      </c>
      <c r="AI19" s="85">
        <f>Game8Poisson!$F$30</f>
        <v>0.42203165712223606</v>
      </c>
      <c r="AJ19" s="86">
        <f t="shared" ca="1" si="7"/>
        <v>10</v>
      </c>
      <c r="AK19" s="86">
        <f t="shared" ca="1" si="8"/>
        <v>10</v>
      </c>
      <c r="AL19" s="71" t="str">
        <f t="shared" ca="1" si="9"/>
        <v>Pinnacle</v>
      </c>
      <c r="AM19" s="71" t="str">
        <f t="shared" ca="1" si="10"/>
        <v>Pinnacle</v>
      </c>
      <c r="AN19" s="1">
        <f>IFERROR((1-(Dashboard!$F$7*0.1)) / (AH19 - (Dashboard!$E$7*0.1)), "")</f>
        <v>1.5057668104090198</v>
      </c>
      <c r="AO19" s="1">
        <f>IFERROR((1-(Dashboard!$E$7*0.1)) / (AI19 - (Dashboard!$E$7*0.1)), "")</f>
        <v>2.7947562921069591</v>
      </c>
    </row>
    <row r="20" spans="1:41">
      <c r="A20" s="368">
        <v>8</v>
      </c>
      <c r="B20" s="342" t="s">
        <v>190</v>
      </c>
      <c r="C20" s="343" t="s">
        <v>310</v>
      </c>
      <c r="D20" s="344" t="s">
        <v>56</v>
      </c>
      <c r="E20" s="335">
        <f>IFERROR(_xlfn.XLOOKUP(B20,'Starting Pitchers'!$W$6:$W$1400,'Starting Pitchers'!$AA$6:$AA$1400),2.52)</f>
        <v>2.75</v>
      </c>
      <c r="F20" s="428">
        <f>IF(C20="R",_xlfn.XLOOKUP(D19,'Team Batting vs R - Season'!$C$6:$C$35,'Team Batting vs R - Season'!$R$6:$R$35),_xlfn.XLOOKUP(D19,'Team Batting vs L - Season'!$C$6:$C$35,'Team Batting vs L - Season'!$R$6:$R$35))</f>
        <v>0.87914817099815823</v>
      </c>
      <c r="G20" s="429">
        <f t="shared" si="11"/>
        <v>1.8849384483789042</v>
      </c>
      <c r="H20" s="352">
        <f>IFERROR(Game8NegBin!C23,"")</f>
        <v>0.47243020700841371</v>
      </c>
      <c r="I20" s="366">
        <f t="shared" si="12"/>
        <v>111.67147764160445</v>
      </c>
      <c r="J20" s="345"/>
      <c r="K20" s="345"/>
      <c r="L20" s="345"/>
      <c r="M20" s="345"/>
      <c r="N20" s="345"/>
      <c r="O20" s="345"/>
      <c r="P20" s="345"/>
      <c r="Q20" s="346"/>
      <c r="R20" s="346"/>
      <c r="S20" s="347"/>
      <c r="T20" s="80">
        <f t="shared" si="0"/>
        <v>10</v>
      </c>
      <c r="U20" s="81" t="str">
        <f t="shared" si="1"/>
        <v/>
      </c>
      <c r="V20" s="82">
        <f t="shared" si="2"/>
        <v>0.47243020700841371</v>
      </c>
      <c r="W20" s="1">
        <f>IFERROR((1-(Dashboard!$E$7*0.1)) / (H20 - (Dashboard!$E$7*0.1)), "")</f>
        <v>2.4165601582893834</v>
      </c>
      <c r="Y20" s="83" t="e">
        <f>#REF!</f>
        <v>#REF!</v>
      </c>
      <c r="Z20" s="71" t="str">
        <f ca="1">IFERROR(__xludf.DUMMYFUNCTION("IFERROR(
  INDEX(
    FILTER(
      MLOddsP!$K:$K,
      MLOddsP!$D:$D=""BetOnline.ag"",
      MLOddsP!$L:$L=$AA$4,
      MLOddsP!$I:$I = XLOOKUP(D20, Validations!$E$2:$E$31, Validations!$H$2:$H$31)
    ),
    1
  ),
  """"
)"),"")</f>
        <v/>
      </c>
      <c r="AA20" s="71" t="str">
        <f ca="1">IFERROR(__xludf.DUMMYFUNCTION("IFERROR(
  INDEX(
    FILTER(
      MLOddsP!$K:$K,
      MLOddsP!$D:$D=""BetOnline.ag"",
      MLOddsP!$L:$L=$AB$4,
      MLOddsP!$I:$I = XLOOKUP(D20, Validations!$E$2:$E$31, Validations!$H$2:$H$31)
    ),
    1
  ),
  """"
)"),"")</f>
        <v/>
      </c>
      <c r="AB20" s="71" t="str">
        <f ca="1">IFERROR(__xludf.DUMMYFUNCTION("IFERROR(
  INDEX(
    FILTER(
      MLOddsP!$K:$K,
      MLOddsP!$D:$D=""Pinnacle"",
      MLOddsP!$L:$L=$AC$4,
      MLOddsP!$I:$I = XLOOKUP(D20, Validations!$E$2:$E$31, Validations!$H$2:$H$31)
    ),
    1
  ),
  """"
)"),"")</f>
        <v/>
      </c>
      <c r="AC20" s="71" t="str">
        <f ca="1">IFERROR(__xludf.DUMMYFUNCTION("IFERROR(
  INDEX(
    FILTER(
      MLOddsP!$K:$K,
      MLOddsP!$D:$D=""Pinnacle"",
      MLOddsP!$L:$L=$AD$4,
      MLOddsP!$I:$I = XLOOKUP(D20, Validations!$E$2:$E$31, Validations!$H$2:$H$31)
    ),
    1
  ),
  """"
)"),"")</f>
        <v/>
      </c>
      <c r="AD20" s="71">
        <f t="shared" ca="1" si="3"/>
        <v>0</v>
      </c>
      <c r="AE20" s="71">
        <f t="shared" ca="1" si="4"/>
        <v>0</v>
      </c>
      <c r="AF20" s="84" t="e">
        <f t="shared" ca="1" si="5"/>
        <v>#DIV/0!</v>
      </c>
      <c r="AG20" s="84" t="e">
        <f t="shared" ca="1" si="6"/>
        <v>#DIV/0!</v>
      </c>
      <c r="AH20" s="85">
        <f>Game8Poisson!$F$31+Game8Poisson!$F$32</f>
        <v>0.577968342877764</v>
      </c>
      <c r="AI20" s="85">
        <f>Game8Poisson!$F$31</f>
        <v>0.36870923540764494</v>
      </c>
      <c r="AJ20" s="86">
        <f t="shared" ca="1" si="7"/>
        <v>10</v>
      </c>
      <c r="AK20" s="86">
        <f t="shared" ca="1" si="8"/>
        <v>10</v>
      </c>
      <c r="AL20" s="71" t="str">
        <f t="shared" ca="1" si="9"/>
        <v>Pinnacle</v>
      </c>
      <c r="AM20" s="71" t="str">
        <f t="shared" ca="1" si="10"/>
        <v>Pinnacle</v>
      </c>
      <c r="AN20" s="1">
        <f>IFERROR((1-(Dashboard!$F$7*0.1)) / (AH20 - (Dashboard!$E$7*0.1)), "")</f>
        <v>1.673751017030416</v>
      </c>
      <c r="AO20" s="1">
        <f>IFERROR((1-(Dashboard!$E$7*0.1)) / (AI20 - (Dashboard!$E$7*0.1)), "")</f>
        <v>3.3493452453714756</v>
      </c>
    </row>
    <row r="21" spans="1:41">
      <c r="A21" s="367">
        <v>9</v>
      </c>
      <c r="B21" s="332" t="s">
        <v>312</v>
      </c>
      <c r="C21" s="333" t="s">
        <v>311</v>
      </c>
      <c r="D21" s="334" t="s">
        <v>40</v>
      </c>
      <c r="E21" s="335">
        <f>IFERROR(_xlfn.XLOOKUP(B21,'Starting Pitchers'!$W$6:$W$1400,'Starting Pitchers'!$AA$6:$AA$1400),2.52)</f>
        <v>2.52</v>
      </c>
      <c r="F21" s="336">
        <f>IF(C21="R",_xlfn.XLOOKUP(D22,'Team Batting vs R - Season'!$C$6:$C$35,'Team Batting vs R - Season'!$R$6:$R$35),_xlfn.XLOOKUP(D22,'Team Batting vs L - Season'!$C$6:$C$35,'Team Batting vs L - Season'!$R$6:$R$35))</f>
        <v>1.095901260201823</v>
      </c>
      <c r="G21" s="338">
        <f t="shared" si="11"/>
        <v>2.2501747104752448</v>
      </c>
      <c r="H21" s="351">
        <f>IFERROR(Game9NegBin!B23,"")</f>
        <v>0.43135333745747528</v>
      </c>
      <c r="I21" s="365">
        <f t="shared" si="12"/>
        <v>131.82850650798187</v>
      </c>
      <c r="J21" s="337"/>
      <c r="K21" s="337"/>
      <c r="L21" s="337"/>
      <c r="M21" s="337"/>
      <c r="N21" s="337"/>
      <c r="O21" s="337"/>
      <c r="P21" s="337"/>
      <c r="Q21" s="339"/>
      <c r="R21" s="339"/>
      <c r="S21" s="340"/>
      <c r="T21" s="80">
        <f t="shared" si="0"/>
        <v>10</v>
      </c>
      <c r="U21" s="81" t="str">
        <f t="shared" si="1"/>
        <v/>
      </c>
      <c r="V21" s="82">
        <f t="shared" si="2"/>
        <v>0.43135333745747528</v>
      </c>
      <c r="W21" s="1">
        <f>IFERROR((1-(Dashboard!$E$7*0.1)) / (H21 - (Dashboard!$E$7*0.1)), "")</f>
        <v>2.7161338011738083</v>
      </c>
      <c r="Y21" s="83" t="e">
        <f>#REF!</f>
        <v>#REF!</v>
      </c>
      <c r="Z21" s="71" t="str">
        <f ca="1">IFERROR(__xludf.DUMMYFUNCTION("IFERROR(
  INDEX(
    FILTER(
      MLOddsP!$K:$K,
      MLOddsP!$D:$D=""BetOnline.ag"",
      MLOddsP!$L:$L=$AA$4,
      MLOddsP!$I:$I = XLOOKUP(D21, Validations!$E$2:$E$31, Validations!$H$2:$H$31)
    ),
    1
  ),
  """"
)"),"")</f>
        <v/>
      </c>
      <c r="AA21" s="71" t="str">
        <f ca="1">IFERROR(__xludf.DUMMYFUNCTION("IFERROR(
  INDEX(
    FILTER(
      MLOddsP!$K:$K,
      MLOddsP!$D:$D=""BetOnline.ag"",
      MLOddsP!$L:$L=$AB$4,
      MLOddsP!$I:$I = XLOOKUP(D21, Validations!$E$2:$E$31, Validations!$H$2:$H$31)
    ),
    1
  ),
  """"
)"),"")</f>
        <v/>
      </c>
      <c r="AB21" s="71" t="str">
        <f ca="1">IFERROR(__xludf.DUMMYFUNCTION("IFERROR(
  INDEX(
    FILTER(
      MLOddsP!$K:$K,
      MLOddsP!$D:$D=""Pinnacle"",
      MLOddsP!$L:$L=$AC$4,
      MLOddsP!$I:$I = XLOOKUP(D21, Validations!$E$2:$E$31, Validations!$H$2:$H$31)
    ),
    1
  ),
  """"
)"),"")</f>
        <v/>
      </c>
      <c r="AC21" s="71" t="str">
        <f ca="1">IFERROR(__xludf.DUMMYFUNCTION("IFERROR(
  INDEX(
    FILTER(
      MLOddsP!$K:$K,
      MLOddsP!$D:$D=""Pinnacle"",
      MLOddsP!$L:$L=$AD$4,
      MLOddsP!$I:$I = XLOOKUP(D21, Validations!$E$2:$E$31, Validations!$H$2:$H$31)
    ),
    1
  ),
  """"
)"),"")</f>
        <v/>
      </c>
      <c r="AD21" s="71">
        <f t="shared" ca="1" si="3"/>
        <v>0</v>
      </c>
      <c r="AE21" s="71">
        <f t="shared" ca="1" si="4"/>
        <v>0</v>
      </c>
      <c r="AF21" s="84" t="e">
        <f t="shared" ca="1" si="5"/>
        <v>#DIV/0!</v>
      </c>
      <c r="AG21" s="84" t="e">
        <f t="shared" ca="1" si="6"/>
        <v>#DIV/0!</v>
      </c>
      <c r="AH21" s="85">
        <f>Game9Poisson!$F$30+Game9Poisson!$F$32</f>
        <v>0.5205469815300694</v>
      </c>
      <c r="AI21" s="85">
        <f>Game9Poisson!$F$30</f>
        <v>0.33788941427213692</v>
      </c>
      <c r="AJ21" s="86">
        <f t="shared" ca="1" si="7"/>
        <v>10</v>
      </c>
      <c r="AK21" s="86">
        <f t="shared" ca="1" si="8"/>
        <v>10</v>
      </c>
      <c r="AL21" s="71" t="str">
        <f t="shared" ca="1" si="9"/>
        <v>Pinnacle</v>
      </c>
      <c r="AM21" s="71" t="str">
        <f t="shared" ca="1" si="10"/>
        <v>Pinnacle</v>
      </c>
      <c r="AN21" s="1">
        <f>IFERROR((1-(Dashboard!$F$7*0.1)) / (AH21 - (Dashboard!$E$7*0.1)), "")</f>
        <v>1.9022844893319</v>
      </c>
      <c r="AO21" s="1">
        <f>IFERROR((1-(Dashboard!$E$7*0.1)) / (AI21 - (Dashboard!$E$7*0.1)), "")</f>
        <v>3.7832704862202586</v>
      </c>
    </row>
    <row r="22" spans="1:41">
      <c r="A22" s="371">
        <v>9</v>
      </c>
      <c r="B22" s="332" t="s">
        <v>94</v>
      </c>
      <c r="C22" s="333" t="s">
        <v>310</v>
      </c>
      <c r="D22" s="334" t="s">
        <v>64</v>
      </c>
      <c r="E22" s="335">
        <f>IFERROR(_xlfn.XLOOKUP(B22,'Starting Pitchers'!$W$6:$W$1400,'Starting Pitchers'!$AA$6:$AA$1400),2.52)</f>
        <v>3.6667000000000001</v>
      </c>
      <c r="F22" s="336">
        <f>IF(C22="R",_xlfn.XLOOKUP(D21,'Team Batting vs R - Season'!$C$6:$C$35,'Team Batting vs R - Season'!$R$6:$R$35),_xlfn.XLOOKUP(D21,'Team Batting vs L - Season'!$C$6:$C$35,'Team Batting vs L - Season'!$R$6:$R$35))</f>
        <v>0.92048185844178498</v>
      </c>
      <c r="G22" s="338">
        <f t="shared" si="11"/>
        <v>2.6557283258573658</v>
      </c>
      <c r="H22" s="351">
        <f>IFERROR(Game9NegBin!C23,"")</f>
        <v>0.56864666254252483</v>
      </c>
      <c r="I22" s="365">
        <f t="shared" si="12"/>
        <v>-131.8285065079819</v>
      </c>
      <c r="J22" s="337"/>
      <c r="K22" s="337"/>
      <c r="L22" s="337"/>
      <c r="M22" s="337"/>
      <c r="N22" s="337"/>
      <c r="O22" s="337"/>
      <c r="P22" s="337"/>
      <c r="Q22" s="339"/>
      <c r="R22" s="339"/>
      <c r="S22" s="340"/>
      <c r="T22" s="80">
        <f t="shared" si="0"/>
        <v>10</v>
      </c>
      <c r="U22" s="81" t="str">
        <f t="shared" si="1"/>
        <v/>
      </c>
      <c r="V22" s="82">
        <f t="shared" si="2"/>
        <v>0.56864666254252483</v>
      </c>
      <c r="W22" s="1">
        <f>IFERROR((1-(Dashboard!$E$7*0.1)) / (H22 - (Dashboard!$E$7*0.1)), "")</f>
        <v>1.9204233635576873</v>
      </c>
      <c r="Y22" s="83" t="e">
        <f>#REF!</f>
        <v>#REF!</v>
      </c>
      <c r="Z22" s="71" t="str">
        <f ca="1">IFERROR(__xludf.DUMMYFUNCTION("IFERROR(
  INDEX(
    FILTER(
      MLOddsP!$K:$K,
      MLOddsP!$D:$D=""BetOnline.ag"",
      MLOddsP!$L:$L=$AA$4,
      MLOddsP!$I:$I = XLOOKUP(D22, Validations!$E$2:$E$31, Validations!$H$2:$H$31)
    ),
    1
  ),
  """"
)"),"")</f>
        <v/>
      </c>
      <c r="AA22" s="71" t="str">
        <f ca="1">IFERROR(__xludf.DUMMYFUNCTION("IFERROR(
  INDEX(
    FILTER(
      MLOddsP!$K:$K,
      MLOddsP!$D:$D=""BetOnline.ag"",
      MLOddsP!$L:$L=$AB$4,
      MLOddsP!$I:$I = XLOOKUP(D22, Validations!$E$2:$E$31, Validations!$H$2:$H$31)
    ),
    1
  ),
  """"
)"),"")</f>
        <v/>
      </c>
      <c r="AB22" s="71" t="str">
        <f ca="1">IFERROR(__xludf.DUMMYFUNCTION("IFERROR(
  INDEX(
    FILTER(
      MLOddsP!$K:$K,
      MLOddsP!$D:$D=""Pinnacle"",
      MLOddsP!$L:$L=$AC$4,
      MLOddsP!$I:$I = XLOOKUP(D22, Validations!$E$2:$E$31, Validations!$H$2:$H$31)
    ),
    1
  ),
  """"
)"),"")</f>
        <v/>
      </c>
      <c r="AC22" s="71" t="str">
        <f ca="1">IFERROR(__xludf.DUMMYFUNCTION("IFERROR(
  INDEX(
    FILTER(
      MLOddsP!$K:$K,
      MLOddsP!$D:$D=""Pinnacle"",
      MLOddsP!$L:$L=$AD$4,
      MLOddsP!$I:$I = XLOOKUP(D22, Validations!$E$2:$E$31, Validations!$H$2:$H$31)
    ),
    1
  ),
  """"
)"),"")</f>
        <v/>
      </c>
      <c r="AD22" s="71">
        <f t="shared" ca="1" si="3"/>
        <v>0</v>
      </c>
      <c r="AE22" s="71">
        <f t="shared" ca="1" si="4"/>
        <v>0</v>
      </c>
      <c r="AF22" s="84" t="e">
        <f t="shared" ca="1" si="5"/>
        <v>#DIV/0!</v>
      </c>
      <c r="AG22" s="84" t="e">
        <f t="shared" ca="1" si="6"/>
        <v>#DIV/0!</v>
      </c>
      <c r="AH22" s="85">
        <f>Game9Poisson!$F$31+Game9Poisson!$F$32</f>
        <v>0.66211058572786308</v>
      </c>
      <c r="AI22" s="85">
        <f>Game9Poisson!$F$31</f>
        <v>0.47945301846993066</v>
      </c>
      <c r="AJ22" s="86">
        <f t="shared" ca="1" si="7"/>
        <v>10</v>
      </c>
      <c r="AK22" s="86">
        <f t="shared" ca="1" si="8"/>
        <v>10</v>
      </c>
      <c r="AL22" s="71" t="str">
        <f t="shared" ca="1" si="9"/>
        <v>Pinnacle</v>
      </c>
      <c r="AM22" s="71" t="str">
        <f t="shared" ca="1" si="10"/>
        <v>Pinnacle</v>
      </c>
      <c r="AN22" s="1">
        <f>IFERROR((1-(Dashboard!$F$7*0.1)) / (AH22 - (Dashboard!$E$7*0.1)), "")</f>
        <v>1.4232074974430517</v>
      </c>
      <c r="AO22" s="1">
        <f>IFERROR((1-(Dashboard!$E$7*0.1)) / (AI22 - (Dashboard!$E$7*0.1)), "")</f>
        <v>2.3718351316035706</v>
      </c>
    </row>
    <row r="23" spans="1:41">
      <c r="A23" s="369">
        <v>10</v>
      </c>
      <c r="B23" s="342" t="s">
        <v>170</v>
      </c>
      <c r="C23" s="343" t="s">
        <v>310</v>
      </c>
      <c r="D23" s="344" t="s">
        <v>74</v>
      </c>
      <c r="E23" s="335">
        <f>IFERROR(_xlfn.XLOOKUP(B23,'Starting Pitchers'!$W$6:$W$1400,'Starting Pitchers'!$AA$6:$AA$1400),2.52)</f>
        <v>2.125</v>
      </c>
      <c r="F23" s="428">
        <f>IF(C23="R",_xlfn.XLOOKUP(D24,'Team Batting vs R - Season'!$C$6:$C$35,'Team Batting vs R - Season'!$R$6:$R$35),_xlfn.XLOOKUP(D24,'Team Batting vs L - Season'!$C$6:$C$35,'Team Batting vs L - Season'!$R$6:$R$35))</f>
        <v>1.0385781082807182</v>
      </c>
      <c r="G23" s="429">
        <f t="shared" si="11"/>
        <v>1.778999877783157</v>
      </c>
      <c r="H23" s="352">
        <f>IFERROR(Game10NegBin!B23,"")</f>
        <v>0.55676540781038975</v>
      </c>
      <c r="I23" s="366">
        <f t="shared" si="12"/>
        <v>-125.61415954921958</v>
      </c>
      <c r="J23" s="345"/>
      <c r="K23" s="345"/>
      <c r="L23" s="345"/>
      <c r="M23" s="345"/>
      <c r="N23" s="345"/>
      <c r="O23" s="345"/>
      <c r="P23" s="345"/>
      <c r="Q23" s="346"/>
      <c r="R23" s="346"/>
      <c r="S23" s="347"/>
      <c r="T23" s="80">
        <f t="shared" si="0"/>
        <v>10</v>
      </c>
      <c r="U23" s="81" t="str">
        <f t="shared" si="1"/>
        <v/>
      </c>
      <c r="V23" s="82">
        <f t="shared" si="2"/>
        <v>0.55676540781038975</v>
      </c>
      <c r="W23" s="1">
        <f>IFERROR((1-(Dashboard!$E$7*0.1)) / (H23 - (Dashboard!$E$7*0.1)), "")</f>
        <v>1.9703768818973342</v>
      </c>
      <c r="Y23" s="83" t="e">
        <f>#REF!</f>
        <v>#REF!</v>
      </c>
      <c r="Z23" s="71" t="str">
        <f ca="1">IFERROR(__xludf.DUMMYFUNCTION("IFERROR(
  INDEX(
    FILTER(
      MLOddsP!$K:$K,
      MLOddsP!$D:$D=""BetOnline.ag"",
      MLOddsP!$L:$L=$AA$4,
      MLOddsP!$I:$I = XLOOKUP(D23, Validations!$E$2:$E$31, Validations!$H$2:$H$31)
    ),
    1
  ),
  """"
)"),"")</f>
        <v/>
      </c>
      <c r="AA23" s="71" t="str">
        <f ca="1">IFERROR(__xludf.DUMMYFUNCTION("IFERROR(
  INDEX(
    FILTER(
      MLOddsP!$K:$K,
      MLOddsP!$D:$D=""BetOnline.ag"",
      MLOddsP!$L:$L=$AB$4,
      MLOddsP!$I:$I = XLOOKUP(D23, Validations!$E$2:$E$31, Validations!$H$2:$H$31)
    ),
    1
  ),
  """"
)"),"")</f>
        <v/>
      </c>
      <c r="AB23" s="71" t="str">
        <f ca="1">IFERROR(__xludf.DUMMYFUNCTION("IFERROR(
  INDEX(
    FILTER(
      MLOddsP!$K:$K,
      MLOddsP!$D:$D=""Pinnacle"",
      MLOddsP!$L:$L=$AC$4,
      MLOddsP!$I:$I = XLOOKUP(D23, Validations!$E$2:$E$31, Validations!$H$2:$H$31)
    ),
    1
  ),
  """"
)"),"")</f>
        <v/>
      </c>
      <c r="AC23" s="71" t="str">
        <f ca="1">IFERROR(__xludf.DUMMYFUNCTION("IFERROR(
  INDEX(
    FILTER(
      MLOddsP!$K:$K,
      MLOddsP!$D:$D=""Pinnacle"",
      MLOddsP!$L:$L=$AD$4,
      MLOddsP!$I:$I = XLOOKUP(D23, Validations!$E$2:$E$31, Validations!$H$2:$H$31)
    ),
    1
  ),
  """"
)"),"")</f>
        <v/>
      </c>
      <c r="AD23" s="71">
        <f t="shared" ca="1" si="3"/>
        <v>0</v>
      </c>
      <c r="AE23" s="71">
        <f t="shared" ca="1" si="4"/>
        <v>0</v>
      </c>
      <c r="AF23" s="84" t="e">
        <f t="shared" ca="1" si="5"/>
        <v>#DIV/0!</v>
      </c>
      <c r="AG23" s="84" t="e">
        <f t="shared" ca="1" si="6"/>
        <v>#DIV/0!</v>
      </c>
      <c r="AH23" s="85">
        <f>Game10Poisson!$F$30+Game10Poisson!$F$32</f>
        <v>0.66637508683721869</v>
      </c>
      <c r="AI23" s="85">
        <f>Game10Poisson!$F$30</f>
        <v>0.43825755289606749</v>
      </c>
      <c r="AJ23" s="86">
        <f t="shared" ca="1" si="7"/>
        <v>10</v>
      </c>
      <c r="AK23" s="86">
        <f t="shared" ca="1" si="8"/>
        <v>10</v>
      </c>
      <c r="AL23" s="71" t="str">
        <f t="shared" ca="1" si="9"/>
        <v>Pinnacle</v>
      </c>
      <c r="AM23" s="71" t="str">
        <f t="shared" ca="1" si="10"/>
        <v>Pinnacle</v>
      </c>
      <c r="AN23" s="1">
        <f>IFERROR((1-(Dashboard!$F$7*0.1)) / (AH23 - (Dashboard!$E$7*0.1)), "")</f>
        <v>1.4124915071166031</v>
      </c>
      <c r="AO23" s="1">
        <f>IFERROR((1-(Dashboard!$E$7*0.1)) / (AI23 - (Dashboard!$E$7*0.1)), "")</f>
        <v>2.6606944687397198</v>
      </c>
    </row>
    <row r="24" spans="1:41">
      <c r="A24" s="368">
        <v>10</v>
      </c>
      <c r="B24" s="342" t="s">
        <v>184</v>
      </c>
      <c r="C24" s="343" t="s">
        <v>310</v>
      </c>
      <c r="D24" s="344" t="s">
        <v>70</v>
      </c>
      <c r="E24" s="335">
        <f>IFERROR(_xlfn.XLOOKUP(B24,'Starting Pitchers'!$W$6:$W$1400,'Starting Pitchers'!$AA$6:$AA$1400),2.52)</f>
        <v>2.25</v>
      </c>
      <c r="F24" s="428">
        <f>IF(C24="R",_xlfn.XLOOKUP(D23,'Team Batting vs R - Season'!$C$6:$C$35,'Team Batting vs R - Season'!$R$6:$R$35),_xlfn.XLOOKUP(D23,'Team Batting vs L - Season'!$C$6:$C$35,'Team Batting vs L - Season'!$R$6:$R$35))</f>
        <v>0.87324335850621171</v>
      </c>
      <c r="G24" s="429">
        <f t="shared" si="11"/>
        <v>1.5298006976196104</v>
      </c>
      <c r="H24" s="352">
        <f>IFERROR(Game10NegBin!C23,"")</f>
        <v>0.4432345921896102</v>
      </c>
      <c r="I24" s="366">
        <f t="shared" si="12"/>
        <v>125.61415954921962</v>
      </c>
      <c r="J24" s="345"/>
      <c r="K24" s="345"/>
      <c r="L24" s="345"/>
      <c r="M24" s="345"/>
      <c r="N24" s="345"/>
      <c r="O24" s="345"/>
      <c r="P24" s="345"/>
      <c r="Q24" s="346"/>
      <c r="R24" s="346"/>
      <c r="S24" s="347"/>
      <c r="T24" s="80">
        <f t="shared" si="0"/>
        <v>10</v>
      </c>
      <c r="U24" s="81" t="str">
        <f t="shared" si="1"/>
        <v/>
      </c>
      <c r="V24" s="82">
        <f t="shared" si="2"/>
        <v>0.4432345921896102</v>
      </c>
      <c r="W24" s="1">
        <f>IFERROR((1-(Dashboard!$E$7*0.1)) / (H24 - (Dashboard!$E$7*0.1)), "")</f>
        <v>2.6221133314640404</v>
      </c>
      <c r="Y24" s="83" t="e">
        <f>#REF!</f>
        <v>#REF!</v>
      </c>
      <c r="Z24" s="71" t="str">
        <f ca="1">IFERROR(__xludf.DUMMYFUNCTION("IFERROR(
  INDEX(
    FILTER(
      MLOddsP!$K:$K,
      MLOddsP!$D:$D=""BetOnline.ag"",
      MLOddsP!$L:$L=$AA$4,
      MLOddsP!$I:$I = XLOOKUP(D24, Validations!$E$2:$E$31, Validations!$H$2:$H$31)
    ),
    1
  ),
  """"
)"),"")</f>
        <v/>
      </c>
      <c r="AA24" s="71" t="str">
        <f ca="1">IFERROR(__xludf.DUMMYFUNCTION("IFERROR(
  INDEX(
    FILTER(
      MLOddsP!$K:$K,
      MLOddsP!$D:$D=""BetOnline.ag"",
      MLOddsP!$L:$L=$AB$4,
      MLOddsP!$I:$I = XLOOKUP(D24, Validations!$E$2:$E$31, Validations!$H$2:$H$31)
    ),
    1
  ),
  """"
)"),"")</f>
        <v/>
      </c>
      <c r="AB24" s="71" t="str">
        <f ca="1">IFERROR(__xludf.DUMMYFUNCTION("IFERROR(
  INDEX(
    FILTER(
      MLOddsP!$K:$K,
      MLOddsP!$D:$D=""Pinnacle"",
      MLOddsP!$L:$L=$AC$4,
      MLOddsP!$I:$I = XLOOKUP(D24, Validations!$E$2:$E$31, Validations!$H$2:$H$31)
    ),
    1
  ),
  """"
)"),"")</f>
        <v/>
      </c>
      <c r="AC24" s="71" t="str">
        <f ca="1">IFERROR(__xludf.DUMMYFUNCTION("IFERROR(
  INDEX(
    FILTER(
      MLOddsP!$K:$K,
      MLOddsP!$D:$D=""Pinnacle"",
      MLOddsP!$L:$L=$AD$4,
      MLOddsP!$I:$I = XLOOKUP(D24, Validations!$E$2:$E$31, Validations!$H$2:$H$31)
    ),
    1
  ),
  """"
)"),"")</f>
        <v/>
      </c>
      <c r="AD24" s="71">
        <f t="shared" ca="1" si="3"/>
        <v>0</v>
      </c>
      <c r="AE24" s="71">
        <f t="shared" ca="1" si="4"/>
        <v>0</v>
      </c>
      <c r="AF24" s="84" t="e">
        <f t="shared" ca="1" si="5"/>
        <v>#DIV/0!</v>
      </c>
      <c r="AG24" s="84" t="e">
        <f t="shared" ca="1" si="6"/>
        <v>#DIV/0!</v>
      </c>
      <c r="AH24" s="85">
        <f>Game10Poisson!$F$31+Game10Poisson!$F$32</f>
        <v>0.56174244710393251</v>
      </c>
      <c r="AI24" s="85">
        <f>Game10Poisson!$F$31</f>
        <v>0.33362491316278126</v>
      </c>
      <c r="AJ24" s="86">
        <f t="shared" ca="1" si="7"/>
        <v>10</v>
      </c>
      <c r="AK24" s="86">
        <f t="shared" ca="1" si="8"/>
        <v>10</v>
      </c>
      <c r="AL24" s="71" t="str">
        <f t="shared" ca="1" si="9"/>
        <v>Pinnacle</v>
      </c>
      <c r="AM24" s="71" t="str">
        <f t="shared" ca="1" si="10"/>
        <v>Pinnacle</v>
      </c>
      <c r="AN24" s="1">
        <f>IFERROR((1-(Dashboard!$F$7*0.1)) / (AH24 - (Dashboard!$E$7*0.1)), "")</f>
        <v>1.7325675926431123</v>
      </c>
      <c r="AO24" s="1">
        <f>IFERROR((1-(Dashboard!$E$7*0.1)) / (AI24 - (Dashboard!$E$7*0.1)), "")</f>
        <v>3.8523288797240265</v>
      </c>
    </row>
    <row r="25" spans="1:41">
      <c r="A25" s="367">
        <v>11</v>
      </c>
      <c r="B25" s="332" t="s">
        <v>83</v>
      </c>
      <c r="C25" s="333" t="s">
        <v>310</v>
      </c>
      <c r="D25" s="334" t="s">
        <v>46</v>
      </c>
      <c r="E25" s="335">
        <f>IFERROR(_xlfn.XLOOKUP(B25,'Starting Pitchers'!$W$6:$W$1400,'Starting Pitchers'!$AA$6:$AA$1400),2.52)</f>
        <v>3.875</v>
      </c>
      <c r="F25" s="336">
        <f>IF(C25="R",_xlfn.XLOOKUP(D26,'Team Batting vs R - Season'!$C$6:$C$35,'Team Batting vs R - Season'!$R$6:$R$35),_xlfn.XLOOKUP(D26,'Team Batting vs L - Season'!$C$6:$C$35,'Team Batting vs L - Season'!$R$6:$R$35))</f>
        <v>1.0031492333290386</v>
      </c>
      <c r="G25" s="338">
        <f t="shared" si="11"/>
        <v>3.1117188342635362</v>
      </c>
      <c r="H25" s="351">
        <f>IFERROR(Game11NegBin!B23,"")</f>
        <v>0.68115150203053132</v>
      </c>
      <c r="I25" s="365">
        <f t="shared" si="12"/>
        <v>-213.62857481478707</v>
      </c>
      <c r="J25" s="337"/>
      <c r="K25" s="337"/>
      <c r="L25" s="337"/>
      <c r="M25" s="337"/>
      <c r="N25" s="337"/>
      <c r="O25" s="337"/>
      <c r="P25" s="337"/>
      <c r="Q25" s="339"/>
      <c r="R25" s="339"/>
      <c r="S25" s="340"/>
      <c r="T25" s="80">
        <f t="shared" si="0"/>
        <v>10</v>
      </c>
      <c r="U25" s="81" t="str">
        <f t="shared" si="1"/>
        <v/>
      </c>
      <c r="V25" s="82">
        <f t="shared" si="2"/>
        <v>0.68115150203053132</v>
      </c>
      <c r="W25" s="1">
        <f>IFERROR((1-(Dashboard!$E$7*0.1)) / (H25 - (Dashboard!$E$7*0.1)), "")</f>
        <v>1.5486495291768474</v>
      </c>
      <c r="Y25" s="83" t="e">
        <f>#REF!</f>
        <v>#REF!</v>
      </c>
      <c r="Z25" s="71" t="str">
        <f ca="1">IFERROR(__xludf.DUMMYFUNCTION("IFERROR(
  INDEX(
    FILTER(
      MLOddsP!$K:$K,
      MLOddsP!$D:$D=""BetOnline.ag"",
      MLOddsP!$L:$L=$AA$4,
      MLOddsP!$I:$I = XLOOKUP(D25, Validations!$E$2:$E$31, Validations!$H$2:$H$31)
    ),
    1
  ),
  """"
)"),"")</f>
        <v/>
      </c>
      <c r="AA25" s="71" t="str">
        <f ca="1">IFERROR(__xludf.DUMMYFUNCTION("IFERROR(
  INDEX(
    FILTER(
      MLOddsP!$K:$K,
      MLOddsP!$D:$D=""BetOnline.ag"",
      MLOddsP!$L:$L=$AB$4,
      MLOddsP!$I:$I = XLOOKUP(D25, Validations!$E$2:$E$31, Validations!$H$2:$H$31)
    ),
    1
  ),
  """"
)"),"")</f>
        <v/>
      </c>
      <c r="AB25" s="71" t="str">
        <f ca="1">IFERROR(__xludf.DUMMYFUNCTION("IFERROR(
  INDEX(
    FILTER(
      MLOddsP!$K:$K,
      MLOddsP!$D:$D=""Pinnacle"",
      MLOddsP!$L:$L=$AC$4,
      MLOddsP!$I:$I = XLOOKUP(D25, Validations!$E$2:$E$31, Validations!$H$2:$H$31)
    ),
    1
  ),
  """"
)"),"")</f>
        <v/>
      </c>
      <c r="AC25" s="71" t="str">
        <f ca="1">IFERROR(__xludf.DUMMYFUNCTION("IFERROR(
  INDEX(
    FILTER(
      MLOddsP!$K:$K,
      MLOddsP!$D:$D=""Pinnacle"",
      MLOddsP!$L:$L=$AD$4,
      MLOddsP!$I:$I = XLOOKUP(D25, Validations!$E$2:$E$31, Validations!$H$2:$H$31)
    ),
    1
  ),
  """"
)"),"")</f>
        <v/>
      </c>
      <c r="AD25" s="71">
        <f t="shared" ca="1" si="3"/>
        <v>0</v>
      </c>
      <c r="AE25" s="71">
        <f t="shared" ca="1" si="4"/>
        <v>0</v>
      </c>
      <c r="AF25" s="84" t="e">
        <f t="shared" ca="1" si="5"/>
        <v>#DIV/0!</v>
      </c>
      <c r="AG25" s="84" t="e">
        <f t="shared" ca="1" si="6"/>
        <v>#DIV/0!</v>
      </c>
      <c r="AH25" s="85">
        <f>Game11Poisson!$F$30+Game11Poisson!$F$32</f>
        <v>0.76944417978089907</v>
      </c>
      <c r="AI25" s="85">
        <f>Game11Poisson!$F$30</f>
        <v>0.60721892194409099</v>
      </c>
      <c r="AJ25" s="86">
        <f t="shared" ca="1" si="7"/>
        <v>10</v>
      </c>
      <c r="AK25" s="86">
        <f t="shared" ca="1" si="8"/>
        <v>10</v>
      </c>
      <c r="AL25" s="71" t="str">
        <f t="shared" ca="1" si="9"/>
        <v>Pinnacle</v>
      </c>
      <c r="AM25" s="71" t="str">
        <f t="shared" ca="1" si="10"/>
        <v>Pinnacle</v>
      </c>
      <c r="AN25" s="1">
        <f>IFERROR((1-(Dashboard!$F$7*0.1)) / (AH25 - (Dashboard!$E$7*0.1)), "")</f>
        <v>1.1950212193372571</v>
      </c>
      <c r="AO25" s="1">
        <f>IFERROR((1-(Dashboard!$E$7*0.1)) / (AI25 - (Dashboard!$E$7*0.1)), "")</f>
        <v>1.7743817532485586</v>
      </c>
    </row>
    <row r="26" spans="1:41">
      <c r="A26" s="371">
        <v>11</v>
      </c>
      <c r="B26" s="332" t="s">
        <v>314</v>
      </c>
      <c r="C26" s="333" t="s">
        <v>310</v>
      </c>
      <c r="D26" s="334" t="s">
        <v>76</v>
      </c>
      <c r="E26" s="335">
        <f>IFERROR(_xlfn.XLOOKUP(B26,'Starting Pitchers'!$W$6:$W$1400,'Starting Pitchers'!$AA$6:$AA$1400),2.52)</f>
        <v>2.52</v>
      </c>
      <c r="F26" s="336">
        <f>IF(C26="R",_xlfn.XLOOKUP(D25,'Team Batting vs R - Season'!$C$6:$C$35,'Team Batting vs R - Season'!$R$6:$R$35),_xlfn.XLOOKUP(D25,'Team Batting vs L - Season'!$C$6:$C$35,'Team Batting vs L - Season'!$R$6:$R$35))</f>
        <v>0.98543479585319849</v>
      </c>
      <c r="G26" s="338">
        <f t="shared" si="11"/>
        <v>1.9808153809433779</v>
      </c>
      <c r="H26" s="351">
        <f>IFERROR(Game11NegBin!C23,"")</f>
        <v>0.31884849796946874</v>
      </c>
      <c r="I26" s="365">
        <f t="shared" si="12"/>
        <v>213.62857481478704</v>
      </c>
      <c r="J26" s="337"/>
      <c r="K26" s="337"/>
      <c r="L26" s="337"/>
      <c r="M26" s="337"/>
      <c r="N26" s="337"/>
      <c r="O26" s="337"/>
      <c r="P26" s="337"/>
      <c r="Q26" s="339"/>
      <c r="R26" s="339"/>
      <c r="S26" s="340"/>
      <c r="T26" s="80">
        <f t="shared" si="0"/>
        <v>10</v>
      </c>
      <c r="U26" s="81" t="str">
        <f t="shared" si="1"/>
        <v/>
      </c>
      <c r="V26" s="82">
        <f t="shared" si="2"/>
        <v>0.31884849796946874</v>
      </c>
      <c r="W26" s="1">
        <f>IFERROR((1-(Dashboard!$E$7*0.1)) / (H26 - (Dashboard!$E$7*0.1)), "")</f>
        <v>4.1124339821859683</v>
      </c>
      <c r="Y26" s="83" t="e">
        <f>#REF!</f>
        <v>#REF!</v>
      </c>
      <c r="Z26" s="71" t="str">
        <f ca="1">IFERROR(__xludf.DUMMYFUNCTION("IFERROR(
  INDEX(
    FILTER(
      MLOddsP!$K:$K,
      MLOddsP!$D:$D=""BetOnline.ag"",
      MLOddsP!$L:$L=$AA$4,
      MLOddsP!$I:$I = XLOOKUP(D26, Validations!$E$2:$E$31, Validations!$H$2:$H$31)
    ),
    1
  ),
  """"
)"),"")</f>
        <v/>
      </c>
      <c r="AA26" s="71" t="str">
        <f ca="1">IFERROR(__xludf.DUMMYFUNCTION("IFERROR(
  INDEX(
    FILTER(
      MLOddsP!$K:$K,
      MLOddsP!$D:$D=""BetOnline.ag"",
      MLOddsP!$L:$L=$AB$4,
      MLOddsP!$I:$I = XLOOKUP(D26, Validations!$E$2:$E$31, Validations!$H$2:$H$31)
    ),
    1
  ),
  """"
)"),"")</f>
        <v/>
      </c>
      <c r="AB26" s="71" t="str">
        <f ca="1">IFERROR(__xludf.DUMMYFUNCTION("IFERROR(
  INDEX(
    FILTER(
      MLOddsP!$K:$K,
      MLOddsP!$D:$D=""Pinnacle"",
      MLOddsP!$L:$L=$AC$4,
      MLOddsP!$I:$I = XLOOKUP(D26, Validations!$E$2:$E$31, Validations!$H$2:$H$31)
    ),
    1
  ),
  """"
)"),"")</f>
        <v/>
      </c>
      <c r="AC26" s="71" t="str">
        <f ca="1">IFERROR(__xludf.DUMMYFUNCTION("IFERROR(
  INDEX(
    FILTER(
      MLOddsP!$K:$K,
      MLOddsP!$D:$D=""Pinnacle"",
      MLOddsP!$L:$L=$AD$4,
      MLOddsP!$I:$I = XLOOKUP(D26, Validations!$E$2:$E$31, Validations!$H$2:$H$31)
    ),
    1
  ),
  """"
)"),"")</f>
        <v/>
      </c>
      <c r="AD26" s="71">
        <f t="shared" ca="1" si="3"/>
        <v>0</v>
      </c>
      <c r="AE26" s="71">
        <f t="shared" ca="1" si="4"/>
        <v>0</v>
      </c>
      <c r="AF26" s="84" t="e">
        <f t="shared" ca="1" si="5"/>
        <v>#DIV/0!</v>
      </c>
      <c r="AG26" s="84" t="e">
        <f t="shared" ca="1" si="6"/>
        <v>#DIV/0!</v>
      </c>
      <c r="AH26" s="85">
        <f>Game11Poisson!$F$31+Game11Poisson!$F$32</f>
        <v>0.39278107805590901</v>
      </c>
      <c r="AI26" s="85">
        <f>Game11Poisson!$F$31</f>
        <v>0.2305558202191009</v>
      </c>
      <c r="AJ26" s="86">
        <f t="shared" ca="1" si="7"/>
        <v>10</v>
      </c>
      <c r="AK26" s="86">
        <f t="shared" ca="1" si="8"/>
        <v>10</v>
      </c>
      <c r="AL26" s="71" t="str">
        <f t="shared" ca="1" si="9"/>
        <v>Pinnacle</v>
      </c>
      <c r="AM26" s="71" t="str">
        <f t="shared" ca="1" si="10"/>
        <v>Pinnacle</v>
      </c>
      <c r="AN26" s="1">
        <f>IFERROR((1-(Dashboard!$F$7*0.1)) / (AH26 - (Dashboard!$E$7*0.1)), "")</f>
        <v>2.7324170172200586</v>
      </c>
      <c r="AO26" s="1">
        <f>IFERROR((1-(Dashboard!$E$7*0.1)) / (AI26 - (Dashboard!$E$7*0.1)), "")</f>
        <v>6.8936030464946372</v>
      </c>
    </row>
    <row r="27" spans="1:41">
      <c r="A27" s="369">
        <v>12</v>
      </c>
      <c r="B27" s="342" t="s">
        <v>121</v>
      </c>
      <c r="C27" s="343" t="s">
        <v>310</v>
      </c>
      <c r="D27" s="344" t="s">
        <v>42</v>
      </c>
      <c r="E27" s="335">
        <f>IFERROR(_xlfn.XLOOKUP(B27,'Starting Pitchers'!$W$6:$W$1400,'Starting Pitchers'!$AA$6:$AA$1400),2.52)</f>
        <v>2.875</v>
      </c>
      <c r="F27" s="428">
        <f>IF(C27="R",_xlfn.XLOOKUP(D28,'Team Batting vs R - Season'!$C$6:$C$35,'Team Batting vs R - Season'!$R$6:$R$35),_xlfn.XLOOKUP(D28,'Team Batting vs L - Season'!$C$6:$C$35,'Team Batting vs L - Season'!$R$6:$R$35))</f>
        <v>1.0031492333290386</v>
      </c>
      <c r="G27" s="429">
        <f t="shared" si="11"/>
        <v>2.3086946189697204</v>
      </c>
      <c r="H27" s="352">
        <f>IFERROR(Game12NegBin!B23,"")</f>
        <v>0.49668441953419995</v>
      </c>
      <c r="I27" s="366">
        <f t="shared" si="12"/>
        <v>101.33508535214753</v>
      </c>
      <c r="J27" s="345"/>
      <c r="K27" s="345"/>
      <c r="L27" s="345"/>
      <c r="M27" s="345"/>
      <c r="N27" s="345"/>
      <c r="O27" s="345"/>
      <c r="P27" s="345"/>
      <c r="Q27" s="346"/>
      <c r="R27" s="346"/>
      <c r="S27" s="347"/>
      <c r="T27" s="80">
        <f t="shared" si="0"/>
        <v>10</v>
      </c>
      <c r="U27" s="81" t="str">
        <f t="shared" si="1"/>
        <v/>
      </c>
      <c r="V27" s="82">
        <f t="shared" si="2"/>
        <v>0.49668441953419995</v>
      </c>
      <c r="W27" s="1">
        <f>IFERROR((1-(Dashboard!$E$7*0.1)) / (H27 - (Dashboard!$E$7*0.1)), "")</f>
        <v>2.2688060223207405</v>
      </c>
      <c r="Y27" s="83" t="e">
        <f>#REF!</f>
        <v>#REF!</v>
      </c>
      <c r="Z27" s="71" t="str">
        <f ca="1">IFERROR(__xludf.DUMMYFUNCTION("IFERROR(
  INDEX(
    FILTER(
      MLOddsP!$K:$K,
      MLOddsP!$D:$D=""BetOnline.ag"",
      MLOddsP!$L:$L=$AA$4,
      MLOddsP!$I:$I = XLOOKUP(D27, Validations!$E$2:$E$31, Validations!$H$2:$H$31)
    ),
    1
  ),
  """"
)"),"")</f>
        <v/>
      </c>
      <c r="AA27" s="71" t="str">
        <f ca="1">IFERROR(__xludf.DUMMYFUNCTION("IFERROR(
  INDEX(
    FILTER(
      MLOddsP!$K:$K,
      MLOddsP!$D:$D=""BetOnline.ag"",
      MLOddsP!$L:$L=$AB$4,
      MLOddsP!$I:$I = XLOOKUP(D27, Validations!$E$2:$E$31, Validations!$H$2:$H$31)
    ),
    1
  ),
  """"
)"),"")</f>
        <v/>
      </c>
      <c r="AB27" s="71" t="str">
        <f ca="1">IFERROR(__xludf.DUMMYFUNCTION("IFERROR(
  INDEX(
    FILTER(
      MLOddsP!$K:$K,
      MLOddsP!$D:$D=""Pinnacle"",
      MLOddsP!$L:$L=$AC$4,
      MLOddsP!$I:$I = XLOOKUP(D27, Validations!$E$2:$E$31, Validations!$H$2:$H$31)
    ),
    1
  ),
  """"
)"),"")</f>
        <v/>
      </c>
      <c r="AC27" s="71" t="str">
        <f ca="1">IFERROR(__xludf.DUMMYFUNCTION("IFERROR(
  INDEX(
    FILTER(
      MLOddsP!$K:$K,
      MLOddsP!$D:$D=""Pinnacle"",
      MLOddsP!$L:$L=$AD$4,
      MLOddsP!$I:$I = XLOOKUP(D27, Validations!$E$2:$E$31, Validations!$H$2:$H$31)
    ),
    1
  ),
  """"
)"),"")</f>
        <v/>
      </c>
      <c r="AD27" s="71">
        <f t="shared" ca="1" si="3"/>
        <v>0</v>
      </c>
      <c r="AE27" s="71">
        <f t="shared" ca="1" si="4"/>
        <v>0</v>
      </c>
      <c r="AF27" s="84" t="e">
        <f t="shared" ca="1" si="5"/>
        <v>#DIV/0!</v>
      </c>
      <c r="AG27" s="84" t="e">
        <f t="shared" ca="1" si="6"/>
        <v>#DIV/0!</v>
      </c>
      <c r="AH27" s="85">
        <f>Game12Poisson!$F$30+Game12Poisson!$F$32</f>
        <v>0.59218736286681861</v>
      </c>
      <c r="AI27" s="85">
        <f>Game12Poisson!$F$30</f>
        <v>0.40108147448676723</v>
      </c>
      <c r="AJ27" s="86">
        <f t="shared" ca="1" si="7"/>
        <v>10</v>
      </c>
      <c r="AK27" s="86">
        <f t="shared" ca="1" si="8"/>
        <v>10</v>
      </c>
      <c r="AL27" s="71" t="str">
        <f t="shared" ca="1" si="9"/>
        <v>Pinnacle</v>
      </c>
      <c r="AM27" s="71" t="str">
        <f t="shared" ca="1" si="10"/>
        <v>Pinnacle</v>
      </c>
      <c r="AN27" s="1">
        <f>IFERROR((1-(Dashboard!$F$7*0.1)) / (AH27 - (Dashboard!$E$7*0.1)), "")</f>
        <v>1.6253972782646853</v>
      </c>
      <c r="AO27" s="1">
        <f>IFERROR((1-(Dashboard!$E$7*0.1)) / (AI27 - (Dashboard!$E$7*0.1)), "")</f>
        <v>2.989224101330604</v>
      </c>
    </row>
    <row r="28" spans="1:41">
      <c r="A28" s="368">
        <v>12</v>
      </c>
      <c r="B28" s="342" t="s">
        <v>315</v>
      </c>
      <c r="C28" s="343" t="s">
        <v>310</v>
      </c>
      <c r="D28" s="344" t="s">
        <v>126</v>
      </c>
      <c r="E28" s="335">
        <f>IFERROR(_xlfn.XLOOKUP(B28,'Starting Pitchers'!$W$6:$W$1400,'Starting Pitchers'!$AA$6:$AA$1400),2.52)</f>
        <v>2.52</v>
      </c>
      <c r="F28" s="428">
        <f>IF(C28="R",_xlfn.XLOOKUP(D27,'Team Batting vs R - Season'!$C$6:$C$35,'Team Batting vs R - Season'!$R$6:$R$35),_xlfn.XLOOKUP(D27,'Team Batting vs L - Season'!$C$6:$C$35,'Team Batting vs L - Season'!$R$6:$R$35))</f>
        <v>1.1271502956599182</v>
      </c>
      <c r="G28" s="429">
        <f t="shared" si="11"/>
        <v>2.327387636390323</v>
      </c>
      <c r="H28" s="352">
        <f>IFERROR(Game12NegBin!C23,"")</f>
        <v>0.50331558046580005</v>
      </c>
      <c r="I28" s="366">
        <f t="shared" si="12"/>
        <v>-101.33508535214753</v>
      </c>
      <c r="J28" s="345"/>
      <c r="K28" s="345"/>
      <c r="L28" s="345"/>
      <c r="M28" s="345"/>
      <c r="N28" s="345"/>
      <c r="O28" s="345"/>
      <c r="P28" s="345"/>
      <c r="Q28" s="346"/>
      <c r="R28" s="346"/>
      <c r="S28" s="347"/>
      <c r="T28" s="80">
        <f t="shared" si="0"/>
        <v>10</v>
      </c>
      <c r="U28" s="81" t="str">
        <f t="shared" si="1"/>
        <v/>
      </c>
      <c r="V28" s="82">
        <f t="shared" si="2"/>
        <v>0.50331558046580005</v>
      </c>
      <c r="W28" s="1">
        <f>IFERROR((1-(Dashboard!$E$7*0.1)) / (H28 - (Dashboard!$E$7*0.1)), "")</f>
        <v>2.2315031791248074</v>
      </c>
      <c r="Y28" s="83" t="e">
        <f>#REF!</f>
        <v>#REF!</v>
      </c>
      <c r="Z28" s="71" t="str">
        <f ca="1">IFERROR(__xludf.DUMMYFUNCTION("IFERROR(
  INDEX(
    FILTER(
      MLOddsP!$K:$K,
      MLOddsP!$D:$D=""BetOnline.ag"",
      MLOddsP!$L:$L=$AA$4,
      MLOddsP!$I:$I = XLOOKUP(D28, Validations!$E$2:$E$31, Validations!$H$2:$H$31)
    ),
    1
  ),
  """"
)"),"")</f>
        <v/>
      </c>
      <c r="AA28" s="71" t="str">
        <f ca="1">IFERROR(__xludf.DUMMYFUNCTION("IFERROR(
  INDEX(
    FILTER(
      MLOddsP!$K:$K,
      MLOddsP!$D:$D=""BetOnline.ag"",
      MLOddsP!$L:$L=$AB$4,
      MLOddsP!$I:$I = XLOOKUP(D28, Validations!$E$2:$E$31, Validations!$H$2:$H$31)
    ),
    1
  ),
  """"
)"),"")</f>
        <v/>
      </c>
      <c r="AB28" s="71" t="str">
        <f ca="1">IFERROR(__xludf.DUMMYFUNCTION("IFERROR(
  INDEX(
    FILTER(
      MLOddsP!$K:$K,
      MLOddsP!$D:$D=""Pinnacle"",
      MLOddsP!$L:$L=$AC$4,
      MLOddsP!$I:$I = XLOOKUP(D28, Validations!$E$2:$E$31, Validations!$H$2:$H$31)
    ),
    1
  ),
  """"
)"),"")</f>
        <v/>
      </c>
      <c r="AC28" s="71" t="str">
        <f ca="1">IFERROR(__xludf.DUMMYFUNCTION("IFERROR(
  INDEX(
    FILTER(
      MLOddsP!$K:$K,
      MLOddsP!$D:$D=""Pinnacle"",
      MLOddsP!$L:$L=$AD$4,
      MLOddsP!$I:$I = XLOOKUP(D28, Validations!$E$2:$E$31, Validations!$H$2:$H$31)
    ),
    1
  ),
  """"
)"),"")</f>
        <v/>
      </c>
      <c r="AD28" s="71">
        <f t="shared" ca="1" si="3"/>
        <v>0</v>
      </c>
      <c r="AE28" s="71">
        <f t="shared" ca="1" si="4"/>
        <v>0</v>
      </c>
      <c r="AF28" s="84" t="e">
        <f t="shared" ca="1" si="5"/>
        <v>#DIV/0!</v>
      </c>
      <c r="AG28" s="84" t="e">
        <f t="shared" ca="1" si="6"/>
        <v>#DIV/0!</v>
      </c>
      <c r="AH28" s="85">
        <f>Game12Poisson!$F$31+Game12Poisson!$F$32</f>
        <v>0.59891852551323277</v>
      </c>
      <c r="AI28" s="85">
        <f>Game12Poisson!$F$31</f>
        <v>0.40781263713318144</v>
      </c>
      <c r="AJ28" s="86">
        <f t="shared" ca="1" si="7"/>
        <v>10</v>
      </c>
      <c r="AK28" s="86">
        <f t="shared" ca="1" si="8"/>
        <v>10</v>
      </c>
      <c r="AL28" s="71" t="str">
        <f t="shared" ca="1" si="9"/>
        <v>Pinnacle</v>
      </c>
      <c r="AM28" s="71" t="str">
        <f t="shared" ca="1" si="10"/>
        <v>Pinnacle</v>
      </c>
      <c r="AN28" s="1">
        <f>IFERROR((1-(Dashboard!$F$7*0.1)) / (AH28 - (Dashboard!$E$7*0.1)), "")</f>
        <v>1.6034682199404153</v>
      </c>
      <c r="AO28" s="1">
        <f>IFERROR((1-(Dashboard!$E$7*0.1)) / (AI28 - (Dashboard!$E$7*0.1)), "")</f>
        <v>2.9238565654164375</v>
      </c>
    </row>
    <row r="29" spans="1:41">
      <c r="A29" s="367">
        <v>13</v>
      </c>
      <c r="B29" s="332" t="s">
        <v>172</v>
      </c>
      <c r="C29" s="333" t="s">
        <v>310</v>
      </c>
      <c r="D29" s="334" t="s">
        <v>44</v>
      </c>
      <c r="E29" s="335">
        <f>IFERROR(_xlfn.XLOOKUP(B29,'Starting Pitchers'!$W$6:$W$1400,'Starting Pitchers'!$AA$6:$AA$1400),2.52)</f>
        <v>2.875</v>
      </c>
      <c r="F29" s="336">
        <f>IF(C29="R",_xlfn.XLOOKUP(D30,'Team Batting vs R - Season'!$C$6:$C$35,'Team Batting vs R - Season'!$R$6:$R$35),_xlfn.XLOOKUP(D30,'Team Batting vs L - Season'!$C$6:$C$35,'Team Batting vs L - Season'!$R$6:$R$35))</f>
        <v>0.99724442083709153</v>
      </c>
      <c r="G29" s="338">
        <f t="shared" si="11"/>
        <v>2.2923966987800308</v>
      </c>
      <c r="H29" s="351">
        <f>IFERROR(Game13NegBin!B23,"")</f>
        <v>0.54822678448695639</v>
      </c>
      <c r="I29" s="365">
        <f t="shared" si="12"/>
        <v>-121.34999722468672</v>
      </c>
      <c r="J29" s="337"/>
      <c r="K29" s="337"/>
      <c r="L29" s="337"/>
      <c r="M29" s="337"/>
      <c r="N29" s="337"/>
      <c r="O29" s="337"/>
      <c r="P29" s="337"/>
      <c r="Q29" s="339"/>
      <c r="R29" s="339"/>
      <c r="S29" s="340"/>
      <c r="T29" s="80">
        <f t="shared" si="0"/>
        <v>10</v>
      </c>
      <c r="U29" s="81" t="str">
        <f t="shared" si="1"/>
        <v/>
      </c>
      <c r="V29" s="82">
        <f t="shared" si="2"/>
        <v>0.54822678448695639</v>
      </c>
      <c r="W29" s="1">
        <f>IFERROR((1-(Dashboard!$E$7*0.1)) / (H29 - (Dashboard!$E$7*0.1)), "")</f>
        <v>2.0079121354386409</v>
      </c>
      <c r="Y29" s="83" t="e">
        <f>#REF!</f>
        <v>#REF!</v>
      </c>
      <c r="Z29" s="71" t="str">
        <f ca="1">IFERROR(__xludf.DUMMYFUNCTION("IFERROR(
  INDEX(
    FILTER(
      MLOddsP!$K:$K,
      MLOddsP!$D:$D=""BetOnline.ag"",
      MLOddsP!$L:$L=$AA$4,
      MLOddsP!$I:$I = XLOOKUP(D29, Validations!$E$2:$E$31, Validations!$H$2:$H$31)
    ),
    1
  ),
  """"
)"),"")</f>
        <v/>
      </c>
      <c r="AA29" s="71" t="str">
        <f ca="1">IFERROR(__xludf.DUMMYFUNCTION("IFERROR(
  INDEX(
    FILTER(
      MLOddsP!$K:$K,
      MLOddsP!$D:$D=""BetOnline.ag"",
      MLOddsP!$L:$L=$AB$4,
      MLOddsP!$I:$I = XLOOKUP(D29, Validations!$E$2:$E$31, Validations!$H$2:$H$31)
    ),
    1
  ),
  """"
)"),"")</f>
        <v/>
      </c>
      <c r="AB29" s="71" t="str">
        <f ca="1">IFERROR(__xludf.DUMMYFUNCTION("IFERROR(
  INDEX(
    FILTER(
      MLOddsP!$K:$K,
      MLOddsP!$D:$D=""Pinnacle"",
      MLOddsP!$L:$L=$AC$4,
      MLOddsP!$I:$I = XLOOKUP(D29, Validations!$E$2:$E$31, Validations!$H$2:$H$31)
    ),
    1
  ),
  """"
)"),"")</f>
        <v/>
      </c>
      <c r="AC29" s="71" t="str">
        <f ca="1">IFERROR(__xludf.DUMMYFUNCTION("IFERROR(
  INDEX(
    FILTER(
      MLOddsP!$K:$K,
      MLOddsP!$D:$D=""Pinnacle"",
      MLOddsP!$L:$L=$AD$4,
      MLOddsP!$I:$I = XLOOKUP(D29, Validations!$E$2:$E$31, Validations!$H$2:$H$31)
    ),
    1
  ),
  """"
)"),"")</f>
        <v/>
      </c>
      <c r="AD29" s="71">
        <f t="shared" ca="1" si="3"/>
        <v>0</v>
      </c>
      <c r="AE29" s="71">
        <f t="shared" ca="1" si="4"/>
        <v>0</v>
      </c>
      <c r="AF29" s="84" t="e">
        <f t="shared" ca="1" si="5"/>
        <v>#DIV/0!</v>
      </c>
      <c r="AG29" s="84" t="e">
        <f t="shared" ca="1" si="6"/>
        <v>#DIV/0!</v>
      </c>
      <c r="AH29" s="85">
        <f>Game13Poisson!$F$30+Game13Poisson!$F$32</f>
        <v>0.6465280473855608</v>
      </c>
      <c r="AI29" s="85">
        <f>Game13Poisson!$F$30</f>
        <v>0.44949442641486381</v>
      </c>
      <c r="AJ29" s="86">
        <f t="shared" ca="1" si="7"/>
        <v>10</v>
      </c>
      <c r="AK29" s="86">
        <f t="shared" ca="1" si="8"/>
        <v>10</v>
      </c>
      <c r="AL29" s="71" t="str">
        <f t="shared" ca="1" si="9"/>
        <v>Pinnacle</v>
      </c>
      <c r="AM29" s="71" t="str">
        <f t="shared" ca="1" si="10"/>
        <v>Pinnacle</v>
      </c>
      <c r="AN29" s="1">
        <f>IFERROR((1-(Dashboard!$F$7*0.1)) / (AH29 - (Dashboard!$E$7*0.1)), "")</f>
        <v>1.4637858090302576</v>
      </c>
      <c r="AO29" s="1">
        <f>IFERROR((1-(Dashboard!$E$7*0.1)) / (AI29 - (Dashboard!$E$7*0.1)), "")</f>
        <v>2.5751483628287226</v>
      </c>
    </row>
    <row r="30" spans="1:41">
      <c r="A30" s="371">
        <v>13</v>
      </c>
      <c r="B30" s="332" t="s">
        <v>180</v>
      </c>
      <c r="C30" s="333" t="s">
        <v>310</v>
      </c>
      <c r="D30" s="334" t="s">
        <v>49</v>
      </c>
      <c r="E30" s="335">
        <f>IFERROR(_xlfn.XLOOKUP(B30,'Starting Pitchers'!$W$6:$W$1400,'Starting Pitchers'!$AA$6:$AA$1400),2.52)</f>
        <v>2.625</v>
      </c>
      <c r="F30" s="336">
        <f>IF(C30="R",_xlfn.XLOOKUP(D29,'Team Batting vs R - Season'!$C$6:$C$35,'Team Batting vs R - Season'!$R$6:$R$35),_xlfn.XLOOKUP(D29,'Team Batting vs L - Season'!$C$6:$C$35,'Team Batting vs L - Season'!$R$6:$R$35))</f>
        <v>0.973625170869305</v>
      </c>
      <c r="G30" s="338">
        <f t="shared" si="11"/>
        <v>2.0337119775393169</v>
      </c>
      <c r="H30" s="351">
        <f>IFERROR(Game13NegBin!C23,"")</f>
        <v>0.4517732155130435</v>
      </c>
      <c r="I30" s="365">
        <f t="shared" si="12"/>
        <v>121.34999722468677</v>
      </c>
      <c r="J30" s="337"/>
      <c r="K30" s="337"/>
      <c r="L30" s="337"/>
      <c r="M30" s="337"/>
      <c r="N30" s="337"/>
      <c r="O30" s="337"/>
      <c r="P30" s="337"/>
      <c r="Q30" s="339"/>
      <c r="R30" s="339"/>
      <c r="S30" s="340"/>
      <c r="T30" s="80">
        <f t="shared" si="0"/>
        <v>10</v>
      </c>
      <c r="U30" s="81" t="str">
        <f t="shared" si="1"/>
        <v/>
      </c>
      <c r="V30" s="82">
        <f t="shared" si="2"/>
        <v>0.4517732155130435</v>
      </c>
      <c r="W30" s="1">
        <f>IFERROR((1-(Dashboard!$E$7*0.1)) / (H30 - (Dashboard!$E$7*0.1)), "")</f>
        <v>2.5584665355700698</v>
      </c>
      <c r="Y30" s="83" t="e">
        <f>#REF!</f>
        <v>#REF!</v>
      </c>
      <c r="Z30" s="71" t="str">
        <f ca="1">IFERROR(__xludf.DUMMYFUNCTION("IFERROR(
  INDEX(
    FILTER(
      MLOddsP!$K:$K,
      MLOddsP!$D:$D=""BetOnline.ag"",
      MLOddsP!$L:$L=$AA$4,
      MLOddsP!$I:$I = XLOOKUP(D30, Validations!$E$2:$E$31, Validations!$H$2:$H$31)
    ),
    1
  ),
  """"
)"),"")</f>
        <v/>
      </c>
      <c r="AA30" s="71" t="str">
        <f ca="1">IFERROR(__xludf.DUMMYFUNCTION("IFERROR(
  INDEX(
    FILTER(
      MLOddsP!$K:$K,
      MLOddsP!$D:$D=""BetOnline.ag"",
      MLOddsP!$L:$L=$AB$4,
      MLOddsP!$I:$I = XLOOKUP(D30, Validations!$E$2:$E$31, Validations!$H$2:$H$31)
    ),
    1
  ),
  """"
)"),"")</f>
        <v/>
      </c>
      <c r="AB30" s="71" t="str">
        <f ca="1">IFERROR(__xludf.DUMMYFUNCTION("IFERROR(
  INDEX(
    FILTER(
      MLOddsP!$K:$K,
      MLOddsP!$D:$D=""Pinnacle"",
      MLOddsP!$L:$L=$AC$4,
      MLOddsP!$I:$I = XLOOKUP(D30, Validations!$E$2:$E$31, Validations!$H$2:$H$31)
    ),
    1
  ),
  """"
)"),"")</f>
        <v/>
      </c>
      <c r="AC30" s="71" t="str">
        <f ca="1">IFERROR(__xludf.DUMMYFUNCTION("IFERROR(
  INDEX(
    FILTER(
      MLOddsP!$K:$K,
      MLOddsP!$D:$D=""Pinnacle"",
      MLOddsP!$L:$L=$AD$4,
      MLOddsP!$I:$I = XLOOKUP(D30, Validations!$E$2:$E$31, Validations!$H$2:$H$31)
    ),
    1
  ),
  """"
)"),"")</f>
        <v/>
      </c>
      <c r="AD30" s="71">
        <f t="shared" ca="1" si="3"/>
        <v>0</v>
      </c>
      <c r="AE30" s="71">
        <f t="shared" ca="1" si="4"/>
        <v>0</v>
      </c>
      <c r="AF30" s="84" t="e">
        <f t="shared" ca="1" si="5"/>
        <v>#DIV/0!</v>
      </c>
      <c r="AG30" s="84" t="e">
        <f t="shared" ca="1" si="6"/>
        <v>#DIV/0!</v>
      </c>
      <c r="AH30" s="85">
        <f>Game13Poisson!$F$31+Game13Poisson!$F$32</f>
        <v>0.55050557358513619</v>
      </c>
      <c r="AI30" s="85">
        <f>Game13Poisson!$F$31</f>
        <v>0.3534719526144392</v>
      </c>
      <c r="AJ30" s="86">
        <f t="shared" ca="1" si="7"/>
        <v>10</v>
      </c>
      <c r="AK30" s="86">
        <f t="shared" ca="1" si="8"/>
        <v>10</v>
      </c>
      <c r="AL30" s="71" t="str">
        <f t="shared" ca="1" si="9"/>
        <v>Pinnacle</v>
      </c>
      <c r="AM30" s="71" t="str">
        <f t="shared" ca="1" si="10"/>
        <v>Pinnacle</v>
      </c>
      <c r="AN30" s="1">
        <f>IFERROR((1-(Dashboard!$F$7*0.1)) / (AH30 - (Dashboard!$E$7*0.1)), "")</f>
        <v>1.7757826915071822</v>
      </c>
      <c r="AO30" s="1">
        <f>IFERROR((1-(Dashboard!$E$7*0.1)) / (AI30 - (Dashboard!$E$7*0.1)), "")</f>
        <v>3.5506887082256644</v>
      </c>
    </row>
    <row r="31" spans="1:41">
      <c r="A31" s="369">
        <v>14</v>
      </c>
      <c r="B31" s="342" t="s">
        <v>65</v>
      </c>
      <c r="C31" s="343" t="s">
        <v>311</v>
      </c>
      <c r="D31" s="344" t="s">
        <v>66</v>
      </c>
      <c r="E31" s="335">
        <f>IFERROR(_xlfn.XLOOKUP(B31,'Starting Pitchers'!$W$6:$W$1400,'Starting Pitchers'!$AA$6:$AA$1400),2.52)</f>
        <v>2</v>
      </c>
      <c r="F31" s="428">
        <f>IF(C31="R",_xlfn.XLOOKUP(D32,'Team Batting vs R - Season'!$C$6:$C$35,'Team Batting vs R - Season'!$R$6:$R$35),_xlfn.XLOOKUP(D32,'Team Batting vs L - Season'!$C$6:$C$35,'Team Batting vs L - Season'!$R$6:$R$35))</f>
        <v>1.1464865403082793</v>
      </c>
      <c r="G31" s="429">
        <f t="shared" si="11"/>
        <v>1.8852230246595205</v>
      </c>
      <c r="H31" s="352">
        <f>IFERROR(Game14NegBin!B23,"")</f>
        <v>0.58263951608442677</v>
      </c>
      <c r="I31" s="366">
        <f t="shared" si="12"/>
        <v>-139.60102562136368</v>
      </c>
      <c r="J31" s="345"/>
      <c r="K31" s="345"/>
      <c r="L31" s="345"/>
      <c r="M31" s="345"/>
      <c r="N31" s="345"/>
      <c r="O31" s="345"/>
      <c r="P31" s="345"/>
      <c r="Q31" s="346"/>
      <c r="R31" s="346"/>
      <c r="S31" s="347"/>
      <c r="T31" s="80">
        <f t="shared" si="0"/>
        <v>10</v>
      </c>
      <c r="U31" s="81" t="str">
        <f t="shared" si="1"/>
        <v/>
      </c>
      <c r="V31" s="82">
        <f t="shared" si="2"/>
        <v>0.58263951608442677</v>
      </c>
      <c r="W31" s="1">
        <f>IFERROR((1-(Dashboard!$E$7*0.1)) / (H31 - (Dashboard!$E$7*0.1)), "")</f>
        <v>1.8647457781773624</v>
      </c>
      <c r="Y31" s="83" t="e">
        <f>#REF!</f>
        <v>#REF!</v>
      </c>
      <c r="Z31" s="71" t="str">
        <f ca="1">IFERROR(__xludf.DUMMYFUNCTION("IFERROR(
  INDEX(
    FILTER(
      MLOddsP!$K:$K,
      MLOddsP!$D:$D=""BetOnline.ag"",
      MLOddsP!$L:$L=$AA$4,
      MLOddsP!$I:$I = XLOOKUP(D31, Validations!$E$2:$E$31, Validations!$H$2:$H$31)
    ),
    1
  ),
  """"
)"),"")</f>
        <v/>
      </c>
      <c r="AA31" s="71" t="str">
        <f ca="1">IFERROR(__xludf.DUMMYFUNCTION("IFERROR(
  INDEX(
    FILTER(
      MLOddsP!$K:$K,
      MLOddsP!$D:$D=""BetOnline.ag"",
      MLOddsP!$L:$L=$AB$4,
      MLOddsP!$I:$I = XLOOKUP(D31, Validations!$E$2:$E$31, Validations!$H$2:$H$31)
    ),
    1
  ),
  """"
)"),"")</f>
        <v/>
      </c>
      <c r="AB31" s="71" t="str">
        <f ca="1">IFERROR(__xludf.DUMMYFUNCTION("IFERROR(
  INDEX(
    FILTER(
      MLOddsP!$K:$K,
      MLOddsP!$D:$D=""Pinnacle"",
      MLOddsP!$L:$L=$AC$4,
      MLOddsP!$I:$I = XLOOKUP(D31, Validations!$E$2:$E$31, Validations!$H$2:$H$31)
    ),
    1
  ),
  """"
)"),"")</f>
        <v/>
      </c>
      <c r="AC31" s="71" t="str">
        <f ca="1">IFERROR(__xludf.DUMMYFUNCTION("IFERROR(
  INDEX(
    FILTER(
      MLOddsP!$K:$K,
      MLOddsP!$D:$D=""Pinnacle"",
      MLOddsP!$L:$L=$AD$4,
      MLOddsP!$I:$I = XLOOKUP(D31, Validations!$E$2:$E$31, Validations!$H$2:$H$31)
    ),
    1
  ),
  """"
)"),"")</f>
        <v/>
      </c>
      <c r="AD31" s="71">
        <f t="shared" ca="1" si="3"/>
        <v>0</v>
      </c>
      <c r="AE31" s="71">
        <f t="shared" ca="1" si="4"/>
        <v>0</v>
      </c>
      <c r="AF31" s="84" t="e">
        <f t="shared" ca="1" si="5"/>
        <v>#DIV/0!</v>
      </c>
      <c r="AG31" s="84" t="e">
        <f t="shared" ca="1" si="6"/>
        <v>#DIV/0!</v>
      </c>
      <c r="AH31" s="85">
        <f>Game14Poisson!$F$30+Game14Poisson!$F$32</f>
        <v>0.68813508952609326</v>
      </c>
      <c r="AI31" s="85">
        <f>Game14Poisson!$F$30</f>
        <v>0.46548503578802097</v>
      </c>
      <c r="AJ31" s="86">
        <f t="shared" ca="1" si="7"/>
        <v>10</v>
      </c>
      <c r="AK31" s="86">
        <f t="shared" ca="1" si="8"/>
        <v>10</v>
      </c>
      <c r="AL31" s="71" t="str">
        <f t="shared" ca="1" si="9"/>
        <v>Pinnacle</v>
      </c>
      <c r="AM31" s="71" t="str">
        <f t="shared" ca="1" si="10"/>
        <v>Pinnacle</v>
      </c>
      <c r="AN31" s="1">
        <f>IFERROR((1-(Dashboard!$F$7*0.1)) / (AH31 - (Dashboard!$E$7*0.1)), "")</f>
        <v>1.3602317124873862</v>
      </c>
      <c r="AO31" s="1">
        <f>IFERROR((1-(Dashboard!$E$7*0.1)) / (AI31 - (Dashboard!$E$7*0.1)), "")</f>
        <v>2.4624811192598171</v>
      </c>
    </row>
    <row r="32" spans="1:41">
      <c r="A32" s="368">
        <v>14</v>
      </c>
      <c r="B32" s="342" t="s">
        <v>178</v>
      </c>
      <c r="C32" s="343" t="s">
        <v>310</v>
      </c>
      <c r="D32" s="344" t="s">
        <v>143</v>
      </c>
      <c r="E32" s="335">
        <f>IFERROR(_xlfn.XLOOKUP(B32,'Starting Pitchers'!$W$6:$W$1400,'Starting Pitchers'!$AA$6:$AA$1400),2.52)</f>
        <v>1.7142999999999999</v>
      </c>
      <c r="F32" s="428">
        <f>IF(C32="R",_xlfn.XLOOKUP(D31,'Team Batting vs R - Season'!$C$6:$C$35,'Team Batting vs R - Season'!$R$6:$R$35),_xlfn.XLOOKUP(D31,'Team Batting vs L - Season'!$C$6:$C$35,'Team Batting vs L - Season'!$R$6:$R$35))</f>
        <v>1.0858166082162917</v>
      </c>
      <c r="G32" s="429">
        <f t="shared" si="11"/>
        <v>1.513856076234483</v>
      </c>
      <c r="H32" s="352">
        <f>IFERROR(Game14NegBin!C23,"")</f>
        <v>0.41736048391557323</v>
      </c>
      <c r="I32" s="366">
        <f t="shared" si="12"/>
        <v>139.60102562136368</v>
      </c>
      <c r="J32" s="345"/>
      <c r="K32" s="345"/>
      <c r="L32" s="345"/>
      <c r="M32" s="345"/>
      <c r="N32" s="345"/>
      <c r="O32" s="345"/>
      <c r="P32" s="345"/>
      <c r="Q32" s="346"/>
      <c r="R32" s="346"/>
      <c r="S32" s="347"/>
      <c r="T32" s="80">
        <f t="shared" si="0"/>
        <v>10</v>
      </c>
      <c r="U32" s="81" t="str">
        <f t="shared" si="1"/>
        <v/>
      </c>
      <c r="V32" s="82">
        <f t="shared" si="2"/>
        <v>0.41736048391557323</v>
      </c>
      <c r="W32" s="1">
        <f>IFERROR((1-(Dashboard!$E$7*0.1)) / (H32 - (Dashboard!$E$7*0.1)), "")</f>
        <v>2.835891818968316</v>
      </c>
      <c r="Y32" s="83" t="e">
        <f>#REF!</f>
        <v>#REF!</v>
      </c>
      <c r="Z32" s="71" t="str">
        <f ca="1">IFERROR(__xludf.DUMMYFUNCTION("IFERROR(
  INDEX(
    FILTER(
      MLOddsP!$K:$K,
      MLOddsP!$D:$D=""BetOnline.ag"",
      MLOddsP!$L:$L=$AA$4,
      MLOddsP!$I:$I = XLOOKUP(D32, Validations!$E$2:$E$31, Validations!$H$2:$H$31)
    ),
    1
  ),
  """"
)"),"")</f>
        <v/>
      </c>
      <c r="AA32" s="71" t="str">
        <f ca="1">IFERROR(__xludf.DUMMYFUNCTION("IFERROR(
  INDEX(
    FILTER(
      MLOddsP!$K:$K,
      MLOddsP!$D:$D=""BetOnline.ag"",
      MLOddsP!$L:$L=$AB$4,
      MLOddsP!$I:$I = XLOOKUP(D32, Validations!$E$2:$E$31, Validations!$H$2:$H$31)
    ),
    1
  ),
  """"
)"),"")</f>
        <v/>
      </c>
      <c r="AB32" s="71" t="str">
        <f ca="1">IFERROR(__xludf.DUMMYFUNCTION("IFERROR(
  INDEX(
    FILTER(
      MLOddsP!$K:$K,
      MLOddsP!$D:$D=""Pinnacle"",
      MLOddsP!$L:$L=$AC$4,
      MLOddsP!$I:$I = XLOOKUP(D32, Validations!$E$2:$E$31, Validations!$H$2:$H$31)
    ),
    1
  ),
  """"
)"),"")</f>
        <v/>
      </c>
      <c r="AC32" s="71" t="str">
        <f ca="1">IFERROR(__xludf.DUMMYFUNCTION("IFERROR(
  INDEX(
    FILTER(
      MLOddsP!$K:$K,
      MLOddsP!$D:$D=""Pinnacle"",
      MLOddsP!$L:$L=$AD$4,
      MLOddsP!$I:$I = XLOOKUP(D32, Validations!$E$2:$E$31, Validations!$H$2:$H$31)
    ),
    1
  ),
  """"
)"),"")</f>
        <v/>
      </c>
      <c r="AD32" s="71">
        <f t="shared" ca="1" si="3"/>
        <v>0</v>
      </c>
      <c r="AE32" s="71">
        <f t="shared" ca="1" si="4"/>
        <v>0</v>
      </c>
      <c r="AF32" s="84" t="e">
        <f t="shared" ca="1" si="5"/>
        <v>#DIV/0!</v>
      </c>
      <c r="AG32" s="84" t="e">
        <f t="shared" ca="1" si="6"/>
        <v>#DIV/0!</v>
      </c>
      <c r="AH32" s="85">
        <f>Game14Poisson!$F$31+Game14Poisson!$F$32</f>
        <v>0.53451496421197908</v>
      </c>
      <c r="AI32" s="85">
        <f>Game14Poisson!$F$31</f>
        <v>0.31186491047390674</v>
      </c>
      <c r="AJ32" s="86">
        <f t="shared" ca="1" si="7"/>
        <v>10</v>
      </c>
      <c r="AK32" s="86">
        <f t="shared" ca="1" si="8"/>
        <v>10</v>
      </c>
      <c r="AL32" s="71" t="str">
        <f t="shared" ca="1" si="9"/>
        <v>Pinnacle</v>
      </c>
      <c r="AM32" s="71" t="str">
        <f t="shared" ca="1" si="10"/>
        <v>Pinnacle</v>
      </c>
      <c r="AN32" s="1">
        <f>IFERROR((1-(Dashboard!$F$7*0.1)) / (AH32 - (Dashboard!$E$7*0.1)), "")</f>
        <v>1.8411333691368987</v>
      </c>
      <c r="AO32" s="1">
        <f>IFERROR((1-(Dashboard!$E$7*0.1)) / (AI32 - (Dashboard!$E$7*0.1)), "")</f>
        <v>4.247989900672315</v>
      </c>
    </row>
    <row r="33" spans="1:41">
      <c r="A33" s="367">
        <v>15</v>
      </c>
      <c r="B33" s="332" t="s">
        <v>174</v>
      </c>
      <c r="C33" s="333" t="s">
        <v>311</v>
      </c>
      <c r="D33" s="334" t="s">
        <v>80</v>
      </c>
      <c r="E33" s="335">
        <f>IFERROR(_xlfn.XLOOKUP(B33,'Starting Pitchers'!$W$6:$W$1400,'Starting Pitchers'!$AA$6:$AA$1400),2.52)</f>
        <v>1.875</v>
      </c>
      <c r="F33" s="336">
        <f>IF(C33="R",_xlfn.XLOOKUP(D34,'Team Batting vs R - Season'!$C$6:$C$35,'Team Batting vs R - Season'!$R$6:$R$35),_xlfn.XLOOKUP(D34,'Team Batting vs L - Season'!$C$6:$C$35,'Team Batting vs L - Season'!$R$6:$R$35))</f>
        <v>1.0453159800953671</v>
      </c>
      <c r="G33" s="338">
        <f t="shared" si="11"/>
        <v>1.5819340230731458</v>
      </c>
      <c r="H33" s="351">
        <f>IFERROR(Game15NegBin!B23,"")</f>
        <v>0.52758183392611246</v>
      </c>
      <c r="I33" s="365">
        <f t="shared" si="12"/>
        <v>-111.67687269748157</v>
      </c>
      <c r="J33" s="337"/>
      <c r="K33" s="337"/>
      <c r="L33" s="337"/>
      <c r="M33" s="337"/>
      <c r="N33" s="337"/>
      <c r="O33" s="337"/>
      <c r="P33" s="337"/>
      <c r="Q33" s="339"/>
      <c r="R33" s="339"/>
      <c r="S33" s="340"/>
      <c r="T33" s="80">
        <f t="shared" si="0"/>
        <v>10</v>
      </c>
      <c r="U33" s="81" t="str">
        <f t="shared" si="1"/>
        <v/>
      </c>
      <c r="V33" s="82">
        <f t="shared" si="2"/>
        <v>0.52758183392611246</v>
      </c>
      <c r="W33" s="1">
        <f>IFERROR((1-(Dashboard!$E$7*0.1)) / (H33 - (Dashboard!$E$7*0.1)), "")</f>
        <v>2.1048602363109814</v>
      </c>
      <c r="Y33" s="83" t="e">
        <f>#REF!</f>
        <v>#REF!</v>
      </c>
      <c r="Z33" s="71" t="str">
        <f ca="1">IFERROR(__xludf.DUMMYFUNCTION("IFERROR(
  INDEX(
    FILTER(
      MLOddsP!$K:$K,
      MLOddsP!$D:$D=""BetOnline.ag"",
      MLOddsP!$L:$L=$AA$4,
      MLOddsP!$I:$I = XLOOKUP(D33, Validations!$E$2:$E$31, Validations!$H$2:$H$31)
    ),
    1
  ),
  """"
)"),"")</f>
        <v/>
      </c>
      <c r="AA33" s="71" t="str">
        <f ca="1">IFERROR(__xludf.DUMMYFUNCTION("IFERROR(
  INDEX(
    FILTER(
      MLOddsP!$K:$K,
      MLOddsP!$D:$D=""BetOnline.ag"",
      MLOddsP!$L:$L=$AB$4,
      MLOddsP!$I:$I = XLOOKUP(D33, Validations!$E$2:$E$31, Validations!$H$2:$H$31)
    ),
    1
  ),
  """"
)"),"")</f>
        <v/>
      </c>
      <c r="AB33" s="71" t="str">
        <f ca="1">IFERROR(__xludf.DUMMYFUNCTION("IFERROR(
  INDEX(
    FILTER(
      MLOddsP!$K:$K,
      MLOddsP!$D:$D=""Pinnacle"",
      MLOddsP!$L:$L=$AC$4,
      MLOddsP!$I:$I = XLOOKUP(D33, Validations!$E$2:$E$31, Validations!$H$2:$H$31)
    ),
    1
  ),
  """"
)"),"")</f>
        <v/>
      </c>
      <c r="AC33" s="71" t="str">
        <f ca="1">IFERROR(__xludf.DUMMYFUNCTION("IFERROR(
  INDEX(
    FILTER(
      MLOddsP!$K:$K,
      MLOddsP!$D:$D=""Pinnacle"",
      MLOddsP!$L:$L=$AD$4,
      MLOddsP!$I:$I = XLOOKUP(D33, Validations!$E$2:$E$31, Validations!$H$2:$H$31)
    ),
    1
  ),
  """"
)"),"")</f>
        <v/>
      </c>
      <c r="AD33" s="71">
        <f t="shared" ca="1" si="3"/>
        <v>0</v>
      </c>
      <c r="AE33" s="71">
        <f t="shared" ca="1" si="4"/>
        <v>0</v>
      </c>
      <c r="AF33" s="84" t="e">
        <f t="shared" ca="1" si="5"/>
        <v>#DIV/0!</v>
      </c>
      <c r="AG33" s="84" t="e">
        <f t="shared" ca="1" si="6"/>
        <v>#DIV/0!</v>
      </c>
      <c r="AH33" s="85">
        <f>Game15Poisson!$F$30+Game15Poisson!$F$32</f>
        <v>0.64494418691508837</v>
      </c>
      <c r="AI33" s="85">
        <f>Game15Poisson!$F$30</f>
        <v>0.40464406283732701</v>
      </c>
      <c r="AJ33" s="86">
        <f t="shared" ca="1" si="7"/>
        <v>10</v>
      </c>
      <c r="AK33" s="86">
        <f t="shared" ca="1" si="8"/>
        <v>10</v>
      </c>
      <c r="AL33" s="71" t="str">
        <f t="shared" ca="1" si="9"/>
        <v>Pinnacle</v>
      </c>
      <c r="AM33" s="71" t="str">
        <f t="shared" ca="1" si="10"/>
        <v>Pinnacle</v>
      </c>
      <c r="AN33" s="1">
        <f>IFERROR((1-(Dashboard!$F$7*0.1)) / (AH33 - (Dashboard!$E$7*0.1)), "")</f>
        <v>1.4680402492753881</v>
      </c>
      <c r="AO33" s="1">
        <f>IFERROR((1-(Dashboard!$E$7*0.1)) / (AI33 - (Dashboard!$E$7*0.1)), "")</f>
        <v>2.9542673230450562</v>
      </c>
    </row>
    <row r="34" spans="1:41">
      <c r="A34" s="371">
        <v>15</v>
      </c>
      <c r="B34" s="332" t="s">
        <v>228</v>
      </c>
      <c r="C34" s="333" t="s">
        <v>310</v>
      </c>
      <c r="D34" s="334" t="s">
        <v>137</v>
      </c>
      <c r="E34" s="335">
        <f>IFERROR(_xlfn.XLOOKUP(B34,'Starting Pitchers'!$W$6:$W$1400,'Starting Pitchers'!$AA$6:$AA$1400),2.52)</f>
        <v>2.125</v>
      </c>
      <c r="F34" s="336">
        <f>IF(C34="R",_xlfn.XLOOKUP(D33,'Team Batting vs R - Season'!$C$6:$C$35,'Team Batting vs R - Season'!$R$6:$R$35),_xlfn.XLOOKUP(D33,'Team Batting vs L - Season'!$C$6:$C$35,'Team Batting vs L - Season'!$R$6:$R$35))</f>
        <v>0.88505298349010486</v>
      </c>
      <c r="G34" s="338">
        <f t="shared" si="11"/>
        <v>1.4682906927348096</v>
      </c>
      <c r="H34" s="351">
        <f>IFERROR(Game15NegBin!C23,"")</f>
        <v>0.47241816607388748</v>
      </c>
      <c r="I34" s="365">
        <f t="shared" si="12"/>
        <v>111.67687269748158</v>
      </c>
      <c r="J34" s="337"/>
      <c r="K34" s="337"/>
      <c r="L34" s="337"/>
      <c r="M34" s="337"/>
      <c r="N34" s="337"/>
      <c r="O34" s="337"/>
      <c r="P34" s="337"/>
      <c r="Q34" s="339"/>
      <c r="R34" s="339"/>
      <c r="S34" s="340"/>
      <c r="T34" s="80">
        <f t="shared" si="0"/>
        <v>10</v>
      </c>
      <c r="U34" s="81" t="str">
        <f t="shared" si="1"/>
        <v/>
      </c>
      <c r="V34" s="82">
        <f t="shared" si="2"/>
        <v>0.47241816607388748</v>
      </c>
      <c r="W34" s="1">
        <f>IFERROR((1-(Dashboard!$E$7*0.1)) / (H34 - (Dashboard!$E$7*0.1)), "")</f>
        <v>2.4166382899308965</v>
      </c>
      <c r="Y34" s="83" t="e">
        <f>#REF!</f>
        <v>#REF!</v>
      </c>
      <c r="Z34" s="71" t="str">
        <f ca="1">IFERROR(__xludf.DUMMYFUNCTION("IFERROR(
  INDEX(
    FILTER(
      MLOddsP!$K:$K,
      MLOddsP!$D:$D=""BetOnline.ag"",
      MLOddsP!$L:$L=$AA$4,
      MLOddsP!$I:$I = XLOOKUP(D34, Validations!$E$2:$E$31, Validations!$H$2:$H$31)
    ),
    1
  ),
  """"
)"),"")</f>
        <v/>
      </c>
      <c r="AA34" s="71" t="str">
        <f ca="1">IFERROR(__xludf.DUMMYFUNCTION("IFERROR(
  INDEX(
    FILTER(
      MLOddsP!$K:$K,
      MLOddsP!$D:$D=""BetOnline.ag"",
      MLOddsP!$L:$L=$AB$4,
      MLOddsP!$I:$I = XLOOKUP(D34, Validations!$E$2:$E$31, Validations!$H$2:$H$31)
    ),
    1
  ),
  """"
)"),"")</f>
        <v/>
      </c>
      <c r="AB34" s="71" t="str">
        <f ca="1">IFERROR(__xludf.DUMMYFUNCTION("IFERROR(
  INDEX(
    FILTER(
      MLOddsP!$K:$K,
      MLOddsP!$D:$D=""Pinnacle"",
      MLOddsP!$L:$L=$AC$4,
      MLOddsP!$I:$I = XLOOKUP(D34, Validations!$E$2:$E$31, Validations!$H$2:$H$31)
    ),
    1
  ),
  """"
)"),"")</f>
        <v/>
      </c>
      <c r="AC34" s="71" t="str">
        <f ca="1">IFERROR(__xludf.DUMMYFUNCTION("IFERROR(
  INDEX(
    FILTER(
      MLOddsP!$K:$K,
      MLOddsP!$D:$D=""Pinnacle"",
      MLOddsP!$L:$L=$AD$4,
      MLOddsP!$I:$I = XLOOKUP(D34, Validations!$E$2:$E$31, Validations!$H$2:$H$31)
    ),
    1
  ),
  """"
)"),"")</f>
        <v/>
      </c>
      <c r="AD34" s="71">
        <f t="shared" ca="1" si="3"/>
        <v>0</v>
      </c>
      <c r="AE34" s="71">
        <f t="shared" ca="1" si="4"/>
        <v>0</v>
      </c>
      <c r="AF34" s="84" t="e">
        <f t="shared" ca="1" si="5"/>
        <v>#DIV/0!</v>
      </c>
      <c r="AG34" s="84" t="e">
        <f t="shared" ca="1" si="6"/>
        <v>#DIV/0!</v>
      </c>
      <c r="AH34" s="85">
        <f>Game15Poisson!$F$31+Game15Poisson!$F$32</f>
        <v>0.59535593716267299</v>
      </c>
      <c r="AI34" s="85">
        <f>Game15Poisson!$F$31</f>
        <v>0.35505581308491163</v>
      </c>
      <c r="AJ34" s="86">
        <f t="shared" ca="1" si="7"/>
        <v>10</v>
      </c>
      <c r="AK34" s="86">
        <f t="shared" ca="1" si="8"/>
        <v>10</v>
      </c>
      <c r="AL34" s="71" t="str">
        <f t="shared" ca="1" si="9"/>
        <v>Pinnacle</v>
      </c>
      <c r="AM34" s="71" t="str">
        <f t="shared" ca="1" si="10"/>
        <v>Pinnacle</v>
      </c>
      <c r="AN34" s="1">
        <f>IFERROR((1-(Dashboard!$F$7*0.1)) / (AH34 - (Dashboard!$E$7*0.1)), "")</f>
        <v>1.6150003259924248</v>
      </c>
      <c r="AO34" s="1">
        <f>IFERROR((1-(Dashboard!$E$7*0.1)) / (AI34 - (Dashboard!$E$7*0.1)), "")</f>
        <v>3.5286394343044338</v>
      </c>
    </row>
    <row r="35" spans="1:41">
      <c r="A35" s="341"/>
      <c r="B35" s="341"/>
      <c r="C35" s="341"/>
      <c r="D35" s="341"/>
      <c r="E35" s="341"/>
      <c r="F35" s="341"/>
      <c r="G35" s="341"/>
      <c r="H35" s="343"/>
      <c r="I35" s="343"/>
      <c r="J35" s="345"/>
      <c r="K35" s="345"/>
      <c r="L35" s="345"/>
      <c r="M35" s="345"/>
      <c r="N35" s="345"/>
      <c r="O35" s="345"/>
      <c r="P35" s="345"/>
      <c r="Q35" s="346"/>
      <c r="R35" s="346"/>
      <c r="S35" s="347"/>
      <c r="Y35" s="83"/>
      <c r="Z35" s="83"/>
      <c r="AA35" s="71"/>
      <c r="AB35" s="71"/>
      <c r="AC35" s="71"/>
      <c r="AD35" s="71"/>
      <c r="AE35" s="71"/>
      <c r="AF35" s="71"/>
      <c r="AG35" s="71"/>
      <c r="AJ35" s="71"/>
      <c r="AK35" s="71"/>
      <c r="AL35" s="71"/>
      <c r="AM35" s="71"/>
    </row>
    <row r="36" spans="1:41">
      <c r="A36" s="341"/>
      <c r="B36" s="341"/>
      <c r="C36" s="341"/>
      <c r="D36" s="341"/>
      <c r="E36" s="341"/>
      <c r="F36" s="341"/>
      <c r="G36" s="341"/>
      <c r="H36" s="343"/>
      <c r="I36" s="343"/>
      <c r="J36" s="345"/>
      <c r="K36" s="345"/>
      <c r="L36" s="345"/>
      <c r="M36" s="345"/>
      <c r="N36" s="345"/>
      <c r="O36" s="345"/>
      <c r="P36" s="345"/>
      <c r="Q36" s="346"/>
      <c r="R36" s="346"/>
      <c r="S36" s="347"/>
      <c r="Y36" s="83"/>
      <c r="Z36" s="83"/>
      <c r="AA36" s="71"/>
      <c r="AB36" s="71"/>
      <c r="AC36" s="71"/>
      <c r="AD36" s="71"/>
      <c r="AE36" s="71"/>
      <c r="AF36" s="71"/>
      <c r="AG36" s="71"/>
      <c r="AJ36" s="71"/>
      <c r="AK36" s="71"/>
      <c r="AL36" s="71"/>
      <c r="AM36" s="71"/>
    </row>
    <row r="37" spans="1:41">
      <c r="A37" s="341"/>
      <c r="B37" s="341"/>
      <c r="C37" s="341"/>
      <c r="D37" s="341"/>
      <c r="E37" s="341"/>
      <c r="F37" s="341"/>
      <c r="G37" s="341"/>
      <c r="H37" s="343"/>
      <c r="I37" s="343"/>
      <c r="J37" s="337"/>
      <c r="K37" s="337"/>
      <c r="L37" s="337"/>
      <c r="M37" s="337"/>
      <c r="N37" s="337"/>
      <c r="O37" s="337"/>
      <c r="P37" s="337"/>
      <c r="Q37" s="339"/>
      <c r="R37" s="339"/>
      <c r="S37" s="340"/>
      <c r="Y37" s="83"/>
      <c r="Z37" s="83"/>
      <c r="AA37" s="71"/>
      <c r="AB37" s="71"/>
      <c r="AC37" s="71"/>
      <c r="AD37" s="71"/>
      <c r="AE37" s="71"/>
      <c r="AF37" s="71"/>
      <c r="AG37" s="71"/>
      <c r="AJ37" s="71"/>
      <c r="AK37" s="71"/>
      <c r="AL37" s="71"/>
      <c r="AM37" s="71"/>
    </row>
    <row r="38" spans="1:41">
      <c r="A38" s="341"/>
      <c r="B38" s="341"/>
      <c r="C38" s="341"/>
      <c r="D38" s="341"/>
      <c r="E38" s="341"/>
      <c r="F38" s="341"/>
      <c r="G38" s="341"/>
      <c r="H38" s="343"/>
      <c r="I38" s="343"/>
      <c r="J38" s="337"/>
      <c r="K38" s="337"/>
      <c r="L38" s="337"/>
      <c r="M38" s="337"/>
      <c r="N38" s="337"/>
      <c r="O38" s="337"/>
      <c r="P38" s="337"/>
      <c r="Q38" s="339"/>
      <c r="R38" s="339"/>
      <c r="S38" s="340"/>
      <c r="Y38" s="83"/>
      <c r="Z38" s="83"/>
      <c r="AA38" s="71"/>
      <c r="AB38" s="71"/>
      <c r="AC38" s="71"/>
      <c r="AD38" s="71"/>
      <c r="AE38" s="71"/>
      <c r="AF38" s="71"/>
      <c r="AG38" s="71"/>
      <c r="AJ38" s="71"/>
      <c r="AK38" s="71"/>
      <c r="AL38" s="71"/>
      <c r="AM38" s="71"/>
    </row>
    <row r="39" spans="1:41">
      <c r="H39" s="71"/>
      <c r="I39" s="71"/>
      <c r="Y39" s="83"/>
      <c r="Z39" s="83"/>
      <c r="AA39" s="71"/>
      <c r="AB39" s="71"/>
      <c r="AC39" s="71"/>
      <c r="AD39" s="71"/>
      <c r="AE39" s="71"/>
      <c r="AF39" s="71"/>
      <c r="AG39" s="71"/>
      <c r="AJ39" s="71"/>
      <c r="AK39" s="71"/>
      <c r="AL39" s="71"/>
      <c r="AM39" s="71"/>
    </row>
    <row r="40" spans="1:41">
      <c r="H40" s="71"/>
      <c r="I40" s="71"/>
      <c r="Y40" s="83"/>
      <c r="Z40" s="83"/>
      <c r="AA40" s="71"/>
      <c r="AB40" s="71"/>
      <c r="AC40" s="71"/>
      <c r="AD40" s="71"/>
      <c r="AE40" s="71"/>
      <c r="AF40" s="71"/>
      <c r="AG40" s="71"/>
      <c r="AJ40" s="71"/>
      <c r="AK40" s="71"/>
      <c r="AL40" s="71"/>
      <c r="AM40" s="71"/>
    </row>
    <row r="41" spans="1:41">
      <c r="H41" s="71"/>
      <c r="I41" s="71"/>
      <c r="Y41" s="83"/>
      <c r="Z41" s="83"/>
      <c r="AA41" s="71"/>
      <c r="AB41" s="71"/>
      <c r="AC41" s="71"/>
      <c r="AD41" s="71"/>
      <c r="AE41" s="71"/>
      <c r="AF41" s="71"/>
      <c r="AG41" s="71"/>
      <c r="AJ41" s="71"/>
      <c r="AK41" s="71"/>
      <c r="AL41" s="71"/>
      <c r="AM41" s="71"/>
    </row>
    <row r="42" spans="1:41">
      <c r="H42" s="71"/>
      <c r="I42" s="71"/>
      <c r="Y42" s="83"/>
      <c r="Z42" s="83"/>
      <c r="AA42" s="71"/>
      <c r="AB42" s="71"/>
      <c r="AC42" s="71"/>
      <c r="AD42" s="71"/>
      <c r="AE42" s="71"/>
      <c r="AF42" s="71"/>
      <c r="AG42" s="71"/>
      <c r="AJ42" s="71"/>
      <c r="AK42" s="71"/>
      <c r="AL42" s="71"/>
      <c r="AM42" s="71"/>
    </row>
    <row r="43" spans="1:41">
      <c r="H43" s="71"/>
      <c r="I43" s="71"/>
      <c r="Y43" s="83"/>
      <c r="Z43" s="83"/>
      <c r="AA43" s="71"/>
      <c r="AB43" s="71"/>
      <c r="AC43" s="71"/>
      <c r="AD43" s="71"/>
      <c r="AE43" s="71"/>
      <c r="AF43" s="71"/>
      <c r="AG43" s="71"/>
      <c r="AJ43" s="71"/>
      <c r="AK43" s="71"/>
      <c r="AL43" s="71"/>
      <c r="AM43" s="71"/>
    </row>
    <row r="44" spans="1:41">
      <c r="H44" s="71"/>
      <c r="I44" s="71"/>
      <c r="Y44" s="83"/>
      <c r="Z44" s="83"/>
      <c r="AA44" s="71"/>
      <c r="AB44" s="71"/>
      <c r="AC44" s="71"/>
      <c r="AD44" s="71"/>
      <c r="AE44" s="71"/>
      <c r="AF44" s="71"/>
      <c r="AG44" s="71"/>
      <c r="AJ44" s="71"/>
      <c r="AK44" s="71"/>
      <c r="AL44" s="71"/>
      <c r="AM44" s="71"/>
    </row>
    <row r="45" spans="1:41">
      <c r="H45" s="71"/>
      <c r="I45" s="71"/>
      <c r="Y45" s="83"/>
      <c r="Z45" s="83"/>
      <c r="AA45" s="71"/>
      <c r="AB45" s="71"/>
      <c r="AC45" s="71"/>
      <c r="AD45" s="71"/>
      <c r="AE45" s="71"/>
      <c r="AF45" s="71"/>
      <c r="AG45" s="71"/>
      <c r="AJ45" s="71"/>
      <c r="AK45" s="71"/>
      <c r="AL45" s="71"/>
      <c r="AM45" s="71"/>
    </row>
    <row r="46" spans="1:41">
      <c r="H46" s="71"/>
      <c r="I46" s="71"/>
      <c r="Y46" s="83"/>
      <c r="Z46" s="83"/>
      <c r="AA46" s="71"/>
      <c r="AB46" s="71"/>
      <c r="AC46" s="71"/>
      <c r="AD46" s="71"/>
      <c r="AE46" s="71"/>
      <c r="AF46" s="71"/>
      <c r="AG46" s="71"/>
      <c r="AJ46" s="71"/>
      <c r="AK46" s="71"/>
      <c r="AL46" s="71"/>
      <c r="AM46" s="71"/>
    </row>
    <row r="47" spans="1:41">
      <c r="H47" s="71"/>
      <c r="I47" s="71"/>
      <c r="Y47" s="83"/>
      <c r="Z47" s="83"/>
      <c r="AA47" s="71"/>
      <c r="AB47" s="71"/>
      <c r="AC47" s="71"/>
      <c r="AD47" s="71"/>
      <c r="AE47" s="71"/>
      <c r="AF47" s="71"/>
      <c r="AG47" s="71"/>
      <c r="AJ47" s="71"/>
      <c r="AK47" s="71"/>
      <c r="AL47" s="71"/>
      <c r="AM47" s="71"/>
    </row>
    <row r="48" spans="1:41">
      <c r="H48" s="71"/>
      <c r="I48" s="71"/>
      <c r="Y48" s="83"/>
      <c r="Z48" s="83"/>
      <c r="AA48" s="71"/>
      <c r="AB48" s="71"/>
      <c r="AC48" s="71"/>
      <c r="AD48" s="71"/>
      <c r="AE48" s="71"/>
      <c r="AF48" s="71"/>
      <c r="AG48" s="71"/>
      <c r="AJ48" s="71"/>
      <c r="AK48" s="71"/>
      <c r="AL48" s="71"/>
      <c r="AM48" s="71"/>
    </row>
    <row r="49" spans="8:39">
      <c r="H49" s="71"/>
      <c r="I49" s="71"/>
      <c r="Y49" s="83"/>
      <c r="Z49" s="83"/>
      <c r="AA49" s="71"/>
      <c r="AB49" s="71"/>
      <c r="AC49" s="71"/>
      <c r="AD49" s="71"/>
      <c r="AE49" s="71"/>
      <c r="AF49" s="71"/>
      <c r="AG49" s="71"/>
      <c r="AJ49" s="71"/>
      <c r="AK49" s="71"/>
      <c r="AL49" s="71"/>
      <c r="AM49" s="71"/>
    </row>
    <row r="50" spans="8:39">
      <c r="H50" s="71"/>
      <c r="I50" s="71"/>
      <c r="Y50" s="83"/>
      <c r="Z50" s="83"/>
      <c r="AA50" s="71"/>
      <c r="AB50" s="71"/>
      <c r="AC50" s="71"/>
      <c r="AD50" s="71"/>
      <c r="AE50" s="71"/>
      <c r="AF50" s="71"/>
      <c r="AG50" s="71"/>
      <c r="AJ50" s="71"/>
      <c r="AK50" s="71"/>
      <c r="AL50" s="71"/>
      <c r="AM50" s="71"/>
    </row>
    <row r="51" spans="8:39">
      <c r="H51" s="71"/>
      <c r="I51" s="71"/>
      <c r="Y51" s="83"/>
      <c r="Z51" s="83"/>
      <c r="AA51" s="71"/>
      <c r="AB51" s="71"/>
      <c r="AC51" s="71"/>
      <c r="AD51" s="71"/>
      <c r="AE51" s="71"/>
      <c r="AF51" s="71"/>
      <c r="AG51" s="71"/>
      <c r="AJ51" s="71"/>
      <c r="AK51" s="71"/>
      <c r="AL51" s="71"/>
      <c r="AM51" s="71"/>
    </row>
    <row r="52" spans="8:39">
      <c r="H52" s="71"/>
      <c r="I52" s="71"/>
      <c r="Y52" s="83"/>
      <c r="Z52" s="83"/>
      <c r="AA52" s="71"/>
      <c r="AB52" s="71"/>
      <c r="AC52" s="71"/>
      <c r="AD52" s="71"/>
      <c r="AE52" s="71"/>
      <c r="AF52" s="71"/>
      <c r="AG52" s="71"/>
      <c r="AJ52" s="71"/>
      <c r="AK52" s="71"/>
      <c r="AL52" s="71"/>
      <c r="AM52" s="71"/>
    </row>
    <row r="53" spans="8:39">
      <c r="H53" s="71"/>
      <c r="I53" s="71"/>
      <c r="Y53" s="83"/>
      <c r="Z53" s="83"/>
      <c r="AA53" s="71"/>
      <c r="AB53" s="71"/>
      <c r="AC53" s="71"/>
      <c r="AD53" s="71"/>
      <c r="AE53" s="71"/>
      <c r="AF53" s="71"/>
      <c r="AG53" s="71"/>
      <c r="AJ53" s="71"/>
      <c r="AK53" s="71"/>
      <c r="AL53" s="71"/>
      <c r="AM53" s="71"/>
    </row>
    <row r="54" spans="8:39">
      <c r="H54" s="71"/>
      <c r="I54" s="71"/>
      <c r="Y54" s="83"/>
      <c r="Z54" s="83"/>
      <c r="AA54" s="71"/>
      <c r="AB54" s="71"/>
      <c r="AC54" s="71"/>
      <c r="AD54" s="71"/>
      <c r="AE54" s="71"/>
      <c r="AF54" s="71"/>
      <c r="AG54" s="71"/>
      <c r="AJ54" s="71"/>
      <c r="AK54" s="71"/>
      <c r="AL54" s="71"/>
      <c r="AM54" s="71"/>
    </row>
    <row r="55" spans="8:39">
      <c r="H55" s="71"/>
      <c r="I55" s="71"/>
      <c r="Y55" s="83"/>
      <c r="Z55" s="83"/>
      <c r="AA55" s="71"/>
      <c r="AB55" s="71"/>
      <c r="AC55" s="71"/>
      <c r="AD55" s="71"/>
      <c r="AE55" s="71"/>
      <c r="AF55" s="71"/>
      <c r="AG55" s="71"/>
      <c r="AJ55" s="71"/>
      <c r="AK55" s="71"/>
      <c r="AL55" s="71"/>
      <c r="AM55" s="71"/>
    </row>
    <row r="56" spans="8:39">
      <c r="H56" s="71"/>
      <c r="I56" s="71"/>
      <c r="Y56" s="83"/>
      <c r="Z56" s="83"/>
      <c r="AA56" s="71"/>
      <c r="AB56" s="71"/>
      <c r="AC56" s="71"/>
      <c r="AD56" s="71"/>
      <c r="AE56" s="71"/>
      <c r="AF56" s="71"/>
      <c r="AG56" s="71"/>
      <c r="AJ56" s="71"/>
      <c r="AK56" s="71"/>
      <c r="AL56" s="71"/>
      <c r="AM56" s="71"/>
    </row>
    <row r="57" spans="8:39">
      <c r="H57" s="71"/>
      <c r="I57" s="71"/>
      <c r="Y57" s="83"/>
      <c r="Z57" s="83"/>
      <c r="AA57" s="71"/>
      <c r="AB57" s="71"/>
      <c r="AC57" s="71"/>
      <c r="AD57" s="71"/>
      <c r="AE57" s="71"/>
      <c r="AF57" s="71"/>
      <c r="AG57" s="71"/>
      <c r="AJ57" s="71"/>
      <c r="AK57" s="71"/>
      <c r="AL57" s="71"/>
      <c r="AM57" s="71"/>
    </row>
    <row r="58" spans="8:39">
      <c r="H58" s="71"/>
      <c r="I58" s="71"/>
      <c r="Y58" s="83"/>
      <c r="Z58" s="83"/>
      <c r="AA58" s="71"/>
      <c r="AB58" s="71"/>
      <c r="AC58" s="71"/>
      <c r="AD58" s="71"/>
      <c r="AE58" s="71"/>
      <c r="AF58" s="71"/>
      <c r="AG58" s="71"/>
      <c r="AJ58" s="71"/>
      <c r="AK58" s="71"/>
      <c r="AL58" s="71"/>
      <c r="AM58" s="71"/>
    </row>
    <row r="59" spans="8:39">
      <c r="H59" s="71"/>
      <c r="I59" s="71"/>
      <c r="Y59" s="83"/>
      <c r="Z59" s="83"/>
      <c r="AA59" s="71"/>
      <c r="AB59" s="71"/>
      <c r="AC59" s="71"/>
      <c r="AD59" s="71"/>
      <c r="AE59" s="71"/>
      <c r="AF59" s="71"/>
      <c r="AG59" s="71"/>
      <c r="AJ59" s="71"/>
      <c r="AK59" s="71"/>
      <c r="AL59" s="71"/>
      <c r="AM59" s="71"/>
    </row>
    <row r="60" spans="8:39">
      <c r="H60" s="71"/>
      <c r="I60" s="71"/>
      <c r="Y60" s="83"/>
      <c r="Z60" s="83"/>
      <c r="AA60" s="71"/>
      <c r="AB60" s="71"/>
      <c r="AC60" s="71"/>
      <c r="AD60" s="71"/>
      <c r="AE60" s="71"/>
      <c r="AF60" s="71"/>
      <c r="AG60" s="71"/>
      <c r="AJ60" s="71"/>
      <c r="AK60" s="71"/>
      <c r="AL60" s="71"/>
      <c r="AM60" s="71"/>
    </row>
    <row r="61" spans="8:39">
      <c r="H61" s="71"/>
      <c r="I61" s="71"/>
      <c r="Y61" s="83"/>
      <c r="Z61" s="83"/>
      <c r="AA61" s="71"/>
      <c r="AB61" s="71"/>
      <c r="AC61" s="71"/>
      <c r="AD61" s="71"/>
      <c r="AE61" s="71"/>
      <c r="AF61" s="71"/>
      <c r="AG61" s="71"/>
      <c r="AJ61" s="71"/>
      <c r="AK61" s="71"/>
      <c r="AL61" s="71"/>
      <c r="AM61" s="71"/>
    </row>
    <row r="62" spans="8:39">
      <c r="H62" s="71"/>
      <c r="I62" s="71"/>
      <c r="Y62" s="83"/>
      <c r="Z62" s="83"/>
      <c r="AA62" s="71"/>
      <c r="AB62" s="71"/>
      <c r="AC62" s="71"/>
      <c r="AD62" s="71"/>
      <c r="AE62" s="71"/>
      <c r="AF62" s="71"/>
      <c r="AG62" s="71"/>
      <c r="AJ62" s="71"/>
      <c r="AK62" s="71"/>
      <c r="AL62" s="71"/>
      <c r="AM62" s="71"/>
    </row>
    <row r="63" spans="8:39">
      <c r="H63" s="71"/>
      <c r="I63" s="71"/>
      <c r="Y63" s="83"/>
      <c r="Z63" s="83"/>
      <c r="AA63" s="71"/>
      <c r="AB63" s="71"/>
      <c r="AC63" s="71"/>
      <c r="AD63" s="71"/>
      <c r="AE63" s="71"/>
      <c r="AF63" s="71"/>
      <c r="AG63" s="71"/>
      <c r="AJ63" s="71"/>
      <c r="AK63" s="71"/>
      <c r="AL63" s="71"/>
      <c r="AM63" s="71"/>
    </row>
    <row r="64" spans="8:39">
      <c r="H64" s="71"/>
      <c r="I64" s="71"/>
      <c r="Y64" s="83"/>
      <c r="Z64" s="83"/>
      <c r="AA64" s="71"/>
      <c r="AB64" s="71"/>
      <c r="AC64" s="71"/>
      <c r="AD64" s="71"/>
      <c r="AE64" s="71"/>
      <c r="AF64" s="71"/>
      <c r="AG64" s="71"/>
      <c r="AJ64" s="71"/>
      <c r="AK64" s="71"/>
      <c r="AL64" s="71"/>
      <c r="AM64" s="71"/>
    </row>
    <row r="65" spans="8:39">
      <c r="H65" s="71"/>
      <c r="I65" s="71"/>
      <c r="Y65" s="83"/>
      <c r="Z65" s="83"/>
      <c r="AA65" s="71"/>
      <c r="AB65" s="71"/>
      <c r="AC65" s="71"/>
      <c r="AD65" s="71"/>
      <c r="AE65" s="71"/>
      <c r="AF65" s="71"/>
      <c r="AG65" s="71"/>
      <c r="AJ65" s="71"/>
      <c r="AK65" s="71"/>
      <c r="AL65" s="71"/>
      <c r="AM65" s="71"/>
    </row>
    <row r="66" spans="8:39">
      <c r="H66" s="71"/>
      <c r="I66" s="71"/>
      <c r="Y66" s="83"/>
      <c r="Z66" s="83"/>
      <c r="AA66" s="71"/>
      <c r="AB66" s="71"/>
      <c r="AC66" s="71"/>
      <c r="AD66" s="71"/>
      <c r="AE66" s="71"/>
      <c r="AF66" s="71"/>
      <c r="AG66" s="71"/>
      <c r="AJ66" s="71"/>
      <c r="AK66" s="71"/>
      <c r="AL66" s="71"/>
      <c r="AM66" s="71"/>
    </row>
    <row r="67" spans="8:39">
      <c r="H67" s="71"/>
      <c r="I67" s="71"/>
      <c r="Y67" s="83"/>
      <c r="Z67" s="83"/>
      <c r="AA67" s="71"/>
      <c r="AB67" s="71"/>
      <c r="AC67" s="71"/>
      <c r="AD67" s="71"/>
      <c r="AE67" s="71"/>
      <c r="AF67" s="71"/>
      <c r="AG67" s="71"/>
      <c r="AJ67" s="71"/>
      <c r="AK67" s="71"/>
      <c r="AL67" s="71"/>
      <c r="AM67" s="71"/>
    </row>
    <row r="68" spans="8:39">
      <c r="H68" s="71"/>
      <c r="I68" s="71"/>
      <c r="Y68" s="83"/>
      <c r="Z68" s="83"/>
      <c r="AA68" s="71"/>
      <c r="AB68" s="71"/>
      <c r="AC68" s="71"/>
      <c r="AD68" s="71"/>
      <c r="AE68" s="71"/>
      <c r="AF68" s="71"/>
      <c r="AG68" s="71"/>
      <c r="AJ68" s="71"/>
      <c r="AK68" s="71"/>
      <c r="AL68" s="71"/>
      <c r="AM68" s="71"/>
    </row>
    <row r="69" spans="8:39">
      <c r="H69" s="71"/>
      <c r="I69" s="71"/>
      <c r="Y69" s="83"/>
      <c r="Z69" s="83"/>
      <c r="AA69" s="71"/>
      <c r="AB69" s="71"/>
      <c r="AC69" s="71"/>
      <c r="AD69" s="71"/>
      <c r="AE69" s="71"/>
      <c r="AF69" s="71"/>
      <c r="AG69" s="71"/>
      <c r="AJ69" s="71"/>
      <c r="AK69" s="71"/>
      <c r="AL69" s="71"/>
      <c r="AM69" s="71"/>
    </row>
    <row r="70" spans="8:39">
      <c r="H70" s="71"/>
      <c r="I70" s="71"/>
      <c r="Y70" s="83"/>
      <c r="Z70" s="83"/>
      <c r="AA70" s="71"/>
      <c r="AB70" s="71"/>
      <c r="AC70" s="71"/>
      <c r="AD70" s="71"/>
      <c r="AE70" s="71"/>
      <c r="AF70" s="71"/>
      <c r="AG70" s="71"/>
      <c r="AJ70" s="71"/>
      <c r="AK70" s="71"/>
      <c r="AL70" s="71"/>
      <c r="AM70" s="71"/>
    </row>
    <row r="71" spans="8:39">
      <c r="H71" s="71"/>
      <c r="I71" s="71"/>
      <c r="Y71" s="83"/>
      <c r="Z71" s="83"/>
      <c r="AA71" s="71"/>
      <c r="AB71" s="71"/>
      <c r="AC71" s="71"/>
      <c r="AD71" s="71"/>
      <c r="AE71" s="71"/>
      <c r="AF71" s="71"/>
      <c r="AG71" s="71"/>
      <c r="AJ71" s="71"/>
      <c r="AK71" s="71"/>
      <c r="AL71" s="71"/>
      <c r="AM71" s="71"/>
    </row>
    <row r="72" spans="8:39">
      <c r="H72" s="71"/>
      <c r="I72" s="71"/>
      <c r="Y72" s="83"/>
      <c r="Z72" s="83"/>
      <c r="AA72" s="71"/>
      <c r="AB72" s="71"/>
      <c r="AC72" s="71"/>
      <c r="AD72" s="71"/>
      <c r="AE72" s="71"/>
      <c r="AF72" s="71"/>
      <c r="AG72" s="71"/>
      <c r="AJ72" s="71"/>
      <c r="AK72" s="71"/>
      <c r="AL72" s="71"/>
      <c r="AM72" s="71"/>
    </row>
    <row r="73" spans="8:39">
      <c r="H73" s="71"/>
      <c r="I73" s="71"/>
      <c r="Y73" s="83"/>
      <c r="Z73" s="83"/>
      <c r="AA73" s="71"/>
      <c r="AB73" s="71"/>
      <c r="AC73" s="71"/>
      <c r="AD73" s="71"/>
      <c r="AE73" s="71"/>
      <c r="AF73" s="71"/>
      <c r="AG73" s="71"/>
      <c r="AJ73" s="71"/>
      <c r="AK73" s="71"/>
      <c r="AL73" s="71"/>
      <c r="AM73" s="71"/>
    </row>
    <row r="74" spans="8:39">
      <c r="H74" s="71"/>
      <c r="I74" s="71"/>
      <c r="Y74" s="83"/>
      <c r="Z74" s="83"/>
      <c r="AA74" s="71"/>
      <c r="AB74" s="71"/>
      <c r="AC74" s="71"/>
      <c r="AD74" s="71"/>
      <c r="AE74" s="71"/>
      <c r="AF74" s="71"/>
      <c r="AG74" s="71"/>
      <c r="AJ74" s="71"/>
      <c r="AK74" s="71"/>
      <c r="AL74" s="71"/>
      <c r="AM74" s="71"/>
    </row>
    <row r="75" spans="8:39">
      <c r="H75" s="71"/>
      <c r="I75" s="71"/>
      <c r="Y75" s="83"/>
      <c r="Z75" s="83"/>
      <c r="AA75" s="71"/>
      <c r="AB75" s="71"/>
      <c r="AC75" s="71"/>
      <c r="AD75" s="71"/>
      <c r="AE75" s="71"/>
      <c r="AF75" s="71"/>
      <c r="AG75" s="71"/>
      <c r="AJ75" s="71"/>
      <c r="AK75" s="71"/>
      <c r="AL75" s="71"/>
      <c r="AM75" s="71"/>
    </row>
    <row r="76" spans="8:39">
      <c r="H76" s="71"/>
      <c r="I76" s="71"/>
      <c r="Y76" s="83"/>
      <c r="Z76" s="83"/>
      <c r="AA76" s="71"/>
      <c r="AB76" s="71"/>
      <c r="AC76" s="71"/>
      <c r="AD76" s="71"/>
      <c r="AE76" s="71"/>
      <c r="AF76" s="71"/>
      <c r="AG76" s="71"/>
      <c r="AJ76" s="71"/>
      <c r="AK76" s="71"/>
      <c r="AL76" s="71"/>
      <c r="AM76" s="71"/>
    </row>
    <row r="77" spans="8:39">
      <c r="H77" s="71"/>
      <c r="I77" s="71"/>
      <c r="Y77" s="83"/>
      <c r="Z77" s="83"/>
      <c r="AA77" s="71"/>
      <c r="AB77" s="71"/>
      <c r="AC77" s="71"/>
      <c r="AD77" s="71"/>
      <c r="AE77" s="71"/>
      <c r="AF77" s="71"/>
      <c r="AG77" s="71"/>
      <c r="AJ77" s="71"/>
      <c r="AK77" s="71"/>
      <c r="AL77" s="71"/>
      <c r="AM77" s="71"/>
    </row>
    <row r="78" spans="8:39">
      <c r="H78" s="71"/>
      <c r="I78" s="71"/>
      <c r="Y78" s="83"/>
      <c r="Z78" s="83"/>
      <c r="AA78" s="71"/>
      <c r="AB78" s="71"/>
      <c r="AC78" s="71"/>
      <c r="AD78" s="71"/>
      <c r="AE78" s="71"/>
      <c r="AF78" s="71"/>
      <c r="AG78" s="71"/>
      <c r="AJ78" s="71"/>
      <c r="AK78" s="71"/>
      <c r="AL78" s="71"/>
      <c r="AM78" s="71"/>
    </row>
    <row r="79" spans="8:39">
      <c r="H79" s="71"/>
      <c r="I79" s="71"/>
      <c r="Y79" s="83"/>
      <c r="Z79" s="83"/>
      <c r="AA79" s="71"/>
      <c r="AB79" s="71"/>
      <c r="AC79" s="71"/>
      <c r="AD79" s="71"/>
      <c r="AE79" s="71"/>
      <c r="AF79" s="71"/>
      <c r="AG79" s="71"/>
      <c r="AJ79" s="71"/>
      <c r="AK79" s="71"/>
      <c r="AL79" s="71"/>
      <c r="AM79" s="71"/>
    </row>
    <row r="80" spans="8:39">
      <c r="H80" s="71"/>
      <c r="I80" s="71"/>
      <c r="Y80" s="83"/>
      <c r="Z80" s="83"/>
      <c r="AA80" s="71"/>
      <c r="AB80" s="71"/>
      <c r="AC80" s="71"/>
      <c r="AD80" s="71"/>
      <c r="AE80" s="71"/>
      <c r="AF80" s="71"/>
      <c r="AG80" s="71"/>
      <c r="AJ80" s="71"/>
      <c r="AK80" s="71"/>
      <c r="AL80" s="71"/>
      <c r="AM80" s="71"/>
    </row>
    <row r="81" spans="8:39">
      <c r="H81" s="71"/>
      <c r="I81" s="71"/>
      <c r="Y81" s="83"/>
      <c r="Z81" s="83"/>
      <c r="AA81" s="71"/>
      <c r="AB81" s="71"/>
      <c r="AC81" s="71"/>
      <c r="AD81" s="71"/>
      <c r="AE81" s="71"/>
      <c r="AF81" s="71"/>
      <c r="AG81" s="71"/>
      <c r="AJ81" s="71"/>
      <c r="AK81" s="71"/>
      <c r="AL81" s="71"/>
      <c r="AM81" s="71"/>
    </row>
    <row r="82" spans="8:39">
      <c r="H82" s="71"/>
      <c r="I82" s="71"/>
      <c r="Y82" s="83"/>
      <c r="Z82" s="83"/>
      <c r="AA82" s="71"/>
      <c r="AB82" s="71"/>
      <c r="AC82" s="71"/>
      <c r="AD82" s="71"/>
      <c r="AE82" s="71"/>
      <c r="AF82" s="71"/>
      <c r="AG82" s="71"/>
      <c r="AJ82" s="71"/>
      <c r="AK82" s="71"/>
      <c r="AL82" s="71"/>
      <c r="AM82" s="71"/>
    </row>
    <row r="83" spans="8:39">
      <c r="H83" s="71"/>
      <c r="I83" s="71"/>
      <c r="Y83" s="83"/>
      <c r="Z83" s="83"/>
      <c r="AA83" s="71"/>
      <c r="AB83" s="71"/>
      <c r="AC83" s="71"/>
      <c r="AD83" s="71"/>
      <c r="AE83" s="71"/>
      <c r="AF83" s="71"/>
      <c r="AG83" s="71"/>
      <c r="AJ83" s="71"/>
      <c r="AK83" s="71"/>
      <c r="AL83" s="71"/>
      <c r="AM83" s="71"/>
    </row>
    <row r="84" spans="8:39">
      <c r="H84" s="71"/>
      <c r="I84" s="71"/>
      <c r="Y84" s="83"/>
      <c r="Z84" s="83"/>
      <c r="AA84" s="71"/>
      <c r="AB84" s="71"/>
      <c r="AC84" s="71"/>
      <c r="AD84" s="71"/>
      <c r="AE84" s="71"/>
      <c r="AF84" s="71"/>
      <c r="AG84" s="71"/>
      <c r="AJ84" s="71"/>
      <c r="AK84" s="71"/>
      <c r="AL84" s="71"/>
      <c r="AM84" s="71"/>
    </row>
    <row r="85" spans="8:39">
      <c r="H85" s="71"/>
      <c r="I85" s="71"/>
      <c r="Y85" s="83"/>
      <c r="Z85" s="83"/>
      <c r="AA85" s="71"/>
      <c r="AB85" s="71"/>
      <c r="AC85" s="71"/>
      <c r="AD85" s="71"/>
      <c r="AE85" s="71"/>
      <c r="AF85" s="71"/>
      <c r="AG85" s="71"/>
      <c r="AJ85" s="71"/>
      <c r="AK85" s="71"/>
      <c r="AL85" s="71"/>
      <c r="AM85" s="71"/>
    </row>
    <row r="86" spans="8:39">
      <c r="H86" s="71"/>
      <c r="I86" s="71"/>
      <c r="Y86" s="83"/>
      <c r="Z86" s="83"/>
      <c r="AA86" s="71"/>
      <c r="AB86" s="71"/>
      <c r="AC86" s="71"/>
      <c r="AD86" s="71"/>
      <c r="AE86" s="71"/>
      <c r="AF86" s="71"/>
      <c r="AG86" s="71"/>
      <c r="AJ86" s="71"/>
      <c r="AK86" s="71"/>
      <c r="AL86" s="71"/>
      <c r="AM86" s="71"/>
    </row>
    <row r="87" spans="8:39">
      <c r="H87" s="71"/>
      <c r="I87" s="71"/>
      <c r="Y87" s="83"/>
      <c r="Z87" s="83"/>
      <c r="AA87" s="71"/>
      <c r="AB87" s="71"/>
      <c r="AC87" s="71"/>
      <c r="AD87" s="71"/>
      <c r="AE87" s="71"/>
      <c r="AF87" s="71"/>
      <c r="AG87" s="71"/>
      <c r="AJ87" s="71"/>
      <c r="AK87" s="71"/>
      <c r="AL87" s="71"/>
      <c r="AM87" s="71"/>
    </row>
    <row r="88" spans="8:39">
      <c r="H88" s="71"/>
      <c r="I88" s="71"/>
      <c r="Y88" s="83"/>
      <c r="Z88" s="83"/>
      <c r="AA88" s="71"/>
      <c r="AB88" s="71"/>
      <c r="AC88" s="71"/>
      <c r="AD88" s="71"/>
      <c r="AE88" s="71"/>
      <c r="AF88" s="71"/>
      <c r="AG88" s="71"/>
      <c r="AJ88" s="71"/>
      <c r="AK88" s="71"/>
      <c r="AL88" s="71"/>
      <c r="AM88" s="71"/>
    </row>
    <row r="89" spans="8:39">
      <c r="H89" s="71"/>
      <c r="I89" s="71"/>
      <c r="Y89" s="83"/>
      <c r="Z89" s="83"/>
      <c r="AA89" s="71"/>
      <c r="AB89" s="71"/>
      <c r="AC89" s="71"/>
      <c r="AD89" s="71"/>
      <c r="AE89" s="71"/>
      <c r="AF89" s="71"/>
      <c r="AG89" s="71"/>
      <c r="AJ89" s="71"/>
      <c r="AK89" s="71"/>
      <c r="AL89" s="71"/>
      <c r="AM89" s="71"/>
    </row>
    <row r="90" spans="8:39">
      <c r="H90" s="71"/>
      <c r="I90" s="71"/>
      <c r="Y90" s="83"/>
      <c r="Z90" s="83"/>
      <c r="AA90" s="71"/>
      <c r="AB90" s="71"/>
      <c r="AC90" s="71"/>
      <c r="AD90" s="71"/>
      <c r="AE90" s="71"/>
      <c r="AF90" s="71"/>
      <c r="AG90" s="71"/>
      <c r="AJ90" s="71"/>
      <c r="AK90" s="71"/>
      <c r="AL90" s="71"/>
      <c r="AM90" s="71"/>
    </row>
    <row r="91" spans="8:39">
      <c r="H91" s="71"/>
      <c r="I91" s="71"/>
      <c r="Y91" s="83"/>
      <c r="Z91" s="83"/>
      <c r="AA91" s="71"/>
      <c r="AB91" s="71"/>
      <c r="AC91" s="71"/>
      <c r="AD91" s="71"/>
      <c r="AE91" s="71"/>
      <c r="AF91" s="71"/>
      <c r="AG91" s="71"/>
      <c r="AJ91" s="71"/>
      <c r="AK91" s="71"/>
      <c r="AL91" s="71"/>
      <c r="AM91" s="71"/>
    </row>
    <row r="92" spans="8:39">
      <c r="H92" s="71"/>
      <c r="I92" s="71"/>
      <c r="Y92" s="83"/>
      <c r="Z92" s="83"/>
      <c r="AA92" s="71"/>
      <c r="AB92" s="71"/>
      <c r="AC92" s="71"/>
      <c r="AD92" s="71"/>
      <c r="AE92" s="71"/>
      <c r="AF92" s="71"/>
      <c r="AG92" s="71"/>
      <c r="AJ92" s="71"/>
      <c r="AK92" s="71"/>
      <c r="AL92" s="71"/>
      <c r="AM92" s="71"/>
    </row>
    <row r="93" spans="8:39">
      <c r="H93" s="71"/>
      <c r="I93" s="71"/>
      <c r="Y93" s="83"/>
      <c r="Z93" s="83"/>
      <c r="AA93" s="71"/>
      <c r="AB93" s="71"/>
      <c r="AC93" s="71"/>
      <c r="AD93" s="71"/>
      <c r="AE93" s="71"/>
      <c r="AF93" s="71"/>
      <c r="AG93" s="71"/>
      <c r="AJ93" s="71"/>
      <c r="AK93" s="71"/>
      <c r="AL93" s="71"/>
      <c r="AM93" s="71"/>
    </row>
    <row r="94" spans="8:39">
      <c r="H94" s="71"/>
      <c r="I94" s="71"/>
      <c r="Y94" s="83"/>
      <c r="Z94" s="83"/>
      <c r="AA94" s="71"/>
      <c r="AB94" s="71"/>
      <c r="AC94" s="71"/>
      <c r="AD94" s="71"/>
      <c r="AE94" s="71"/>
      <c r="AF94" s="71"/>
      <c r="AG94" s="71"/>
      <c r="AJ94" s="71"/>
      <c r="AK94" s="71"/>
      <c r="AL94" s="71"/>
      <c r="AM94" s="71"/>
    </row>
    <row r="95" spans="8:39">
      <c r="H95" s="71"/>
      <c r="I95" s="71"/>
      <c r="Y95" s="83"/>
      <c r="Z95" s="83"/>
      <c r="AA95" s="71"/>
      <c r="AB95" s="71"/>
      <c r="AC95" s="71"/>
      <c r="AD95" s="71"/>
      <c r="AE95" s="71"/>
      <c r="AF95" s="71"/>
      <c r="AG95" s="71"/>
      <c r="AJ95" s="71"/>
      <c r="AK95" s="71"/>
      <c r="AL95" s="71"/>
      <c r="AM95" s="71"/>
    </row>
    <row r="96" spans="8:39">
      <c r="H96" s="71"/>
      <c r="I96" s="71"/>
      <c r="Y96" s="83"/>
      <c r="Z96" s="83"/>
      <c r="AA96" s="71"/>
      <c r="AB96" s="71"/>
      <c r="AC96" s="71"/>
      <c r="AD96" s="71"/>
      <c r="AE96" s="71"/>
      <c r="AF96" s="71"/>
      <c r="AG96" s="71"/>
      <c r="AJ96" s="71"/>
      <c r="AK96" s="71"/>
      <c r="AL96" s="71"/>
      <c r="AM96" s="71"/>
    </row>
    <row r="97" spans="8:39">
      <c r="H97" s="71"/>
      <c r="I97" s="71"/>
      <c r="Y97" s="83"/>
      <c r="Z97" s="83"/>
      <c r="AA97" s="71"/>
      <c r="AB97" s="71"/>
      <c r="AC97" s="71"/>
      <c r="AD97" s="71"/>
      <c r="AE97" s="71"/>
      <c r="AF97" s="71"/>
      <c r="AG97" s="71"/>
      <c r="AJ97" s="71"/>
      <c r="AK97" s="71"/>
      <c r="AL97" s="71"/>
      <c r="AM97" s="71"/>
    </row>
    <row r="98" spans="8:39">
      <c r="H98" s="71"/>
      <c r="I98" s="71"/>
      <c r="Y98" s="83"/>
      <c r="Z98" s="83"/>
      <c r="AA98" s="71"/>
      <c r="AB98" s="71"/>
      <c r="AC98" s="71"/>
      <c r="AD98" s="71"/>
      <c r="AE98" s="71"/>
      <c r="AF98" s="71"/>
      <c r="AG98" s="71"/>
      <c r="AJ98" s="71"/>
      <c r="AK98" s="71"/>
      <c r="AL98" s="71"/>
      <c r="AM98" s="71"/>
    </row>
    <row r="99" spans="8:39">
      <c r="H99" s="71"/>
      <c r="I99" s="71"/>
      <c r="Y99" s="83"/>
      <c r="Z99" s="83"/>
      <c r="AA99" s="71"/>
      <c r="AB99" s="71"/>
      <c r="AC99" s="71"/>
      <c r="AD99" s="71"/>
      <c r="AE99" s="71"/>
      <c r="AF99" s="71"/>
      <c r="AG99" s="71"/>
      <c r="AJ99" s="71"/>
      <c r="AK99" s="71"/>
      <c r="AL99" s="71"/>
      <c r="AM99" s="71"/>
    </row>
    <row r="100" spans="8:39">
      <c r="H100" s="71"/>
      <c r="I100" s="71"/>
      <c r="Y100" s="83"/>
      <c r="Z100" s="83"/>
      <c r="AA100" s="71"/>
      <c r="AB100" s="71"/>
      <c r="AC100" s="71"/>
      <c r="AD100" s="71"/>
      <c r="AE100" s="71"/>
      <c r="AF100" s="71"/>
      <c r="AG100" s="71"/>
      <c r="AJ100" s="71"/>
      <c r="AK100" s="71"/>
      <c r="AL100" s="71"/>
      <c r="AM100" s="71"/>
    </row>
    <row r="101" spans="8:39">
      <c r="H101" s="71"/>
      <c r="I101" s="71"/>
      <c r="Y101" s="83"/>
      <c r="Z101" s="83"/>
      <c r="AA101" s="71"/>
      <c r="AB101" s="71"/>
      <c r="AC101" s="71"/>
      <c r="AD101" s="71"/>
      <c r="AE101" s="71"/>
      <c r="AF101" s="71"/>
      <c r="AG101" s="71"/>
      <c r="AJ101" s="71"/>
      <c r="AK101" s="71"/>
      <c r="AL101" s="71"/>
      <c r="AM101" s="71"/>
    </row>
    <row r="102" spans="8:39">
      <c r="H102" s="71"/>
      <c r="I102" s="71"/>
      <c r="Y102" s="83"/>
      <c r="Z102" s="83"/>
      <c r="AA102" s="71"/>
      <c r="AB102" s="71"/>
      <c r="AC102" s="71"/>
      <c r="AD102" s="71"/>
      <c r="AE102" s="71"/>
      <c r="AF102" s="71"/>
      <c r="AG102" s="71"/>
      <c r="AJ102" s="71"/>
      <c r="AK102" s="71"/>
      <c r="AL102" s="71"/>
      <c r="AM102" s="71"/>
    </row>
    <row r="103" spans="8:39">
      <c r="H103" s="71"/>
      <c r="I103" s="71"/>
      <c r="Y103" s="83"/>
      <c r="Z103" s="83"/>
      <c r="AA103" s="71"/>
      <c r="AB103" s="71"/>
      <c r="AC103" s="71"/>
      <c r="AD103" s="71"/>
      <c r="AE103" s="71"/>
      <c r="AF103" s="71"/>
      <c r="AG103" s="71"/>
      <c r="AJ103" s="71"/>
      <c r="AK103" s="71"/>
      <c r="AL103" s="71"/>
      <c r="AM103" s="71"/>
    </row>
    <row r="104" spans="8:39">
      <c r="H104" s="71"/>
      <c r="I104" s="71"/>
      <c r="Y104" s="83"/>
      <c r="Z104" s="83"/>
      <c r="AA104" s="71"/>
      <c r="AB104" s="71"/>
      <c r="AC104" s="71"/>
      <c r="AD104" s="71"/>
      <c r="AE104" s="71"/>
      <c r="AF104" s="71"/>
      <c r="AG104" s="71"/>
      <c r="AJ104" s="71"/>
      <c r="AK104" s="71"/>
      <c r="AL104" s="71"/>
      <c r="AM104" s="71"/>
    </row>
    <row r="105" spans="8:39">
      <c r="H105" s="71"/>
      <c r="I105" s="71"/>
      <c r="Y105" s="83"/>
      <c r="Z105" s="83"/>
      <c r="AA105" s="71"/>
      <c r="AB105" s="71"/>
      <c r="AC105" s="71"/>
      <c r="AD105" s="71"/>
      <c r="AE105" s="71"/>
      <c r="AF105" s="71"/>
      <c r="AG105" s="71"/>
      <c r="AJ105" s="71"/>
      <c r="AK105" s="71"/>
      <c r="AL105" s="71"/>
      <c r="AM105" s="71"/>
    </row>
    <row r="106" spans="8:39">
      <c r="H106" s="71"/>
      <c r="I106" s="71"/>
      <c r="Y106" s="83"/>
      <c r="Z106" s="83"/>
      <c r="AA106" s="71"/>
      <c r="AB106" s="71"/>
      <c r="AC106" s="71"/>
      <c r="AD106" s="71"/>
      <c r="AE106" s="71"/>
      <c r="AF106" s="71"/>
      <c r="AG106" s="71"/>
      <c r="AJ106" s="71"/>
      <c r="AK106" s="71"/>
      <c r="AL106" s="71"/>
      <c r="AM106" s="71"/>
    </row>
    <row r="107" spans="8:39">
      <c r="H107" s="71"/>
      <c r="I107" s="71"/>
      <c r="Y107" s="83"/>
      <c r="Z107" s="83"/>
      <c r="AA107" s="71"/>
      <c r="AB107" s="71"/>
      <c r="AC107" s="71"/>
      <c r="AD107" s="71"/>
      <c r="AE107" s="71"/>
      <c r="AF107" s="71"/>
      <c r="AG107" s="71"/>
      <c r="AJ107" s="71"/>
      <c r="AK107" s="71"/>
      <c r="AL107" s="71"/>
      <c r="AM107" s="71"/>
    </row>
    <row r="108" spans="8:39">
      <c r="H108" s="71"/>
      <c r="I108" s="71"/>
      <c r="Y108" s="83"/>
      <c r="Z108" s="83"/>
      <c r="AA108" s="71"/>
      <c r="AB108" s="71"/>
      <c r="AC108" s="71"/>
      <c r="AD108" s="71"/>
      <c r="AE108" s="71"/>
      <c r="AF108" s="71"/>
      <c r="AG108" s="71"/>
      <c r="AJ108" s="71"/>
      <c r="AK108" s="71"/>
      <c r="AL108" s="71"/>
      <c r="AM108" s="71"/>
    </row>
    <row r="109" spans="8:39">
      <c r="H109" s="71"/>
      <c r="I109" s="71"/>
      <c r="Y109" s="83"/>
      <c r="Z109" s="83"/>
      <c r="AA109" s="71"/>
      <c r="AB109" s="71"/>
      <c r="AC109" s="71"/>
      <c r="AD109" s="71"/>
      <c r="AE109" s="71"/>
      <c r="AF109" s="71"/>
      <c r="AG109" s="71"/>
      <c r="AJ109" s="71"/>
      <c r="AK109" s="71"/>
      <c r="AL109" s="71"/>
      <c r="AM109" s="71"/>
    </row>
    <row r="110" spans="8:39">
      <c r="H110" s="71"/>
      <c r="I110" s="71"/>
      <c r="Y110" s="83"/>
      <c r="Z110" s="83"/>
      <c r="AA110" s="71"/>
      <c r="AB110" s="71"/>
      <c r="AC110" s="71"/>
      <c r="AD110" s="71"/>
      <c r="AE110" s="71"/>
      <c r="AF110" s="71"/>
      <c r="AG110" s="71"/>
      <c r="AJ110" s="71"/>
      <c r="AK110" s="71"/>
      <c r="AL110" s="71"/>
      <c r="AM110" s="71"/>
    </row>
    <row r="111" spans="8:39">
      <c r="H111" s="71"/>
      <c r="I111" s="71"/>
      <c r="Y111" s="83"/>
      <c r="Z111" s="83"/>
      <c r="AA111" s="71"/>
      <c r="AB111" s="71"/>
      <c r="AC111" s="71"/>
      <c r="AD111" s="71"/>
      <c r="AE111" s="71"/>
      <c r="AF111" s="71"/>
      <c r="AG111" s="71"/>
      <c r="AJ111" s="71"/>
      <c r="AK111" s="71"/>
      <c r="AL111" s="71"/>
      <c r="AM111" s="71"/>
    </row>
    <row r="112" spans="8:39">
      <c r="H112" s="71"/>
      <c r="I112" s="71"/>
      <c r="Y112" s="83"/>
      <c r="Z112" s="83"/>
      <c r="AA112" s="71"/>
      <c r="AB112" s="71"/>
      <c r="AC112" s="71"/>
      <c r="AD112" s="71"/>
      <c r="AE112" s="71"/>
      <c r="AF112" s="71"/>
      <c r="AG112" s="71"/>
      <c r="AJ112" s="71"/>
      <c r="AK112" s="71"/>
      <c r="AL112" s="71"/>
      <c r="AM112" s="71"/>
    </row>
    <row r="113" spans="8:39">
      <c r="H113" s="71"/>
      <c r="I113" s="71"/>
      <c r="Y113" s="83"/>
      <c r="Z113" s="83"/>
      <c r="AA113" s="71"/>
      <c r="AB113" s="71"/>
      <c r="AC113" s="71"/>
      <c r="AD113" s="71"/>
      <c r="AE113" s="71"/>
      <c r="AF113" s="71"/>
      <c r="AG113" s="71"/>
      <c r="AJ113" s="71"/>
      <c r="AK113" s="71"/>
      <c r="AL113" s="71"/>
      <c r="AM113" s="71"/>
    </row>
    <row r="114" spans="8:39">
      <c r="H114" s="71"/>
      <c r="I114" s="71"/>
      <c r="Y114" s="83"/>
      <c r="Z114" s="83"/>
      <c r="AA114" s="71"/>
      <c r="AB114" s="71"/>
      <c r="AC114" s="71"/>
      <c r="AD114" s="71"/>
      <c r="AE114" s="71"/>
      <c r="AF114" s="71"/>
      <c r="AG114" s="71"/>
      <c r="AJ114" s="71"/>
      <c r="AK114" s="71"/>
      <c r="AL114" s="71"/>
      <c r="AM114" s="71"/>
    </row>
    <row r="115" spans="8:39">
      <c r="H115" s="71"/>
      <c r="I115" s="71"/>
      <c r="Y115" s="83"/>
      <c r="Z115" s="83"/>
      <c r="AA115" s="71"/>
      <c r="AB115" s="71"/>
      <c r="AC115" s="71"/>
      <c r="AD115" s="71"/>
      <c r="AE115" s="71"/>
      <c r="AF115" s="71"/>
      <c r="AG115" s="71"/>
      <c r="AJ115" s="71"/>
      <c r="AK115" s="71"/>
      <c r="AL115" s="71"/>
      <c r="AM115" s="71"/>
    </row>
    <row r="116" spans="8:39">
      <c r="H116" s="71"/>
      <c r="I116" s="71"/>
      <c r="Y116" s="83"/>
      <c r="Z116" s="83"/>
      <c r="AA116" s="71"/>
      <c r="AB116" s="71"/>
      <c r="AC116" s="71"/>
      <c r="AD116" s="71"/>
      <c r="AE116" s="71"/>
      <c r="AF116" s="71"/>
      <c r="AG116" s="71"/>
      <c r="AJ116" s="71"/>
      <c r="AK116" s="71"/>
      <c r="AL116" s="71"/>
      <c r="AM116" s="71"/>
    </row>
    <row r="117" spans="8:39">
      <c r="H117" s="71"/>
      <c r="I117" s="71"/>
      <c r="Y117" s="83"/>
      <c r="Z117" s="83"/>
      <c r="AA117" s="71"/>
      <c r="AB117" s="71"/>
      <c r="AC117" s="71"/>
      <c r="AD117" s="71"/>
      <c r="AE117" s="71"/>
      <c r="AF117" s="71"/>
      <c r="AG117" s="71"/>
      <c r="AJ117" s="71"/>
      <c r="AK117" s="71"/>
      <c r="AL117" s="71"/>
      <c r="AM117" s="71"/>
    </row>
    <row r="118" spans="8:39">
      <c r="H118" s="71"/>
      <c r="I118" s="71"/>
      <c r="Y118" s="83"/>
      <c r="Z118" s="83"/>
      <c r="AA118" s="71"/>
      <c r="AB118" s="71"/>
      <c r="AC118" s="71"/>
      <c r="AD118" s="71"/>
      <c r="AE118" s="71"/>
      <c r="AF118" s="71"/>
      <c r="AG118" s="71"/>
      <c r="AJ118" s="71"/>
      <c r="AK118" s="71"/>
      <c r="AL118" s="71"/>
      <c r="AM118" s="71"/>
    </row>
    <row r="119" spans="8:39">
      <c r="H119" s="71"/>
      <c r="I119" s="71"/>
      <c r="Y119" s="83"/>
      <c r="Z119" s="83"/>
      <c r="AA119" s="71"/>
      <c r="AB119" s="71"/>
      <c r="AC119" s="71"/>
      <c r="AD119" s="71"/>
      <c r="AE119" s="71"/>
      <c r="AF119" s="71"/>
      <c r="AG119" s="71"/>
      <c r="AJ119" s="71"/>
      <c r="AK119" s="71"/>
      <c r="AL119" s="71"/>
      <c r="AM119" s="71"/>
    </row>
    <row r="120" spans="8:39">
      <c r="H120" s="71"/>
      <c r="I120" s="71"/>
      <c r="Y120" s="83"/>
      <c r="Z120" s="83"/>
      <c r="AA120" s="71"/>
      <c r="AB120" s="71"/>
      <c r="AC120" s="71"/>
      <c r="AD120" s="71"/>
      <c r="AE120" s="71"/>
      <c r="AF120" s="71"/>
      <c r="AG120" s="71"/>
      <c r="AJ120" s="71"/>
      <c r="AK120" s="71"/>
      <c r="AL120" s="71"/>
      <c r="AM120" s="71"/>
    </row>
    <row r="121" spans="8:39">
      <c r="H121" s="71"/>
      <c r="I121" s="71"/>
      <c r="Y121" s="83"/>
      <c r="Z121" s="83"/>
      <c r="AA121" s="71"/>
      <c r="AB121" s="71"/>
      <c r="AC121" s="71"/>
      <c r="AD121" s="71"/>
      <c r="AE121" s="71"/>
      <c r="AF121" s="71"/>
      <c r="AG121" s="71"/>
      <c r="AJ121" s="71"/>
      <c r="AK121" s="71"/>
      <c r="AL121" s="71"/>
      <c r="AM121" s="71"/>
    </row>
    <row r="122" spans="8:39">
      <c r="H122" s="71"/>
      <c r="I122" s="71"/>
      <c r="Y122" s="83"/>
      <c r="Z122" s="83"/>
      <c r="AA122" s="71"/>
      <c r="AB122" s="71"/>
      <c r="AC122" s="71"/>
      <c r="AD122" s="71"/>
      <c r="AE122" s="71"/>
      <c r="AF122" s="71"/>
      <c r="AG122" s="71"/>
      <c r="AJ122" s="71"/>
      <c r="AK122" s="71"/>
      <c r="AL122" s="71"/>
      <c r="AM122" s="71"/>
    </row>
    <row r="123" spans="8:39">
      <c r="H123" s="71"/>
      <c r="I123" s="71"/>
      <c r="Y123" s="83"/>
      <c r="Z123" s="83"/>
      <c r="AA123" s="71"/>
      <c r="AB123" s="71"/>
      <c r="AC123" s="71"/>
      <c r="AD123" s="71"/>
      <c r="AE123" s="71"/>
      <c r="AF123" s="71"/>
      <c r="AG123" s="71"/>
      <c r="AJ123" s="71"/>
      <c r="AK123" s="71"/>
      <c r="AL123" s="71"/>
      <c r="AM123" s="71"/>
    </row>
    <row r="124" spans="8:39">
      <c r="H124" s="71"/>
      <c r="I124" s="71"/>
      <c r="Y124" s="83"/>
      <c r="Z124" s="83"/>
      <c r="AA124" s="71"/>
      <c r="AB124" s="71"/>
      <c r="AC124" s="71"/>
      <c r="AD124" s="71"/>
      <c r="AE124" s="71"/>
      <c r="AF124" s="71"/>
      <c r="AG124" s="71"/>
      <c r="AJ124" s="71"/>
      <c r="AK124" s="71"/>
      <c r="AL124" s="71"/>
      <c r="AM124" s="71"/>
    </row>
    <row r="125" spans="8:39">
      <c r="H125" s="71"/>
      <c r="I125" s="71"/>
      <c r="Y125" s="83"/>
      <c r="Z125" s="83"/>
      <c r="AA125" s="71"/>
      <c r="AB125" s="71"/>
      <c r="AC125" s="71"/>
      <c r="AD125" s="71"/>
      <c r="AE125" s="71"/>
      <c r="AF125" s="71"/>
      <c r="AG125" s="71"/>
      <c r="AJ125" s="71"/>
      <c r="AK125" s="71"/>
      <c r="AL125" s="71"/>
      <c r="AM125" s="71"/>
    </row>
    <row r="126" spans="8:39">
      <c r="H126" s="71"/>
      <c r="I126" s="71"/>
      <c r="Y126" s="83"/>
      <c r="Z126" s="83"/>
      <c r="AA126" s="71"/>
      <c r="AB126" s="71"/>
      <c r="AC126" s="71"/>
      <c r="AD126" s="71"/>
      <c r="AE126" s="71"/>
      <c r="AF126" s="71"/>
      <c r="AG126" s="71"/>
      <c r="AJ126" s="71"/>
      <c r="AK126" s="71"/>
      <c r="AL126" s="71"/>
      <c r="AM126" s="71"/>
    </row>
    <row r="127" spans="8:39">
      <c r="H127" s="71"/>
      <c r="I127" s="71"/>
      <c r="Y127" s="83"/>
      <c r="Z127" s="83"/>
      <c r="AA127" s="71"/>
      <c r="AB127" s="71"/>
      <c r="AC127" s="71"/>
      <c r="AD127" s="71"/>
      <c r="AE127" s="71"/>
      <c r="AF127" s="71"/>
      <c r="AG127" s="71"/>
      <c r="AJ127" s="71"/>
      <c r="AK127" s="71"/>
      <c r="AL127" s="71"/>
      <c r="AM127" s="71"/>
    </row>
    <row r="128" spans="8:39">
      <c r="H128" s="71"/>
      <c r="I128" s="71"/>
      <c r="Y128" s="83"/>
      <c r="Z128" s="83"/>
      <c r="AA128" s="71"/>
      <c r="AB128" s="71"/>
      <c r="AC128" s="71"/>
      <c r="AD128" s="71"/>
      <c r="AE128" s="71"/>
      <c r="AF128" s="71"/>
      <c r="AG128" s="71"/>
      <c r="AJ128" s="71"/>
      <c r="AK128" s="71"/>
      <c r="AL128" s="71"/>
      <c r="AM128" s="71"/>
    </row>
    <row r="129" spans="8:39">
      <c r="H129" s="71"/>
      <c r="I129" s="71"/>
      <c r="Y129" s="83"/>
      <c r="Z129" s="83"/>
      <c r="AA129" s="71"/>
      <c r="AB129" s="71"/>
      <c r="AC129" s="71"/>
      <c r="AD129" s="71"/>
      <c r="AE129" s="71"/>
      <c r="AF129" s="71"/>
      <c r="AG129" s="71"/>
      <c r="AJ129" s="71"/>
      <c r="AK129" s="71"/>
      <c r="AL129" s="71"/>
      <c r="AM129" s="71"/>
    </row>
    <row r="130" spans="8:39">
      <c r="H130" s="71"/>
      <c r="I130" s="71"/>
      <c r="Y130" s="83"/>
      <c r="Z130" s="83"/>
      <c r="AA130" s="71"/>
      <c r="AB130" s="71"/>
      <c r="AC130" s="71"/>
      <c r="AD130" s="71"/>
      <c r="AE130" s="71"/>
      <c r="AF130" s="71"/>
      <c r="AG130" s="71"/>
      <c r="AJ130" s="71"/>
      <c r="AK130" s="71"/>
      <c r="AL130" s="71"/>
      <c r="AM130" s="71"/>
    </row>
    <row r="131" spans="8:39">
      <c r="H131" s="71"/>
      <c r="I131" s="71"/>
      <c r="Y131" s="83"/>
      <c r="Z131" s="83"/>
      <c r="AA131" s="71"/>
      <c r="AB131" s="71"/>
      <c r="AC131" s="71"/>
      <c r="AD131" s="71"/>
      <c r="AE131" s="71"/>
      <c r="AF131" s="71"/>
      <c r="AG131" s="71"/>
      <c r="AJ131" s="71"/>
      <c r="AK131" s="71"/>
      <c r="AL131" s="71"/>
      <c r="AM131" s="71"/>
    </row>
    <row r="132" spans="8:39">
      <c r="H132" s="71"/>
      <c r="I132" s="71"/>
      <c r="Y132" s="83"/>
      <c r="Z132" s="83"/>
      <c r="AA132" s="71"/>
      <c r="AB132" s="71"/>
      <c r="AC132" s="71"/>
      <c r="AD132" s="71"/>
      <c r="AE132" s="71"/>
      <c r="AF132" s="71"/>
      <c r="AG132" s="71"/>
      <c r="AJ132" s="71"/>
      <c r="AK132" s="71"/>
      <c r="AL132" s="71"/>
      <c r="AM132" s="71"/>
    </row>
    <row r="133" spans="8:39">
      <c r="H133" s="71"/>
      <c r="I133" s="71"/>
      <c r="Y133" s="83"/>
      <c r="Z133" s="83"/>
      <c r="AA133" s="71"/>
      <c r="AB133" s="71"/>
      <c r="AC133" s="71"/>
      <c r="AD133" s="71"/>
      <c r="AE133" s="71"/>
      <c r="AF133" s="71"/>
      <c r="AG133" s="71"/>
      <c r="AJ133" s="71"/>
      <c r="AK133" s="71"/>
      <c r="AL133" s="71"/>
      <c r="AM133" s="71"/>
    </row>
    <row r="134" spans="8:39">
      <c r="H134" s="71"/>
      <c r="I134" s="71"/>
      <c r="Y134" s="83"/>
      <c r="Z134" s="83"/>
      <c r="AA134" s="71"/>
      <c r="AB134" s="71"/>
      <c r="AC134" s="71"/>
      <c r="AD134" s="71"/>
      <c r="AE134" s="71"/>
      <c r="AF134" s="71"/>
      <c r="AG134" s="71"/>
      <c r="AJ134" s="71"/>
      <c r="AK134" s="71"/>
      <c r="AL134" s="71"/>
      <c r="AM134" s="71"/>
    </row>
    <row r="135" spans="8:39">
      <c r="H135" s="71"/>
      <c r="I135" s="71"/>
      <c r="Y135" s="83"/>
      <c r="Z135" s="83"/>
      <c r="AA135" s="71"/>
      <c r="AB135" s="71"/>
      <c r="AC135" s="71"/>
      <c r="AD135" s="71"/>
      <c r="AE135" s="71"/>
      <c r="AF135" s="71"/>
      <c r="AG135" s="71"/>
      <c r="AJ135" s="71"/>
      <c r="AK135" s="71"/>
      <c r="AL135" s="71"/>
      <c r="AM135" s="71"/>
    </row>
    <row r="136" spans="8:39">
      <c r="H136" s="71"/>
      <c r="I136" s="71"/>
      <c r="Y136" s="83"/>
      <c r="Z136" s="83"/>
      <c r="AA136" s="71"/>
      <c r="AB136" s="71"/>
      <c r="AC136" s="71"/>
      <c r="AD136" s="71"/>
      <c r="AE136" s="71"/>
      <c r="AF136" s="71"/>
      <c r="AG136" s="71"/>
      <c r="AJ136" s="71"/>
      <c r="AK136" s="71"/>
      <c r="AL136" s="71"/>
      <c r="AM136" s="71"/>
    </row>
    <row r="137" spans="8:39">
      <c r="H137" s="71"/>
      <c r="I137" s="71"/>
      <c r="Y137" s="83"/>
      <c r="Z137" s="83"/>
      <c r="AA137" s="71"/>
      <c r="AB137" s="71"/>
      <c r="AC137" s="71"/>
      <c r="AD137" s="71"/>
      <c r="AE137" s="71"/>
      <c r="AF137" s="71"/>
      <c r="AG137" s="71"/>
      <c r="AJ137" s="71"/>
      <c r="AK137" s="71"/>
      <c r="AL137" s="71"/>
      <c r="AM137" s="71"/>
    </row>
    <row r="138" spans="8:39">
      <c r="H138" s="71"/>
      <c r="I138" s="71"/>
      <c r="Y138" s="83"/>
      <c r="Z138" s="83"/>
      <c r="AA138" s="71"/>
      <c r="AB138" s="71"/>
      <c r="AC138" s="71"/>
      <c r="AD138" s="71"/>
      <c r="AE138" s="71"/>
      <c r="AF138" s="71"/>
      <c r="AG138" s="71"/>
      <c r="AJ138" s="71"/>
      <c r="AK138" s="71"/>
      <c r="AL138" s="71"/>
      <c r="AM138" s="71"/>
    </row>
    <row r="139" spans="8:39">
      <c r="H139" s="71"/>
      <c r="I139" s="71"/>
      <c r="Y139" s="83"/>
      <c r="Z139" s="83"/>
      <c r="AA139" s="71"/>
      <c r="AB139" s="71"/>
      <c r="AC139" s="71"/>
      <c r="AD139" s="71"/>
      <c r="AE139" s="71"/>
      <c r="AF139" s="71"/>
      <c r="AG139" s="71"/>
      <c r="AJ139" s="71"/>
      <c r="AK139" s="71"/>
      <c r="AL139" s="71"/>
      <c r="AM139" s="71"/>
    </row>
    <row r="140" spans="8:39">
      <c r="H140" s="71"/>
      <c r="I140" s="71"/>
      <c r="Y140" s="83"/>
      <c r="Z140" s="83"/>
      <c r="AA140" s="71"/>
      <c r="AB140" s="71"/>
      <c r="AC140" s="71"/>
      <c r="AD140" s="71"/>
      <c r="AE140" s="71"/>
      <c r="AF140" s="71"/>
      <c r="AG140" s="71"/>
      <c r="AJ140" s="71"/>
      <c r="AK140" s="71"/>
      <c r="AL140" s="71"/>
      <c r="AM140" s="71"/>
    </row>
    <row r="141" spans="8:39">
      <c r="H141" s="71"/>
      <c r="I141" s="71"/>
      <c r="Y141" s="83"/>
      <c r="Z141" s="83"/>
      <c r="AA141" s="71"/>
      <c r="AB141" s="71"/>
      <c r="AC141" s="71"/>
      <c r="AD141" s="71"/>
      <c r="AE141" s="71"/>
      <c r="AF141" s="71"/>
      <c r="AG141" s="71"/>
      <c r="AJ141" s="71"/>
      <c r="AK141" s="71"/>
      <c r="AL141" s="71"/>
      <c r="AM141" s="71"/>
    </row>
    <row r="142" spans="8:39">
      <c r="H142" s="71"/>
      <c r="I142" s="71"/>
      <c r="Y142" s="83"/>
      <c r="Z142" s="83"/>
      <c r="AA142" s="71"/>
      <c r="AB142" s="71"/>
      <c r="AC142" s="71"/>
      <c r="AD142" s="71"/>
      <c r="AE142" s="71"/>
      <c r="AF142" s="71"/>
      <c r="AG142" s="71"/>
      <c r="AJ142" s="71"/>
      <c r="AK142" s="71"/>
      <c r="AL142" s="71"/>
      <c r="AM142" s="71"/>
    </row>
    <row r="143" spans="8:39">
      <c r="H143" s="71"/>
      <c r="I143" s="71"/>
      <c r="Y143" s="83"/>
      <c r="Z143" s="83"/>
      <c r="AA143" s="71"/>
      <c r="AB143" s="71"/>
      <c r="AC143" s="71"/>
      <c r="AD143" s="71"/>
      <c r="AE143" s="71"/>
      <c r="AF143" s="71"/>
      <c r="AG143" s="71"/>
      <c r="AJ143" s="71"/>
      <c r="AK143" s="71"/>
      <c r="AL143" s="71"/>
      <c r="AM143" s="71"/>
    </row>
    <row r="144" spans="8:39">
      <c r="H144" s="71"/>
      <c r="I144" s="71"/>
      <c r="Y144" s="83"/>
      <c r="Z144" s="83"/>
      <c r="AA144" s="71"/>
      <c r="AB144" s="71"/>
      <c r="AC144" s="71"/>
      <c r="AD144" s="71"/>
      <c r="AE144" s="71"/>
      <c r="AF144" s="71"/>
      <c r="AG144" s="71"/>
      <c r="AJ144" s="71"/>
      <c r="AK144" s="71"/>
      <c r="AL144" s="71"/>
      <c r="AM144" s="71"/>
    </row>
    <row r="145" spans="8:39">
      <c r="H145" s="71"/>
      <c r="I145" s="71"/>
      <c r="Y145" s="83"/>
      <c r="Z145" s="83"/>
      <c r="AA145" s="71"/>
      <c r="AB145" s="71"/>
      <c r="AC145" s="71"/>
      <c r="AD145" s="71"/>
      <c r="AE145" s="71"/>
      <c r="AF145" s="71"/>
      <c r="AG145" s="71"/>
      <c r="AJ145" s="71"/>
      <c r="AK145" s="71"/>
      <c r="AL145" s="71"/>
      <c r="AM145" s="71"/>
    </row>
    <row r="146" spans="8:39">
      <c r="H146" s="71"/>
      <c r="I146" s="71"/>
      <c r="Y146" s="83"/>
      <c r="Z146" s="83"/>
      <c r="AA146" s="71"/>
      <c r="AB146" s="71"/>
      <c r="AC146" s="71"/>
      <c r="AD146" s="71"/>
      <c r="AE146" s="71"/>
      <c r="AF146" s="71"/>
      <c r="AG146" s="71"/>
      <c r="AJ146" s="71"/>
      <c r="AK146" s="71"/>
      <c r="AL146" s="71"/>
      <c r="AM146" s="71"/>
    </row>
    <row r="147" spans="8:39">
      <c r="H147" s="71"/>
      <c r="I147" s="71"/>
      <c r="Y147" s="83"/>
      <c r="Z147" s="83"/>
      <c r="AA147" s="71"/>
      <c r="AB147" s="71"/>
      <c r="AC147" s="71"/>
      <c r="AD147" s="71"/>
      <c r="AE147" s="71"/>
      <c r="AF147" s="71"/>
      <c r="AG147" s="71"/>
      <c r="AJ147" s="71"/>
      <c r="AK147" s="71"/>
      <c r="AL147" s="71"/>
      <c r="AM147" s="71"/>
    </row>
    <row r="148" spans="8:39">
      <c r="H148" s="71"/>
      <c r="I148" s="71"/>
      <c r="Y148" s="83"/>
      <c r="Z148" s="83"/>
      <c r="AA148" s="71"/>
      <c r="AB148" s="71"/>
      <c r="AC148" s="71"/>
      <c r="AD148" s="71"/>
      <c r="AE148" s="71"/>
      <c r="AF148" s="71"/>
      <c r="AG148" s="71"/>
      <c r="AJ148" s="71"/>
      <c r="AK148" s="71"/>
      <c r="AL148" s="71"/>
      <c r="AM148" s="71"/>
    </row>
    <row r="149" spans="8:39">
      <c r="H149" s="71"/>
      <c r="I149" s="71"/>
      <c r="Y149" s="83"/>
      <c r="Z149" s="83"/>
      <c r="AA149" s="71"/>
      <c r="AB149" s="71"/>
      <c r="AC149" s="71"/>
      <c r="AD149" s="71"/>
      <c r="AE149" s="71"/>
      <c r="AF149" s="71"/>
      <c r="AG149" s="71"/>
      <c r="AJ149" s="71"/>
      <c r="AK149" s="71"/>
      <c r="AL149" s="71"/>
      <c r="AM149" s="71"/>
    </row>
    <row r="150" spans="8:39">
      <c r="H150" s="71"/>
      <c r="I150" s="71"/>
      <c r="Y150" s="83"/>
      <c r="Z150" s="83"/>
      <c r="AA150" s="71"/>
      <c r="AB150" s="71"/>
      <c r="AC150" s="71"/>
      <c r="AD150" s="71"/>
      <c r="AE150" s="71"/>
      <c r="AF150" s="71"/>
      <c r="AG150" s="71"/>
      <c r="AJ150" s="71"/>
      <c r="AK150" s="71"/>
      <c r="AL150" s="71"/>
      <c r="AM150" s="71"/>
    </row>
    <row r="151" spans="8:39">
      <c r="H151" s="71"/>
      <c r="I151" s="71"/>
      <c r="Y151" s="83"/>
      <c r="Z151" s="83"/>
      <c r="AA151" s="71"/>
      <c r="AB151" s="71"/>
      <c r="AC151" s="71"/>
      <c r="AD151" s="71"/>
      <c r="AE151" s="71"/>
      <c r="AF151" s="71"/>
      <c r="AG151" s="71"/>
      <c r="AJ151" s="71"/>
      <c r="AK151" s="71"/>
      <c r="AL151" s="71"/>
      <c r="AM151" s="71"/>
    </row>
    <row r="152" spans="8:39">
      <c r="H152" s="71"/>
      <c r="I152" s="71"/>
      <c r="Y152" s="83"/>
      <c r="Z152" s="83"/>
      <c r="AA152" s="71"/>
      <c r="AB152" s="71"/>
      <c r="AC152" s="71"/>
      <c r="AD152" s="71"/>
      <c r="AE152" s="71"/>
      <c r="AF152" s="71"/>
      <c r="AG152" s="71"/>
      <c r="AJ152" s="71"/>
      <c r="AK152" s="71"/>
      <c r="AL152" s="71"/>
      <c r="AM152" s="71"/>
    </row>
    <row r="153" spans="8:39">
      <c r="H153" s="71"/>
      <c r="I153" s="71"/>
      <c r="Y153" s="83"/>
      <c r="Z153" s="83"/>
      <c r="AA153" s="71"/>
      <c r="AB153" s="71"/>
      <c r="AC153" s="71"/>
      <c r="AD153" s="71"/>
      <c r="AE153" s="71"/>
      <c r="AF153" s="71"/>
      <c r="AG153" s="71"/>
      <c r="AJ153" s="71"/>
      <c r="AK153" s="71"/>
      <c r="AL153" s="71"/>
      <c r="AM153" s="71"/>
    </row>
    <row r="154" spans="8:39">
      <c r="H154" s="71"/>
      <c r="I154" s="71"/>
      <c r="Y154" s="83"/>
      <c r="Z154" s="83"/>
      <c r="AA154" s="71"/>
      <c r="AB154" s="71"/>
      <c r="AC154" s="71"/>
      <c r="AD154" s="71"/>
      <c r="AE154" s="71"/>
      <c r="AF154" s="71"/>
      <c r="AG154" s="71"/>
      <c r="AJ154" s="71"/>
      <c r="AK154" s="71"/>
      <c r="AL154" s="71"/>
      <c r="AM154" s="71"/>
    </row>
    <row r="155" spans="8:39">
      <c r="H155" s="71"/>
      <c r="I155" s="71"/>
      <c r="Y155" s="83"/>
      <c r="Z155" s="83"/>
      <c r="AA155" s="71"/>
      <c r="AB155" s="71"/>
      <c r="AC155" s="71"/>
      <c r="AD155" s="71"/>
      <c r="AE155" s="71"/>
      <c r="AF155" s="71"/>
      <c r="AG155" s="71"/>
      <c r="AJ155" s="71"/>
      <c r="AK155" s="71"/>
      <c r="AL155" s="71"/>
      <c r="AM155" s="71"/>
    </row>
    <row r="156" spans="8:39">
      <c r="H156" s="71"/>
      <c r="I156" s="71"/>
      <c r="Y156" s="83"/>
      <c r="Z156" s="83"/>
      <c r="AA156" s="71"/>
      <c r="AB156" s="71"/>
      <c r="AC156" s="71"/>
      <c r="AD156" s="71"/>
      <c r="AE156" s="71"/>
      <c r="AF156" s="71"/>
      <c r="AG156" s="71"/>
      <c r="AJ156" s="71"/>
      <c r="AK156" s="71"/>
      <c r="AL156" s="71"/>
      <c r="AM156" s="71"/>
    </row>
    <row r="157" spans="8:39">
      <c r="H157" s="71"/>
      <c r="I157" s="71"/>
      <c r="Y157" s="83"/>
      <c r="Z157" s="83"/>
      <c r="AA157" s="71"/>
      <c r="AB157" s="71"/>
      <c r="AC157" s="71"/>
      <c r="AD157" s="71"/>
      <c r="AE157" s="71"/>
      <c r="AF157" s="71"/>
      <c r="AG157" s="71"/>
      <c r="AJ157" s="71"/>
      <c r="AK157" s="71"/>
      <c r="AL157" s="71"/>
      <c r="AM157" s="71"/>
    </row>
    <row r="158" spans="8:39">
      <c r="H158" s="71"/>
      <c r="I158" s="71"/>
      <c r="Y158" s="83"/>
      <c r="Z158" s="83"/>
      <c r="AA158" s="71"/>
      <c r="AB158" s="71"/>
      <c r="AC158" s="71"/>
      <c r="AD158" s="71"/>
      <c r="AE158" s="71"/>
      <c r="AF158" s="71"/>
      <c r="AG158" s="71"/>
      <c r="AJ158" s="71"/>
      <c r="AK158" s="71"/>
      <c r="AL158" s="71"/>
      <c r="AM158" s="71"/>
    </row>
    <row r="159" spans="8:39">
      <c r="H159" s="71"/>
      <c r="I159" s="71"/>
      <c r="Y159" s="83"/>
      <c r="Z159" s="83"/>
      <c r="AA159" s="71"/>
      <c r="AB159" s="71"/>
      <c r="AC159" s="71"/>
      <c r="AD159" s="71"/>
      <c r="AE159" s="71"/>
      <c r="AF159" s="71"/>
      <c r="AG159" s="71"/>
      <c r="AJ159" s="71"/>
      <c r="AK159" s="71"/>
      <c r="AL159" s="71"/>
      <c r="AM159" s="71"/>
    </row>
    <row r="160" spans="8:39">
      <c r="H160" s="71"/>
      <c r="I160" s="71"/>
      <c r="Y160" s="83"/>
      <c r="Z160" s="83"/>
      <c r="AA160" s="71"/>
      <c r="AB160" s="71"/>
      <c r="AC160" s="71"/>
      <c r="AD160" s="71"/>
      <c r="AE160" s="71"/>
      <c r="AF160" s="71"/>
      <c r="AG160" s="71"/>
      <c r="AJ160" s="71"/>
      <c r="AK160" s="71"/>
      <c r="AL160" s="71"/>
      <c r="AM160" s="71"/>
    </row>
    <row r="161" spans="8:39">
      <c r="H161" s="71"/>
      <c r="I161" s="71"/>
      <c r="Y161" s="83"/>
      <c r="Z161" s="83"/>
      <c r="AA161" s="71"/>
      <c r="AB161" s="71"/>
      <c r="AC161" s="71"/>
      <c r="AD161" s="71"/>
      <c r="AE161" s="71"/>
      <c r="AF161" s="71"/>
      <c r="AG161" s="71"/>
      <c r="AJ161" s="71"/>
      <c r="AK161" s="71"/>
      <c r="AL161" s="71"/>
      <c r="AM161" s="71"/>
    </row>
    <row r="162" spans="8:39">
      <c r="H162" s="71"/>
      <c r="I162" s="71"/>
      <c r="Y162" s="83"/>
      <c r="Z162" s="83"/>
      <c r="AA162" s="71"/>
      <c r="AB162" s="71"/>
      <c r="AC162" s="71"/>
      <c r="AD162" s="71"/>
      <c r="AE162" s="71"/>
      <c r="AF162" s="71"/>
      <c r="AG162" s="71"/>
      <c r="AJ162" s="71"/>
      <c r="AK162" s="71"/>
      <c r="AL162" s="71"/>
      <c r="AM162" s="71"/>
    </row>
    <row r="163" spans="8:39">
      <c r="H163" s="71"/>
      <c r="I163" s="71"/>
      <c r="Y163" s="83"/>
      <c r="Z163" s="83"/>
      <c r="AA163" s="71"/>
      <c r="AB163" s="71"/>
      <c r="AC163" s="71"/>
      <c r="AD163" s="71"/>
      <c r="AE163" s="71"/>
      <c r="AF163" s="71"/>
      <c r="AG163" s="71"/>
      <c r="AJ163" s="71"/>
      <c r="AK163" s="71"/>
      <c r="AL163" s="71"/>
      <c r="AM163" s="71"/>
    </row>
    <row r="164" spans="8:39">
      <c r="H164" s="71"/>
      <c r="I164" s="71"/>
      <c r="Y164" s="83"/>
      <c r="Z164" s="83"/>
      <c r="AA164" s="71"/>
      <c r="AB164" s="71"/>
      <c r="AC164" s="71"/>
      <c r="AD164" s="71"/>
      <c r="AE164" s="71"/>
      <c r="AF164" s="71"/>
      <c r="AG164" s="71"/>
      <c r="AJ164" s="71"/>
      <c r="AK164" s="71"/>
      <c r="AL164" s="71"/>
      <c r="AM164" s="71"/>
    </row>
    <row r="165" spans="8:39">
      <c r="H165" s="71"/>
      <c r="I165" s="71"/>
      <c r="Y165" s="83"/>
      <c r="Z165" s="83"/>
      <c r="AA165" s="71"/>
      <c r="AB165" s="71"/>
      <c r="AC165" s="71"/>
      <c r="AD165" s="71"/>
      <c r="AE165" s="71"/>
      <c r="AF165" s="71"/>
      <c r="AG165" s="71"/>
      <c r="AJ165" s="71"/>
      <c r="AK165" s="71"/>
      <c r="AL165" s="71"/>
      <c r="AM165" s="71"/>
    </row>
    <row r="166" spans="8:39">
      <c r="H166" s="71"/>
      <c r="I166" s="71"/>
      <c r="Y166" s="83"/>
      <c r="Z166" s="83"/>
      <c r="AA166" s="71"/>
      <c r="AB166" s="71"/>
      <c r="AC166" s="71"/>
      <c r="AD166" s="71"/>
      <c r="AE166" s="71"/>
      <c r="AF166" s="71"/>
      <c r="AG166" s="71"/>
      <c r="AJ166" s="71"/>
      <c r="AK166" s="71"/>
      <c r="AL166" s="71"/>
      <c r="AM166" s="71"/>
    </row>
    <row r="167" spans="8:39">
      <c r="H167" s="71"/>
      <c r="I167" s="71"/>
      <c r="Y167" s="83"/>
      <c r="Z167" s="83"/>
      <c r="AA167" s="71"/>
      <c r="AB167" s="71"/>
      <c r="AC167" s="71"/>
      <c r="AD167" s="71"/>
      <c r="AE167" s="71"/>
      <c r="AF167" s="71"/>
      <c r="AG167" s="71"/>
      <c r="AJ167" s="71"/>
      <c r="AK167" s="71"/>
      <c r="AL167" s="71"/>
      <c r="AM167" s="71"/>
    </row>
    <row r="168" spans="8:39">
      <c r="H168" s="71"/>
      <c r="I168" s="71"/>
      <c r="Y168" s="83"/>
      <c r="Z168" s="83"/>
      <c r="AA168" s="71"/>
      <c r="AB168" s="71"/>
      <c r="AC168" s="71"/>
      <c r="AD168" s="71"/>
      <c r="AE168" s="71"/>
      <c r="AF168" s="71"/>
      <c r="AG168" s="71"/>
      <c r="AJ168" s="71"/>
      <c r="AK168" s="71"/>
      <c r="AL168" s="71"/>
      <c r="AM168" s="71"/>
    </row>
    <row r="169" spans="8:39">
      <c r="H169" s="71"/>
      <c r="I169" s="71"/>
      <c r="Y169" s="83"/>
      <c r="Z169" s="83"/>
      <c r="AA169" s="71"/>
      <c r="AB169" s="71"/>
      <c r="AC169" s="71"/>
      <c r="AD169" s="71"/>
      <c r="AE169" s="71"/>
      <c r="AF169" s="71"/>
      <c r="AG169" s="71"/>
      <c r="AJ169" s="71"/>
      <c r="AK169" s="71"/>
      <c r="AL169" s="71"/>
      <c r="AM169" s="71"/>
    </row>
    <row r="170" spans="8:39">
      <c r="H170" s="71"/>
      <c r="I170" s="71"/>
      <c r="Y170" s="83"/>
      <c r="Z170" s="83"/>
      <c r="AA170" s="71"/>
      <c r="AB170" s="71"/>
      <c r="AC170" s="71"/>
      <c r="AD170" s="71"/>
      <c r="AE170" s="71"/>
      <c r="AF170" s="71"/>
      <c r="AG170" s="71"/>
      <c r="AJ170" s="71"/>
      <c r="AK170" s="71"/>
      <c r="AL170" s="71"/>
      <c r="AM170" s="71"/>
    </row>
    <row r="171" spans="8:39">
      <c r="H171" s="71"/>
      <c r="I171" s="71"/>
      <c r="Y171" s="83"/>
      <c r="Z171" s="83"/>
      <c r="AA171" s="71"/>
      <c r="AB171" s="71"/>
      <c r="AC171" s="71"/>
      <c r="AD171" s="71"/>
      <c r="AE171" s="71"/>
      <c r="AF171" s="71"/>
      <c r="AG171" s="71"/>
      <c r="AJ171" s="71"/>
      <c r="AK171" s="71"/>
      <c r="AL171" s="71"/>
      <c r="AM171" s="71"/>
    </row>
    <row r="172" spans="8:39">
      <c r="H172" s="71"/>
      <c r="I172" s="71"/>
      <c r="Y172" s="83"/>
      <c r="Z172" s="83"/>
      <c r="AA172" s="71"/>
      <c r="AB172" s="71"/>
      <c r="AC172" s="71"/>
      <c r="AD172" s="71"/>
      <c r="AE172" s="71"/>
      <c r="AF172" s="71"/>
      <c r="AG172" s="71"/>
      <c r="AJ172" s="71"/>
      <c r="AK172" s="71"/>
      <c r="AL172" s="71"/>
      <c r="AM172" s="71"/>
    </row>
    <row r="173" spans="8:39">
      <c r="H173" s="71"/>
      <c r="I173" s="71"/>
      <c r="Y173" s="83"/>
      <c r="Z173" s="83"/>
      <c r="AA173" s="71"/>
      <c r="AB173" s="71"/>
      <c r="AC173" s="71"/>
      <c r="AD173" s="71"/>
      <c r="AE173" s="71"/>
      <c r="AF173" s="71"/>
      <c r="AG173" s="71"/>
      <c r="AJ173" s="71"/>
      <c r="AK173" s="71"/>
      <c r="AL173" s="71"/>
      <c r="AM173" s="71"/>
    </row>
    <row r="174" spans="8:39">
      <c r="H174" s="71"/>
      <c r="I174" s="71"/>
      <c r="Y174" s="83"/>
      <c r="Z174" s="83"/>
      <c r="AA174" s="71"/>
      <c r="AB174" s="71"/>
      <c r="AC174" s="71"/>
      <c r="AD174" s="71"/>
      <c r="AE174" s="71"/>
      <c r="AF174" s="71"/>
      <c r="AG174" s="71"/>
      <c r="AJ174" s="71"/>
      <c r="AK174" s="71"/>
      <c r="AL174" s="71"/>
      <c r="AM174" s="71"/>
    </row>
    <row r="175" spans="8:39">
      <c r="H175" s="71"/>
      <c r="I175" s="71"/>
      <c r="Y175" s="83"/>
      <c r="Z175" s="83"/>
      <c r="AA175" s="71"/>
      <c r="AB175" s="71"/>
      <c r="AC175" s="71"/>
      <c r="AD175" s="71"/>
      <c r="AE175" s="71"/>
      <c r="AF175" s="71"/>
      <c r="AG175" s="71"/>
      <c r="AJ175" s="71"/>
      <c r="AK175" s="71"/>
      <c r="AL175" s="71"/>
      <c r="AM175" s="71"/>
    </row>
    <row r="176" spans="8:39">
      <c r="H176" s="71"/>
      <c r="I176" s="71"/>
      <c r="Y176" s="83"/>
      <c r="Z176" s="83"/>
      <c r="AA176" s="71"/>
      <c r="AB176" s="71"/>
      <c r="AC176" s="71"/>
      <c r="AD176" s="71"/>
      <c r="AE176" s="71"/>
      <c r="AF176" s="71"/>
      <c r="AG176" s="71"/>
      <c r="AJ176" s="71"/>
      <c r="AK176" s="71"/>
      <c r="AL176" s="71"/>
      <c r="AM176" s="71"/>
    </row>
    <row r="177" spans="8:39">
      <c r="H177" s="71"/>
      <c r="I177" s="71"/>
      <c r="Y177" s="83"/>
      <c r="Z177" s="83"/>
      <c r="AA177" s="71"/>
      <c r="AB177" s="71"/>
      <c r="AC177" s="71"/>
      <c r="AD177" s="71"/>
      <c r="AE177" s="71"/>
      <c r="AF177" s="71"/>
      <c r="AG177" s="71"/>
      <c r="AJ177" s="71"/>
      <c r="AK177" s="71"/>
      <c r="AL177" s="71"/>
      <c r="AM177" s="71"/>
    </row>
    <row r="178" spans="8:39">
      <c r="H178" s="71"/>
      <c r="I178" s="71"/>
      <c r="Y178" s="83"/>
      <c r="Z178" s="83"/>
      <c r="AA178" s="71"/>
      <c r="AB178" s="71"/>
      <c r="AC178" s="71"/>
      <c r="AD178" s="71"/>
      <c r="AE178" s="71"/>
      <c r="AF178" s="71"/>
      <c r="AG178" s="71"/>
      <c r="AJ178" s="71"/>
      <c r="AK178" s="71"/>
      <c r="AL178" s="71"/>
      <c r="AM178" s="71"/>
    </row>
    <row r="179" spans="8:39">
      <c r="H179" s="71"/>
      <c r="I179" s="71"/>
      <c r="Y179" s="83"/>
      <c r="Z179" s="83"/>
      <c r="AA179" s="71"/>
      <c r="AB179" s="71"/>
      <c r="AC179" s="71"/>
      <c r="AD179" s="71"/>
      <c r="AE179" s="71"/>
      <c r="AF179" s="71"/>
      <c r="AG179" s="71"/>
      <c r="AJ179" s="71"/>
      <c r="AK179" s="71"/>
      <c r="AL179" s="71"/>
      <c r="AM179" s="71"/>
    </row>
    <row r="180" spans="8:39">
      <c r="H180" s="71"/>
      <c r="I180" s="71"/>
      <c r="Y180" s="83"/>
      <c r="Z180" s="83"/>
      <c r="AA180" s="71"/>
      <c r="AB180" s="71"/>
      <c r="AC180" s="71"/>
      <c r="AD180" s="71"/>
      <c r="AE180" s="71"/>
      <c r="AF180" s="71"/>
      <c r="AG180" s="71"/>
      <c r="AJ180" s="71"/>
      <c r="AK180" s="71"/>
      <c r="AL180" s="71"/>
      <c r="AM180" s="71"/>
    </row>
    <row r="181" spans="8:39">
      <c r="H181" s="71"/>
      <c r="I181" s="71"/>
      <c r="Y181" s="83"/>
      <c r="Z181" s="83"/>
      <c r="AA181" s="71"/>
      <c r="AB181" s="71"/>
      <c r="AC181" s="71"/>
      <c r="AD181" s="71"/>
      <c r="AE181" s="71"/>
      <c r="AF181" s="71"/>
      <c r="AG181" s="71"/>
      <c r="AJ181" s="71"/>
      <c r="AK181" s="71"/>
      <c r="AL181" s="71"/>
      <c r="AM181" s="71"/>
    </row>
    <row r="182" spans="8:39">
      <c r="H182" s="71"/>
      <c r="I182" s="71"/>
      <c r="Y182" s="83"/>
      <c r="Z182" s="83"/>
      <c r="AA182" s="71"/>
      <c r="AB182" s="71"/>
      <c r="AC182" s="71"/>
      <c r="AD182" s="71"/>
      <c r="AE182" s="71"/>
      <c r="AF182" s="71"/>
      <c r="AG182" s="71"/>
      <c r="AJ182" s="71"/>
      <c r="AK182" s="71"/>
      <c r="AL182" s="71"/>
      <c r="AM182" s="71"/>
    </row>
    <row r="183" spans="8:39">
      <c r="H183" s="71"/>
      <c r="I183" s="71"/>
      <c r="Y183" s="83"/>
      <c r="Z183" s="83"/>
      <c r="AA183" s="71"/>
      <c r="AB183" s="71"/>
      <c r="AC183" s="71"/>
      <c r="AD183" s="71"/>
      <c r="AE183" s="71"/>
      <c r="AF183" s="71"/>
      <c r="AG183" s="71"/>
      <c r="AJ183" s="71"/>
      <c r="AK183" s="71"/>
      <c r="AL183" s="71"/>
      <c r="AM183" s="71"/>
    </row>
    <row r="184" spans="8:39">
      <c r="H184" s="71"/>
      <c r="I184" s="71"/>
      <c r="Y184" s="83"/>
      <c r="Z184" s="83"/>
      <c r="AA184" s="71"/>
      <c r="AB184" s="71"/>
      <c r="AC184" s="71"/>
      <c r="AD184" s="71"/>
      <c r="AE184" s="71"/>
      <c r="AF184" s="71"/>
      <c r="AG184" s="71"/>
      <c r="AJ184" s="71"/>
      <c r="AK184" s="71"/>
      <c r="AL184" s="71"/>
      <c r="AM184" s="71"/>
    </row>
    <row r="185" spans="8:39">
      <c r="H185" s="71"/>
      <c r="I185" s="71"/>
      <c r="Y185" s="83"/>
      <c r="Z185" s="83"/>
      <c r="AA185" s="71"/>
      <c r="AB185" s="71"/>
      <c r="AC185" s="71"/>
      <c r="AD185" s="71"/>
      <c r="AE185" s="71"/>
      <c r="AF185" s="71"/>
      <c r="AG185" s="71"/>
      <c r="AJ185" s="71"/>
      <c r="AK185" s="71"/>
      <c r="AL185" s="71"/>
      <c r="AM185" s="71"/>
    </row>
    <row r="186" spans="8:39">
      <c r="H186" s="71"/>
      <c r="I186" s="71"/>
      <c r="Y186" s="83"/>
      <c r="Z186" s="83"/>
      <c r="AA186" s="71"/>
      <c r="AB186" s="71"/>
      <c r="AC186" s="71"/>
      <c r="AD186" s="71"/>
      <c r="AE186" s="71"/>
      <c r="AF186" s="71"/>
      <c r="AG186" s="71"/>
      <c r="AJ186" s="71"/>
      <c r="AK186" s="71"/>
      <c r="AL186" s="71"/>
      <c r="AM186" s="71"/>
    </row>
    <row r="187" spans="8:39">
      <c r="H187" s="71"/>
      <c r="I187" s="71"/>
      <c r="Y187" s="83"/>
      <c r="Z187" s="83"/>
      <c r="AA187" s="71"/>
      <c r="AB187" s="71"/>
      <c r="AC187" s="71"/>
      <c r="AD187" s="71"/>
      <c r="AE187" s="71"/>
      <c r="AF187" s="71"/>
      <c r="AG187" s="71"/>
      <c r="AJ187" s="71"/>
      <c r="AK187" s="71"/>
      <c r="AL187" s="71"/>
      <c r="AM187" s="71"/>
    </row>
    <row r="188" spans="8:39">
      <c r="H188" s="71"/>
      <c r="I188" s="71"/>
      <c r="Y188" s="83"/>
      <c r="Z188" s="83"/>
      <c r="AA188" s="71"/>
      <c r="AB188" s="71"/>
      <c r="AC188" s="71"/>
      <c r="AD188" s="71"/>
      <c r="AE188" s="71"/>
      <c r="AF188" s="71"/>
      <c r="AG188" s="71"/>
      <c r="AJ188" s="71"/>
      <c r="AK188" s="71"/>
      <c r="AL188" s="71"/>
      <c r="AM188" s="71"/>
    </row>
    <row r="189" spans="8:39">
      <c r="H189" s="71"/>
      <c r="I189" s="71"/>
      <c r="Y189" s="83"/>
      <c r="Z189" s="83"/>
      <c r="AA189" s="71"/>
      <c r="AB189" s="71"/>
      <c r="AC189" s="71"/>
      <c r="AD189" s="71"/>
      <c r="AE189" s="71"/>
      <c r="AF189" s="71"/>
      <c r="AG189" s="71"/>
      <c r="AJ189" s="71"/>
      <c r="AK189" s="71"/>
      <c r="AL189" s="71"/>
      <c r="AM189" s="71"/>
    </row>
    <row r="190" spans="8:39">
      <c r="H190" s="71"/>
      <c r="I190" s="71"/>
      <c r="Y190" s="83"/>
      <c r="Z190" s="83"/>
      <c r="AA190" s="71"/>
      <c r="AB190" s="71"/>
      <c r="AC190" s="71"/>
      <c r="AD190" s="71"/>
      <c r="AE190" s="71"/>
      <c r="AF190" s="71"/>
      <c r="AG190" s="71"/>
      <c r="AJ190" s="71"/>
      <c r="AK190" s="71"/>
      <c r="AL190" s="71"/>
      <c r="AM190" s="71"/>
    </row>
    <row r="191" spans="8:39">
      <c r="H191" s="71"/>
      <c r="I191" s="71"/>
      <c r="Y191" s="83"/>
      <c r="Z191" s="83"/>
      <c r="AA191" s="71"/>
      <c r="AB191" s="71"/>
      <c r="AC191" s="71"/>
      <c r="AD191" s="71"/>
      <c r="AE191" s="71"/>
      <c r="AF191" s="71"/>
      <c r="AG191" s="71"/>
      <c r="AJ191" s="71"/>
      <c r="AK191" s="71"/>
      <c r="AL191" s="71"/>
      <c r="AM191" s="71"/>
    </row>
    <row r="192" spans="8:39">
      <c r="H192" s="71"/>
      <c r="I192" s="71"/>
      <c r="Y192" s="83"/>
      <c r="Z192" s="83"/>
      <c r="AA192" s="71"/>
      <c r="AB192" s="71"/>
      <c r="AC192" s="71"/>
      <c r="AD192" s="71"/>
      <c r="AE192" s="71"/>
      <c r="AF192" s="71"/>
      <c r="AG192" s="71"/>
      <c r="AJ192" s="71"/>
      <c r="AK192" s="71"/>
      <c r="AL192" s="71"/>
      <c r="AM192" s="71"/>
    </row>
    <row r="193" spans="8:39">
      <c r="H193" s="71"/>
      <c r="I193" s="71"/>
      <c r="Y193" s="83"/>
      <c r="Z193" s="83"/>
      <c r="AA193" s="71"/>
      <c r="AB193" s="71"/>
      <c r="AC193" s="71"/>
      <c r="AD193" s="71"/>
      <c r="AE193" s="71"/>
      <c r="AF193" s="71"/>
      <c r="AG193" s="71"/>
      <c r="AJ193" s="71"/>
      <c r="AK193" s="71"/>
      <c r="AL193" s="71"/>
      <c r="AM193" s="71"/>
    </row>
    <row r="194" spans="8:39">
      <c r="H194" s="71"/>
      <c r="I194" s="71"/>
      <c r="Y194" s="83"/>
      <c r="Z194" s="83"/>
      <c r="AA194" s="71"/>
      <c r="AB194" s="71"/>
      <c r="AC194" s="71"/>
      <c r="AD194" s="71"/>
      <c r="AE194" s="71"/>
      <c r="AF194" s="71"/>
      <c r="AG194" s="71"/>
      <c r="AJ194" s="71"/>
      <c r="AK194" s="71"/>
      <c r="AL194" s="71"/>
      <c r="AM194" s="71"/>
    </row>
    <row r="195" spans="8:39">
      <c r="H195" s="71"/>
      <c r="I195" s="71"/>
      <c r="Y195" s="83"/>
      <c r="Z195" s="83"/>
      <c r="AA195" s="71"/>
      <c r="AB195" s="71"/>
      <c r="AC195" s="71"/>
      <c r="AD195" s="71"/>
      <c r="AE195" s="71"/>
      <c r="AF195" s="71"/>
      <c r="AG195" s="71"/>
      <c r="AJ195" s="71"/>
      <c r="AK195" s="71"/>
      <c r="AL195" s="71"/>
      <c r="AM195" s="71"/>
    </row>
    <row r="196" spans="8:39">
      <c r="H196" s="71"/>
      <c r="I196" s="71"/>
      <c r="Y196" s="83"/>
      <c r="Z196" s="83"/>
      <c r="AA196" s="71"/>
      <c r="AB196" s="71"/>
      <c r="AC196" s="71"/>
      <c r="AD196" s="71"/>
      <c r="AE196" s="71"/>
      <c r="AF196" s="71"/>
      <c r="AG196" s="71"/>
      <c r="AJ196" s="71"/>
      <c r="AK196" s="71"/>
      <c r="AL196" s="71"/>
      <c r="AM196" s="71"/>
    </row>
    <row r="197" spans="8:39">
      <c r="H197" s="71"/>
      <c r="I197" s="71"/>
      <c r="Y197" s="83"/>
      <c r="Z197" s="83"/>
      <c r="AA197" s="71"/>
      <c r="AB197" s="71"/>
      <c r="AC197" s="71"/>
      <c r="AD197" s="71"/>
      <c r="AE197" s="71"/>
      <c r="AF197" s="71"/>
      <c r="AG197" s="71"/>
      <c r="AJ197" s="71"/>
      <c r="AK197" s="71"/>
      <c r="AL197" s="71"/>
      <c r="AM197" s="71"/>
    </row>
    <row r="198" spans="8:39">
      <c r="H198" s="71"/>
      <c r="I198" s="71"/>
      <c r="Y198" s="83"/>
      <c r="Z198" s="83"/>
      <c r="AA198" s="71"/>
      <c r="AB198" s="71"/>
      <c r="AC198" s="71"/>
      <c r="AD198" s="71"/>
      <c r="AE198" s="71"/>
      <c r="AF198" s="71"/>
      <c r="AG198" s="71"/>
      <c r="AJ198" s="71"/>
      <c r="AK198" s="71"/>
      <c r="AL198" s="71"/>
      <c r="AM198" s="71"/>
    </row>
    <row r="199" spans="8:39">
      <c r="H199" s="71"/>
      <c r="I199" s="71"/>
      <c r="Y199" s="83"/>
      <c r="Z199" s="83"/>
      <c r="AA199" s="71"/>
      <c r="AB199" s="71"/>
      <c r="AC199" s="71"/>
      <c r="AD199" s="71"/>
      <c r="AE199" s="71"/>
      <c r="AF199" s="71"/>
      <c r="AG199" s="71"/>
      <c r="AJ199" s="71"/>
      <c r="AK199" s="71"/>
      <c r="AL199" s="71"/>
      <c r="AM199" s="71"/>
    </row>
    <row r="200" spans="8:39">
      <c r="H200" s="71"/>
      <c r="I200" s="71"/>
      <c r="Y200" s="83"/>
      <c r="Z200" s="83"/>
      <c r="AA200" s="71"/>
      <c r="AB200" s="71"/>
      <c r="AC200" s="71"/>
      <c r="AD200" s="71"/>
      <c r="AE200" s="71"/>
      <c r="AF200" s="71"/>
      <c r="AG200" s="71"/>
      <c r="AJ200" s="71"/>
      <c r="AK200" s="71"/>
      <c r="AL200" s="71"/>
      <c r="AM200" s="71"/>
    </row>
    <row r="201" spans="8:39">
      <c r="H201" s="71"/>
      <c r="I201" s="71"/>
      <c r="Y201" s="83"/>
      <c r="Z201" s="83"/>
      <c r="AA201" s="71"/>
      <c r="AB201" s="71"/>
      <c r="AC201" s="71"/>
      <c r="AD201" s="71"/>
      <c r="AE201" s="71"/>
      <c r="AF201" s="71"/>
      <c r="AG201" s="71"/>
      <c r="AJ201" s="71"/>
      <c r="AK201" s="71"/>
      <c r="AL201" s="71"/>
      <c r="AM201" s="71"/>
    </row>
    <row r="202" spans="8:39">
      <c r="H202" s="71"/>
      <c r="I202" s="71"/>
      <c r="Y202" s="83"/>
      <c r="Z202" s="83"/>
      <c r="AA202" s="71"/>
      <c r="AB202" s="71"/>
      <c r="AC202" s="71"/>
      <c r="AD202" s="71"/>
      <c r="AE202" s="71"/>
      <c r="AF202" s="71"/>
      <c r="AG202" s="71"/>
      <c r="AJ202" s="71"/>
      <c r="AK202" s="71"/>
      <c r="AL202" s="71"/>
      <c r="AM202" s="71"/>
    </row>
    <row r="203" spans="8:39">
      <c r="H203" s="71"/>
      <c r="I203" s="71"/>
      <c r="Y203" s="83"/>
      <c r="Z203" s="83"/>
      <c r="AA203" s="71"/>
      <c r="AB203" s="71"/>
      <c r="AC203" s="71"/>
      <c r="AD203" s="71"/>
      <c r="AE203" s="71"/>
      <c r="AF203" s="71"/>
      <c r="AG203" s="71"/>
      <c r="AJ203" s="71"/>
      <c r="AK203" s="71"/>
      <c r="AL203" s="71"/>
      <c r="AM203" s="71"/>
    </row>
    <row r="204" spans="8:39">
      <c r="H204" s="71"/>
      <c r="I204" s="71"/>
      <c r="Y204" s="83"/>
      <c r="Z204" s="83"/>
      <c r="AA204" s="71"/>
      <c r="AB204" s="71"/>
      <c r="AC204" s="71"/>
      <c r="AD204" s="71"/>
      <c r="AE204" s="71"/>
      <c r="AF204" s="71"/>
      <c r="AG204" s="71"/>
      <c r="AJ204" s="71"/>
      <c r="AK204" s="71"/>
      <c r="AL204" s="71"/>
      <c r="AM204" s="71"/>
    </row>
    <row r="205" spans="8:39">
      <c r="H205" s="71"/>
      <c r="I205" s="71"/>
      <c r="Y205" s="83"/>
      <c r="Z205" s="83"/>
      <c r="AA205" s="71"/>
      <c r="AB205" s="71"/>
      <c r="AC205" s="71"/>
      <c r="AD205" s="71"/>
      <c r="AE205" s="71"/>
      <c r="AF205" s="71"/>
      <c r="AG205" s="71"/>
      <c r="AJ205" s="71"/>
      <c r="AK205" s="71"/>
      <c r="AL205" s="71"/>
      <c r="AM205" s="71"/>
    </row>
    <row r="206" spans="8:39">
      <c r="H206" s="71"/>
      <c r="I206" s="71"/>
      <c r="Y206" s="83"/>
      <c r="Z206" s="83"/>
      <c r="AA206" s="71"/>
      <c r="AB206" s="71"/>
      <c r="AC206" s="71"/>
      <c r="AD206" s="71"/>
      <c r="AE206" s="71"/>
      <c r="AF206" s="71"/>
      <c r="AG206" s="71"/>
      <c r="AJ206" s="71"/>
      <c r="AK206" s="71"/>
      <c r="AL206" s="71"/>
      <c r="AM206" s="71"/>
    </row>
    <row r="207" spans="8:39">
      <c r="H207" s="71"/>
      <c r="I207" s="71"/>
      <c r="Y207" s="83"/>
      <c r="Z207" s="83"/>
      <c r="AA207" s="71"/>
      <c r="AB207" s="71"/>
      <c r="AC207" s="71"/>
      <c r="AD207" s="71"/>
      <c r="AE207" s="71"/>
      <c r="AF207" s="71"/>
      <c r="AG207" s="71"/>
      <c r="AJ207" s="71"/>
      <c r="AK207" s="71"/>
      <c r="AL207" s="71"/>
      <c r="AM207" s="71"/>
    </row>
    <row r="208" spans="8:39">
      <c r="H208" s="71"/>
      <c r="I208" s="71"/>
      <c r="Y208" s="83"/>
      <c r="Z208" s="83"/>
      <c r="AA208" s="71"/>
      <c r="AB208" s="71"/>
      <c r="AC208" s="71"/>
      <c r="AD208" s="71"/>
      <c r="AE208" s="71"/>
      <c r="AF208" s="71"/>
      <c r="AG208" s="71"/>
      <c r="AJ208" s="71"/>
      <c r="AK208" s="71"/>
      <c r="AL208" s="71"/>
      <c r="AM208" s="71"/>
    </row>
    <row r="209" spans="8:39">
      <c r="H209" s="71"/>
      <c r="I209" s="71"/>
      <c r="Y209" s="83"/>
      <c r="Z209" s="83"/>
      <c r="AA209" s="71"/>
      <c r="AB209" s="71"/>
      <c r="AC209" s="71"/>
      <c r="AD209" s="71"/>
      <c r="AE209" s="71"/>
      <c r="AF209" s="71"/>
      <c r="AG209" s="71"/>
      <c r="AJ209" s="71"/>
      <c r="AK209" s="71"/>
      <c r="AL209" s="71"/>
      <c r="AM209" s="71"/>
    </row>
    <row r="210" spans="8:39">
      <c r="H210" s="71"/>
      <c r="I210" s="71"/>
      <c r="Y210" s="83"/>
      <c r="Z210" s="83"/>
      <c r="AA210" s="71"/>
      <c r="AB210" s="71"/>
      <c r="AC210" s="71"/>
      <c r="AD210" s="71"/>
      <c r="AE210" s="71"/>
      <c r="AF210" s="71"/>
      <c r="AG210" s="71"/>
      <c r="AJ210" s="71"/>
      <c r="AK210" s="71"/>
      <c r="AL210" s="71"/>
      <c r="AM210" s="71"/>
    </row>
    <row r="211" spans="8:39">
      <c r="H211" s="71"/>
      <c r="I211" s="71"/>
      <c r="Y211" s="83"/>
      <c r="Z211" s="83"/>
      <c r="AA211" s="71"/>
      <c r="AB211" s="71"/>
      <c r="AC211" s="71"/>
      <c r="AD211" s="71"/>
      <c r="AE211" s="71"/>
      <c r="AF211" s="71"/>
      <c r="AG211" s="71"/>
      <c r="AJ211" s="71"/>
      <c r="AK211" s="71"/>
      <c r="AL211" s="71"/>
      <c r="AM211" s="71"/>
    </row>
    <row r="212" spans="8:39">
      <c r="H212" s="71"/>
      <c r="I212" s="71"/>
      <c r="Y212" s="83"/>
      <c r="Z212" s="83"/>
      <c r="AA212" s="71"/>
      <c r="AB212" s="71"/>
      <c r="AC212" s="71"/>
      <c r="AD212" s="71"/>
      <c r="AE212" s="71"/>
      <c r="AF212" s="71"/>
      <c r="AG212" s="71"/>
      <c r="AJ212" s="71"/>
      <c r="AK212" s="71"/>
      <c r="AL212" s="71"/>
      <c r="AM212" s="71"/>
    </row>
    <row r="213" spans="8:39">
      <c r="H213" s="71"/>
      <c r="I213" s="71"/>
      <c r="Y213" s="83"/>
      <c r="Z213" s="83"/>
      <c r="AA213" s="71"/>
      <c r="AB213" s="71"/>
      <c r="AC213" s="71"/>
      <c r="AD213" s="71"/>
      <c r="AE213" s="71"/>
      <c r="AF213" s="71"/>
      <c r="AG213" s="71"/>
      <c r="AJ213" s="71"/>
      <c r="AK213" s="71"/>
      <c r="AL213" s="71"/>
      <c r="AM213" s="71"/>
    </row>
    <row r="214" spans="8:39">
      <c r="H214" s="71"/>
      <c r="I214" s="71"/>
      <c r="Y214" s="83"/>
      <c r="Z214" s="83"/>
      <c r="AA214" s="71"/>
      <c r="AB214" s="71"/>
      <c r="AC214" s="71"/>
      <c r="AD214" s="71"/>
      <c r="AE214" s="71"/>
      <c r="AF214" s="71"/>
      <c r="AG214" s="71"/>
      <c r="AJ214" s="71"/>
      <c r="AK214" s="71"/>
      <c r="AL214" s="71"/>
      <c r="AM214" s="71"/>
    </row>
    <row r="215" spans="8:39">
      <c r="H215" s="71"/>
      <c r="I215" s="71"/>
      <c r="Y215" s="83"/>
      <c r="Z215" s="83"/>
      <c r="AA215" s="71"/>
      <c r="AB215" s="71"/>
      <c r="AC215" s="71"/>
      <c r="AD215" s="71"/>
      <c r="AE215" s="71"/>
      <c r="AF215" s="71"/>
      <c r="AG215" s="71"/>
      <c r="AJ215" s="71"/>
      <c r="AK215" s="71"/>
      <c r="AL215" s="71"/>
      <c r="AM215" s="71"/>
    </row>
    <row r="216" spans="8:39">
      <c r="H216" s="71"/>
      <c r="I216" s="71"/>
      <c r="Y216" s="83"/>
      <c r="Z216" s="83"/>
      <c r="AA216" s="71"/>
      <c r="AB216" s="71"/>
      <c r="AC216" s="71"/>
      <c r="AD216" s="71"/>
      <c r="AE216" s="71"/>
      <c r="AF216" s="71"/>
      <c r="AG216" s="71"/>
      <c r="AJ216" s="71"/>
      <c r="AK216" s="71"/>
      <c r="AL216" s="71"/>
      <c r="AM216" s="71"/>
    </row>
    <row r="217" spans="8:39">
      <c r="H217" s="71"/>
      <c r="I217" s="71"/>
      <c r="Y217" s="83"/>
      <c r="Z217" s="83"/>
      <c r="AA217" s="71"/>
      <c r="AB217" s="71"/>
      <c r="AC217" s="71"/>
      <c r="AD217" s="71"/>
      <c r="AE217" s="71"/>
      <c r="AF217" s="71"/>
      <c r="AG217" s="71"/>
      <c r="AJ217" s="71"/>
      <c r="AK217" s="71"/>
      <c r="AL217" s="71"/>
      <c r="AM217" s="71"/>
    </row>
    <row r="218" spans="8:39">
      <c r="H218" s="71"/>
      <c r="I218" s="71"/>
      <c r="Y218" s="83"/>
      <c r="Z218" s="83"/>
      <c r="AA218" s="71"/>
      <c r="AB218" s="71"/>
      <c r="AC218" s="71"/>
      <c r="AD218" s="71"/>
      <c r="AE218" s="71"/>
      <c r="AF218" s="71"/>
      <c r="AG218" s="71"/>
      <c r="AJ218" s="71"/>
      <c r="AK218" s="71"/>
      <c r="AL218" s="71"/>
      <c r="AM218" s="71"/>
    </row>
    <row r="219" spans="8:39">
      <c r="H219" s="71"/>
      <c r="I219" s="71"/>
      <c r="Y219" s="83"/>
      <c r="Z219" s="83"/>
      <c r="AA219" s="71"/>
      <c r="AB219" s="71"/>
      <c r="AC219" s="71"/>
      <c r="AD219" s="71"/>
      <c r="AE219" s="71"/>
      <c r="AF219" s="71"/>
      <c r="AG219" s="71"/>
      <c r="AJ219" s="71"/>
      <c r="AK219" s="71"/>
      <c r="AL219" s="71"/>
      <c r="AM219" s="71"/>
    </row>
    <row r="220" spans="8:39">
      <c r="H220" s="71"/>
      <c r="I220" s="71"/>
      <c r="Y220" s="83"/>
      <c r="Z220" s="83"/>
      <c r="AA220" s="71"/>
      <c r="AB220" s="71"/>
      <c r="AC220" s="71"/>
      <c r="AD220" s="71"/>
      <c r="AE220" s="71"/>
      <c r="AF220" s="71"/>
      <c r="AG220" s="71"/>
      <c r="AJ220" s="71"/>
      <c r="AK220" s="71"/>
      <c r="AL220" s="71"/>
      <c r="AM220" s="71"/>
    </row>
    <row r="221" spans="8:39">
      <c r="H221" s="71"/>
      <c r="I221" s="71"/>
      <c r="Y221" s="83"/>
      <c r="Z221" s="83"/>
      <c r="AA221" s="71"/>
      <c r="AB221" s="71"/>
      <c r="AC221" s="71"/>
      <c r="AD221" s="71"/>
      <c r="AE221" s="71"/>
      <c r="AF221" s="71"/>
      <c r="AG221" s="71"/>
      <c r="AJ221" s="71"/>
      <c r="AK221" s="71"/>
      <c r="AL221" s="71"/>
      <c r="AM221" s="71"/>
    </row>
    <row r="222" spans="8:39">
      <c r="H222" s="71"/>
      <c r="I222" s="71"/>
      <c r="Y222" s="83"/>
      <c r="Z222" s="83"/>
      <c r="AA222" s="71"/>
      <c r="AB222" s="71"/>
      <c r="AC222" s="71"/>
      <c r="AD222" s="71"/>
      <c r="AE222" s="71"/>
      <c r="AF222" s="71"/>
      <c r="AG222" s="71"/>
      <c r="AJ222" s="71"/>
      <c r="AK222" s="71"/>
      <c r="AL222" s="71"/>
      <c r="AM222" s="71"/>
    </row>
    <row r="223" spans="8:39">
      <c r="H223" s="71"/>
      <c r="I223" s="71"/>
      <c r="Y223" s="83"/>
      <c r="Z223" s="83"/>
      <c r="AA223" s="71"/>
      <c r="AB223" s="71"/>
      <c r="AC223" s="71"/>
      <c r="AD223" s="71"/>
      <c r="AE223" s="71"/>
      <c r="AF223" s="71"/>
      <c r="AG223" s="71"/>
      <c r="AJ223" s="71"/>
      <c r="AK223" s="71"/>
      <c r="AL223" s="71"/>
      <c r="AM223" s="71"/>
    </row>
    <row r="224" spans="8:39">
      <c r="H224" s="71"/>
      <c r="I224" s="71"/>
      <c r="Y224" s="83"/>
      <c r="Z224" s="83"/>
      <c r="AA224" s="71"/>
      <c r="AB224" s="71"/>
      <c r="AC224" s="71"/>
      <c r="AD224" s="71"/>
      <c r="AE224" s="71"/>
      <c r="AF224" s="71"/>
      <c r="AG224" s="71"/>
      <c r="AJ224" s="71"/>
      <c r="AK224" s="71"/>
      <c r="AL224" s="71"/>
      <c r="AM224" s="71"/>
    </row>
    <row r="225" spans="8:39">
      <c r="H225" s="71"/>
      <c r="I225" s="71"/>
      <c r="Y225" s="83"/>
      <c r="Z225" s="83"/>
      <c r="AA225" s="71"/>
      <c r="AB225" s="71"/>
      <c r="AC225" s="71"/>
      <c r="AD225" s="71"/>
      <c r="AE225" s="71"/>
      <c r="AF225" s="71"/>
      <c r="AG225" s="71"/>
      <c r="AJ225" s="71"/>
      <c r="AK225" s="71"/>
      <c r="AL225" s="71"/>
      <c r="AM225" s="71"/>
    </row>
    <row r="226" spans="8:39">
      <c r="H226" s="71"/>
      <c r="I226" s="71"/>
      <c r="Y226" s="83"/>
      <c r="Z226" s="83"/>
      <c r="AA226" s="71"/>
      <c r="AB226" s="71"/>
      <c r="AC226" s="71"/>
      <c r="AD226" s="71"/>
      <c r="AE226" s="71"/>
      <c r="AF226" s="71"/>
      <c r="AG226" s="71"/>
      <c r="AJ226" s="71"/>
      <c r="AK226" s="71"/>
      <c r="AL226" s="71"/>
      <c r="AM226" s="71"/>
    </row>
    <row r="227" spans="8:39">
      <c r="H227" s="71"/>
      <c r="I227" s="71"/>
      <c r="Y227" s="83"/>
      <c r="Z227" s="83"/>
      <c r="AA227" s="71"/>
      <c r="AB227" s="71"/>
      <c r="AC227" s="71"/>
      <c r="AD227" s="71"/>
      <c r="AE227" s="71"/>
      <c r="AF227" s="71"/>
      <c r="AG227" s="71"/>
      <c r="AJ227" s="71"/>
      <c r="AK227" s="71"/>
      <c r="AL227" s="71"/>
      <c r="AM227" s="71"/>
    </row>
    <row r="228" spans="8:39">
      <c r="H228" s="71"/>
      <c r="I228" s="71"/>
      <c r="Y228" s="83"/>
      <c r="Z228" s="83"/>
      <c r="AA228" s="71"/>
      <c r="AB228" s="71"/>
      <c r="AC228" s="71"/>
      <c r="AD228" s="71"/>
      <c r="AE228" s="71"/>
      <c r="AF228" s="71"/>
      <c r="AG228" s="71"/>
      <c r="AJ228" s="71"/>
      <c r="AK228" s="71"/>
      <c r="AL228" s="71"/>
      <c r="AM228" s="71"/>
    </row>
    <row r="229" spans="8:39">
      <c r="H229" s="71"/>
      <c r="I229" s="71"/>
      <c r="Y229" s="83"/>
      <c r="Z229" s="83"/>
      <c r="AA229" s="71"/>
      <c r="AB229" s="71"/>
      <c r="AC229" s="71"/>
      <c r="AD229" s="71"/>
      <c r="AE229" s="71"/>
      <c r="AF229" s="71"/>
      <c r="AG229" s="71"/>
      <c r="AJ229" s="71"/>
      <c r="AK229" s="71"/>
      <c r="AL229" s="71"/>
      <c r="AM229" s="71"/>
    </row>
    <row r="230" spans="8:39">
      <c r="H230" s="71"/>
      <c r="I230" s="71"/>
      <c r="Y230" s="83"/>
      <c r="Z230" s="83"/>
      <c r="AA230" s="71"/>
      <c r="AB230" s="71"/>
      <c r="AC230" s="71"/>
      <c r="AD230" s="71"/>
      <c r="AE230" s="71"/>
      <c r="AF230" s="71"/>
      <c r="AG230" s="71"/>
      <c r="AJ230" s="71"/>
      <c r="AK230" s="71"/>
      <c r="AL230" s="71"/>
      <c r="AM230" s="71"/>
    </row>
    <row r="231" spans="8:39">
      <c r="H231" s="71"/>
      <c r="I231" s="71"/>
      <c r="Y231" s="83"/>
      <c r="Z231" s="83"/>
      <c r="AA231" s="71"/>
      <c r="AB231" s="71"/>
      <c r="AC231" s="71"/>
      <c r="AD231" s="71"/>
      <c r="AE231" s="71"/>
      <c r="AF231" s="71"/>
      <c r="AG231" s="71"/>
      <c r="AJ231" s="71"/>
      <c r="AK231" s="71"/>
      <c r="AL231" s="71"/>
      <c r="AM231" s="71"/>
    </row>
    <row r="232" spans="8:39">
      <c r="H232" s="71"/>
      <c r="I232" s="71"/>
      <c r="Y232" s="83"/>
      <c r="Z232" s="83"/>
      <c r="AA232" s="71"/>
      <c r="AB232" s="71"/>
      <c r="AC232" s="71"/>
      <c r="AD232" s="71"/>
      <c r="AE232" s="71"/>
      <c r="AF232" s="71"/>
      <c r="AG232" s="71"/>
      <c r="AJ232" s="71"/>
      <c r="AK232" s="71"/>
      <c r="AL232" s="71"/>
      <c r="AM232" s="71"/>
    </row>
    <row r="233" spans="8:39">
      <c r="H233" s="71"/>
      <c r="I233" s="71"/>
      <c r="Y233" s="83"/>
      <c r="Z233" s="83"/>
      <c r="AA233" s="71"/>
      <c r="AB233" s="71"/>
      <c r="AC233" s="71"/>
      <c r="AD233" s="71"/>
      <c r="AE233" s="71"/>
      <c r="AF233" s="71"/>
      <c r="AG233" s="71"/>
      <c r="AJ233" s="71"/>
      <c r="AK233" s="71"/>
      <c r="AL233" s="71"/>
      <c r="AM233" s="71"/>
    </row>
    <row r="234" spans="8:39">
      <c r="H234" s="71"/>
      <c r="I234" s="71"/>
      <c r="Y234" s="83"/>
      <c r="Z234" s="83"/>
      <c r="AA234" s="71"/>
      <c r="AB234" s="71"/>
      <c r="AC234" s="71"/>
      <c r="AD234" s="71"/>
      <c r="AE234" s="71"/>
      <c r="AF234" s="71"/>
      <c r="AG234" s="71"/>
      <c r="AJ234" s="71"/>
      <c r="AK234" s="71"/>
      <c r="AL234" s="71"/>
      <c r="AM234" s="71"/>
    </row>
    <row r="235" spans="8:39">
      <c r="H235" s="71"/>
      <c r="I235" s="71"/>
      <c r="Y235" s="83"/>
      <c r="Z235" s="83"/>
      <c r="AA235" s="71"/>
      <c r="AB235" s="71"/>
      <c r="AC235" s="71"/>
      <c r="AD235" s="71"/>
      <c r="AE235" s="71"/>
      <c r="AF235" s="71"/>
      <c r="AG235" s="71"/>
      <c r="AJ235" s="71"/>
      <c r="AK235" s="71"/>
      <c r="AL235" s="71"/>
      <c r="AM235" s="71"/>
    </row>
    <row r="236" spans="8:39">
      <c r="H236" s="71"/>
      <c r="I236" s="71"/>
      <c r="Y236" s="83"/>
      <c r="Z236" s="83"/>
      <c r="AA236" s="71"/>
      <c r="AB236" s="71"/>
      <c r="AC236" s="71"/>
      <c r="AD236" s="71"/>
      <c r="AE236" s="71"/>
      <c r="AF236" s="71"/>
      <c r="AG236" s="71"/>
      <c r="AJ236" s="71"/>
      <c r="AK236" s="71"/>
      <c r="AL236" s="71"/>
      <c r="AM236" s="71"/>
    </row>
    <row r="237" spans="8:39">
      <c r="H237" s="71"/>
      <c r="I237" s="71"/>
      <c r="Y237" s="83"/>
      <c r="Z237" s="83"/>
      <c r="AA237" s="71"/>
      <c r="AB237" s="71"/>
      <c r="AC237" s="71"/>
      <c r="AD237" s="71"/>
      <c r="AE237" s="71"/>
      <c r="AF237" s="71"/>
      <c r="AG237" s="71"/>
      <c r="AJ237" s="71"/>
      <c r="AK237" s="71"/>
      <c r="AL237" s="71"/>
      <c r="AM237" s="71"/>
    </row>
    <row r="238" spans="8:39">
      <c r="H238" s="71"/>
      <c r="I238" s="71"/>
      <c r="Y238" s="83"/>
      <c r="Z238" s="83"/>
      <c r="AA238" s="71"/>
      <c r="AB238" s="71"/>
      <c r="AC238" s="71"/>
      <c r="AD238" s="71"/>
      <c r="AE238" s="71"/>
      <c r="AF238" s="71"/>
      <c r="AG238" s="71"/>
      <c r="AJ238" s="71"/>
      <c r="AK238" s="71"/>
      <c r="AL238" s="71"/>
      <c r="AM238" s="71"/>
    </row>
    <row r="239" spans="8:39">
      <c r="H239" s="71"/>
      <c r="I239" s="71"/>
      <c r="Y239" s="83"/>
      <c r="Z239" s="83"/>
      <c r="AA239" s="71"/>
      <c r="AB239" s="71"/>
      <c r="AC239" s="71"/>
      <c r="AD239" s="71"/>
      <c r="AE239" s="71"/>
      <c r="AF239" s="71"/>
      <c r="AG239" s="71"/>
      <c r="AJ239" s="71"/>
      <c r="AK239" s="71"/>
      <c r="AL239" s="71"/>
      <c r="AM239" s="71"/>
    </row>
    <row r="240" spans="8:39">
      <c r="H240" s="71"/>
      <c r="I240" s="71"/>
      <c r="Y240" s="83"/>
      <c r="Z240" s="83"/>
      <c r="AA240" s="71"/>
      <c r="AB240" s="71"/>
      <c r="AC240" s="71"/>
      <c r="AD240" s="71"/>
      <c r="AE240" s="71"/>
      <c r="AF240" s="71"/>
      <c r="AG240" s="71"/>
      <c r="AJ240" s="71"/>
      <c r="AK240" s="71"/>
      <c r="AL240" s="71"/>
      <c r="AM240" s="71"/>
    </row>
    <row r="241" spans="8:39">
      <c r="H241" s="71"/>
      <c r="I241" s="71"/>
      <c r="Y241" s="83"/>
      <c r="Z241" s="83"/>
      <c r="AA241" s="71"/>
      <c r="AB241" s="71"/>
      <c r="AC241" s="71"/>
      <c r="AD241" s="71"/>
      <c r="AE241" s="71"/>
      <c r="AF241" s="71"/>
      <c r="AG241" s="71"/>
      <c r="AJ241" s="71"/>
      <c r="AK241" s="71"/>
      <c r="AL241" s="71"/>
      <c r="AM241" s="71"/>
    </row>
    <row r="242" spans="8:39">
      <c r="H242" s="71"/>
      <c r="I242" s="71"/>
      <c r="Y242" s="83"/>
      <c r="Z242" s="83"/>
      <c r="AA242" s="71"/>
      <c r="AB242" s="71"/>
      <c r="AC242" s="71"/>
      <c r="AD242" s="71"/>
      <c r="AE242" s="71"/>
      <c r="AF242" s="71"/>
      <c r="AG242" s="71"/>
      <c r="AJ242" s="71"/>
      <c r="AK242" s="71"/>
      <c r="AL242" s="71"/>
      <c r="AM242" s="71"/>
    </row>
    <row r="243" spans="8:39">
      <c r="H243" s="71"/>
      <c r="I243" s="71"/>
      <c r="Y243" s="83"/>
      <c r="Z243" s="83"/>
      <c r="AA243" s="71"/>
      <c r="AB243" s="71"/>
      <c r="AC243" s="71"/>
      <c r="AD243" s="71"/>
      <c r="AE243" s="71"/>
      <c r="AF243" s="71"/>
      <c r="AG243" s="71"/>
      <c r="AJ243" s="71"/>
      <c r="AK243" s="71"/>
      <c r="AL243" s="71"/>
      <c r="AM243" s="71"/>
    </row>
    <row r="244" spans="8:39">
      <c r="H244" s="71"/>
      <c r="I244" s="71"/>
      <c r="Y244" s="83"/>
      <c r="Z244" s="83"/>
      <c r="AA244" s="71"/>
      <c r="AB244" s="71"/>
      <c r="AC244" s="71"/>
      <c r="AD244" s="71"/>
      <c r="AE244" s="71"/>
      <c r="AF244" s="71"/>
      <c r="AG244" s="71"/>
      <c r="AJ244" s="71"/>
      <c r="AK244" s="71"/>
      <c r="AL244" s="71"/>
      <c r="AM244" s="71"/>
    </row>
    <row r="245" spans="8:39">
      <c r="H245" s="71"/>
      <c r="I245" s="71"/>
      <c r="Y245" s="83"/>
      <c r="Z245" s="83"/>
      <c r="AA245" s="71"/>
      <c r="AB245" s="71"/>
      <c r="AC245" s="71"/>
      <c r="AD245" s="71"/>
      <c r="AE245" s="71"/>
      <c r="AF245" s="71"/>
      <c r="AG245" s="71"/>
      <c r="AJ245" s="71"/>
      <c r="AK245" s="71"/>
      <c r="AL245" s="71"/>
      <c r="AM245" s="71"/>
    </row>
    <row r="246" spans="8:39">
      <c r="H246" s="71"/>
      <c r="I246" s="71"/>
      <c r="Y246" s="83"/>
      <c r="Z246" s="83"/>
      <c r="AA246" s="71"/>
      <c r="AB246" s="71"/>
      <c r="AC246" s="71"/>
      <c r="AD246" s="71"/>
      <c r="AE246" s="71"/>
      <c r="AF246" s="71"/>
      <c r="AG246" s="71"/>
      <c r="AJ246" s="71"/>
      <c r="AK246" s="71"/>
      <c r="AL246" s="71"/>
      <c r="AM246" s="71"/>
    </row>
    <row r="247" spans="8:39">
      <c r="H247" s="71"/>
      <c r="I247" s="71"/>
      <c r="Y247" s="83"/>
      <c r="Z247" s="83"/>
      <c r="AA247" s="71"/>
      <c r="AB247" s="71"/>
      <c r="AC247" s="71"/>
      <c r="AD247" s="71"/>
      <c r="AE247" s="71"/>
      <c r="AF247" s="71"/>
      <c r="AG247" s="71"/>
      <c r="AJ247" s="71"/>
      <c r="AK247" s="71"/>
      <c r="AL247" s="71"/>
      <c r="AM247" s="71"/>
    </row>
    <row r="248" spans="8:39">
      <c r="H248" s="71"/>
      <c r="I248" s="71"/>
      <c r="Y248" s="83"/>
      <c r="Z248" s="83"/>
      <c r="AA248" s="71"/>
      <c r="AB248" s="71"/>
      <c r="AC248" s="71"/>
      <c r="AD248" s="71"/>
      <c r="AE248" s="71"/>
      <c r="AF248" s="71"/>
      <c r="AG248" s="71"/>
      <c r="AJ248" s="71"/>
      <c r="AK248" s="71"/>
      <c r="AL248" s="71"/>
      <c r="AM248" s="71"/>
    </row>
    <row r="249" spans="8:39">
      <c r="H249" s="71"/>
      <c r="I249" s="71"/>
      <c r="Y249" s="83"/>
      <c r="Z249" s="83"/>
      <c r="AA249" s="71"/>
      <c r="AB249" s="71"/>
      <c r="AC249" s="71"/>
      <c r="AD249" s="71"/>
      <c r="AE249" s="71"/>
      <c r="AF249" s="71"/>
      <c r="AG249" s="71"/>
      <c r="AJ249" s="71"/>
      <c r="AK249" s="71"/>
      <c r="AL249" s="71"/>
      <c r="AM249" s="71"/>
    </row>
    <row r="250" spans="8:39">
      <c r="H250" s="71"/>
      <c r="I250" s="71"/>
      <c r="Y250" s="83"/>
      <c r="Z250" s="83"/>
      <c r="AA250" s="71"/>
      <c r="AB250" s="71"/>
      <c r="AC250" s="71"/>
      <c r="AD250" s="71"/>
      <c r="AE250" s="71"/>
      <c r="AF250" s="71"/>
      <c r="AG250" s="71"/>
      <c r="AJ250" s="71"/>
      <c r="AK250" s="71"/>
      <c r="AL250" s="71"/>
      <c r="AM250" s="71"/>
    </row>
    <row r="251" spans="8:39">
      <c r="H251" s="71"/>
      <c r="I251" s="71"/>
      <c r="Y251" s="83"/>
      <c r="Z251" s="83"/>
      <c r="AA251" s="71"/>
      <c r="AB251" s="71"/>
      <c r="AC251" s="71"/>
      <c r="AD251" s="71"/>
      <c r="AE251" s="71"/>
      <c r="AF251" s="71"/>
      <c r="AG251" s="71"/>
      <c r="AJ251" s="71"/>
      <c r="AK251" s="71"/>
      <c r="AL251" s="71"/>
      <c r="AM251" s="71"/>
    </row>
    <row r="252" spans="8:39">
      <c r="H252" s="71"/>
      <c r="I252" s="71"/>
      <c r="Y252" s="83"/>
      <c r="Z252" s="83"/>
      <c r="AA252" s="71"/>
      <c r="AB252" s="71"/>
      <c r="AC252" s="71"/>
      <c r="AD252" s="71"/>
      <c r="AE252" s="71"/>
      <c r="AF252" s="71"/>
      <c r="AG252" s="71"/>
      <c r="AJ252" s="71"/>
      <c r="AK252" s="71"/>
      <c r="AL252" s="71"/>
      <c r="AM252" s="71"/>
    </row>
    <row r="253" spans="8:39">
      <c r="H253" s="71"/>
      <c r="I253" s="71"/>
      <c r="Y253" s="83"/>
      <c r="Z253" s="83"/>
      <c r="AA253" s="71"/>
      <c r="AB253" s="71"/>
      <c r="AC253" s="71"/>
      <c r="AD253" s="71"/>
      <c r="AE253" s="71"/>
      <c r="AF253" s="71"/>
      <c r="AG253" s="71"/>
      <c r="AJ253" s="71"/>
      <c r="AK253" s="71"/>
      <c r="AL253" s="71"/>
      <c r="AM253" s="71"/>
    </row>
    <row r="254" spans="8:39">
      <c r="H254" s="71"/>
      <c r="I254" s="71"/>
      <c r="Y254" s="83"/>
      <c r="Z254" s="83"/>
      <c r="AA254" s="71"/>
      <c r="AB254" s="71"/>
      <c r="AC254" s="71"/>
      <c r="AD254" s="71"/>
      <c r="AE254" s="71"/>
      <c r="AF254" s="71"/>
      <c r="AG254" s="71"/>
      <c r="AJ254" s="71"/>
      <c r="AK254" s="71"/>
      <c r="AL254" s="71"/>
      <c r="AM254" s="71"/>
    </row>
    <row r="255" spans="8:39">
      <c r="H255" s="71"/>
      <c r="I255" s="71"/>
      <c r="Y255" s="83"/>
      <c r="Z255" s="83"/>
      <c r="AA255" s="71"/>
      <c r="AB255" s="71"/>
      <c r="AC255" s="71"/>
      <c r="AD255" s="71"/>
      <c r="AE255" s="71"/>
      <c r="AF255" s="71"/>
      <c r="AG255" s="71"/>
      <c r="AJ255" s="71"/>
      <c r="AK255" s="71"/>
      <c r="AL255" s="71"/>
      <c r="AM255" s="71"/>
    </row>
    <row r="256" spans="8:39">
      <c r="H256" s="71"/>
      <c r="I256" s="71"/>
      <c r="Y256" s="83"/>
      <c r="Z256" s="83"/>
      <c r="AA256" s="71"/>
      <c r="AB256" s="71"/>
      <c r="AC256" s="71"/>
      <c r="AD256" s="71"/>
      <c r="AE256" s="71"/>
      <c r="AF256" s="71"/>
      <c r="AG256" s="71"/>
      <c r="AJ256" s="71"/>
      <c r="AK256" s="71"/>
      <c r="AL256" s="71"/>
      <c r="AM256" s="71"/>
    </row>
    <row r="257" spans="8:39">
      <c r="H257" s="71"/>
      <c r="I257" s="71"/>
      <c r="Y257" s="83"/>
      <c r="Z257" s="83"/>
      <c r="AA257" s="71"/>
      <c r="AB257" s="71"/>
      <c r="AC257" s="71"/>
      <c r="AD257" s="71"/>
      <c r="AE257" s="71"/>
      <c r="AF257" s="71"/>
      <c r="AG257" s="71"/>
      <c r="AJ257" s="71"/>
      <c r="AK257" s="71"/>
      <c r="AL257" s="71"/>
      <c r="AM257" s="71"/>
    </row>
    <row r="258" spans="8:39">
      <c r="H258" s="71"/>
      <c r="I258" s="71"/>
      <c r="Y258" s="83"/>
      <c r="Z258" s="83"/>
      <c r="AA258" s="71"/>
      <c r="AB258" s="71"/>
      <c r="AC258" s="71"/>
      <c r="AD258" s="71"/>
      <c r="AE258" s="71"/>
      <c r="AF258" s="71"/>
      <c r="AG258" s="71"/>
      <c r="AJ258" s="71"/>
      <c r="AK258" s="71"/>
      <c r="AL258" s="71"/>
      <c r="AM258" s="71"/>
    </row>
    <row r="259" spans="8:39">
      <c r="H259" s="71"/>
      <c r="I259" s="71"/>
      <c r="Y259" s="83"/>
      <c r="Z259" s="83"/>
      <c r="AA259" s="71"/>
      <c r="AB259" s="71"/>
      <c r="AC259" s="71"/>
      <c r="AD259" s="71"/>
      <c r="AE259" s="71"/>
      <c r="AF259" s="71"/>
      <c r="AG259" s="71"/>
      <c r="AJ259" s="71"/>
      <c r="AK259" s="71"/>
      <c r="AL259" s="71"/>
      <c r="AM259" s="71"/>
    </row>
    <row r="260" spans="8:39">
      <c r="H260" s="71"/>
      <c r="I260" s="71"/>
      <c r="Y260" s="83"/>
      <c r="Z260" s="83"/>
      <c r="AA260" s="71"/>
      <c r="AB260" s="71"/>
      <c r="AC260" s="71"/>
      <c r="AD260" s="71"/>
      <c r="AE260" s="71"/>
      <c r="AF260" s="71"/>
      <c r="AG260" s="71"/>
      <c r="AJ260" s="71"/>
      <c r="AK260" s="71"/>
      <c r="AL260" s="71"/>
      <c r="AM260" s="71"/>
    </row>
    <row r="261" spans="8:39">
      <c r="H261" s="71"/>
      <c r="I261" s="71"/>
      <c r="Y261" s="83"/>
      <c r="Z261" s="83"/>
      <c r="AA261" s="71"/>
      <c r="AB261" s="71"/>
      <c r="AC261" s="71"/>
      <c r="AD261" s="71"/>
      <c r="AE261" s="71"/>
      <c r="AF261" s="71"/>
      <c r="AG261" s="71"/>
      <c r="AJ261" s="71"/>
      <c r="AK261" s="71"/>
      <c r="AL261" s="71"/>
      <c r="AM261" s="71"/>
    </row>
    <row r="262" spans="8:39">
      <c r="H262" s="71"/>
      <c r="I262" s="71"/>
      <c r="Y262" s="83"/>
      <c r="Z262" s="83"/>
      <c r="AA262" s="71"/>
      <c r="AB262" s="71"/>
      <c r="AC262" s="71"/>
      <c r="AD262" s="71"/>
      <c r="AE262" s="71"/>
      <c r="AF262" s="71"/>
      <c r="AG262" s="71"/>
      <c r="AJ262" s="71"/>
      <c r="AK262" s="71"/>
      <c r="AL262" s="71"/>
      <c r="AM262" s="71"/>
    </row>
    <row r="263" spans="8:39">
      <c r="H263" s="71"/>
      <c r="I263" s="71"/>
      <c r="Y263" s="83"/>
      <c r="Z263" s="83"/>
      <c r="AA263" s="71"/>
      <c r="AB263" s="71"/>
      <c r="AC263" s="71"/>
      <c r="AD263" s="71"/>
      <c r="AE263" s="71"/>
      <c r="AF263" s="71"/>
      <c r="AG263" s="71"/>
      <c r="AJ263" s="71"/>
      <c r="AK263" s="71"/>
      <c r="AL263" s="71"/>
      <c r="AM263" s="71"/>
    </row>
    <row r="264" spans="8:39">
      <c r="H264" s="71"/>
      <c r="I264" s="71"/>
      <c r="Y264" s="83"/>
      <c r="Z264" s="83"/>
      <c r="AA264" s="71"/>
      <c r="AB264" s="71"/>
      <c r="AC264" s="71"/>
      <c r="AD264" s="71"/>
      <c r="AE264" s="71"/>
      <c r="AF264" s="71"/>
      <c r="AG264" s="71"/>
      <c r="AJ264" s="71"/>
      <c r="AK264" s="71"/>
      <c r="AL264" s="71"/>
      <c r="AM264" s="71"/>
    </row>
    <row r="265" spans="8:39">
      <c r="H265" s="71"/>
      <c r="I265" s="71"/>
      <c r="Y265" s="83"/>
      <c r="Z265" s="83"/>
      <c r="AA265" s="71"/>
      <c r="AB265" s="71"/>
      <c r="AC265" s="71"/>
      <c r="AD265" s="71"/>
      <c r="AE265" s="71"/>
      <c r="AF265" s="71"/>
      <c r="AG265" s="71"/>
      <c r="AJ265" s="71"/>
      <c r="AK265" s="71"/>
      <c r="AL265" s="71"/>
      <c r="AM265" s="71"/>
    </row>
    <row r="266" spans="8:39">
      <c r="H266" s="71"/>
      <c r="I266" s="71"/>
      <c r="Y266" s="83"/>
      <c r="Z266" s="83"/>
      <c r="AA266" s="71"/>
      <c r="AB266" s="71"/>
      <c r="AC266" s="71"/>
      <c r="AD266" s="71"/>
      <c r="AE266" s="71"/>
      <c r="AF266" s="71"/>
      <c r="AG266" s="71"/>
      <c r="AJ266" s="71"/>
      <c r="AK266" s="71"/>
      <c r="AL266" s="71"/>
      <c r="AM266" s="71"/>
    </row>
    <row r="267" spans="8:39">
      <c r="H267" s="71"/>
      <c r="I267" s="71"/>
      <c r="Y267" s="83"/>
      <c r="Z267" s="83"/>
      <c r="AA267" s="71"/>
      <c r="AB267" s="71"/>
      <c r="AC267" s="71"/>
      <c r="AD267" s="71"/>
      <c r="AE267" s="71"/>
      <c r="AF267" s="71"/>
      <c r="AG267" s="71"/>
      <c r="AJ267" s="71"/>
      <c r="AK267" s="71"/>
      <c r="AL267" s="71"/>
      <c r="AM267" s="71"/>
    </row>
    <row r="268" spans="8:39">
      <c r="H268" s="71"/>
      <c r="I268" s="71"/>
      <c r="Y268" s="83"/>
      <c r="Z268" s="83"/>
      <c r="AA268" s="71"/>
      <c r="AB268" s="71"/>
      <c r="AC268" s="71"/>
      <c r="AD268" s="71"/>
      <c r="AE268" s="71"/>
      <c r="AF268" s="71"/>
      <c r="AG268" s="71"/>
      <c r="AJ268" s="71"/>
      <c r="AK268" s="71"/>
      <c r="AL268" s="71"/>
      <c r="AM268" s="71"/>
    </row>
    <row r="269" spans="8:39">
      <c r="H269" s="71"/>
      <c r="I269" s="71"/>
      <c r="Y269" s="83"/>
      <c r="Z269" s="83"/>
      <c r="AA269" s="71"/>
      <c r="AB269" s="71"/>
      <c r="AC269" s="71"/>
      <c r="AD269" s="71"/>
      <c r="AE269" s="71"/>
      <c r="AF269" s="71"/>
      <c r="AG269" s="71"/>
      <c r="AJ269" s="71"/>
      <c r="AK269" s="71"/>
      <c r="AL269" s="71"/>
      <c r="AM269" s="71"/>
    </row>
    <row r="270" spans="8:39">
      <c r="H270" s="71"/>
      <c r="I270" s="71"/>
      <c r="Y270" s="83"/>
      <c r="Z270" s="83"/>
      <c r="AA270" s="71"/>
      <c r="AB270" s="71"/>
      <c r="AC270" s="71"/>
      <c r="AD270" s="71"/>
      <c r="AE270" s="71"/>
      <c r="AF270" s="71"/>
      <c r="AG270" s="71"/>
      <c r="AJ270" s="71"/>
      <c r="AK270" s="71"/>
      <c r="AL270" s="71"/>
      <c r="AM270" s="71"/>
    </row>
    <row r="271" spans="8:39">
      <c r="H271" s="71"/>
      <c r="I271" s="71"/>
      <c r="Y271" s="83"/>
      <c r="Z271" s="83"/>
      <c r="AA271" s="71"/>
      <c r="AB271" s="71"/>
      <c r="AC271" s="71"/>
      <c r="AD271" s="71"/>
      <c r="AE271" s="71"/>
      <c r="AF271" s="71"/>
      <c r="AG271" s="71"/>
      <c r="AJ271" s="71"/>
      <c r="AK271" s="71"/>
      <c r="AL271" s="71"/>
      <c r="AM271" s="71"/>
    </row>
    <row r="272" spans="8:39">
      <c r="H272" s="71"/>
      <c r="I272" s="71"/>
      <c r="Y272" s="83"/>
      <c r="Z272" s="83"/>
      <c r="AA272" s="71"/>
      <c r="AB272" s="71"/>
      <c r="AC272" s="71"/>
      <c r="AD272" s="71"/>
      <c r="AE272" s="71"/>
      <c r="AF272" s="71"/>
      <c r="AG272" s="71"/>
      <c r="AJ272" s="71"/>
      <c r="AK272" s="71"/>
      <c r="AL272" s="71"/>
      <c r="AM272" s="71"/>
    </row>
    <row r="273" spans="8:39">
      <c r="H273" s="71"/>
      <c r="I273" s="71"/>
      <c r="Y273" s="83"/>
      <c r="Z273" s="83"/>
      <c r="AA273" s="71"/>
      <c r="AB273" s="71"/>
      <c r="AC273" s="71"/>
      <c r="AD273" s="71"/>
      <c r="AE273" s="71"/>
      <c r="AF273" s="71"/>
      <c r="AG273" s="71"/>
      <c r="AJ273" s="71"/>
      <c r="AK273" s="71"/>
      <c r="AL273" s="71"/>
      <c r="AM273" s="71"/>
    </row>
    <row r="274" spans="8:39">
      <c r="H274" s="71"/>
      <c r="I274" s="71"/>
      <c r="Y274" s="83"/>
      <c r="Z274" s="83"/>
      <c r="AA274" s="71"/>
      <c r="AB274" s="71"/>
      <c r="AC274" s="71"/>
      <c r="AD274" s="71"/>
      <c r="AE274" s="71"/>
      <c r="AF274" s="71"/>
      <c r="AG274" s="71"/>
      <c r="AJ274" s="71"/>
      <c r="AK274" s="71"/>
      <c r="AL274" s="71"/>
      <c r="AM274" s="71"/>
    </row>
    <row r="275" spans="8:39">
      <c r="H275" s="71"/>
      <c r="I275" s="71"/>
      <c r="Y275" s="83"/>
      <c r="Z275" s="83"/>
      <c r="AA275" s="71"/>
      <c r="AB275" s="71"/>
      <c r="AC275" s="71"/>
      <c r="AD275" s="71"/>
      <c r="AE275" s="71"/>
      <c r="AF275" s="71"/>
      <c r="AG275" s="71"/>
      <c r="AJ275" s="71"/>
      <c r="AK275" s="71"/>
      <c r="AL275" s="71"/>
      <c r="AM275" s="71"/>
    </row>
    <row r="276" spans="8:39">
      <c r="H276" s="71"/>
      <c r="I276" s="71"/>
      <c r="Y276" s="83"/>
      <c r="Z276" s="83"/>
      <c r="AA276" s="71"/>
      <c r="AB276" s="71"/>
      <c r="AC276" s="71"/>
      <c r="AD276" s="71"/>
      <c r="AE276" s="71"/>
      <c r="AF276" s="71"/>
      <c r="AG276" s="71"/>
      <c r="AJ276" s="71"/>
      <c r="AK276" s="71"/>
      <c r="AL276" s="71"/>
      <c r="AM276" s="71"/>
    </row>
    <row r="277" spans="8:39">
      <c r="H277" s="71"/>
      <c r="I277" s="71"/>
      <c r="Y277" s="83"/>
      <c r="Z277" s="83"/>
      <c r="AA277" s="71"/>
      <c r="AB277" s="71"/>
      <c r="AC277" s="71"/>
      <c r="AD277" s="71"/>
      <c r="AE277" s="71"/>
      <c r="AF277" s="71"/>
      <c r="AG277" s="71"/>
      <c r="AJ277" s="71"/>
      <c r="AK277" s="71"/>
      <c r="AL277" s="71"/>
      <c r="AM277" s="71"/>
    </row>
    <row r="278" spans="8:39">
      <c r="H278" s="71"/>
      <c r="I278" s="71"/>
      <c r="Y278" s="83"/>
      <c r="Z278" s="83"/>
      <c r="AA278" s="71"/>
      <c r="AB278" s="71"/>
      <c r="AC278" s="71"/>
      <c r="AD278" s="71"/>
      <c r="AE278" s="71"/>
      <c r="AF278" s="71"/>
      <c r="AG278" s="71"/>
      <c r="AJ278" s="71"/>
      <c r="AK278" s="71"/>
      <c r="AL278" s="71"/>
      <c r="AM278" s="71"/>
    </row>
    <row r="279" spans="8:39">
      <c r="H279" s="71"/>
      <c r="I279" s="71"/>
      <c r="Y279" s="83"/>
      <c r="Z279" s="83"/>
      <c r="AA279" s="71"/>
      <c r="AB279" s="71"/>
      <c r="AC279" s="71"/>
      <c r="AD279" s="71"/>
      <c r="AE279" s="71"/>
      <c r="AF279" s="71"/>
      <c r="AG279" s="71"/>
      <c r="AJ279" s="71"/>
      <c r="AK279" s="71"/>
      <c r="AL279" s="71"/>
      <c r="AM279" s="71"/>
    </row>
    <row r="280" spans="8:39">
      <c r="H280" s="71"/>
      <c r="I280" s="71"/>
      <c r="Y280" s="83"/>
      <c r="Z280" s="83"/>
      <c r="AA280" s="71"/>
      <c r="AB280" s="71"/>
      <c r="AC280" s="71"/>
      <c r="AD280" s="71"/>
      <c r="AE280" s="71"/>
      <c r="AF280" s="71"/>
      <c r="AG280" s="71"/>
      <c r="AJ280" s="71"/>
      <c r="AK280" s="71"/>
      <c r="AL280" s="71"/>
      <c r="AM280" s="71"/>
    </row>
    <row r="281" spans="8:39">
      <c r="H281" s="71"/>
      <c r="I281" s="71"/>
      <c r="Y281" s="83"/>
      <c r="Z281" s="83"/>
      <c r="AA281" s="71"/>
      <c r="AB281" s="71"/>
      <c r="AC281" s="71"/>
      <c r="AD281" s="71"/>
      <c r="AE281" s="71"/>
      <c r="AF281" s="71"/>
      <c r="AG281" s="71"/>
      <c r="AJ281" s="71"/>
      <c r="AK281" s="71"/>
      <c r="AL281" s="71"/>
      <c r="AM281" s="71"/>
    </row>
    <row r="282" spans="8:39">
      <c r="H282" s="71"/>
      <c r="I282" s="71"/>
      <c r="Y282" s="83"/>
      <c r="Z282" s="83"/>
      <c r="AA282" s="71"/>
      <c r="AB282" s="71"/>
      <c r="AC282" s="71"/>
      <c r="AD282" s="71"/>
      <c r="AE282" s="71"/>
      <c r="AF282" s="71"/>
      <c r="AG282" s="71"/>
      <c r="AJ282" s="71"/>
      <c r="AK282" s="71"/>
      <c r="AL282" s="71"/>
      <c r="AM282" s="71"/>
    </row>
    <row r="283" spans="8:39">
      <c r="H283" s="71"/>
      <c r="I283" s="71"/>
      <c r="Y283" s="83"/>
      <c r="Z283" s="83"/>
      <c r="AA283" s="71"/>
      <c r="AB283" s="71"/>
      <c r="AC283" s="71"/>
      <c r="AD283" s="71"/>
      <c r="AE283" s="71"/>
      <c r="AF283" s="71"/>
      <c r="AG283" s="71"/>
      <c r="AJ283" s="71"/>
      <c r="AK283" s="71"/>
      <c r="AL283" s="71"/>
      <c r="AM283" s="71"/>
    </row>
    <row r="284" spans="8:39">
      <c r="H284" s="71"/>
      <c r="I284" s="71"/>
      <c r="Y284" s="83"/>
      <c r="Z284" s="83"/>
      <c r="AA284" s="71"/>
      <c r="AB284" s="71"/>
      <c r="AC284" s="71"/>
      <c r="AD284" s="71"/>
      <c r="AE284" s="71"/>
      <c r="AF284" s="71"/>
      <c r="AG284" s="71"/>
      <c r="AJ284" s="71"/>
      <c r="AK284" s="71"/>
      <c r="AL284" s="71"/>
      <c r="AM284" s="71"/>
    </row>
    <row r="285" spans="8:39">
      <c r="H285" s="71"/>
      <c r="I285" s="71"/>
      <c r="Y285" s="83"/>
      <c r="Z285" s="83"/>
      <c r="AA285" s="71"/>
      <c r="AB285" s="71"/>
      <c r="AC285" s="71"/>
      <c r="AD285" s="71"/>
      <c r="AE285" s="71"/>
      <c r="AF285" s="71"/>
      <c r="AG285" s="71"/>
      <c r="AJ285" s="71"/>
      <c r="AK285" s="71"/>
      <c r="AL285" s="71"/>
      <c r="AM285" s="71"/>
    </row>
    <row r="286" spans="8:39">
      <c r="H286" s="71"/>
      <c r="I286" s="71"/>
      <c r="Y286" s="83"/>
      <c r="Z286" s="83"/>
      <c r="AA286" s="71"/>
      <c r="AB286" s="71"/>
      <c r="AC286" s="71"/>
      <c r="AD286" s="71"/>
      <c r="AE286" s="71"/>
      <c r="AF286" s="71"/>
      <c r="AG286" s="71"/>
      <c r="AJ286" s="71"/>
      <c r="AK286" s="71"/>
      <c r="AL286" s="71"/>
      <c r="AM286" s="71"/>
    </row>
    <row r="287" spans="8:39">
      <c r="H287" s="71"/>
      <c r="I287" s="71"/>
      <c r="Y287" s="83"/>
      <c r="Z287" s="83"/>
      <c r="AA287" s="71"/>
      <c r="AB287" s="71"/>
      <c r="AC287" s="71"/>
      <c r="AD287" s="71"/>
      <c r="AE287" s="71"/>
      <c r="AF287" s="71"/>
      <c r="AG287" s="71"/>
      <c r="AJ287" s="71"/>
      <c r="AK287" s="71"/>
      <c r="AL287" s="71"/>
      <c r="AM287" s="71"/>
    </row>
    <row r="288" spans="8:39">
      <c r="H288" s="71"/>
      <c r="I288" s="71"/>
      <c r="Y288" s="83"/>
      <c r="Z288" s="83"/>
      <c r="AA288" s="71"/>
      <c r="AB288" s="71"/>
      <c r="AC288" s="71"/>
      <c r="AD288" s="71"/>
      <c r="AE288" s="71"/>
      <c r="AF288" s="71"/>
      <c r="AG288" s="71"/>
      <c r="AJ288" s="71"/>
      <c r="AK288" s="71"/>
      <c r="AL288" s="71"/>
      <c r="AM288" s="71"/>
    </row>
    <row r="289" spans="8:39">
      <c r="H289" s="71"/>
      <c r="I289" s="71"/>
      <c r="Y289" s="83"/>
      <c r="Z289" s="83"/>
      <c r="AA289" s="71"/>
      <c r="AB289" s="71"/>
      <c r="AC289" s="71"/>
      <c r="AD289" s="71"/>
      <c r="AE289" s="71"/>
      <c r="AF289" s="71"/>
      <c r="AG289" s="71"/>
      <c r="AJ289" s="71"/>
      <c r="AK289" s="71"/>
      <c r="AL289" s="71"/>
      <c r="AM289" s="71"/>
    </row>
    <row r="290" spans="8:39">
      <c r="H290" s="71"/>
      <c r="I290" s="71"/>
      <c r="Y290" s="83"/>
      <c r="Z290" s="83"/>
      <c r="AA290" s="71"/>
      <c r="AB290" s="71"/>
      <c r="AC290" s="71"/>
      <c r="AD290" s="71"/>
      <c r="AE290" s="71"/>
      <c r="AF290" s="71"/>
      <c r="AG290" s="71"/>
      <c r="AJ290" s="71"/>
      <c r="AK290" s="71"/>
      <c r="AL290" s="71"/>
      <c r="AM290" s="71"/>
    </row>
    <row r="291" spans="8:39">
      <c r="H291" s="71"/>
      <c r="I291" s="71"/>
      <c r="Y291" s="83"/>
      <c r="Z291" s="83"/>
      <c r="AA291" s="71"/>
      <c r="AB291" s="71"/>
      <c r="AC291" s="71"/>
      <c r="AD291" s="71"/>
      <c r="AE291" s="71"/>
      <c r="AF291" s="71"/>
      <c r="AG291" s="71"/>
      <c r="AJ291" s="71"/>
      <c r="AK291" s="71"/>
      <c r="AL291" s="71"/>
      <c r="AM291" s="71"/>
    </row>
    <row r="292" spans="8:39">
      <c r="H292" s="71"/>
      <c r="I292" s="71"/>
      <c r="Y292" s="83"/>
      <c r="Z292" s="83"/>
      <c r="AA292" s="71"/>
      <c r="AB292" s="71"/>
      <c r="AC292" s="71"/>
      <c r="AD292" s="71"/>
      <c r="AE292" s="71"/>
      <c r="AF292" s="71"/>
      <c r="AG292" s="71"/>
      <c r="AJ292" s="71"/>
      <c r="AK292" s="71"/>
      <c r="AL292" s="71"/>
      <c r="AM292" s="71"/>
    </row>
    <row r="293" spans="8:39">
      <c r="H293" s="71"/>
      <c r="I293" s="71"/>
      <c r="Y293" s="83"/>
      <c r="Z293" s="83"/>
      <c r="AA293" s="71"/>
      <c r="AB293" s="71"/>
      <c r="AC293" s="71"/>
      <c r="AD293" s="71"/>
      <c r="AE293" s="71"/>
      <c r="AF293" s="71"/>
      <c r="AG293" s="71"/>
      <c r="AJ293" s="71"/>
      <c r="AK293" s="71"/>
      <c r="AL293" s="71"/>
      <c r="AM293" s="71"/>
    </row>
    <row r="294" spans="8:39">
      <c r="H294" s="71"/>
      <c r="I294" s="71"/>
      <c r="Y294" s="83"/>
      <c r="Z294" s="83"/>
      <c r="AA294" s="71"/>
      <c r="AB294" s="71"/>
      <c r="AC294" s="71"/>
      <c r="AD294" s="71"/>
      <c r="AE294" s="71"/>
      <c r="AF294" s="71"/>
      <c r="AG294" s="71"/>
      <c r="AJ294" s="71"/>
      <c r="AK294" s="71"/>
      <c r="AL294" s="71"/>
      <c r="AM294" s="71"/>
    </row>
    <row r="295" spans="8:39">
      <c r="H295" s="71"/>
      <c r="I295" s="71"/>
      <c r="Y295" s="83"/>
      <c r="Z295" s="83"/>
      <c r="AA295" s="71"/>
      <c r="AB295" s="71"/>
      <c r="AC295" s="71"/>
      <c r="AD295" s="71"/>
      <c r="AE295" s="71"/>
      <c r="AF295" s="71"/>
      <c r="AG295" s="71"/>
      <c r="AJ295" s="71"/>
      <c r="AK295" s="71"/>
      <c r="AL295" s="71"/>
      <c r="AM295" s="71"/>
    </row>
    <row r="296" spans="8:39">
      <c r="H296" s="71"/>
      <c r="I296" s="71"/>
      <c r="Y296" s="83"/>
      <c r="Z296" s="83"/>
      <c r="AA296" s="71"/>
      <c r="AB296" s="71"/>
      <c r="AC296" s="71"/>
      <c r="AD296" s="71"/>
      <c r="AE296" s="71"/>
      <c r="AF296" s="71"/>
      <c r="AG296" s="71"/>
      <c r="AJ296" s="71"/>
      <c r="AK296" s="71"/>
      <c r="AL296" s="71"/>
      <c r="AM296" s="71"/>
    </row>
    <row r="297" spans="8:39">
      <c r="H297" s="71"/>
      <c r="I297" s="71"/>
      <c r="Y297" s="83"/>
      <c r="Z297" s="83"/>
      <c r="AA297" s="71"/>
      <c r="AB297" s="71"/>
      <c r="AC297" s="71"/>
      <c r="AD297" s="71"/>
      <c r="AE297" s="71"/>
      <c r="AF297" s="71"/>
      <c r="AG297" s="71"/>
      <c r="AJ297" s="71"/>
      <c r="AK297" s="71"/>
      <c r="AL297" s="71"/>
      <c r="AM297" s="71"/>
    </row>
    <row r="298" spans="8:39">
      <c r="H298" s="71"/>
      <c r="I298" s="71"/>
      <c r="Y298" s="83"/>
      <c r="Z298" s="83"/>
      <c r="AA298" s="71"/>
      <c r="AB298" s="71"/>
      <c r="AC298" s="71"/>
      <c r="AD298" s="71"/>
      <c r="AE298" s="71"/>
      <c r="AF298" s="71"/>
      <c r="AG298" s="71"/>
      <c r="AJ298" s="71"/>
      <c r="AK298" s="71"/>
      <c r="AL298" s="71"/>
      <c r="AM298" s="71"/>
    </row>
    <row r="299" spans="8:39">
      <c r="H299" s="71"/>
      <c r="I299" s="71"/>
      <c r="Y299" s="83"/>
      <c r="Z299" s="83"/>
      <c r="AA299" s="71"/>
      <c r="AB299" s="71"/>
      <c r="AC299" s="71"/>
      <c r="AD299" s="71"/>
      <c r="AE299" s="71"/>
      <c r="AF299" s="71"/>
      <c r="AG299" s="71"/>
      <c r="AJ299" s="71"/>
      <c r="AK299" s="71"/>
      <c r="AL299" s="71"/>
      <c r="AM299" s="71"/>
    </row>
    <row r="300" spans="8:39">
      <c r="H300" s="71"/>
      <c r="I300" s="71"/>
      <c r="Y300" s="83"/>
      <c r="Z300" s="83"/>
      <c r="AA300" s="71"/>
      <c r="AB300" s="71"/>
      <c r="AC300" s="71"/>
      <c r="AD300" s="71"/>
      <c r="AE300" s="71"/>
      <c r="AF300" s="71"/>
      <c r="AG300" s="71"/>
      <c r="AJ300" s="71"/>
      <c r="AK300" s="71"/>
      <c r="AL300" s="71"/>
      <c r="AM300" s="71"/>
    </row>
    <row r="301" spans="8:39">
      <c r="H301" s="71"/>
      <c r="I301" s="71"/>
      <c r="Y301" s="83"/>
      <c r="Z301" s="83"/>
      <c r="AA301" s="71"/>
      <c r="AB301" s="71"/>
      <c r="AC301" s="71"/>
      <c r="AD301" s="71"/>
      <c r="AE301" s="71"/>
      <c r="AF301" s="71"/>
      <c r="AG301" s="71"/>
      <c r="AJ301" s="71"/>
      <c r="AK301" s="71"/>
      <c r="AL301" s="71"/>
      <c r="AM301" s="71"/>
    </row>
    <row r="302" spans="8:39">
      <c r="H302" s="71"/>
      <c r="I302" s="71"/>
      <c r="Y302" s="83"/>
      <c r="Z302" s="83"/>
      <c r="AA302" s="71"/>
      <c r="AB302" s="71"/>
      <c r="AC302" s="71"/>
      <c r="AD302" s="71"/>
      <c r="AE302" s="71"/>
      <c r="AF302" s="71"/>
      <c r="AG302" s="71"/>
      <c r="AJ302" s="71"/>
      <c r="AK302" s="71"/>
      <c r="AL302" s="71"/>
      <c r="AM302" s="71"/>
    </row>
    <row r="303" spans="8:39">
      <c r="H303" s="71"/>
      <c r="I303" s="71"/>
      <c r="Y303" s="83"/>
      <c r="Z303" s="83"/>
      <c r="AA303" s="71"/>
      <c r="AB303" s="71"/>
      <c r="AC303" s="71"/>
      <c r="AD303" s="71"/>
      <c r="AE303" s="71"/>
      <c r="AF303" s="71"/>
      <c r="AG303" s="71"/>
      <c r="AJ303" s="71"/>
      <c r="AK303" s="71"/>
      <c r="AL303" s="71"/>
      <c r="AM303" s="71"/>
    </row>
    <row r="304" spans="8:39">
      <c r="H304" s="71"/>
      <c r="I304" s="71"/>
      <c r="Y304" s="83"/>
      <c r="Z304" s="83"/>
      <c r="AA304" s="71"/>
      <c r="AB304" s="71"/>
      <c r="AC304" s="71"/>
      <c r="AD304" s="71"/>
      <c r="AE304" s="71"/>
      <c r="AF304" s="71"/>
      <c r="AG304" s="71"/>
      <c r="AJ304" s="71"/>
      <c r="AK304" s="71"/>
      <c r="AL304" s="71"/>
      <c r="AM304" s="71"/>
    </row>
    <row r="305" spans="8:39">
      <c r="H305" s="71"/>
      <c r="I305" s="71"/>
      <c r="Y305" s="83"/>
      <c r="Z305" s="83"/>
      <c r="AA305" s="71"/>
      <c r="AB305" s="71"/>
      <c r="AC305" s="71"/>
      <c r="AD305" s="71"/>
      <c r="AE305" s="71"/>
      <c r="AF305" s="71"/>
      <c r="AG305" s="71"/>
      <c r="AJ305" s="71"/>
      <c r="AK305" s="71"/>
      <c r="AL305" s="71"/>
      <c r="AM305" s="71"/>
    </row>
    <row r="306" spans="8:39">
      <c r="H306" s="71"/>
      <c r="I306" s="71"/>
      <c r="Y306" s="83"/>
      <c r="Z306" s="83"/>
      <c r="AA306" s="71"/>
      <c r="AB306" s="71"/>
      <c r="AC306" s="71"/>
      <c r="AD306" s="71"/>
      <c r="AE306" s="71"/>
      <c r="AF306" s="71"/>
      <c r="AG306" s="71"/>
      <c r="AJ306" s="71"/>
      <c r="AK306" s="71"/>
      <c r="AL306" s="71"/>
      <c r="AM306" s="71"/>
    </row>
    <row r="307" spans="8:39">
      <c r="H307" s="71"/>
      <c r="I307" s="71"/>
      <c r="Y307" s="83"/>
      <c r="Z307" s="83"/>
      <c r="AA307" s="71"/>
      <c r="AB307" s="71"/>
      <c r="AC307" s="71"/>
      <c r="AD307" s="71"/>
      <c r="AE307" s="71"/>
      <c r="AF307" s="71"/>
      <c r="AG307" s="71"/>
      <c r="AJ307" s="71"/>
      <c r="AK307" s="71"/>
      <c r="AL307" s="71"/>
      <c r="AM307" s="71"/>
    </row>
    <row r="308" spans="8:39">
      <c r="H308" s="71"/>
      <c r="I308" s="71"/>
      <c r="Y308" s="83"/>
      <c r="Z308" s="83"/>
      <c r="AA308" s="71"/>
      <c r="AB308" s="71"/>
      <c r="AC308" s="71"/>
      <c r="AD308" s="71"/>
      <c r="AE308" s="71"/>
      <c r="AF308" s="71"/>
      <c r="AG308" s="71"/>
      <c r="AJ308" s="71"/>
      <c r="AK308" s="71"/>
      <c r="AL308" s="71"/>
      <c r="AM308" s="71"/>
    </row>
    <row r="309" spans="8:39">
      <c r="H309" s="71"/>
      <c r="I309" s="71"/>
      <c r="Y309" s="83"/>
      <c r="Z309" s="83"/>
      <c r="AA309" s="71"/>
      <c r="AB309" s="71"/>
      <c r="AC309" s="71"/>
      <c r="AD309" s="71"/>
      <c r="AE309" s="71"/>
      <c r="AF309" s="71"/>
      <c r="AG309" s="71"/>
      <c r="AJ309" s="71"/>
      <c r="AK309" s="71"/>
      <c r="AL309" s="71"/>
      <c r="AM309" s="71"/>
    </row>
    <row r="310" spans="8:39">
      <c r="H310" s="71"/>
      <c r="I310" s="71"/>
      <c r="Y310" s="83"/>
      <c r="Z310" s="83"/>
      <c r="AA310" s="71"/>
      <c r="AB310" s="71"/>
      <c r="AC310" s="71"/>
      <c r="AD310" s="71"/>
      <c r="AE310" s="71"/>
      <c r="AF310" s="71"/>
      <c r="AG310" s="71"/>
      <c r="AJ310" s="71"/>
      <c r="AK310" s="71"/>
      <c r="AL310" s="71"/>
      <c r="AM310" s="71"/>
    </row>
    <row r="311" spans="8:39">
      <c r="H311" s="71"/>
      <c r="I311" s="71"/>
      <c r="Y311" s="83"/>
      <c r="Z311" s="83"/>
      <c r="AA311" s="71"/>
      <c r="AB311" s="71"/>
      <c r="AC311" s="71"/>
      <c r="AD311" s="71"/>
      <c r="AE311" s="71"/>
      <c r="AF311" s="71"/>
      <c r="AG311" s="71"/>
      <c r="AJ311" s="71"/>
      <c r="AK311" s="71"/>
      <c r="AL311" s="71"/>
      <c r="AM311" s="71"/>
    </row>
    <row r="312" spans="8:39">
      <c r="H312" s="71"/>
      <c r="I312" s="71"/>
      <c r="Y312" s="83"/>
      <c r="Z312" s="83"/>
      <c r="AA312" s="71"/>
      <c r="AB312" s="71"/>
      <c r="AC312" s="71"/>
      <c r="AD312" s="71"/>
      <c r="AE312" s="71"/>
      <c r="AF312" s="71"/>
      <c r="AG312" s="71"/>
      <c r="AJ312" s="71"/>
      <c r="AK312" s="71"/>
      <c r="AL312" s="71"/>
      <c r="AM312" s="71"/>
    </row>
    <row r="313" spans="8:39">
      <c r="H313" s="71"/>
      <c r="I313" s="71"/>
      <c r="Y313" s="83"/>
      <c r="Z313" s="83"/>
      <c r="AA313" s="71"/>
      <c r="AB313" s="71"/>
      <c r="AC313" s="71"/>
      <c r="AD313" s="71"/>
      <c r="AE313" s="71"/>
      <c r="AF313" s="71"/>
      <c r="AG313" s="71"/>
      <c r="AJ313" s="71"/>
      <c r="AK313" s="71"/>
      <c r="AL313" s="71"/>
      <c r="AM313" s="71"/>
    </row>
    <row r="314" spans="8:39">
      <c r="H314" s="71"/>
      <c r="I314" s="71"/>
      <c r="Y314" s="83"/>
      <c r="Z314" s="83"/>
      <c r="AA314" s="71"/>
      <c r="AB314" s="71"/>
      <c r="AC314" s="71"/>
      <c r="AD314" s="71"/>
      <c r="AE314" s="71"/>
      <c r="AF314" s="71"/>
      <c r="AG314" s="71"/>
      <c r="AJ314" s="71"/>
      <c r="AK314" s="71"/>
      <c r="AL314" s="71"/>
      <c r="AM314" s="71"/>
    </row>
    <row r="315" spans="8:39">
      <c r="H315" s="71"/>
      <c r="I315" s="71"/>
      <c r="Y315" s="83"/>
      <c r="Z315" s="83"/>
      <c r="AA315" s="71"/>
      <c r="AB315" s="71"/>
      <c r="AC315" s="71"/>
      <c r="AD315" s="71"/>
      <c r="AE315" s="71"/>
      <c r="AF315" s="71"/>
      <c r="AG315" s="71"/>
      <c r="AJ315" s="71"/>
      <c r="AK315" s="71"/>
      <c r="AL315" s="71"/>
      <c r="AM315" s="71"/>
    </row>
    <row r="316" spans="8:39">
      <c r="H316" s="71"/>
      <c r="I316" s="71"/>
      <c r="Y316" s="83"/>
      <c r="Z316" s="83"/>
      <c r="AA316" s="71"/>
      <c r="AB316" s="71"/>
      <c r="AC316" s="71"/>
      <c r="AD316" s="71"/>
      <c r="AE316" s="71"/>
      <c r="AF316" s="71"/>
      <c r="AG316" s="71"/>
      <c r="AJ316" s="71"/>
      <c r="AK316" s="71"/>
      <c r="AL316" s="71"/>
      <c r="AM316" s="71"/>
    </row>
    <row r="317" spans="8:39">
      <c r="H317" s="71"/>
      <c r="I317" s="71"/>
      <c r="Y317" s="83"/>
      <c r="Z317" s="83"/>
      <c r="AA317" s="71"/>
      <c r="AB317" s="71"/>
      <c r="AC317" s="71"/>
      <c r="AD317" s="71"/>
      <c r="AE317" s="71"/>
      <c r="AF317" s="71"/>
      <c r="AG317" s="71"/>
      <c r="AJ317" s="71"/>
      <c r="AK317" s="71"/>
      <c r="AL317" s="71"/>
      <c r="AM317" s="71"/>
    </row>
    <row r="318" spans="8:39">
      <c r="H318" s="71"/>
      <c r="I318" s="71"/>
      <c r="Y318" s="83"/>
      <c r="Z318" s="83"/>
      <c r="AA318" s="71"/>
      <c r="AB318" s="71"/>
      <c r="AC318" s="71"/>
      <c r="AD318" s="71"/>
      <c r="AE318" s="71"/>
      <c r="AF318" s="71"/>
      <c r="AG318" s="71"/>
      <c r="AJ318" s="71"/>
      <c r="AK318" s="71"/>
      <c r="AL318" s="71"/>
      <c r="AM318" s="71"/>
    </row>
    <row r="319" spans="8:39">
      <c r="H319" s="71"/>
      <c r="I319" s="71"/>
      <c r="Y319" s="83"/>
      <c r="Z319" s="83"/>
      <c r="AA319" s="71"/>
      <c r="AB319" s="71"/>
      <c r="AC319" s="71"/>
      <c r="AD319" s="71"/>
      <c r="AE319" s="71"/>
      <c r="AF319" s="71"/>
      <c r="AG319" s="71"/>
      <c r="AJ319" s="71"/>
      <c r="AK319" s="71"/>
      <c r="AL319" s="71"/>
      <c r="AM319" s="71"/>
    </row>
    <row r="320" spans="8:39">
      <c r="H320" s="71"/>
      <c r="I320" s="71"/>
      <c r="Y320" s="83"/>
      <c r="Z320" s="83"/>
      <c r="AA320" s="71"/>
      <c r="AB320" s="71"/>
      <c r="AC320" s="71"/>
      <c r="AD320" s="71"/>
      <c r="AE320" s="71"/>
      <c r="AF320" s="71"/>
      <c r="AG320" s="71"/>
      <c r="AJ320" s="71"/>
      <c r="AK320" s="71"/>
      <c r="AL320" s="71"/>
      <c r="AM320" s="71"/>
    </row>
    <row r="321" spans="8:39">
      <c r="H321" s="71"/>
      <c r="I321" s="71"/>
      <c r="Y321" s="83"/>
      <c r="Z321" s="83"/>
      <c r="AA321" s="71"/>
      <c r="AB321" s="71"/>
      <c r="AC321" s="71"/>
      <c r="AD321" s="71"/>
      <c r="AE321" s="71"/>
      <c r="AF321" s="71"/>
      <c r="AG321" s="71"/>
      <c r="AJ321" s="71"/>
      <c r="AK321" s="71"/>
      <c r="AL321" s="71"/>
      <c r="AM321" s="71"/>
    </row>
    <row r="322" spans="8:39">
      <c r="H322" s="71"/>
      <c r="I322" s="71"/>
      <c r="Y322" s="83"/>
      <c r="Z322" s="83"/>
      <c r="AA322" s="71"/>
      <c r="AB322" s="71"/>
      <c r="AC322" s="71"/>
      <c r="AD322" s="71"/>
      <c r="AE322" s="71"/>
      <c r="AF322" s="71"/>
      <c r="AG322" s="71"/>
      <c r="AJ322" s="71"/>
      <c r="AK322" s="71"/>
      <c r="AL322" s="71"/>
      <c r="AM322" s="71"/>
    </row>
    <row r="323" spans="8:39">
      <c r="H323" s="71"/>
      <c r="I323" s="71"/>
      <c r="Y323" s="83"/>
      <c r="Z323" s="83"/>
      <c r="AA323" s="71"/>
      <c r="AB323" s="71"/>
      <c r="AC323" s="71"/>
      <c r="AD323" s="71"/>
      <c r="AE323" s="71"/>
      <c r="AF323" s="71"/>
      <c r="AG323" s="71"/>
      <c r="AJ323" s="71"/>
      <c r="AK323" s="71"/>
      <c r="AL323" s="71"/>
      <c r="AM323" s="71"/>
    </row>
    <row r="324" spans="8:39">
      <c r="H324" s="71"/>
      <c r="I324" s="71"/>
      <c r="Y324" s="83"/>
      <c r="Z324" s="83"/>
      <c r="AA324" s="71"/>
      <c r="AB324" s="71"/>
      <c r="AC324" s="71"/>
      <c r="AD324" s="71"/>
      <c r="AE324" s="71"/>
      <c r="AF324" s="71"/>
      <c r="AG324" s="71"/>
      <c r="AJ324" s="71"/>
      <c r="AK324" s="71"/>
      <c r="AL324" s="71"/>
      <c r="AM324" s="71"/>
    </row>
    <row r="325" spans="8:39">
      <c r="H325" s="71"/>
      <c r="I325" s="71"/>
      <c r="Y325" s="83"/>
      <c r="Z325" s="83"/>
      <c r="AA325" s="71"/>
      <c r="AB325" s="71"/>
      <c r="AC325" s="71"/>
      <c r="AD325" s="71"/>
      <c r="AE325" s="71"/>
      <c r="AF325" s="71"/>
      <c r="AG325" s="71"/>
      <c r="AJ325" s="71"/>
      <c r="AK325" s="71"/>
      <c r="AL325" s="71"/>
      <c r="AM325" s="71"/>
    </row>
    <row r="326" spans="8:39">
      <c r="H326" s="71"/>
      <c r="I326" s="71"/>
      <c r="Y326" s="83"/>
      <c r="Z326" s="83"/>
      <c r="AA326" s="71"/>
      <c r="AB326" s="71"/>
      <c r="AC326" s="71"/>
      <c r="AD326" s="71"/>
      <c r="AE326" s="71"/>
      <c r="AF326" s="71"/>
      <c r="AG326" s="71"/>
      <c r="AJ326" s="71"/>
      <c r="AK326" s="71"/>
      <c r="AL326" s="71"/>
      <c r="AM326" s="71"/>
    </row>
    <row r="327" spans="8:39">
      <c r="H327" s="71"/>
      <c r="I327" s="71"/>
      <c r="Y327" s="83"/>
      <c r="Z327" s="83"/>
      <c r="AA327" s="71"/>
      <c r="AB327" s="71"/>
      <c r="AC327" s="71"/>
      <c r="AD327" s="71"/>
      <c r="AE327" s="71"/>
      <c r="AF327" s="71"/>
      <c r="AG327" s="71"/>
      <c r="AJ327" s="71"/>
      <c r="AK327" s="71"/>
      <c r="AL327" s="71"/>
      <c r="AM327" s="71"/>
    </row>
    <row r="328" spans="8:39">
      <c r="H328" s="71"/>
      <c r="I328" s="71"/>
      <c r="Y328" s="83"/>
      <c r="Z328" s="83"/>
      <c r="AA328" s="71"/>
      <c r="AB328" s="71"/>
      <c r="AC328" s="71"/>
      <c r="AD328" s="71"/>
      <c r="AE328" s="71"/>
      <c r="AF328" s="71"/>
      <c r="AG328" s="71"/>
      <c r="AJ328" s="71"/>
      <c r="AK328" s="71"/>
      <c r="AL328" s="71"/>
      <c r="AM328" s="71"/>
    </row>
    <row r="329" spans="8:39">
      <c r="H329" s="71"/>
      <c r="I329" s="71"/>
      <c r="Y329" s="83"/>
      <c r="Z329" s="83"/>
      <c r="AA329" s="71"/>
      <c r="AB329" s="71"/>
      <c r="AC329" s="71"/>
      <c r="AD329" s="71"/>
      <c r="AE329" s="71"/>
      <c r="AF329" s="71"/>
      <c r="AG329" s="71"/>
      <c r="AJ329" s="71"/>
      <c r="AK329" s="71"/>
      <c r="AL329" s="71"/>
      <c r="AM329" s="71"/>
    </row>
    <row r="330" spans="8:39">
      <c r="H330" s="71"/>
      <c r="I330" s="71"/>
      <c r="Y330" s="83"/>
      <c r="Z330" s="83"/>
      <c r="AA330" s="71"/>
      <c r="AB330" s="71"/>
      <c r="AC330" s="71"/>
      <c r="AD330" s="71"/>
      <c r="AE330" s="71"/>
      <c r="AF330" s="71"/>
      <c r="AG330" s="71"/>
      <c r="AJ330" s="71"/>
      <c r="AK330" s="71"/>
      <c r="AL330" s="71"/>
      <c r="AM330" s="71"/>
    </row>
    <row r="331" spans="8:39">
      <c r="H331" s="71"/>
      <c r="I331" s="71"/>
      <c r="Y331" s="83"/>
      <c r="Z331" s="83"/>
      <c r="AA331" s="71"/>
      <c r="AB331" s="71"/>
      <c r="AC331" s="71"/>
      <c r="AD331" s="71"/>
      <c r="AE331" s="71"/>
      <c r="AF331" s="71"/>
      <c r="AG331" s="71"/>
      <c r="AJ331" s="71"/>
      <c r="AK331" s="71"/>
      <c r="AL331" s="71"/>
      <c r="AM331" s="71"/>
    </row>
    <row r="332" spans="8:39">
      <c r="H332" s="71"/>
      <c r="I332" s="71"/>
      <c r="Y332" s="83"/>
      <c r="Z332" s="83"/>
      <c r="AA332" s="71"/>
      <c r="AB332" s="71"/>
      <c r="AC332" s="71"/>
      <c r="AD332" s="71"/>
      <c r="AE332" s="71"/>
      <c r="AF332" s="71"/>
      <c r="AG332" s="71"/>
      <c r="AJ332" s="71"/>
      <c r="AK332" s="71"/>
      <c r="AL332" s="71"/>
      <c r="AM332" s="71"/>
    </row>
    <row r="333" spans="8:39">
      <c r="H333" s="71"/>
      <c r="I333" s="71"/>
      <c r="Y333" s="83"/>
      <c r="Z333" s="83"/>
      <c r="AA333" s="71"/>
      <c r="AB333" s="71"/>
      <c r="AC333" s="71"/>
      <c r="AD333" s="71"/>
      <c r="AE333" s="71"/>
      <c r="AF333" s="71"/>
      <c r="AG333" s="71"/>
      <c r="AJ333" s="71"/>
      <c r="AK333" s="71"/>
      <c r="AL333" s="71"/>
      <c r="AM333" s="71"/>
    </row>
    <row r="334" spans="8:39">
      <c r="H334" s="71"/>
      <c r="I334" s="71"/>
      <c r="Y334" s="83"/>
      <c r="Z334" s="83"/>
      <c r="AA334" s="71"/>
      <c r="AB334" s="71"/>
      <c r="AC334" s="71"/>
      <c r="AD334" s="71"/>
      <c r="AE334" s="71"/>
      <c r="AF334" s="71"/>
      <c r="AG334" s="71"/>
      <c r="AJ334" s="71"/>
      <c r="AK334" s="71"/>
      <c r="AL334" s="71"/>
      <c r="AM334" s="71"/>
    </row>
    <row r="335" spans="8:39">
      <c r="H335" s="71"/>
      <c r="I335" s="71"/>
      <c r="Y335" s="83"/>
      <c r="Z335" s="83"/>
      <c r="AA335" s="71"/>
      <c r="AB335" s="71"/>
      <c r="AC335" s="71"/>
      <c r="AD335" s="71"/>
      <c r="AE335" s="71"/>
      <c r="AF335" s="71"/>
      <c r="AG335" s="71"/>
      <c r="AJ335" s="71"/>
      <c r="AK335" s="71"/>
      <c r="AL335" s="71"/>
      <c r="AM335" s="71"/>
    </row>
    <row r="336" spans="8:39">
      <c r="H336" s="71"/>
      <c r="I336" s="71"/>
      <c r="Y336" s="83"/>
      <c r="Z336" s="83"/>
      <c r="AA336" s="71"/>
      <c r="AB336" s="71"/>
      <c r="AC336" s="71"/>
      <c r="AD336" s="71"/>
      <c r="AE336" s="71"/>
      <c r="AF336" s="71"/>
      <c r="AG336" s="71"/>
      <c r="AJ336" s="71"/>
      <c r="AK336" s="71"/>
      <c r="AL336" s="71"/>
      <c r="AM336" s="71"/>
    </row>
    <row r="337" spans="8:39">
      <c r="H337" s="71"/>
      <c r="I337" s="71"/>
      <c r="Y337" s="83"/>
      <c r="Z337" s="83"/>
      <c r="AA337" s="71"/>
      <c r="AB337" s="71"/>
      <c r="AC337" s="71"/>
      <c r="AD337" s="71"/>
      <c r="AE337" s="71"/>
      <c r="AF337" s="71"/>
      <c r="AG337" s="71"/>
      <c r="AJ337" s="71"/>
      <c r="AK337" s="71"/>
      <c r="AL337" s="71"/>
      <c r="AM337" s="71"/>
    </row>
    <row r="338" spans="8:39">
      <c r="H338" s="71"/>
      <c r="I338" s="71"/>
      <c r="Y338" s="83"/>
      <c r="Z338" s="83"/>
      <c r="AA338" s="71"/>
      <c r="AB338" s="71"/>
      <c r="AC338" s="71"/>
      <c r="AD338" s="71"/>
      <c r="AE338" s="71"/>
      <c r="AF338" s="71"/>
      <c r="AG338" s="71"/>
      <c r="AJ338" s="71"/>
      <c r="AK338" s="71"/>
      <c r="AL338" s="71"/>
      <c r="AM338" s="71"/>
    </row>
    <row r="339" spans="8:39">
      <c r="H339" s="71"/>
      <c r="I339" s="71"/>
      <c r="Y339" s="83"/>
      <c r="Z339" s="83"/>
      <c r="AA339" s="71"/>
      <c r="AB339" s="71"/>
      <c r="AC339" s="71"/>
      <c r="AD339" s="71"/>
      <c r="AE339" s="71"/>
      <c r="AF339" s="71"/>
      <c r="AG339" s="71"/>
      <c r="AJ339" s="71"/>
      <c r="AK339" s="71"/>
      <c r="AL339" s="71"/>
      <c r="AM339" s="71"/>
    </row>
    <row r="340" spans="8:39">
      <c r="H340" s="71"/>
      <c r="I340" s="71"/>
      <c r="Y340" s="83"/>
      <c r="Z340" s="83"/>
      <c r="AA340" s="71"/>
      <c r="AB340" s="71"/>
      <c r="AC340" s="71"/>
      <c r="AD340" s="71"/>
      <c r="AE340" s="71"/>
      <c r="AF340" s="71"/>
      <c r="AG340" s="71"/>
      <c r="AJ340" s="71"/>
      <c r="AK340" s="71"/>
      <c r="AL340" s="71"/>
      <c r="AM340" s="71"/>
    </row>
    <row r="341" spans="8:39">
      <c r="H341" s="71"/>
      <c r="I341" s="71"/>
      <c r="Y341" s="83"/>
      <c r="Z341" s="83"/>
      <c r="AA341" s="71"/>
      <c r="AB341" s="71"/>
      <c r="AC341" s="71"/>
      <c r="AD341" s="71"/>
      <c r="AE341" s="71"/>
      <c r="AF341" s="71"/>
      <c r="AG341" s="71"/>
      <c r="AJ341" s="71"/>
      <c r="AK341" s="71"/>
      <c r="AL341" s="71"/>
      <c r="AM341" s="71"/>
    </row>
    <row r="342" spans="8:39">
      <c r="H342" s="71"/>
      <c r="I342" s="71"/>
      <c r="Y342" s="83"/>
      <c r="Z342" s="83"/>
      <c r="AA342" s="71"/>
      <c r="AB342" s="71"/>
      <c r="AC342" s="71"/>
      <c r="AD342" s="71"/>
      <c r="AE342" s="71"/>
      <c r="AF342" s="71"/>
      <c r="AG342" s="71"/>
      <c r="AJ342" s="71"/>
      <c r="AK342" s="71"/>
      <c r="AL342" s="71"/>
      <c r="AM342" s="71"/>
    </row>
    <row r="343" spans="8:39">
      <c r="H343" s="71"/>
      <c r="I343" s="71"/>
      <c r="Y343" s="83"/>
      <c r="Z343" s="83"/>
      <c r="AA343" s="71"/>
      <c r="AB343" s="71"/>
      <c r="AC343" s="71"/>
      <c r="AD343" s="71"/>
      <c r="AE343" s="71"/>
      <c r="AF343" s="71"/>
      <c r="AG343" s="71"/>
      <c r="AJ343" s="71"/>
      <c r="AK343" s="71"/>
      <c r="AL343" s="71"/>
      <c r="AM343" s="71"/>
    </row>
    <row r="344" spans="8:39">
      <c r="H344" s="71"/>
      <c r="I344" s="71"/>
      <c r="Y344" s="83"/>
      <c r="Z344" s="83"/>
      <c r="AA344" s="71"/>
      <c r="AB344" s="71"/>
      <c r="AC344" s="71"/>
      <c r="AD344" s="71"/>
      <c r="AE344" s="71"/>
      <c r="AF344" s="71"/>
      <c r="AG344" s="71"/>
      <c r="AJ344" s="71"/>
      <c r="AK344" s="71"/>
      <c r="AL344" s="71"/>
      <c r="AM344" s="71"/>
    </row>
    <row r="345" spans="8:39">
      <c r="H345" s="71"/>
      <c r="I345" s="71"/>
      <c r="Y345" s="83"/>
      <c r="Z345" s="83"/>
      <c r="AA345" s="71"/>
      <c r="AB345" s="71"/>
      <c r="AC345" s="71"/>
      <c r="AD345" s="71"/>
      <c r="AE345" s="71"/>
      <c r="AF345" s="71"/>
      <c r="AG345" s="71"/>
      <c r="AJ345" s="71"/>
      <c r="AK345" s="71"/>
      <c r="AL345" s="71"/>
      <c r="AM345" s="71"/>
    </row>
    <row r="346" spans="8:39">
      <c r="H346" s="71"/>
      <c r="I346" s="71"/>
      <c r="Y346" s="83"/>
      <c r="Z346" s="83"/>
      <c r="AA346" s="71"/>
      <c r="AB346" s="71"/>
      <c r="AC346" s="71"/>
      <c r="AD346" s="71"/>
      <c r="AE346" s="71"/>
      <c r="AF346" s="71"/>
      <c r="AG346" s="71"/>
      <c r="AJ346" s="71"/>
      <c r="AK346" s="71"/>
      <c r="AL346" s="71"/>
      <c r="AM346" s="71"/>
    </row>
    <row r="347" spans="8:39">
      <c r="H347" s="71"/>
      <c r="I347" s="71"/>
      <c r="Y347" s="83"/>
      <c r="Z347" s="83"/>
      <c r="AA347" s="71"/>
      <c r="AB347" s="71"/>
      <c r="AC347" s="71"/>
      <c r="AD347" s="71"/>
      <c r="AE347" s="71"/>
      <c r="AF347" s="71"/>
      <c r="AG347" s="71"/>
      <c r="AJ347" s="71"/>
      <c r="AK347" s="71"/>
      <c r="AL347" s="71"/>
      <c r="AM347" s="71"/>
    </row>
    <row r="348" spans="8:39">
      <c r="H348" s="71"/>
      <c r="I348" s="71"/>
      <c r="Y348" s="83"/>
      <c r="Z348" s="83"/>
      <c r="AA348" s="71"/>
      <c r="AB348" s="71"/>
      <c r="AC348" s="71"/>
      <c r="AD348" s="71"/>
      <c r="AE348" s="71"/>
      <c r="AF348" s="71"/>
      <c r="AG348" s="71"/>
      <c r="AJ348" s="71"/>
      <c r="AK348" s="71"/>
      <c r="AL348" s="71"/>
      <c r="AM348" s="71"/>
    </row>
    <row r="349" spans="8:39">
      <c r="H349" s="71"/>
      <c r="I349" s="71"/>
      <c r="Y349" s="83"/>
      <c r="Z349" s="83"/>
      <c r="AA349" s="71"/>
      <c r="AB349" s="71"/>
      <c r="AC349" s="71"/>
      <c r="AD349" s="71"/>
      <c r="AE349" s="71"/>
      <c r="AF349" s="71"/>
      <c r="AG349" s="71"/>
      <c r="AJ349" s="71"/>
      <c r="AK349" s="71"/>
      <c r="AL349" s="71"/>
      <c r="AM349" s="71"/>
    </row>
    <row r="350" spans="8:39">
      <c r="H350" s="71"/>
      <c r="I350" s="71"/>
      <c r="Y350" s="83"/>
      <c r="Z350" s="83"/>
      <c r="AA350" s="71"/>
      <c r="AB350" s="71"/>
      <c r="AC350" s="71"/>
      <c r="AD350" s="71"/>
      <c r="AE350" s="71"/>
      <c r="AF350" s="71"/>
      <c r="AG350" s="71"/>
      <c r="AJ350" s="71"/>
      <c r="AK350" s="71"/>
      <c r="AL350" s="71"/>
      <c r="AM350" s="71"/>
    </row>
    <row r="351" spans="8:39">
      <c r="H351" s="71"/>
      <c r="I351" s="71"/>
      <c r="Y351" s="83"/>
      <c r="Z351" s="83"/>
      <c r="AA351" s="71"/>
      <c r="AB351" s="71"/>
      <c r="AC351" s="71"/>
      <c r="AD351" s="71"/>
      <c r="AE351" s="71"/>
      <c r="AF351" s="71"/>
      <c r="AG351" s="71"/>
      <c r="AJ351" s="71"/>
      <c r="AK351" s="71"/>
      <c r="AL351" s="71"/>
      <c r="AM351" s="71"/>
    </row>
    <row r="352" spans="8:39">
      <c r="H352" s="71"/>
      <c r="I352" s="71"/>
      <c r="Y352" s="83"/>
      <c r="Z352" s="83"/>
      <c r="AA352" s="71"/>
      <c r="AB352" s="71"/>
      <c r="AC352" s="71"/>
      <c r="AD352" s="71"/>
      <c r="AE352" s="71"/>
      <c r="AF352" s="71"/>
      <c r="AG352" s="71"/>
      <c r="AJ352" s="71"/>
      <c r="AK352" s="71"/>
      <c r="AL352" s="71"/>
      <c r="AM352" s="71"/>
    </row>
    <row r="353" spans="8:39">
      <c r="H353" s="71"/>
      <c r="I353" s="71"/>
      <c r="Y353" s="83"/>
      <c r="Z353" s="83"/>
      <c r="AA353" s="71"/>
      <c r="AB353" s="71"/>
      <c r="AC353" s="71"/>
      <c r="AD353" s="71"/>
      <c r="AE353" s="71"/>
      <c r="AF353" s="71"/>
      <c r="AG353" s="71"/>
      <c r="AJ353" s="71"/>
      <c r="AK353" s="71"/>
      <c r="AL353" s="71"/>
      <c r="AM353" s="71"/>
    </row>
    <row r="354" spans="8:39">
      <c r="H354" s="71"/>
      <c r="I354" s="71"/>
      <c r="Y354" s="83"/>
      <c r="Z354" s="83"/>
      <c r="AA354" s="71"/>
      <c r="AB354" s="71"/>
      <c r="AC354" s="71"/>
      <c r="AD354" s="71"/>
      <c r="AE354" s="71"/>
      <c r="AF354" s="71"/>
      <c r="AG354" s="71"/>
      <c r="AJ354" s="71"/>
      <c r="AK354" s="71"/>
      <c r="AL354" s="71"/>
      <c r="AM354" s="71"/>
    </row>
    <row r="355" spans="8:39">
      <c r="H355" s="71"/>
      <c r="I355" s="71"/>
      <c r="Y355" s="83"/>
      <c r="Z355" s="83"/>
      <c r="AA355" s="71"/>
      <c r="AB355" s="71"/>
      <c r="AC355" s="71"/>
      <c r="AD355" s="71"/>
      <c r="AE355" s="71"/>
      <c r="AF355" s="71"/>
      <c r="AG355" s="71"/>
      <c r="AJ355" s="71"/>
      <c r="AK355" s="71"/>
      <c r="AL355" s="71"/>
      <c r="AM355" s="71"/>
    </row>
    <row r="356" spans="8:39">
      <c r="H356" s="71"/>
      <c r="I356" s="71"/>
      <c r="Y356" s="83"/>
      <c r="Z356" s="83"/>
      <c r="AA356" s="71"/>
      <c r="AB356" s="71"/>
      <c r="AC356" s="71"/>
      <c r="AD356" s="71"/>
      <c r="AE356" s="71"/>
      <c r="AF356" s="71"/>
      <c r="AG356" s="71"/>
      <c r="AJ356" s="71"/>
      <c r="AK356" s="71"/>
      <c r="AL356" s="71"/>
      <c r="AM356" s="71"/>
    </row>
    <row r="357" spans="8:39">
      <c r="H357" s="71"/>
      <c r="I357" s="71"/>
      <c r="Y357" s="83"/>
      <c r="Z357" s="83"/>
      <c r="AA357" s="71"/>
      <c r="AB357" s="71"/>
      <c r="AC357" s="71"/>
      <c r="AD357" s="71"/>
      <c r="AE357" s="71"/>
      <c r="AF357" s="71"/>
      <c r="AG357" s="71"/>
      <c r="AJ357" s="71"/>
      <c r="AK357" s="71"/>
      <c r="AL357" s="71"/>
      <c r="AM357" s="71"/>
    </row>
    <row r="358" spans="8:39">
      <c r="H358" s="71"/>
      <c r="I358" s="71"/>
      <c r="Y358" s="83"/>
      <c r="Z358" s="83"/>
      <c r="AA358" s="71"/>
      <c r="AB358" s="71"/>
      <c r="AC358" s="71"/>
      <c r="AD358" s="71"/>
      <c r="AE358" s="71"/>
      <c r="AF358" s="71"/>
      <c r="AG358" s="71"/>
      <c r="AJ358" s="71"/>
      <c r="AK358" s="71"/>
      <c r="AL358" s="71"/>
      <c r="AM358" s="71"/>
    </row>
    <row r="359" spans="8:39">
      <c r="H359" s="71"/>
      <c r="I359" s="71"/>
      <c r="Y359" s="83"/>
      <c r="Z359" s="83"/>
      <c r="AA359" s="71"/>
      <c r="AB359" s="71"/>
      <c r="AC359" s="71"/>
      <c r="AD359" s="71"/>
      <c r="AE359" s="71"/>
      <c r="AF359" s="71"/>
      <c r="AG359" s="71"/>
      <c r="AJ359" s="71"/>
      <c r="AK359" s="71"/>
      <c r="AL359" s="71"/>
      <c r="AM359" s="71"/>
    </row>
    <row r="360" spans="8:39">
      <c r="H360" s="71"/>
      <c r="I360" s="71"/>
      <c r="Y360" s="83"/>
      <c r="Z360" s="83"/>
      <c r="AA360" s="71"/>
      <c r="AB360" s="71"/>
      <c r="AC360" s="71"/>
      <c r="AD360" s="71"/>
      <c r="AE360" s="71"/>
      <c r="AF360" s="71"/>
      <c r="AG360" s="71"/>
      <c r="AJ360" s="71"/>
      <c r="AK360" s="71"/>
      <c r="AL360" s="71"/>
      <c r="AM360" s="71"/>
    </row>
    <row r="361" spans="8:39">
      <c r="H361" s="71"/>
      <c r="I361" s="71"/>
      <c r="Y361" s="83"/>
      <c r="Z361" s="83"/>
      <c r="AA361" s="71"/>
      <c r="AB361" s="71"/>
      <c r="AC361" s="71"/>
      <c r="AD361" s="71"/>
      <c r="AE361" s="71"/>
      <c r="AF361" s="71"/>
      <c r="AG361" s="71"/>
      <c r="AJ361" s="71"/>
      <c r="AK361" s="71"/>
      <c r="AL361" s="71"/>
      <c r="AM361" s="71"/>
    </row>
    <row r="362" spans="8:39">
      <c r="H362" s="71"/>
      <c r="I362" s="71"/>
      <c r="Y362" s="83"/>
      <c r="Z362" s="83"/>
      <c r="AA362" s="71"/>
      <c r="AB362" s="71"/>
      <c r="AC362" s="71"/>
      <c r="AD362" s="71"/>
      <c r="AE362" s="71"/>
      <c r="AF362" s="71"/>
      <c r="AG362" s="71"/>
      <c r="AJ362" s="71"/>
      <c r="AK362" s="71"/>
      <c r="AL362" s="71"/>
      <c r="AM362" s="71"/>
    </row>
    <row r="363" spans="8:39">
      <c r="H363" s="71"/>
      <c r="I363" s="71"/>
      <c r="Y363" s="83"/>
      <c r="Z363" s="83"/>
      <c r="AA363" s="71"/>
      <c r="AB363" s="71"/>
      <c r="AC363" s="71"/>
      <c r="AD363" s="71"/>
      <c r="AE363" s="71"/>
      <c r="AF363" s="71"/>
      <c r="AG363" s="71"/>
      <c r="AJ363" s="71"/>
      <c r="AK363" s="71"/>
      <c r="AL363" s="71"/>
      <c r="AM363" s="71"/>
    </row>
    <row r="364" spans="8:39">
      <c r="H364" s="71"/>
      <c r="I364" s="71"/>
      <c r="Y364" s="83"/>
      <c r="Z364" s="83"/>
      <c r="AA364" s="71"/>
      <c r="AB364" s="71"/>
      <c r="AC364" s="71"/>
      <c r="AD364" s="71"/>
      <c r="AE364" s="71"/>
      <c r="AF364" s="71"/>
      <c r="AG364" s="71"/>
      <c r="AJ364" s="71"/>
      <c r="AK364" s="71"/>
      <c r="AL364" s="71"/>
      <c r="AM364" s="71"/>
    </row>
    <row r="365" spans="8:39">
      <c r="H365" s="71"/>
      <c r="I365" s="71"/>
      <c r="Y365" s="83"/>
      <c r="Z365" s="83"/>
      <c r="AA365" s="71"/>
      <c r="AB365" s="71"/>
      <c r="AC365" s="71"/>
      <c r="AD365" s="71"/>
      <c r="AE365" s="71"/>
      <c r="AF365" s="71"/>
      <c r="AG365" s="71"/>
      <c r="AJ365" s="71"/>
      <c r="AK365" s="71"/>
      <c r="AL365" s="71"/>
      <c r="AM365" s="71"/>
    </row>
    <row r="366" spans="8:39">
      <c r="H366" s="71"/>
      <c r="I366" s="71"/>
      <c r="Y366" s="83"/>
      <c r="Z366" s="83"/>
      <c r="AA366" s="71"/>
      <c r="AB366" s="71"/>
      <c r="AC366" s="71"/>
      <c r="AD366" s="71"/>
      <c r="AE366" s="71"/>
      <c r="AF366" s="71"/>
      <c r="AG366" s="71"/>
      <c r="AJ366" s="71"/>
      <c r="AK366" s="71"/>
      <c r="AL366" s="71"/>
      <c r="AM366" s="71"/>
    </row>
    <row r="367" spans="8:39">
      <c r="H367" s="71"/>
      <c r="I367" s="71"/>
      <c r="Y367" s="83"/>
      <c r="Z367" s="83"/>
      <c r="AA367" s="71"/>
      <c r="AB367" s="71"/>
      <c r="AC367" s="71"/>
      <c r="AD367" s="71"/>
      <c r="AE367" s="71"/>
      <c r="AF367" s="71"/>
      <c r="AG367" s="71"/>
      <c r="AJ367" s="71"/>
      <c r="AK367" s="71"/>
      <c r="AL367" s="71"/>
      <c r="AM367" s="71"/>
    </row>
    <row r="368" spans="8:39">
      <c r="H368" s="71"/>
      <c r="I368" s="71"/>
      <c r="Y368" s="83"/>
      <c r="Z368" s="83"/>
      <c r="AA368" s="71"/>
      <c r="AB368" s="71"/>
      <c r="AC368" s="71"/>
      <c r="AD368" s="71"/>
      <c r="AE368" s="71"/>
      <c r="AF368" s="71"/>
      <c r="AG368" s="71"/>
      <c r="AJ368" s="71"/>
      <c r="AK368" s="71"/>
      <c r="AL368" s="71"/>
      <c r="AM368" s="71"/>
    </row>
    <row r="369" spans="8:39">
      <c r="H369" s="71"/>
      <c r="I369" s="71"/>
      <c r="Y369" s="83"/>
      <c r="Z369" s="83"/>
      <c r="AA369" s="71"/>
      <c r="AB369" s="71"/>
      <c r="AC369" s="71"/>
      <c r="AD369" s="71"/>
      <c r="AE369" s="71"/>
      <c r="AF369" s="71"/>
      <c r="AG369" s="71"/>
      <c r="AJ369" s="71"/>
      <c r="AK369" s="71"/>
      <c r="AL369" s="71"/>
      <c r="AM369" s="71"/>
    </row>
    <row r="370" spans="8:39">
      <c r="H370" s="71"/>
      <c r="I370" s="71"/>
      <c r="Y370" s="83"/>
      <c r="Z370" s="83"/>
      <c r="AA370" s="71"/>
      <c r="AB370" s="71"/>
      <c r="AC370" s="71"/>
      <c r="AD370" s="71"/>
      <c r="AE370" s="71"/>
      <c r="AF370" s="71"/>
      <c r="AG370" s="71"/>
      <c r="AJ370" s="71"/>
      <c r="AK370" s="71"/>
      <c r="AL370" s="71"/>
      <c r="AM370" s="71"/>
    </row>
    <row r="371" spans="8:39">
      <c r="H371" s="71"/>
      <c r="I371" s="71"/>
      <c r="Y371" s="83"/>
      <c r="Z371" s="83"/>
      <c r="AA371" s="71"/>
      <c r="AB371" s="71"/>
      <c r="AC371" s="71"/>
      <c r="AD371" s="71"/>
      <c r="AE371" s="71"/>
      <c r="AF371" s="71"/>
      <c r="AG371" s="71"/>
      <c r="AJ371" s="71"/>
      <c r="AK371" s="71"/>
      <c r="AL371" s="71"/>
      <c r="AM371" s="71"/>
    </row>
    <row r="372" spans="8:39">
      <c r="H372" s="71"/>
      <c r="I372" s="71"/>
      <c r="Y372" s="83"/>
      <c r="Z372" s="83"/>
      <c r="AA372" s="71"/>
      <c r="AB372" s="71"/>
      <c r="AC372" s="71"/>
      <c r="AD372" s="71"/>
      <c r="AE372" s="71"/>
      <c r="AF372" s="71"/>
      <c r="AG372" s="71"/>
      <c r="AJ372" s="71"/>
      <c r="AK372" s="71"/>
      <c r="AL372" s="71"/>
      <c r="AM372" s="71"/>
    </row>
    <row r="373" spans="8:39">
      <c r="H373" s="71"/>
      <c r="I373" s="71"/>
      <c r="Y373" s="83"/>
      <c r="Z373" s="83"/>
      <c r="AA373" s="71"/>
      <c r="AB373" s="71"/>
      <c r="AC373" s="71"/>
      <c r="AD373" s="71"/>
      <c r="AE373" s="71"/>
      <c r="AF373" s="71"/>
      <c r="AG373" s="71"/>
      <c r="AJ373" s="71"/>
      <c r="AK373" s="71"/>
      <c r="AL373" s="71"/>
      <c r="AM373" s="71"/>
    </row>
    <row r="374" spans="8:39">
      <c r="H374" s="71"/>
      <c r="I374" s="71"/>
      <c r="Y374" s="83"/>
      <c r="Z374" s="83"/>
      <c r="AA374" s="71"/>
      <c r="AB374" s="71"/>
      <c r="AC374" s="71"/>
      <c r="AD374" s="71"/>
      <c r="AE374" s="71"/>
      <c r="AF374" s="71"/>
      <c r="AG374" s="71"/>
      <c r="AJ374" s="71"/>
      <c r="AK374" s="71"/>
      <c r="AL374" s="71"/>
      <c r="AM374" s="71"/>
    </row>
    <row r="375" spans="8:39">
      <c r="H375" s="71"/>
      <c r="I375" s="71"/>
      <c r="Y375" s="83"/>
      <c r="Z375" s="83"/>
      <c r="AA375" s="71"/>
      <c r="AB375" s="71"/>
      <c r="AC375" s="71"/>
      <c r="AD375" s="71"/>
      <c r="AE375" s="71"/>
      <c r="AF375" s="71"/>
      <c r="AG375" s="71"/>
      <c r="AJ375" s="71"/>
      <c r="AK375" s="71"/>
      <c r="AL375" s="71"/>
      <c r="AM375" s="71"/>
    </row>
    <row r="376" spans="8:39">
      <c r="H376" s="71"/>
      <c r="I376" s="71"/>
      <c r="Y376" s="83"/>
      <c r="Z376" s="83"/>
      <c r="AA376" s="71"/>
      <c r="AB376" s="71"/>
      <c r="AC376" s="71"/>
      <c r="AD376" s="71"/>
      <c r="AE376" s="71"/>
      <c r="AF376" s="71"/>
      <c r="AG376" s="71"/>
      <c r="AJ376" s="71"/>
      <c r="AK376" s="71"/>
      <c r="AL376" s="71"/>
      <c r="AM376" s="71"/>
    </row>
    <row r="377" spans="8:39">
      <c r="H377" s="71"/>
      <c r="I377" s="71"/>
      <c r="Y377" s="83"/>
      <c r="Z377" s="83"/>
      <c r="AA377" s="71"/>
      <c r="AB377" s="71"/>
      <c r="AC377" s="71"/>
      <c r="AD377" s="71"/>
      <c r="AE377" s="71"/>
      <c r="AF377" s="71"/>
      <c r="AG377" s="71"/>
      <c r="AJ377" s="71"/>
      <c r="AK377" s="71"/>
      <c r="AL377" s="71"/>
      <c r="AM377" s="71"/>
    </row>
    <row r="378" spans="8:39">
      <c r="H378" s="71"/>
      <c r="I378" s="71"/>
      <c r="Y378" s="83"/>
      <c r="Z378" s="83"/>
      <c r="AA378" s="71"/>
      <c r="AB378" s="71"/>
      <c r="AC378" s="71"/>
      <c r="AD378" s="71"/>
      <c r="AE378" s="71"/>
      <c r="AF378" s="71"/>
      <c r="AG378" s="71"/>
      <c r="AJ378" s="71"/>
      <c r="AK378" s="71"/>
      <c r="AL378" s="71"/>
      <c r="AM378" s="71"/>
    </row>
    <row r="379" spans="8:39">
      <c r="H379" s="71"/>
      <c r="I379" s="71"/>
      <c r="Y379" s="83"/>
      <c r="Z379" s="83"/>
      <c r="AA379" s="71"/>
      <c r="AB379" s="71"/>
      <c r="AC379" s="71"/>
      <c r="AD379" s="71"/>
      <c r="AE379" s="71"/>
      <c r="AF379" s="71"/>
      <c r="AG379" s="71"/>
      <c r="AJ379" s="71"/>
      <c r="AK379" s="71"/>
      <c r="AL379" s="71"/>
      <c r="AM379" s="71"/>
    </row>
    <row r="380" spans="8:39">
      <c r="H380" s="71"/>
      <c r="I380" s="71"/>
      <c r="Y380" s="83"/>
      <c r="Z380" s="83"/>
      <c r="AA380" s="71"/>
      <c r="AB380" s="71"/>
      <c r="AC380" s="71"/>
      <c r="AD380" s="71"/>
      <c r="AE380" s="71"/>
      <c r="AF380" s="71"/>
      <c r="AG380" s="71"/>
      <c r="AJ380" s="71"/>
      <c r="AK380" s="71"/>
      <c r="AL380" s="71"/>
      <c r="AM380" s="71"/>
    </row>
    <row r="381" spans="8:39">
      <c r="H381" s="71"/>
      <c r="I381" s="71"/>
      <c r="Y381" s="83"/>
      <c r="Z381" s="83"/>
      <c r="AA381" s="71"/>
      <c r="AB381" s="71"/>
      <c r="AC381" s="71"/>
      <c r="AD381" s="71"/>
      <c r="AE381" s="71"/>
      <c r="AF381" s="71"/>
      <c r="AG381" s="71"/>
      <c r="AJ381" s="71"/>
      <c r="AK381" s="71"/>
      <c r="AL381" s="71"/>
      <c r="AM381" s="71"/>
    </row>
    <row r="382" spans="8:39">
      <c r="H382" s="71"/>
      <c r="I382" s="71"/>
      <c r="Y382" s="83"/>
      <c r="Z382" s="83"/>
      <c r="AA382" s="71"/>
      <c r="AB382" s="71"/>
      <c r="AC382" s="71"/>
      <c r="AD382" s="71"/>
      <c r="AE382" s="71"/>
      <c r="AF382" s="71"/>
      <c r="AG382" s="71"/>
      <c r="AJ382" s="71"/>
      <c r="AK382" s="71"/>
      <c r="AL382" s="71"/>
      <c r="AM382" s="71"/>
    </row>
    <row r="383" spans="8:39">
      <c r="H383" s="71"/>
      <c r="I383" s="71"/>
      <c r="Y383" s="83"/>
      <c r="Z383" s="83"/>
      <c r="AA383" s="71"/>
      <c r="AB383" s="71"/>
      <c r="AC383" s="71"/>
      <c r="AD383" s="71"/>
      <c r="AE383" s="71"/>
      <c r="AF383" s="71"/>
      <c r="AG383" s="71"/>
      <c r="AJ383" s="71"/>
      <c r="AK383" s="71"/>
      <c r="AL383" s="71"/>
      <c r="AM383" s="71"/>
    </row>
    <row r="384" spans="8:39">
      <c r="H384" s="71"/>
      <c r="I384" s="71"/>
      <c r="Y384" s="83"/>
      <c r="Z384" s="83"/>
      <c r="AA384" s="71"/>
      <c r="AB384" s="71"/>
      <c r="AC384" s="71"/>
      <c r="AD384" s="71"/>
      <c r="AE384" s="71"/>
      <c r="AF384" s="71"/>
      <c r="AG384" s="71"/>
      <c r="AJ384" s="71"/>
      <c r="AK384" s="71"/>
      <c r="AL384" s="71"/>
      <c r="AM384" s="71"/>
    </row>
    <row r="385" spans="8:39">
      <c r="H385" s="71"/>
      <c r="I385" s="71"/>
      <c r="Y385" s="83"/>
      <c r="Z385" s="83"/>
      <c r="AA385" s="71"/>
      <c r="AB385" s="71"/>
      <c r="AC385" s="71"/>
      <c r="AD385" s="71"/>
      <c r="AE385" s="71"/>
      <c r="AF385" s="71"/>
      <c r="AG385" s="71"/>
      <c r="AJ385" s="71"/>
      <c r="AK385" s="71"/>
      <c r="AL385" s="71"/>
      <c r="AM385" s="71"/>
    </row>
    <row r="386" spans="8:39">
      <c r="H386" s="71"/>
      <c r="I386" s="71"/>
      <c r="Y386" s="83"/>
      <c r="Z386" s="83"/>
      <c r="AA386" s="71"/>
      <c r="AB386" s="71"/>
      <c r="AC386" s="71"/>
      <c r="AD386" s="71"/>
      <c r="AE386" s="71"/>
      <c r="AF386" s="71"/>
      <c r="AG386" s="71"/>
      <c r="AJ386" s="71"/>
      <c r="AK386" s="71"/>
      <c r="AL386" s="71"/>
      <c r="AM386" s="71"/>
    </row>
    <row r="387" spans="8:39">
      <c r="H387" s="71"/>
      <c r="I387" s="71"/>
      <c r="Y387" s="83"/>
      <c r="Z387" s="83"/>
      <c r="AA387" s="71"/>
      <c r="AB387" s="71"/>
      <c r="AC387" s="71"/>
      <c r="AD387" s="71"/>
      <c r="AE387" s="71"/>
      <c r="AF387" s="71"/>
      <c r="AG387" s="71"/>
      <c r="AJ387" s="71"/>
      <c r="AK387" s="71"/>
      <c r="AL387" s="71"/>
      <c r="AM387" s="71"/>
    </row>
    <row r="388" spans="8:39">
      <c r="H388" s="71"/>
      <c r="I388" s="71"/>
      <c r="Y388" s="83"/>
      <c r="Z388" s="83"/>
      <c r="AA388" s="71"/>
      <c r="AB388" s="71"/>
      <c r="AC388" s="71"/>
      <c r="AD388" s="71"/>
      <c r="AE388" s="71"/>
      <c r="AF388" s="71"/>
      <c r="AG388" s="71"/>
      <c r="AJ388" s="71"/>
      <c r="AK388" s="71"/>
      <c r="AL388" s="71"/>
      <c r="AM388" s="71"/>
    </row>
    <row r="389" spans="8:39">
      <c r="H389" s="71"/>
      <c r="I389" s="71"/>
      <c r="Y389" s="83"/>
      <c r="Z389" s="83"/>
      <c r="AA389" s="71"/>
      <c r="AB389" s="71"/>
      <c r="AC389" s="71"/>
      <c r="AD389" s="71"/>
      <c r="AE389" s="71"/>
      <c r="AF389" s="71"/>
      <c r="AG389" s="71"/>
      <c r="AJ389" s="71"/>
      <c r="AK389" s="71"/>
      <c r="AL389" s="71"/>
      <c r="AM389" s="71"/>
    </row>
    <row r="390" spans="8:39">
      <c r="H390" s="71"/>
      <c r="I390" s="71"/>
      <c r="Y390" s="83"/>
      <c r="Z390" s="83"/>
      <c r="AA390" s="71"/>
      <c r="AB390" s="71"/>
      <c r="AC390" s="71"/>
      <c r="AD390" s="71"/>
      <c r="AE390" s="71"/>
      <c r="AF390" s="71"/>
      <c r="AG390" s="71"/>
      <c r="AJ390" s="71"/>
      <c r="AK390" s="71"/>
      <c r="AL390" s="71"/>
      <c r="AM390" s="71"/>
    </row>
    <row r="391" spans="8:39">
      <c r="H391" s="71"/>
      <c r="I391" s="71"/>
      <c r="Y391" s="83"/>
      <c r="Z391" s="83"/>
      <c r="AA391" s="71"/>
      <c r="AB391" s="71"/>
      <c r="AC391" s="71"/>
      <c r="AD391" s="71"/>
      <c r="AE391" s="71"/>
      <c r="AF391" s="71"/>
      <c r="AG391" s="71"/>
      <c r="AJ391" s="71"/>
      <c r="AK391" s="71"/>
      <c r="AL391" s="71"/>
      <c r="AM391" s="71"/>
    </row>
    <row r="392" spans="8:39">
      <c r="H392" s="71"/>
      <c r="I392" s="71"/>
      <c r="Y392" s="83"/>
      <c r="Z392" s="83"/>
      <c r="AA392" s="71"/>
      <c r="AB392" s="71"/>
      <c r="AC392" s="71"/>
      <c r="AD392" s="71"/>
      <c r="AE392" s="71"/>
      <c r="AF392" s="71"/>
      <c r="AG392" s="71"/>
      <c r="AJ392" s="71"/>
      <c r="AK392" s="71"/>
      <c r="AL392" s="71"/>
      <c r="AM392" s="71"/>
    </row>
    <row r="393" spans="8:39">
      <c r="H393" s="71"/>
      <c r="I393" s="71"/>
      <c r="Y393" s="83"/>
      <c r="Z393" s="83"/>
      <c r="AA393" s="71"/>
      <c r="AB393" s="71"/>
      <c r="AC393" s="71"/>
      <c r="AD393" s="71"/>
      <c r="AE393" s="71"/>
      <c r="AF393" s="71"/>
      <c r="AG393" s="71"/>
      <c r="AJ393" s="71"/>
      <c r="AK393" s="71"/>
      <c r="AL393" s="71"/>
      <c r="AM393" s="71"/>
    </row>
    <row r="394" spans="8:39">
      <c r="H394" s="71"/>
      <c r="I394" s="71"/>
      <c r="Y394" s="83"/>
      <c r="Z394" s="83"/>
      <c r="AA394" s="71"/>
      <c r="AB394" s="71"/>
      <c r="AC394" s="71"/>
      <c r="AD394" s="71"/>
      <c r="AE394" s="71"/>
      <c r="AF394" s="71"/>
      <c r="AG394" s="71"/>
      <c r="AJ394" s="71"/>
      <c r="AK394" s="71"/>
      <c r="AL394" s="71"/>
      <c r="AM394" s="71"/>
    </row>
    <row r="395" spans="8:39">
      <c r="H395" s="71"/>
      <c r="I395" s="71"/>
      <c r="Y395" s="83"/>
      <c r="Z395" s="83"/>
      <c r="AA395" s="71"/>
      <c r="AB395" s="71"/>
      <c r="AC395" s="71"/>
      <c r="AD395" s="71"/>
      <c r="AE395" s="71"/>
      <c r="AF395" s="71"/>
      <c r="AG395" s="71"/>
      <c r="AJ395" s="71"/>
      <c r="AK395" s="71"/>
      <c r="AL395" s="71"/>
      <c r="AM395" s="71"/>
    </row>
    <row r="396" spans="8:39">
      <c r="H396" s="71"/>
      <c r="I396" s="71"/>
      <c r="Y396" s="83"/>
      <c r="Z396" s="83"/>
      <c r="AA396" s="71"/>
      <c r="AB396" s="71"/>
      <c r="AC396" s="71"/>
      <c r="AD396" s="71"/>
      <c r="AE396" s="71"/>
      <c r="AF396" s="71"/>
      <c r="AG396" s="71"/>
      <c r="AJ396" s="71"/>
      <c r="AK396" s="71"/>
      <c r="AL396" s="71"/>
      <c r="AM396" s="71"/>
    </row>
    <row r="397" spans="8:39">
      <c r="H397" s="71"/>
      <c r="I397" s="71"/>
      <c r="Y397" s="83"/>
      <c r="Z397" s="83"/>
      <c r="AA397" s="71"/>
      <c r="AB397" s="71"/>
      <c r="AC397" s="71"/>
      <c r="AD397" s="71"/>
      <c r="AE397" s="71"/>
      <c r="AF397" s="71"/>
      <c r="AG397" s="71"/>
      <c r="AJ397" s="71"/>
      <c r="AK397" s="71"/>
      <c r="AL397" s="71"/>
      <c r="AM397" s="71"/>
    </row>
    <row r="398" spans="8:39">
      <c r="H398" s="71"/>
      <c r="I398" s="71"/>
      <c r="Y398" s="83"/>
      <c r="Z398" s="83"/>
      <c r="AA398" s="71"/>
      <c r="AB398" s="71"/>
      <c r="AC398" s="71"/>
      <c r="AD398" s="71"/>
      <c r="AE398" s="71"/>
      <c r="AF398" s="71"/>
      <c r="AG398" s="71"/>
      <c r="AJ398" s="71"/>
      <c r="AK398" s="71"/>
      <c r="AL398" s="71"/>
      <c r="AM398" s="71"/>
    </row>
    <row r="399" spans="8:39">
      <c r="H399" s="71"/>
      <c r="I399" s="71"/>
      <c r="Y399" s="83"/>
      <c r="Z399" s="83"/>
      <c r="AA399" s="71"/>
      <c r="AB399" s="71"/>
      <c r="AC399" s="71"/>
      <c r="AD399" s="71"/>
      <c r="AE399" s="71"/>
      <c r="AF399" s="71"/>
      <c r="AG399" s="71"/>
      <c r="AJ399" s="71"/>
      <c r="AK399" s="71"/>
      <c r="AL399" s="71"/>
      <c r="AM399" s="71"/>
    </row>
    <row r="400" spans="8:39">
      <c r="H400" s="71"/>
      <c r="I400" s="71"/>
      <c r="Y400" s="83"/>
      <c r="Z400" s="83"/>
      <c r="AA400" s="71"/>
      <c r="AB400" s="71"/>
      <c r="AC400" s="71"/>
      <c r="AD400" s="71"/>
      <c r="AE400" s="71"/>
      <c r="AF400" s="71"/>
      <c r="AG400" s="71"/>
      <c r="AJ400" s="71"/>
      <c r="AK400" s="71"/>
      <c r="AL400" s="71"/>
      <c r="AM400" s="71"/>
    </row>
    <row r="401" spans="8:39">
      <c r="H401" s="71"/>
      <c r="I401" s="71"/>
      <c r="Y401" s="83"/>
      <c r="Z401" s="83"/>
      <c r="AA401" s="71"/>
      <c r="AB401" s="71"/>
      <c r="AC401" s="71"/>
      <c r="AD401" s="71"/>
      <c r="AE401" s="71"/>
      <c r="AF401" s="71"/>
      <c r="AG401" s="71"/>
      <c r="AJ401" s="71"/>
      <c r="AK401" s="71"/>
      <c r="AL401" s="71"/>
      <c r="AM401" s="71"/>
    </row>
    <row r="402" spans="8:39">
      <c r="H402" s="71"/>
      <c r="I402" s="71"/>
      <c r="Y402" s="83"/>
      <c r="Z402" s="83"/>
      <c r="AA402" s="71"/>
      <c r="AB402" s="71"/>
      <c r="AC402" s="71"/>
      <c r="AD402" s="71"/>
      <c r="AE402" s="71"/>
      <c r="AF402" s="71"/>
      <c r="AG402" s="71"/>
      <c r="AJ402" s="71"/>
      <c r="AK402" s="71"/>
      <c r="AL402" s="71"/>
      <c r="AM402" s="71"/>
    </row>
    <row r="403" spans="8:39">
      <c r="H403" s="71"/>
      <c r="I403" s="71"/>
      <c r="Y403" s="83"/>
      <c r="Z403" s="83"/>
      <c r="AA403" s="71"/>
      <c r="AB403" s="71"/>
      <c r="AC403" s="71"/>
      <c r="AD403" s="71"/>
      <c r="AE403" s="71"/>
      <c r="AF403" s="71"/>
      <c r="AG403" s="71"/>
      <c r="AJ403" s="71"/>
      <c r="AK403" s="71"/>
      <c r="AL403" s="71"/>
      <c r="AM403" s="71"/>
    </row>
    <row r="404" spans="8:39">
      <c r="H404" s="71"/>
      <c r="I404" s="71"/>
      <c r="Y404" s="83"/>
      <c r="Z404" s="83"/>
      <c r="AA404" s="71"/>
      <c r="AB404" s="71"/>
      <c r="AC404" s="71"/>
      <c r="AD404" s="71"/>
      <c r="AE404" s="71"/>
      <c r="AF404" s="71"/>
      <c r="AG404" s="71"/>
      <c r="AJ404" s="71"/>
      <c r="AK404" s="71"/>
      <c r="AL404" s="71"/>
      <c r="AM404" s="71"/>
    </row>
    <row r="405" spans="8:39">
      <c r="H405" s="71"/>
      <c r="I405" s="71"/>
      <c r="Y405" s="83"/>
      <c r="Z405" s="83"/>
      <c r="AA405" s="71"/>
      <c r="AB405" s="71"/>
      <c r="AC405" s="71"/>
      <c r="AD405" s="71"/>
      <c r="AE405" s="71"/>
      <c r="AF405" s="71"/>
      <c r="AG405" s="71"/>
      <c r="AJ405" s="71"/>
      <c r="AK405" s="71"/>
      <c r="AL405" s="71"/>
      <c r="AM405" s="71"/>
    </row>
    <row r="406" spans="8:39">
      <c r="H406" s="71"/>
      <c r="I406" s="71"/>
      <c r="Y406" s="83"/>
      <c r="Z406" s="83"/>
      <c r="AA406" s="71"/>
      <c r="AB406" s="71"/>
      <c r="AC406" s="71"/>
      <c r="AD406" s="71"/>
      <c r="AE406" s="71"/>
      <c r="AF406" s="71"/>
      <c r="AG406" s="71"/>
      <c r="AJ406" s="71"/>
      <c r="AK406" s="71"/>
      <c r="AL406" s="71"/>
      <c r="AM406" s="71"/>
    </row>
    <row r="407" spans="8:39">
      <c r="H407" s="71"/>
      <c r="I407" s="71"/>
      <c r="Y407" s="83"/>
      <c r="Z407" s="83"/>
      <c r="AA407" s="71"/>
      <c r="AB407" s="71"/>
      <c r="AC407" s="71"/>
      <c r="AD407" s="71"/>
      <c r="AE407" s="71"/>
      <c r="AF407" s="71"/>
      <c r="AG407" s="71"/>
      <c r="AJ407" s="71"/>
      <c r="AK407" s="71"/>
      <c r="AL407" s="71"/>
      <c r="AM407" s="71"/>
    </row>
    <row r="408" spans="8:39">
      <c r="H408" s="71"/>
      <c r="I408" s="71"/>
      <c r="Y408" s="83"/>
      <c r="Z408" s="83"/>
      <c r="AA408" s="71"/>
      <c r="AB408" s="71"/>
      <c r="AC408" s="71"/>
      <c r="AD408" s="71"/>
      <c r="AE408" s="71"/>
      <c r="AF408" s="71"/>
      <c r="AG408" s="71"/>
      <c r="AJ408" s="71"/>
      <c r="AK408" s="71"/>
      <c r="AL408" s="71"/>
      <c r="AM408" s="71"/>
    </row>
    <row r="409" spans="8:39">
      <c r="H409" s="71"/>
      <c r="I409" s="71"/>
      <c r="Y409" s="83"/>
      <c r="Z409" s="83"/>
      <c r="AA409" s="71"/>
      <c r="AB409" s="71"/>
      <c r="AC409" s="71"/>
      <c r="AD409" s="71"/>
      <c r="AE409" s="71"/>
      <c r="AF409" s="71"/>
      <c r="AG409" s="71"/>
      <c r="AJ409" s="71"/>
      <c r="AK409" s="71"/>
      <c r="AL409" s="71"/>
      <c r="AM409" s="71"/>
    </row>
    <row r="410" spans="8:39">
      <c r="H410" s="71"/>
      <c r="I410" s="71"/>
      <c r="Y410" s="83"/>
      <c r="Z410" s="83"/>
      <c r="AA410" s="71"/>
      <c r="AB410" s="71"/>
      <c r="AC410" s="71"/>
      <c r="AD410" s="71"/>
      <c r="AE410" s="71"/>
      <c r="AF410" s="71"/>
      <c r="AG410" s="71"/>
      <c r="AJ410" s="71"/>
      <c r="AK410" s="71"/>
      <c r="AL410" s="71"/>
      <c r="AM410" s="71"/>
    </row>
    <row r="411" spans="8:39">
      <c r="H411" s="71"/>
      <c r="I411" s="71"/>
      <c r="Y411" s="83"/>
      <c r="Z411" s="83"/>
      <c r="AA411" s="71"/>
      <c r="AB411" s="71"/>
      <c r="AC411" s="71"/>
      <c r="AD411" s="71"/>
      <c r="AE411" s="71"/>
      <c r="AF411" s="71"/>
      <c r="AG411" s="71"/>
      <c r="AJ411" s="71"/>
      <c r="AK411" s="71"/>
      <c r="AL411" s="71"/>
      <c r="AM411" s="71"/>
    </row>
    <row r="412" spans="8:39">
      <c r="H412" s="71"/>
      <c r="I412" s="71"/>
      <c r="Y412" s="83"/>
      <c r="Z412" s="83"/>
      <c r="AA412" s="71"/>
      <c r="AB412" s="71"/>
      <c r="AC412" s="71"/>
      <c r="AD412" s="71"/>
      <c r="AE412" s="71"/>
      <c r="AF412" s="71"/>
      <c r="AG412" s="71"/>
      <c r="AJ412" s="71"/>
      <c r="AK412" s="71"/>
      <c r="AL412" s="71"/>
      <c r="AM412" s="71"/>
    </row>
    <row r="413" spans="8:39">
      <c r="H413" s="71"/>
      <c r="I413" s="71"/>
      <c r="Y413" s="83"/>
      <c r="Z413" s="83"/>
      <c r="AA413" s="71"/>
      <c r="AB413" s="71"/>
      <c r="AC413" s="71"/>
      <c r="AD413" s="71"/>
      <c r="AE413" s="71"/>
      <c r="AF413" s="71"/>
      <c r="AG413" s="71"/>
      <c r="AJ413" s="71"/>
      <c r="AK413" s="71"/>
      <c r="AL413" s="71"/>
      <c r="AM413" s="71"/>
    </row>
    <row r="414" spans="8:39">
      <c r="H414" s="71"/>
      <c r="I414" s="71"/>
      <c r="Y414" s="83"/>
      <c r="Z414" s="83"/>
      <c r="AA414" s="71"/>
      <c r="AB414" s="71"/>
      <c r="AC414" s="71"/>
      <c r="AD414" s="71"/>
      <c r="AE414" s="71"/>
      <c r="AF414" s="71"/>
      <c r="AG414" s="71"/>
      <c r="AJ414" s="71"/>
      <c r="AK414" s="71"/>
      <c r="AL414" s="71"/>
      <c r="AM414" s="71"/>
    </row>
    <row r="415" spans="8:39">
      <c r="H415" s="71"/>
      <c r="I415" s="71"/>
      <c r="Y415" s="83"/>
      <c r="Z415" s="83"/>
      <c r="AA415" s="71"/>
      <c r="AB415" s="71"/>
      <c r="AC415" s="71"/>
      <c r="AD415" s="71"/>
      <c r="AE415" s="71"/>
      <c r="AF415" s="71"/>
      <c r="AG415" s="71"/>
      <c r="AJ415" s="71"/>
      <c r="AK415" s="71"/>
      <c r="AL415" s="71"/>
      <c r="AM415" s="71"/>
    </row>
    <row r="416" spans="8:39">
      <c r="H416" s="71"/>
      <c r="I416" s="71"/>
      <c r="Y416" s="83"/>
      <c r="Z416" s="83"/>
      <c r="AA416" s="71"/>
      <c r="AB416" s="71"/>
      <c r="AC416" s="71"/>
      <c r="AD416" s="71"/>
      <c r="AE416" s="71"/>
      <c r="AF416" s="71"/>
      <c r="AG416" s="71"/>
      <c r="AJ416" s="71"/>
      <c r="AK416" s="71"/>
      <c r="AL416" s="71"/>
      <c r="AM416" s="71"/>
    </row>
    <row r="417" spans="8:39">
      <c r="H417" s="71"/>
      <c r="I417" s="71"/>
      <c r="Y417" s="83"/>
      <c r="Z417" s="83"/>
      <c r="AA417" s="71"/>
      <c r="AB417" s="71"/>
      <c r="AC417" s="71"/>
      <c r="AD417" s="71"/>
      <c r="AE417" s="71"/>
      <c r="AF417" s="71"/>
      <c r="AG417" s="71"/>
      <c r="AJ417" s="71"/>
      <c r="AK417" s="71"/>
      <c r="AL417" s="71"/>
      <c r="AM417" s="71"/>
    </row>
    <row r="418" spans="8:39">
      <c r="H418" s="71"/>
      <c r="I418" s="71"/>
      <c r="Y418" s="83"/>
      <c r="Z418" s="83"/>
      <c r="AA418" s="71"/>
      <c r="AB418" s="71"/>
      <c r="AC418" s="71"/>
      <c r="AD418" s="71"/>
      <c r="AE418" s="71"/>
      <c r="AF418" s="71"/>
      <c r="AG418" s="71"/>
      <c r="AJ418" s="71"/>
      <c r="AK418" s="71"/>
      <c r="AL418" s="71"/>
      <c r="AM418" s="71"/>
    </row>
    <row r="419" spans="8:39">
      <c r="H419" s="71"/>
      <c r="I419" s="71"/>
      <c r="Y419" s="83"/>
      <c r="Z419" s="83"/>
      <c r="AA419" s="71"/>
      <c r="AB419" s="71"/>
      <c r="AC419" s="71"/>
      <c r="AD419" s="71"/>
      <c r="AE419" s="71"/>
      <c r="AF419" s="71"/>
      <c r="AG419" s="71"/>
      <c r="AJ419" s="71"/>
      <c r="AK419" s="71"/>
      <c r="AL419" s="71"/>
      <c r="AM419" s="71"/>
    </row>
    <row r="420" spans="8:39">
      <c r="H420" s="71"/>
      <c r="I420" s="71"/>
      <c r="Y420" s="83"/>
      <c r="Z420" s="83"/>
      <c r="AA420" s="71"/>
      <c r="AB420" s="71"/>
      <c r="AC420" s="71"/>
      <c r="AD420" s="71"/>
      <c r="AE420" s="71"/>
      <c r="AF420" s="71"/>
      <c r="AG420" s="71"/>
      <c r="AJ420" s="71"/>
      <c r="AK420" s="71"/>
      <c r="AL420" s="71"/>
      <c r="AM420" s="71"/>
    </row>
    <row r="421" spans="8:39">
      <c r="H421" s="71"/>
      <c r="I421" s="71"/>
      <c r="Y421" s="83"/>
      <c r="Z421" s="83"/>
      <c r="AA421" s="71"/>
      <c r="AB421" s="71"/>
      <c r="AC421" s="71"/>
      <c r="AD421" s="71"/>
      <c r="AE421" s="71"/>
      <c r="AF421" s="71"/>
      <c r="AG421" s="71"/>
      <c r="AJ421" s="71"/>
      <c r="AK421" s="71"/>
      <c r="AL421" s="71"/>
      <c r="AM421" s="71"/>
    </row>
    <row r="422" spans="8:39">
      <c r="H422" s="71"/>
      <c r="I422" s="71"/>
      <c r="Y422" s="83"/>
      <c r="Z422" s="83"/>
      <c r="AA422" s="71"/>
      <c r="AB422" s="71"/>
      <c r="AC422" s="71"/>
      <c r="AD422" s="71"/>
      <c r="AE422" s="71"/>
      <c r="AF422" s="71"/>
      <c r="AG422" s="71"/>
      <c r="AJ422" s="71"/>
      <c r="AK422" s="71"/>
      <c r="AL422" s="71"/>
      <c r="AM422" s="71"/>
    </row>
    <row r="423" spans="8:39">
      <c r="H423" s="71"/>
      <c r="I423" s="71"/>
      <c r="Y423" s="83"/>
      <c r="Z423" s="83"/>
      <c r="AA423" s="71"/>
      <c r="AB423" s="71"/>
      <c r="AC423" s="71"/>
      <c r="AD423" s="71"/>
      <c r="AE423" s="71"/>
      <c r="AF423" s="71"/>
      <c r="AG423" s="71"/>
      <c r="AJ423" s="71"/>
      <c r="AK423" s="71"/>
      <c r="AL423" s="71"/>
      <c r="AM423" s="71"/>
    </row>
    <row r="424" spans="8:39">
      <c r="H424" s="71"/>
      <c r="I424" s="71"/>
      <c r="Y424" s="83"/>
      <c r="Z424" s="83"/>
      <c r="AA424" s="71"/>
      <c r="AB424" s="71"/>
      <c r="AC424" s="71"/>
      <c r="AD424" s="71"/>
      <c r="AE424" s="71"/>
      <c r="AF424" s="71"/>
      <c r="AG424" s="71"/>
      <c r="AJ424" s="71"/>
      <c r="AK424" s="71"/>
      <c r="AL424" s="71"/>
      <c r="AM424" s="71"/>
    </row>
    <row r="425" spans="8:39">
      <c r="H425" s="71"/>
      <c r="I425" s="71"/>
      <c r="Y425" s="83"/>
      <c r="Z425" s="83"/>
      <c r="AA425" s="71"/>
      <c r="AB425" s="71"/>
      <c r="AC425" s="71"/>
      <c r="AD425" s="71"/>
      <c r="AE425" s="71"/>
      <c r="AF425" s="71"/>
      <c r="AG425" s="71"/>
      <c r="AJ425" s="71"/>
      <c r="AK425" s="71"/>
      <c r="AL425" s="71"/>
      <c r="AM425" s="71"/>
    </row>
    <row r="426" spans="8:39">
      <c r="H426" s="71"/>
      <c r="I426" s="71"/>
      <c r="Y426" s="83"/>
      <c r="Z426" s="83"/>
      <c r="AA426" s="71"/>
      <c r="AB426" s="71"/>
      <c r="AC426" s="71"/>
      <c r="AD426" s="71"/>
      <c r="AE426" s="71"/>
      <c r="AF426" s="71"/>
      <c r="AG426" s="71"/>
      <c r="AJ426" s="71"/>
      <c r="AK426" s="71"/>
      <c r="AL426" s="71"/>
      <c r="AM426" s="71"/>
    </row>
    <row r="427" spans="8:39">
      <c r="H427" s="71"/>
      <c r="I427" s="71"/>
      <c r="Y427" s="83"/>
      <c r="Z427" s="83"/>
      <c r="AA427" s="71"/>
      <c r="AB427" s="71"/>
      <c r="AC427" s="71"/>
      <c r="AD427" s="71"/>
      <c r="AE427" s="71"/>
      <c r="AF427" s="71"/>
      <c r="AG427" s="71"/>
      <c r="AJ427" s="71"/>
      <c r="AK427" s="71"/>
      <c r="AL427" s="71"/>
      <c r="AM427" s="71"/>
    </row>
    <row r="428" spans="8:39">
      <c r="H428" s="71"/>
      <c r="I428" s="71"/>
      <c r="Y428" s="83"/>
      <c r="Z428" s="83"/>
      <c r="AA428" s="71"/>
      <c r="AB428" s="71"/>
      <c r="AC428" s="71"/>
      <c r="AD428" s="71"/>
      <c r="AE428" s="71"/>
      <c r="AF428" s="71"/>
      <c r="AG428" s="71"/>
      <c r="AJ428" s="71"/>
      <c r="AK428" s="71"/>
      <c r="AL428" s="71"/>
      <c r="AM428" s="71"/>
    </row>
    <row r="429" spans="8:39">
      <c r="H429" s="71"/>
      <c r="I429" s="71"/>
      <c r="Y429" s="83"/>
      <c r="Z429" s="83"/>
      <c r="AA429" s="71"/>
      <c r="AB429" s="71"/>
      <c r="AC429" s="71"/>
      <c r="AD429" s="71"/>
      <c r="AE429" s="71"/>
      <c r="AF429" s="71"/>
      <c r="AG429" s="71"/>
      <c r="AJ429" s="71"/>
      <c r="AK429" s="71"/>
      <c r="AL429" s="71"/>
      <c r="AM429" s="71"/>
    </row>
    <row r="430" spans="8:39">
      <c r="H430" s="71"/>
      <c r="I430" s="71"/>
      <c r="Y430" s="83"/>
      <c r="Z430" s="83"/>
      <c r="AA430" s="71"/>
      <c r="AB430" s="71"/>
      <c r="AC430" s="71"/>
      <c r="AD430" s="71"/>
      <c r="AE430" s="71"/>
      <c r="AF430" s="71"/>
      <c r="AG430" s="71"/>
      <c r="AJ430" s="71"/>
      <c r="AK430" s="71"/>
      <c r="AL430" s="71"/>
      <c r="AM430" s="71"/>
    </row>
    <row r="431" spans="8:39">
      <c r="H431" s="71"/>
      <c r="I431" s="71"/>
      <c r="Y431" s="83"/>
      <c r="Z431" s="83"/>
      <c r="AA431" s="71"/>
      <c r="AB431" s="71"/>
      <c r="AC431" s="71"/>
      <c r="AD431" s="71"/>
      <c r="AE431" s="71"/>
      <c r="AF431" s="71"/>
      <c r="AG431" s="71"/>
      <c r="AJ431" s="71"/>
      <c r="AK431" s="71"/>
      <c r="AL431" s="71"/>
      <c r="AM431" s="71"/>
    </row>
    <row r="432" spans="8:39">
      <c r="H432" s="71"/>
      <c r="I432" s="71"/>
      <c r="Y432" s="83"/>
      <c r="Z432" s="83"/>
      <c r="AA432" s="71"/>
      <c r="AB432" s="71"/>
      <c r="AC432" s="71"/>
      <c r="AD432" s="71"/>
      <c r="AE432" s="71"/>
      <c r="AF432" s="71"/>
      <c r="AG432" s="71"/>
      <c r="AJ432" s="71"/>
      <c r="AK432" s="71"/>
      <c r="AL432" s="71"/>
      <c r="AM432" s="71"/>
    </row>
    <row r="433" spans="8:39">
      <c r="H433" s="71"/>
      <c r="I433" s="71"/>
      <c r="Y433" s="83"/>
      <c r="Z433" s="83"/>
      <c r="AA433" s="71"/>
      <c r="AB433" s="71"/>
      <c r="AC433" s="71"/>
      <c r="AD433" s="71"/>
      <c r="AE433" s="71"/>
      <c r="AF433" s="71"/>
      <c r="AG433" s="71"/>
      <c r="AJ433" s="71"/>
      <c r="AK433" s="71"/>
      <c r="AL433" s="71"/>
      <c r="AM433" s="71"/>
    </row>
    <row r="434" spans="8:39">
      <c r="H434" s="71"/>
      <c r="I434" s="71"/>
      <c r="Y434" s="83"/>
      <c r="Z434" s="83"/>
      <c r="AA434" s="71"/>
      <c r="AB434" s="71"/>
      <c r="AC434" s="71"/>
      <c r="AD434" s="71"/>
      <c r="AE434" s="71"/>
      <c r="AF434" s="71"/>
      <c r="AG434" s="71"/>
      <c r="AJ434" s="71"/>
      <c r="AK434" s="71"/>
      <c r="AL434" s="71"/>
      <c r="AM434" s="71"/>
    </row>
    <row r="435" spans="8:39">
      <c r="H435" s="71"/>
      <c r="I435" s="71"/>
      <c r="Y435" s="83"/>
      <c r="Z435" s="83"/>
      <c r="AA435" s="71"/>
      <c r="AB435" s="71"/>
      <c r="AC435" s="71"/>
      <c r="AD435" s="71"/>
      <c r="AE435" s="71"/>
      <c r="AF435" s="71"/>
      <c r="AG435" s="71"/>
      <c r="AJ435" s="71"/>
      <c r="AK435" s="71"/>
      <c r="AL435" s="71"/>
      <c r="AM435" s="71"/>
    </row>
    <row r="436" spans="8:39">
      <c r="H436" s="71"/>
      <c r="I436" s="71"/>
      <c r="Y436" s="83"/>
      <c r="Z436" s="83"/>
      <c r="AA436" s="71"/>
      <c r="AB436" s="71"/>
      <c r="AC436" s="71"/>
      <c r="AD436" s="71"/>
      <c r="AE436" s="71"/>
      <c r="AF436" s="71"/>
      <c r="AG436" s="71"/>
      <c r="AJ436" s="71"/>
      <c r="AK436" s="71"/>
      <c r="AL436" s="71"/>
      <c r="AM436" s="71"/>
    </row>
    <row r="437" spans="8:39">
      <c r="H437" s="71"/>
      <c r="I437" s="71"/>
      <c r="Y437" s="83"/>
      <c r="Z437" s="83"/>
      <c r="AA437" s="71"/>
      <c r="AB437" s="71"/>
      <c r="AC437" s="71"/>
      <c r="AD437" s="71"/>
      <c r="AE437" s="71"/>
      <c r="AF437" s="71"/>
      <c r="AG437" s="71"/>
      <c r="AJ437" s="71"/>
      <c r="AK437" s="71"/>
      <c r="AL437" s="71"/>
      <c r="AM437" s="71"/>
    </row>
    <row r="438" spans="8:39">
      <c r="H438" s="71"/>
      <c r="I438" s="71"/>
      <c r="Y438" s="83"/>
      <c r="Z438" s="83"/>
      <c r="AA438" s="71"/>
      <c r="AB438" s="71"/>
      <c r="AC438" s="71"/>
      <c r="AD438" s="71"/>
      <c r="AE438" s="71"/>
      <c r="AF438" s="71"/>
      <c r="AG438" s="71"/>
      <c r="AJ438" s="71"/>
      <c r="AK438" s="71"/>
      <c r="AL438" s="71"/>
      <c r="AM438" s="71"/>
    </row>
    <row r="439" spans="8:39">
      <c r="H439" s="71"/>
      <c r="I439" s="71"/>
      <c r="Y439" s="83"/>
      <c r="Z439" s="83"/>
      <c r="AA439" s="71"/>
      <c r="AB439" s="71"/>
      <c r="AC439" s="71"/>
      <c r="AD439" s="71"/>
      <c r="AE439" s="71"/>
      <c r="AF439" s="71"/>
      <c r="AG439" s="71"/>
      <c r="AJ439" s="71"/>
      <c r="AK439" s="71"/>
      <c r="AL439" s="71"/>
      <c r="AM439" s="71"/>
    </row>
    <row r="440" spans="8:39">
      <c r="H440" s="71"/>
      <c r="I440" s="71"/>
      <c r="Y440" s="83"/>
      <c r="Z440" s="83"/>
      <c r="AA440" s="71"/>
      <c r="AB440" s="71"/>
      <c r="AC440" s="71"/>
      <c r="AD440" s="71"/>
      <c r="AE440" s="71"/>
      <c r="AF440" s="71"/>
      <c r="AG440" s="71"/>
      <c r="AJ440" s="71"/>
      <c r="AK440" s="71"/>
      <c r="AL440" s="71"/>
      <c r="AM440" s="71"/>
    </row>
    <row r="441" spans="8:39">
      <c r="H441" s="71"/>
      <c r="I441" s="71"/>
      <c r="Y441" s="83"/>
      <c r="Z441" s="83"/>
      <c r="AA441" s="71"/>
      <c r="AB441" s="71"/>
      <c r="AC441" s="71"/>
      <c r="AD441" s="71"/>
      <c r="AE441" s="71"/>
      <c r="AF441" s="71"/>
      <c r="AG441" s="71"/>
      <c r="AJ441" s="71"/>
      <c r="AK441" s="71"/>
      <c r="AL441" s="71"/>
      <c r="AM441" s="71"/>
    </row>
    <row r="442" spans="8:39">
      <c r="H442" s="71"/>
      <c r="I442" s="71"/>
      <c r="Y442" s="83"/>
      <c r="Z442" s="83"/>
      <c r="AA442" s="71"/>
      <c r="AB442" s="71"/>
      <c r="AC442" s="71"/>
      <c r="AD442" s="71"/>
      <c r="AE442" s="71"/>
      <c r="AF442" s="71"/>
      <c r="AG442" s="71"/>
      <c r="AJ442" s="71"/>
      <c r="AK442" s="71"/>
      <c r="AL442" s="71"/>
      <c r="AM442" s="71"/>
    </row>
    <row r="443" spans="8:39">
      <c r="H443" s="71"/>
      <c r="I443" s="71"/>
      <c r="Y443" s="83"/>
      <c r="Z443" s="83"/>
      <c r="AA443" s="71"/>
      <c r="AB443" s="71"/>
      <c r="AC443" s="71"/>
      <c r="AD443" s="71"/>
      <c r="AE443" s="71"/>
      <c r="AF443" s="71"/>
      <c r="AG443" s="71"/>
      <c r="AJ443" s="71"/>
      <c r="AK443" s="71"/>
      <c r="AL443" s="71"/>
      <c r="AM443" s="71"/>
    </row>
    <row r="444" spans="8:39">
      <c r="H444" s="71"/>
      <c r="I444" s="71"/>
      <c r="Y444" s="83"/>
      <c r="Z444" s="83"/>
      <c r="AA444" s="71"/>
      <c r="AB444" s="71"/>
      <c r="AC444" s="71"/>
      <c r="AD444" s="71"/>
      <c r="AE444" s="71"/>
      <c r="AF444" s="71"/>
      <c r="AG444" s="71"/>
      <c r="AJ444" s="71"/>
      <c r="AK444" s="71"/>
      <c r="AL444" s="71"/>
      <c r="AM444" s="71"/>
    </row>
    <row r="445" spans="8:39">
      <c r="H445" s="71"/>
      <c r="I445" s="71"/>
      <c r="Y445" s="83"/>
      <c r="Z445" s="83"/>
      <c r="AA445" s="71"/>
      <c r="AB445" s="71"/>
      <c r="AC445" s="71"/>
      <c r="AD445" s="71"/>
      <c r="AE445" s="71"/>
      <c r="AF445" s="71"/>
      <c r="AG445" s="71"/>
      <c r="AJ445" s="71"/>
      <c r="AK445" s="71"/>
      <c r="AL445" s="71"/>
      <c r="AM445" s="71"/>
    </row>
    <row r="446" spans="8:39">
      <c r="H446" s="71"/>
      <c r="I446" s="71"/>
      <c r="Y446" s="83"/>
      <c r="Z446" s="83"/>
      <c r="AA446" s="71"/>
      <c r="AB446" s="71"/>
      <c r="AC446" s="71"/>
      <c r="AD446" s="71"/>
      <c r="AE446" s="71"/>
      <c r="AF446" s="71"/>
      <c r="AG446" s="71"/>
      <c r="AJ446" s="71"/>
      <c r="AK446" s="71"/>
      <c r="AL446" s="71"/>
      <c r="AM446" s="71"/>
    </row>
    <row r="447" spans="8:39">
      <c r="H447" s="71"/>
      <c r="I447" s="71"/>
      <c r="Y447" s="83"/>
      <c r="Z447" s="83"/>
      <c r="AA447" s="71"/>
      <c r="AB447" s="71"/>
      <c r="AC447" s="71"/>
      <c r="AD447" s="71"/>
      <c r="AE447" s="71"/>
      <c r="AF447" s="71"/>
      <c r="AG447" s="71"/>
      <c r="AJ447" s="71"/>
      <c r="AK447" s="71"/>
      <c r="AL447" s="71"/>
      <c r="AM447" s="71"/>
    </row>
    <row r="448" spans="8:39">
      <c r="H448" s="71"/>
      <c r="I448" s="71"/>
      <c r="Y448" s="83"/>
      <c r="Z448" s="83"/>
      <c r="AA448" s="71"/>
      <c r="AB448" s="71"/>
      <c r="AC448" s="71"/>
      <c r="AD448" s="71"/>
      <c r="AE448" s="71"/>
      <c r="AF448" s="71"/>
      <c r="AG448" s="71"/>
      <c r="AJ448" s="71"/>
      <c r="AK448" s="71"/>
      <c r="AL448" s="71"/>
      <c r="AM448" s="71"/>
    </row>
    <row r="449" spans="8:39">
      <c r="H449" s="71"/>
      <c r="I449" s="71"/>
      <c r="Y449" s="83"/>
      <c r="Z449" s="83"/>
      <c r="AA449" s="71"/>
      <c r="AB449" s="71"/>
      <c r="AC449" s="71"/>
      <c r="AD449" s="71"/>
      <c r="AE449" s="71"/>
      <c r="AF449" s="71"/>
      <c r="AG449" s="71"/>
      <c r="AJ449" s="71"/>
      <c r="AK449" s="71"/>
      <c r="AL449" s="71"/>
      <c r="AM449" s="71"/>
    </row>
    <row r="450" spans="8:39">
      <c r="H450" s="71"/>
      <c r="I450" s="71"/>
      <c r="Y450" s="83"/>
      <c r="Z450" s="83"/>
      <c r="AA450" s="71"/>
      <c r="AB450" s="71"/>
      <c r="AC450" s="71"/>
      <c r="AD450" s="71"/>
      <c r="AE450" s="71"/>
      <c r="AF450" s="71"/>
      <c r="AG450" s="71"/>
      <c r="AJ450" s="71"/>
      <c r="AK450" s="71"/>
      <c r="AL450" s="71"/>
      <c r="AM450" s="71"/>
    </row>
    <row r="451" spans="8:39">
      <c r="H451" s="71"/>
      <c r="I451" s="71"/>
      <c r="Y451" s="83"/>
      <c r="Z451" s="83"/>
      <c r="AA451" s="71"/>
      <c r="AB451" s="71"/>
      <c r="AC451" s="71"/>
      <c r="AD451" s="71"/>
      <c r="AE451" s="71"/>
      <c r="AF451" s="71"/>
      <c r="AG451" s="71"/>
      <c r="AJ451" s="71"/>
      <c r="AK451" s="71"/>
      <c r="AL451" s="71"/>
      <c r="AM451" s="71"/>
    </row>
    <row r="452" spans="8:39">
      <c r="H452" s="71"/>
      <c r="I452" s="71"/>
      <c r="Y452" s="83"/>
      <c r="Z452" s="83"/>
      <c r="AA452" s="71"/>
      <c r="AB452" s="71"/>
      <c r="AC452" s="71"/>
      <c r="AD452" s="71"/>
      <c r="AE452" s="71"/>
      <c r="AF452" s="71"/>
      <c r="AG452" s="71"/>
      <c r="AJ452" s="71"/>
      <c r="AK452" s="71"/>
      <c r="AL452" s="71"/>
      <c r="AM452" s="71"/>
    </row>
    <row r="453" spans="8:39">
      <c r="H453" s="71"/>
      <c r="I453" s="71"/>
      <c r="Y453" s="83"/>
      <c r="Z453" s="83"/>
      <c r="AA453" s="71"/>
      <c r="AB453" s="71"/>
      <c r="AC453" s="71"/>
      <c r="AD453" s="71"/>
      <c r="AE453" s="71"/>
      <c r="AF453" s="71"/>
      <c r="AG453" s="71"/>
      <c r="AJ453" s="71"/>
      <c r="AK453" s="71"/>
      <c r="AL453" s="71"/>
      <c r="AM453" s="71"/>
    </row>
    <row r="454" spans="8:39">
      <c r="H454" s="71"/>
      <c r="I454" s="71"/>
      <c r="Y454" s="83"/>
      <c r="Z454" s="83"/>
      <c r="AA454" s="71"/>
      <c r="AB454" s="71"/>
      <c r="AC454" s="71"/>
      <c r="AD454" s="71"/>
      <c r="AE454" s="71"/>
      <c r="AF454" s="71"/>
      <c r="AG454" s="71"/>
      <c r="AJ454" s="71"/>
      <c r="AK454" s="71"/>
      <c r="AL454" s="71"/>
      <c r="AM454" s="71"/>
    </row>
    <row r="455" spans="8:39">
      <c r="H455" s="71"/>
      <c r="I455" s="71"/>
      <c r="Y455" s="83"/>
      <c r="Z455" s="83"/>
      <c r="AA455" s="71"/>
      <c r="AB455" s="71"/>
      <c r="AC455" s="71"/>
      <c r="AD455" s="71"/>
      <c r="AE455" s="71"/>
      <c r="AF455" s="71"/>
      <c r="AG455" s="71"/>
      <c r="AJ455" s="71"/>
      <c r="AK455" s="71"/>
      <c r="AL455" s="71"/>
      <c r="AM455" s="71"/>
    </row>
    <row r="456" spans="8:39">
      <c r="H456" s="71"/>
      <c r="I456" s="71"/>
      <c r="Y456" s="83"/>
      <c r="Z456" s="83"/>
      <c r="AA456" s="71"/>
      <c r="AB456" s="71"/>
      <c r="AC456" s="71"/>
      <c r="AD456" s="71"/>
      <c r="AE456" s="71"/>
      <c r="AF456" s="71"/>
      <c r="AG456" s="71"/>
      <c r="AJ456" s="71"/>
      <c r="AK456" s="71"/>
      <c r="AL456" s="71"/>
      <c r="AM456" s="71"/>
    </row>
    <row r="457" spans="8:39">
      <c r="H457" s="71"/>
      <c r="I457" s="71"/>
      <c r="Y457" s="83"/>
      <c r="Z457" s="83"/>
      <c r="AA457" s="71"/>
      <c r="AB457" s="71"/>
      <c r="AC457" s="71"/>
      <c r="AD457" s="71"/>
      <c r="AE457" s="71"/>
      <c r="AF457" s="71"/>
      <c r="AG457" s="71"/>
      <c r="AJ457" s="71"/>
      <c r="AK457" s="71"/>
      <c r="AL457" s="71"/>
      <c r="AM457" s="71"/>
    </row>
    <row r="458" spans="8:39">
      <c r="H458" s="71"/>
      <c r="I458" s="71"/>
      <c r="Y458" s="83"/>
      <c r="Z458" s="83"/>
      <c r="AA458" s="71"/>
      <c r="AB458" s="71"/>
      <c r="AC458" s="71"/>
      <c r="AD458" s="71"/>
      <c r="AE458" s="71"/>
      <c r="AF458" s="71"/>
      <c r="AG458" s="71"/>
      <c r="AJ458" s="71"/>
      <c r="AK458" s="71"/>
      <c r="AL458" s="71"/>
      <c r="AM458" s="71"/>
    </row>
    <row r="459" spans="8:39">
      <c r="H459" s="71"/>
      <c r="I459" s="71"/>
      <c r="Y459" s="83"/>
      <c r="Z459" s="83"/>
      <c r="AA459" s="71"/>
      <c r="AB459" s="71"/>
      <c r="AC459" s="71"/>
      <c r="AD459" s="71"/>
      <c r="AE459" s="71"/>
      <c r="AF459" s="71"/>
      <c r="AG459" s="71"/>
      <c r="AJ459" s="71"/>
      <c r="AK459" s="71"/>
      <c r="AL459" s="71"/>
      <c r="AM459" s="71"/>
    </row>
    <row r="460" spans="8:39">
      <c r="H460" s="71"/>
      <c r="I460" s="71"/>
      <c r="Y460" s="83"/>
      <c r="Z460" s="83"/>
      <c r="AA460" s="71"/>
      <c r="AB460" s="71"/>
      <c r="AC460" s="71"/>
      <c r="AD460" s="71"/>
      <c r="AE460" s="71"/>
      <c r="AF460" s="71"/>
      <c r="AG460" s="71"/>
      <c r="AJ460" s="71"/>
      <c r="AK460" s="71"/>
      <c r="AL460" s="71"/>
      <c r="AM460" s="71"/>
    </row>
    <row r="461" spans="8:39">
      <c r="H461" s="71"/>
      <c r="I461" s="71"/>
      <c r="Y461" s="83"/>
      <c r="Z461" s="83"/>
      <c r="AA461" s="71"/>
      <c r="AB461" s="71"/>
      <c r="AC461" s="71"/>
      <c r="AD461" s="71"/>
      <c r="AE461" s="71"/>
      <c r="AF461" s="71"/>
      <c r="AG461" s="71"/>
      <c r="AJ461" s="71"/>
      <c r="AK461" s="71"/>
      <c r="AL461" s="71"/>
      <c r="AM461" s="71"/>
    </row>
    <row r="462" spans="8:39">
      <c r="H462" s="71"/>
      <c r="I462" s="71"/>
      <c r="Y462" s="83"/>
      <c r="Z462" s="83"/>
      <c r="AA462" s="71"/>
      <c r="AB462" s="71"/>
      <c r="AC462" s="71"/>
      <c r="AD462" s="71"/>
      <c r="AE462" s="71"/>
      <c r="AF462" s="71"/>
      <c r="AG462" s="71"/>
      <c r="AJ462" s="71"/>
      <c r="AK462" s="71"/>
      <c r="AL462" s="71"/>
      <c r="AM462" s="71"/>
    </row>
    <row r="463" spans="8:39">
      <c r="H463" s="71"/>
      <c r="I463" s="71"/>
      <c r="Y463" s="83"/>
      <c r="Z463" s="83"/>
      <c r="AA463" s="71"/>
      <c r="AB463" s="71"/>
      <c r="AC463" s="71"/>
      <c r="AD463" s="71"/>
      <c r="AE463" s="71"/>
      <c r="AF463" s="71"/>
      <c r="AG463" s="71"/>
      <c r="AJ463" s="71"/>
      <c r="AK463" s="71"/>
      <c r="AL463" s="71"/>
      <c r="AM463" s="71"/>
    </row>
    <row r="464" spans="8:39">
      <c r="H464" s="71"/>
      <c r="I464" s="71"/>
      <c r="Y464" s="83"/>
      <c r="Z464" s="83"/>
      <c r="AA464" s="71"/>
      <c r="AB464" s="71"/>
      <c r="AC464" s="71"/>
      <c r="AD464" s="71"/>
      <c r="AE464" s="71"/>
      <c r="AF464" s="71"/>
      <c r="AG464" s="71"/>
      <c r="AJ464" s="71"/>
      <c r="AK464" s="71"/>
      <c r="AL464" s="71"/>
      <c r="AM464" s="71"/>
    </row>
    <row r="465" spans="8:39">
      <c r="H465" s="71"/>
      <c r="I465" s="71"/>
      <c r="Y465" s="83"/>
      <c r="Z465" s="83"/>
      <c r="AA465" s="71"/>
      <c r="AB465" s="71"/>
      <c r="AC465" s="71"/>
      <c r="AD465" s="71"/>
      <c r="AE465" s="71"/>
      <c r="AF465" s="71"/>
      <c r="AG465" s="71"/>
      <c r="AJ465" s="71"/>
      <c r="AK465" s="71"/>
      <c r="AL465" s="71"/>
      <c r="AM465" s="71"/>
    </row>
    <row r="466" spans="8:39">
      <c r="H466" s="71"/>
      <c r="I466" s="71"/>
      <c r="Y466" s="83"/>
      <c r="Z466" s="83"/>
      <c r="AA466" s="71"/>
      <c r="AB466" s="71"/>
      <c r="AC466" s="71"/>
      <c r="AD466" s="71"/>
      <c r="AE466" s="71"/>
      <c r="AF466" s="71"/>
      <c r="AG466" s="71"/>
      <c r="AJ466" s="71"/>
      <c r="AK466" s="71"/>
      <c r="AL466" s="71"/>
      <c r="AM466" s="71"/>
    </row>
    <row r="467" spans="8:39">
      <c r="H467" s="71"/>
      <c r="I467" s="71"/>
      <c r="Y467" s="83"/>
      <c r="Z467" s="83"/>
      <c r="AA467" s="71"/>
      <c r="AB467" s="71"/>
      <c r="AC467" s="71"/>
      <c r="AD467" s="71"/>
      <c r="AE467" s="71"/>
      <c r="AF467" s="71"/>
      <c r="AG467" s="71"/>
      <c r="AJ467" s="71"/>
      <c r="AK467" s="71"/>
      <c r="AL467" s="71"/>
      <c r="AM467" s="71"/>
    </row>
    <row r="468" spans="8:39">
      <c r="H468" s="71"/>
      <c r="I468" s="71"/>
      <c r="Y468" s="83"/>
      <c r="Z468" s="83"/>
      <c r="AA468" s="71"/>
      <c r="AB468" s="71"/>
      <c r="AC468" s="71"/>
      <c r="AD468" s="71"/>
      <c r="AE468" s="71"/>
      <c r="AF468" s="71"/>
      <c r="AG468" s="71"/>
      <c r="AJ468" s="71"/>
      <c r="AK468" s="71"/>
      <c r="AL468" s="71"/>
      <c r="AM468" s="71"/>
    </row>
    <row r="469" spans="8:39">
      <c r="H469" s="71"/>
      <c r="I469" s="71"/>
      <c r="Y469" s="83"/>
      <c r="Z469" s="83"/>
      <c r="AA469" s="71"/>
      <c r="AB469" s="71"/>
      <c r="AC469" s="71"/>
      <c r="AD469" s="71"/>
      <c r="AE469" s="71"/>
      <c r="AF469" s="71"/>
      <c r="AG469" s="71"/>
      <c r="AJ469" s="71"/>
      <c r="AK469" s="71"/>
      <c r="AL469" s="71"/>
      <c r="AM469" s="71"/>
    </row>
    <row r="470" spans="8:39">
      <c r="H470" s="71"/>
      <c r="I470" s="71"/>
      <c r="Y470" s="83"/>
      <c r="Z470" s="83"/>
      <c r="AA470" s="71"/>
      <c r="AB470" s="71"/>
      <c r="AC470" s="71"/>
      <c r="AD470" s="71"/>
      <c r="AE470" s="71"/>
      <c r="AF470" s="71"/>
      <c r="AG470" s="71"/>
      <c r="AJ470" s="71"/>
      <c r="AK470" s="71"/>
      <c r="AL470" s="71"/>
      <c r="AM470" s="71"/>
    </row>
    <row r="471" spans="8:39">
      <c r="H471" s="71"/>
      <c r="I471" s="71"/>
      <c r="Y471" s="83"/>
      <c r="Z471" s="83"/>
      <c r="AA471" s="71"/>
      <c r="AB471" s="71"/>
      <c r="AC471" s="71"/>
      <c r="AD471" s="71"/>
      <c r="AE471" s="71"/>
      <c r="AF471" s="71"/>
      <c r="AG471" s="71"/>
      <c r="AJ471" s="71"/>
      <c r="AK471" s="71"/>
      <c r="AL471" s="71"/>
      <c r="AM471" s="71"/>
    </row>
    <row r="472" spans="8:39">
      <c r="H472" s="71"/>
      <c r="I472" s="71"/>
      <c r="Y472" s="83"/>
      <c r="Z472" s="83"/>
      <c r="AA472" s="71"/>
      <c r="AB472" s="71"/>
      <c r="AC472" s="71"/>
      <c r="AD472" s="71"/>
      <c r="AE472" s="71"/>
      <c r="AF472" s="71"/>
      <c r="AG472" s="71"/>
      <c r="AJ472" s="71"/>
      <c r="AK472" s="71"/>
      <c r="AL472" s="71"/>
      <c r="AM472" s="71"/>
    </row>
    <row r="473" spans="8:39">
      <c r="H473" s="71"/>
      <c r="I473" s="71"/>
      <c r="Y473" s="83"/>
      <c r="Z473" s="83"/>
      <c r="AA473" s="71"/>
      <c r="AB473" s="71"/>
      <c r="AC473" s="71"/>
      <c r="AD473" s="71"/>
      <c r="AE473" s="71"/>
      <c r="AF473" s="71"/>
      <c r="AG473" s="71"/>
      <c r="AJ473" s="71"/>
      <c r="AK473" s="71"/>
      <c r="AL473" s="71"/>
      <c r="AM473" s="71"/>
    </row>
    <row r="474" spans="8:39">
      <c r="H474" s="71"/>
      <c r="I474" s="71"/>
      <c r="Y474" s="83"/>
      <c r="Z474" s="83"/>
      <c r="AA474" s="71"/>
      <c r="AB474" s="71"/>
      <c r="AC474" s="71"/>
      <c r="AD474" s="71"/>
      <c r="AE474" s="71"/>
      <c r="AF474" s="71"/>
      <c r="AG474" s="71"/>
      <c r="AJ474" s="71"/>
      <c r="AK474" s="71"/>
      <c r="AL474" s="71"/>
      <c r="AM474" s="71"/>
    </row>
    <row r="475" spans="8:39">
      <c r="H475" s="71"/>
      <c r="I475" s="71"/>
      <c r="Y475" s="83"/>
      <c r="Z475" s="83"/>
      <c r="AA475" s="71"/>
      <c r="AB475" s="71"/>
      <c r="AC475" s="71"/>
      <c r="AD475" s="71"/>
      <c r="AE475" s="71"/>
      <c r="AF475" s="71"/>
      <c r="AG475" s="71"/>
      <c r="AJ475" s="71"/>
      <c r="AK475" s="71"/>
      <c r="AL475" s="71"/>
      <c r="AM475" s="71"/>
    </row>
    <row r="476" spans="8:39">
      <c r="H476" s="71"/>
      <c r="I476" s="71"/>
      <c r="Y476" s="83"/>
      <c r="Z476" s="83"/>
      <c r="AA476" s="71"/>
      <c r="AB476" s="71"/>
      <c r="AC476" s="71"/>
      <c r="AD476" s="71"/>
      <c r="AE476" s="71"/>
      <c r="AF476" s="71"/>
      <c r="AG476" s="71"/>
      <c r="AJ476" s="71"/>
      <c r="AK476" s="71"/>
      <c r="AL476" s="71"/>
      <c r="AM476" s="71"/>
    </row>
    <row r="477" spans="8:39">
      <c r="H477" s="71"/>
      <c r="I477" s="71"/>
      <c r="Y477" s="83"/>
      <c r="Z477" s="83"/>
      <c r="AA477" s="71"/>
      <c r="AB477" s="71"/>
      <c r="AC477" s="71"/>
      <c r="AD477" s="71"/>
      <c r="AE477" s="71"/>
      <c r="AF477" s="71"/>
      <c r="AG477" s="71"/>
      <c r="AJ477" s="71"/>
      <c r="AK477" s="71"/>
      <c r="AL477" s="71"/>
      <c r="AM477" s="71"/>
    </row>
    <row r="478" spans="8:39">
      <c r="H478" s="71"/>
      <c r="I478" s="71"/>
      <c r="Y478" s="83"/>
      <c r="Z478" s="83"/>
      <c r="AA478" s="71"/>
      <c r="AB478" s="71"/>
      <c r="AC478" s="71"/>
      <c r="AD478" s="71"/>
      <c r="AE478" s="71"/>
      <c r="AF478" s="71"/>
      <c r="AG478" s="71"/>
      <c r="AJ478" s="71"/>
      <c r="AK478" s="71"/>
      <c r="AL478" s="71"/>
      <c r="AM478" s="71"/>
    </row>
    <row r="479" spans="8:39">
      <c r="H479" s="71"/>
      <c r="I479" s="71"/>
      <c r="Y479" s="83"/>
      <c r="Z479" s="83"/>
      <c r="AA479" s="71"/>
      <c r="AB479" s="71"/>
      <c r="AC479" s="71"/>
      <c r="AD479" s="71"/>
      <c r="AE479" s="71"/>
      <c r="AF479" s="71"/>
      <c r="AG479" s="71"/>
      <c r="AJ479" s="71"/>
      <c r="AK479" s="71"/>
      <c r="AL479" s="71"/>
      <c r="AM479" s="71"/>
    </row>
    <row r="480" spans="8:39">
      <c r="H480" s="71"/>
      <c r="I480" s="71"/>
      <c r="Y480" s="83"/>
      <c r="Z480" s="83"/>
      <c r="AA480" s="71"/>
      <c r="AB480" s="71"/>
      <c r="AC480" s="71"/>
      <c r="AD480" s="71"/>
      <c r="AE480" s="71"/>
      <c r="AF480" s="71"/>
      <c r="AG480" s="71"/>
      <c r="AJ480" s="71"/>
      <c r="AK480" s="71"/>
      <c r="AL480" s="71"/>
      <c r="AM480" s="71"/>
    </row>
    <row r="481" spans="8:39">
      <c r="H481" s="71"/>
      <c r="I481" s="71"/>
      <c r="Y481" s="83"/>
      <c r="Z481" s="83"/>
      <c r="AA481" s="71"/>
      <c r="AB481" s="71"/>
      <c r="AC481" s="71"/>
      <c r="AD481" s="71"/>
      <c r="AE481" s="71"/>
      <c r="AF481" s="71"/>
      <c r="AG481" s="71"/>
      <c r="AJ481" s="71"/>
      <c r="AK481" s="71"/>
      <c r="AL481" s="71"/>
      <c r="AM481" s="71"/>
    </row>
    <row r="482" spans="8:39">
      <c r="H482" s="71"/>
      <c r="I482" s="71"/>
      <c r="Y482" s="83"/>
      <c r="Z482" s="83"/>
      <c r="AA482" s="71"/>
      <c r="AB482" s="71"/>
      <c r="AC482" s="71"/>
      <c r="AD482" s="71"/>
      <c r="AE482" s="71"/>
      <c r="AF482" s="71"/>
      <c r="AG482" s="71"/>
      <c r="AJ482" s="71"/>
      <c r="AK482" s="71"/>
      <c r="AL482" s="71"/>
      <c r="AM482" s="71"/>
    </row>
    <row r="483" spans="8:39">
      <c r="H483" s="71"/>
      <c r="I483" s="71"/>
      <c r="Y483" s="83"/>
      <c r="Z483" s="83"/>
      <c r="AA483" s="71"/>
      <c r="AB483" s="71"/>
      <c r="AC483" s="71"/>
      <c r="AD483" s="71"/>
      <c r="AE483" s="71"/>
      <c r="AF483" s="71"/>
      <c r="AG483" s="71"/>
      <c r="AJ483" s="71"/>
      <c r="AK483" s="71"/>
      <c r="AL483" s="71"/>
      <c r="AM483" s="71"/>
    </row>
    <row r="484" spans="8:39">
      <c r="H484" s="71"/>
      <c r="I484" s="71"/>
      <c r="Y484" s="83"/>
      <c r="Z484" s="83"/>
      <c r="AA484" s="71"/>
      <c r="AB484" s="71"/>
      <c r="AC484" s="71"/>
      <c r="AD484" s="71"/>
      <c r="AE484" s="71"/>
      <c r="AF484" s="71"/>
      <c r="AG484" s="71"/>
      <c r="AJ484" s="71"/>
      <c r="AK484" s="71"/>
      <c r="AL484" s="71"/>
      <c r="AM484" s="71"/>
    </row>
    <row r="485" spans="8:39">
      <c r="H485" s="71"/>
      <c r="I485" s="71"/>
      <c r="Y485" s="83"/>
      <c r="Z485" s="83"/>
      <c r="AA485" s="71"/>
      <c r="AB485" s="71"/>
      <c r="AC485" s="71"/>
      <c r="AD485" s="71"/>
      <c r="AE485" s="71"/>
      <c r="AF485" s="71"/>
      <c r="AG485" s="71"/>
      <c r="AJ485" s="71"/>
      <c r="AK485" s="71"/>
      <c r="AL485" s="71"/>
      <c r="AM485" s="71"/>
    </row>
    <row r="486" spans="8:39">
      <c r="H486" s="71"/>
      <c r="I486" s="71"/>
      <c r="Y486" s="83"/>
      <c r="Z486" s="83"/>
      <c r="AA486" s="71"/>
      <c r="AB486" s="71"/>
      <c r="AC486" s="71"/>
      <c r="AD486" s="71"/>
      <c r="AE486" s="71"/>
      <c r="AF486" s="71"/>
      <c r="AG486" s="71"/>
      <c r="AJ486" s="71"/>
      <c r="AK486" s="71"/>
      <c r="AL486" s="71"/>
      <c r="AM486" s="71"/>
    </row>
    <row r="487" spans="8:39">
      <c r="H487" s="71"/>
      <c r="I487" s="71"/>
      <c r="Y487" s="83"/>
      <c r="Z487" s="83"/>
      <c r="AA487" s="71"/>
      <c r="AB487" s="71"/>
      <c r="AC487" s="71"/>
      <c r="AD487" s="71"/>
      <c r="AE487" s="71"/>
      <c r="AF487" s="71"/>
      <c r="AG487" s="71"/>
      <c r="AJ487" s="71"/>
      <c r="AK487" s="71"/>
      <c r="AL487" s="71"/>
      <c r="AM487" s="71"/>
    </row>
    <row r="488" spans="8:39">
      <c r="H488" s="71"/>
      <c r="I488" s="71"/>
      <c r="Y488" s="83"/>
      <c r="Z488" s="83"/>
      <c r="AA488" s="71"/>
      <c r="AB488" s="71"/>
      <c r="AC488" s="71"/>
      <c r="AD488" s="71"/>
      <c r="AE488" s="71"/>
      <c r="AF488" s="71"/>
      <c r="AG488" s="71"/>
      <c r="AJ488" s="71"/>
      <c r="AK488" s="71"/>
      <c r="AL488" s="71"/>
      <c r="AM488" s="71"/>
    </row>
    <row r="489" spans="8:39">
      <c r="H489" s="71"/>
      <c r="I489" s="71"/>
      <c r="Y489" s="83"/>
      <c r="Z489" s="83"/>
      <c r="AA489" s="71"/>
      <c r="AB489" s="71"/>
      <c r="AC489" s="71"/>
      <c r="AD489" s="71"/>
      <c r="AE489" s="71"/>
      <c r="AF489" s="71"/>
      <c r="AG489" s="71"/>
      <c r="AJ489" s="71"/>
      <c r="AK489" s="71"/>
      <c r="AL489" s="71"/>
      <c r="AM489" s="71"/>
    </row>
    <row r="490" spans="8:39">
      <c r="H490" s="71"/>
      <c r="I490" s="71"/>
      <c r="Y490" s="83"/>
      <c r="Z490" s="83"/>
      <c r="AA490" s="71"/>
      <c r="AB490" s="71"/>
      <c r="AC490" s="71"/>
      <c r="AD490" s="71"/>
      <c r="AE490" s="71"/>
      <c r="AF490" s="71"/>
      <c r="AG490" s="71"/>
      <c r="AJ490" s="71"/>
      <c r="AK490" s="71"/>
      <c r="AL490" s="71"/>
      <c r="AM490" s="71"/>
    </row>
    <row r="491" spans="8:39">
      <c r="H491" s="71"/>
      <c r="I491" s="71"/>
      <c r="Y491" s="83"/>
      <c r="Z491" s="83"/>
      <c r="AA491" s="71"/>
      <c r="AB491" s="71"/>
      <c r="AC491" s="71"/>
      <c r="AD491" s="71"/>
      <c r="AE491" s="71"/>
      <c r="AF491" s="71"/>
      <c r="AG491" s="71"/>
      <c r="AJ491" s="71"/>
      <c r="AK491" s="71"/>
      <c r="AL491" s="71"/>
      <c r="AM491" s="71"/>
    </row>
    <row r="492" spans="8:39">
      <c r="H492" s="71"/>
      <c r="I492" s="71"/>
      <c r="Y492" s="83"/>
      <c r="Z492" s="83"/>
      <c r="AA492" s="71"/>
      <c r="AB492" s="71"/>
      <c r="AC492" s="71"/>
      <c r="AD492" s="71"/>
      <c r="AE492" s="71"/>
      <c r="AF492" s="71"/>
      <c r="AG492" s="71"/>
      <c r="AJ492" s="71"/>
      <c r="AK492" s="71"/>
      <c r="AL492" s="71"/>
      <c r="AM492" s="71"/>
    </row>
    <row r="493" spans="8:39">
      <c r="H493" s="71"/>
      <c r="I493" s="71"/>
      <c r="Y493" s="83"/>
      <c r="Z493" s="83"/>
      <c r="AA493" s="71"/>
      <c r="AB493" s="71"/>
      <c r="AC493" s="71"/>
      <c r="AD493" s="71"/>
      <c r="AE493" s="71"/>
      <c r="AF493" s="71"/>
      <c r="AG493" s="71"/>
      <c r="AJ493" s="71"/>
      <c r="AK493" s="71"/>
      <c r="AL493" s="71"/>
      <c r="AM493" s="71"/>
    </row>
    <row r="494" spans="8:39">
      <c r="H494" s="71"/>
      <c r="I494" s="71"/>
      <c r="Y494" s="83"/>
      <c r="Z494" s="83"/>
      <c r="AA494" s="71"/>
      <c r="AB494" s="71"/>
      <c r="AC494" s="71"/>
      <c r="AD494" s="71"/>
      <c r="AE494" s="71"/>
      <c r="AF494" s="71"/>
      <c r="AG494" s="71"/>
      <c r="AJ494" s="71"/>
      <c r="AK494" s="71"/>
      <c r="AL494" s="71"/>
      <c r="AM494" s="71"/>
    </row>
    <row r="495" spans="8:39">
      <c r="H495" s="71"/>
      <c r="I495" s="71"/>
      <c r="Y495" s="83"/>
      <c r="Z495" s="83"/>
      <c r="AA495" s="71"/>
      <c r="AB495" s="71"/>
      <c r="AC495" s="71"/>
      <c r="AD495" s="71"/>
      <c r="AE495" s="71"/>
      <c r="AF495" s="71"/>
      <c r="AG495" s="71"/>
      <c r="AJ495" s="71"/>
      <c r="AK495" s="71"/>
      <c r="AL495" s="71"/>
      <c r="AM495" s="71"/>
    </row>
    <row r="496" spans="8:39">
      <c r="H496" s="71"/>
      <c r="I496" s="71"/>
      <c r="Y496" s="83"/>
      <c r="Z496" s="83"/>
      <c r="AA496" s="71"/>
      <c r="AB496" s="71"/>
      <c r="AC496" s="71"/>
      <c r="AD496" s="71"/>
      <c r="AE496" s="71"/>
      <c r="AF496" s="71"/>
      <c r="AG496" s="71"/>
      <c r="AJ496" s="71"/>
      <c r="AK496" s="71"/>
      <c r="AL496" s="71"/>
      <c r="AM496" s="71"/>
    </row>
    <row r="497" spans="8:39">
      <c r="H497" s="71"/>
      <c r="I497" s="71"/>
      <c r="Y497" s="83"/>
      <c r="Z497" s="83"/>
      <c r="AA497" s="71"/>
      <c r="AB497" s="71"/>
      <c r="AC497" s="71"/>
      <c r="AD497" s="71"/>
      <c r="AE497" s="71"/>
      <c r="AF497" s="71"/>
      <c r="AG497" s="71"/>
      <c r="AJ497" s="71"/>
      <c r="AK497" s="71"/>
      <c r="AL497" s="71"/>
      <c r="AM497" s="71"/>
    </row>
    <row r="498" spans="8:39">
      <c r="H498" s="71"/>
      <c r="I498" s="71"/>
      <c r="Y498" s="83"/>
      <c r="Z498" s="83"/>
      <c r="AA498" s="71"/>
      <c r="AB498" s="71"/>
      <c r="AC498" s="71"/>
      <c r="AD498" s="71"/>
      <c r="AE498" s="71"/>
      <c r="AF498" s="71"/>
      <c r="AG498" s="71"/>
      <c r="AJ498" s="71"/>
      <c r="AK498" s="71"/>
      <c r="AL498" s="71"/>
      <c r="AM498" s="71"/>
    </row>
    <row r="499" spans="8:39">
      <c r="H499" s="71"/>
      <c r="I499" s="71"/>
      <c r="Y499" s="83"/>
      <c r="Z499" s="83"/>
      <c r="AA499" s="71"/>
      <c r="AB499" s="71"/>
      <c r="AC499" s="71"/>
      <c r="AD499" s="71"/>
      <c r="AE499" s="71"/>
      <c r="AF499" s="71"/>
      <c r="AG499" s="71"/>
      <c r="AJ499" s="71"/>
      <c r="AK499" s="71"/>
      <c r="AL499" s="71"/>
      <c r="AM499" s="71"/>
    </row>
    <row r="500" spans="8:39">
      <c r="H500" s="71"/>
      <c r="I500" s="71"/>
      <c r="Y500" s="83"/>
      <c r="Z500" s="83"/>
      <c r="AA500" s="71"/>
      <c r="AB500" s="71"/>
      <c r="AC500" s="71"/>
      <c r="AD500" s="71"/>
      <c r="AE500" s="71"/>
      <c r="AF500" s="71"/>
      <c r="AG500" s="71"/>
      <c r="AJ500" s="71"/>
      <c r="AK500" s="71"/>
      <c r="AL500" s="71"/>
      <c r="AM500" s="71"/>
    </row>
    <row r="501" spans="8:39">
      <c r="H501" s="71"/>
      <c r="I501" s="71"/>
      <c r="Y501" s="83"/>
      <c r="Z501" s="83"/>
      <c r="AA501" s="71"/>
      <c r="AB501" s="71"/>
      <c r="AC501" s="71"/>
      <c r="AD501" s="71"/>
      <c r="AE501" s="71"/>
      <c r="AF501" s="71"/>
      <c r="AG501" s="71"/>
      <c r="AJ501" s="71"/>
      <c r="AK501" s="71"/>
      <c r="AL501" s="71"/>
      <c r="AM501" s="71"/>
    </row>
    <row r="502" spans="8:39">
      <c r="H502" s="71"/>
      <c r="I502" s="71"/>
      <c r="Y502" s="83"/>
      <c r="Z502" s="83"/>
      <c r="AA502" s="71"/>
      <c r="AB502" s="71"/>
      <c r="AC502" s="71"/>
      <c r="AD502" s="71"/>
      <c r="AE502" s="71"/>
      <c r="AF502" s="71"/>
      <c r="AG502" s="71"/>
      <c r="AJ502" s="71"/>
      <c r="AK502" s="71"/>
      <c r="AL502" s="71"/>
      <c r="AM502" s="71"/>
    </row>
    <row r="503" spans="8:39">
      <c r="H503" s="71"/>
      <c r="I503" s="71"/>
      <c r="Y503" s="83"/>
      <c r="Z503" s="83"/>
      <c r="AA503" s="71"/>
      <c r="AB503" s="71"/>
      <c r="AC503" s="71"/>
      <c r="AD503" s="71"/>
      <c r="AE503" s="71"/>
      <c r="AF503" s="71"/>
      <c r="AG503" s="71"/>
      <c r="AJ503" s="71"/>
      <c r="AK503" s="71"/>
      <c r="AL503" s="71"/>
      <c r="AM503" s="71"/>
    </row>
    <row r="504" spans="8:39">
      <c r="H504" s="71"/>
      <c r="I504" s="71"/>
      <c r="Y504" s="83"/>
      <c r="Z504" s="83"/>
      <c r="AA504" s="71"/>
      <c r="AB504" s="71"/>
      <c r="AC504" s="71"/>
      <c r="AD504" s="71"/>
      <c r="AE504" s="71"/>
      <c r="AF504" s="71"/>
      <c r="AG504" s="71"/>
      <c r="AJ504" s="71"/>
      <c r="AK504" s="71"/>
      <c r="AL504" s="71"/>
      <c r="AM504" s="71"/>
    </row>
    <row r="505" spans="8:39">
      <c r="H505" s="71"/>
      <c r="I505" s="71"/>
      <c r="Y505" s="83"/>
      <c r="Z505" s="83"/>
      <c r="AA505" s="71"/>
      <c r="AB505" s="71"/>
      <c r="AC505" s="71"/>
      <c r="AD505" s="71"/>
      <c r="AE505" s="71"/>
      <c r="AF505" s="71"/>
      <c r="AG505" s="71"/>
      <c r="AJ505" s="71"/>
      <c r="AK505" s="71"/>
      <c r="AL505" s="71"/>
      <c r="AM505" s="71"/>
    </row>
    <row r="506" spans="8:39">
      <c r="H506" s="71"/>
      <c r="I506" s="71"/>
      <c r="Y506" s="83"/>
      <c r="Z506" s="83"/>
      <c r="AA506" s="71"/>
      <c r="AB506" s="71"/>
      <c r="AC506" s="71"/>
      <c r="AD506" s="71"/>
      <c r="AE506" s="71"/>
      <c r="AF506" s="71"/>
      <c r="AG506" s="71"/>
      <c r="AJ506" s="71"/>
      <c r="AK506" s="71"/>
      <c r="AL506" s="71"/>
      <c r="AM506" s="71"/>
    </row>
    <row r="507" spans="8:39">
      <c r="H507" s="71"/>
      <c r="I507" s="71"/>
      <c r="Y507" s="83"/>
      <c r="Z507" s="83"/>
      <c r="AA507" s="71"/>
      <c r="AB507" s="71"/>
      <c r="AC507" s="71"/>
      <c r="AD507" s="71"/>
      <c r="AE507" s="71"/>
      <c r="AF507" s="71"/>
      <c r="AG507" s="71"/>
      <c r="AJ507" s="71"/>
      <c r="AK507" s="71"/>
      <c r="AL507" s="71"/>
      <c r="AM507" s="71"/>
    </row>
    <row r="508" spans="8:39">
      <c r="H508" s="71"/>
      <c r="I508" s="71"/>
      <c r="Y508" s="83"/>
      <c r="Z508" s="83"/>
      <c r="AA508" s="71"/>
      <c r="AB508" s="71"/>
      <c r="AC508" s="71"/>
      <c r="AD508" s="71"/>
      <c r="AE508" s="71"/>
      <c r="AF508" s="71"/>
      <c r="AG508" s="71"/>
      <c r="AJ508" s="71"/>
      <c r="AK508" s="71"/>
      <c r="AL508" s="71"/>
      <c r="AM508" s="71"/>
    </row>
    <row r="509" spans="8:39">
      <c r="H509" s="71"/>
      <c r="I509" s="71"/>
      <c r="Y509" s="83"/>
      <c r="Z509" s="83"/>
      <c r="AA509" s="71"/>
      <c r="AB509" s="71"/>
      <c r="AC509" s="71"/>
      <c r="AD509" s="71"/>
      <c r="AE509" s="71"/>
      <c r="AF509" s="71"/>
      <c r="AG509" s="71"/>
      <c r="AJ509" s="71"/>
      <c r="AK509" s="71"/>
      <c r="AL509" s="71"/>
      <c r="AM509" s="71"/>
    </row>
    <row r="510" spans="8:39">
      <c r="H510" s="71"/>
      <c r="I510" s="71"/>
      <c r="Y510" s="83"/>
      <c r="Z510" s="83"/>
      <c r="AA510" s="71"/>
      <c r="AB510" s="71"/>
      <c r="AC510" s="71"/>
      <c r="AD510" s="71"/>
      <c r="AE510" s="71"/>
      <c r="AF510" s="71"/>
      <c r="AG510" s="71"/>
      <c r="AJ510" s="71"/>
      <c r="AK510" s="71"/>
      <c r="AL510" s="71"/>
      <c r="AM510" s="71"/>
    </row>
    <row r="511" spans="8:39">
      <c r="H511" s="71"/>
      <c r="I511" s="71"/>
      <c r="Y511" s="83"/>
      <c r="Z511" s="83"/>
      <c r="AA511" s="71"/>
      <c r="AB511" s="71"/>
      <c r="AC511" s="71"/>
      <c r="AD511" s="71"/>
      <c r="AE511" s="71"/>
      <c r="AF511" s="71"/>
      <c r="AG511" s="71"/>
      <c r="AJ511" s="71"/>
      <c r="AK511" s="71"/>
      <c r="AL511" s="71"/>
      <c r="AM511" s="71"/>
    </row>
    <row r="512" spans="8:39">
      <c r="H512" s="71"/>
      <c r="I512" s="71"/>
      <c r="Y512" s="83"/>
      <c r="Z512" s="83"/>
      <c r="AA512" s="71"/>
      <c r="AB512" s="71"/>
      <c r="AC512" s="71"/>
      <c r="AD512" s="71"/>
      <c r="AE512" s="71"/>
      <c r="AF512" s="71"/>
      <c r="AG512" s="71"/>
      <c r="AJ512" s="71"/>
      <c r="AK512" s="71"/>
      <c r="AL512" s="71"/>
      <c r="AM512" s="71"/>
    </row>
    <row r="513" spans="8:39">
      <c r="H513" s="71"/>
      <c r="I513" s="71"/>
      <c r="Y513" s="83"/>
      <c r="Z513" s="83"/>
      <c r="AA513" s="71"/>
      <c r="AB513" s="71"/>
      <c r="AC513" s="71"/>
      <c r="AD513" s="71"/>
      <c r="AE513" s="71"/>
      <c r="AF513" s="71"/>
      <c r="AG513" s="71"/>
      <c r="AJ513" s="71"/>
      <c r="AK513" s="71"/>
      <c r="AL513" s="71"/>
      <c r="AM513" s="71"/>
    </row>
    <row r="514" spans="8:39">
      <c r="H514" s="71"/>
      <c r="I514" s="71"/>
      <c r="Y514" s="83"/>
      <c r="Z514" s="83"/>
      <c r="AA514" s="71"/>
      <c r="AB514" s="71"/>
      <c r="AC514" s="71"/>
      <c r="AD514" s="71"/>
      <c r="AE514" s="71"/>
      <c r="AF514" s="71"/>
      <c r="AG514" s="71"/>
      <c r="AJ514" s="71"/>
      <c r="AK514" s="71"/>
      <c r="AL514" s="71"/>
      <c r="AM514" s="71"/>
    </row>
    <row r="515" spans="8:39">
      <c r="H515" s="71"/>
      <c r="I515" s="71"/>
      <c r="Y515" s="83"/>
      <c r="Z515" s="83"/>
      <c r="AA515" s="71"/>
      <c r="AB515" s="71"/>
      <c r="AC515" s="71"/>
      <c r="AD515" s="71"/>
      <c r="AE515" s="71"/>
      <c r="AF515" s="71"/>
      <c r="AG515" s="71"/>
      <c r="AJ515" s="71"/>
      <c r="AK515" s="71"/>
      <c r="AL515" s="71"/>
      <c r="AM515" s="71"/>
    </row>
    <row r="516" spans="8:39">
      <c r="H516" s="71"/>
      <c r="I516" s="71"/>
      <c r="Y516" s="83"/>
      <c r="Z516" s="83"/>
      <c r="AA516" s="71"/>
      <c r="AB516" s="71"/>
      <c r="AC516" s="71"/>
      <c r="AD516" s="71"/>
      <c r="AE516" s="71"/>
      <c r="AF516" s="71"/>
      <c r="AG516" s="71"/>
      <c r="AJ516" s="71"/>
      <c r="AK516" s="71"/>
      <c r="AL516" s="71"/>
      <c r="AM516" s="71"/>
    </row>
    <row r="517" spans="8:39">
      <c r="H517" s="71"/>
      <c r="I517" s="71"/>
      <c r="Y517" s="83"/>
      <c r="Z517" s="83"/>
      <c r="AA517" s="71"/>
      <c r="AB517" s="71"/>
      <c r="AC517" s="71"/>
      <c r="AD517" s="71"/>
      <c r="AE517" s="71"/>
      <c r="AF517" s="71"/>
      <c r="AG517" s="71"/>
      <c r="AJ517" s="71"/>
      <c r="AK517" s="71"/>
      <c r="AL517" s="71"/>
      <c r="AM517" s="71"/>
    </row>
    <row r="518" spans="8:39">
      <c r="H518" s="71"/>
      <c r="I518" s="71"/>
      <c r="Y518" s="83"/>
      <c r="Z518" s="83"/>
      <c r="AA518" s="71"/>
      <c r="AB518" s="71"/>
      <c r="AC518" s="71"/>
      <c r="AD518" s="71"/>
      <c r="AE518" s="71"/>
      <c r="AF518" s="71"/>
      <c r="AG518" s="71"/>
      <c r="AJ518" s="71"/>
      <c r="AK518" s="71"/>
      <c r="AL518" s="71"/>
      <c r="AM518" s="71"/>
    </row>
    <row r="519" spans="8:39">
      <c r="H519" s="71"/>
      <c r="I519" s="71"/>
      <c r="Y519" s="83"/>
      <c r="Z519" s="83"/>
      <c r="AA519" s="71"/>
      <c r="AB519" s="71"/>
      <c r="AC519" s="71"/>
      <c r="AD519" s="71"/>
      <c r="AE519" s="71"/>
      <c r="AF519" s="71"/>
      <c r="AG519" s="71"/>
      <c r="AJ519" s="71"/>
      <c r="AK519" s="71"/>
      <c r="AL519" s="71"/>
      <c r="AM519" s="71"/>
    </row>
    <row r="520" spans="8:39">
      <c r="H520" s="71"/>
      <c r="I520" s="71"/>
      <c r="Y520" s="83"/>
      <c r="Z520" s="83"/>
      <c r="AA520" s="71"/>
      <c r="AB520" s="71"/>
      <c r="AC520" s="71"/>
      <c r="AD520" s="71"/>
      <c r="AE520" s="71"/>
      <c r="AF520" s="71"/>
      <c r="AG520" s="71"/>
      <c r="AJ520" s="71"/>
      <c r="AK520" s="71"/>
      <c r="AL520" s="71"/>
      <c r="AM520" s="71"/>
    </row>
    <row r="521" spans="8:39">
      <c r="H521" s="71"/>
      <c r="I521" s="71"/>
      <c r="Y521" s="83"/>
      <c r="Z521" s="83"/>
      <c r="AA521" s="71"/>
      <c r="AB521" s="71"/>
      <c r="AC521" s="71"/>
      <c r="AD521" s="71"/>
      <c r="AE521" s="71"/>
      <c r="AF521" s="71"/>
      <c r="AG521" s="71"/>
      <c r="AJ521" s="71"/>
      <c r="AK521" s="71"/>
      <c r="AL521" s="71"/>
      <c r="AM521" s="71"/>
    </row>
    <row r="522" spans="8:39">
      <c r="H522" s="71"/>
      <c r="I522" s="71"/>
      <c r="Y522" s="83"/>
      <c r="Z522" s="83"/>
      <c r="AA522" s="71"/>
      <c r="AB522" s="71"/>
      <c r="AC522" s="71"/>
      <c r="AD522" s="71"/>
      <c r="AE522" s="71"/>
      <c r="AF522" s="71"/>
      <c r="AG522" s="71"/>
      <c r="AJ522" s="71"/>
      <c r="AK522" s="71"/>
      <c r="AL522" s="71"/>
      <c r="AM522" s="71"/>
    </row>
    <row r="523" spans="8:39">
      <c r="H523" s="71"/>
      <c r="I523" s="71"/>
      <c r="Y523" s="83"/>
      <c r="Z523" s="83"/>
      <c r="AA523" s="71"/>
      <c r="AB523" s="71"/>
      <c r="AC523" s="71"/>
      <c r="AD523" s="71"/>
      <c r="AE523" s="71"/>
      <c r="AF523" s="71"/>
      <c r="AG523" s="71"/>
      <c r="AJ523" s="71"/>
      <c r="AK523" s="71"/>
      <c r="AL523" s="71"/>
      <c r="AM523" s="71"/>
    </row>
    <row r="524" spans="8:39">
      <c r="H524" s="71"/>
      <c r="I524" s="71"/>
      <c r="Y524" s="83"/>
      <c r="Z524" s="83"/>
      <c r="AA524" s="71"/>
      <c r="AB524" s="71"/>
      <c r="AC524" s="71"/>
      <c r="AD524" s="71"/>
      <c r="AE524" s="71"/>
      <c r="AF524" s="71"/>
      <c r="AG524" s="71"/>
      <c r="AJ524" s="71"/>
      <c r="AK524" s="71"/>
      <c r="AL524" s="71"/>
      <c r="AM524" s="71"/>
    </row>
    <row r="525" spans="8:39">
      <c r="H525" s="71"/>
      <c r="I525" s="71"/>
      <c r="Y525" s="83"/>
      <c r="Z525" s="83"/>
      <c r="AA525" s="71"/>
      <c r="AB525" s="71"/>
      <c r="AC525" s="71"/>
      <c r="AD525" s="71"/>
      <c r="AE525" s="71"/>
      <c r="AF525" s="71"/>
      <c r="AG525" s="71"/>
      <c r="AJ525" s="71"/>
      <c r="AK525" s="71"/>
      <c r="AL525" s="71"/>
      <c r="AM525" s="71"/>
    </row>
    <row r="526" spans="8:39">
      <c r="H526" s="71"/>
      <c r="I526" s="71"/>
      <c r="Y526" s="83"/>
      <c r="Z526" s="83"/>
      <c r="AA526" s="71"/>
      <c r="AB526" s="71"/>
      <c r="AC526" s="71"/>
      <c r="AD526" s="71"/>
      <c r="AE526" s="71"/>
      <c r="AF526" s="71"/>
      <c r="AG526" s="71"/>
      <c r="AJ526" s="71"/>
      <c r="AK526" s="71"/>
      <c r="AL526" s="71"/>
      <c r="AM526" s="71"/>
    </row>
    <row r="527" spans="8:39">
      <c r="H527" s="71"/>
      <c r="I527" s="71"/>
      <c r="Y527" s="83"/>
      <c r="Z527" s="83"/>
      <c r="AA527" s="71"/>
      <c r="AB527" s="71"/>
      <c r="AC527" s="71"/>
      <c r="AD527" s="71"/>
      <c r="AE527" s="71"/>
      <c r="AF527" s="71"/>
      <c r="AG527" s="71"/>
      <c r="AJ527" s="71"/>
      <c r="AK527" s="71"/>
      <c r="AL527" s="71"/>
      <c r="AM527" s="71"/>
    </row>
    <row r="528" spans="8:39">
      <c r="H528" s="71"/>
      <c r="I528" s="71"/>
      <c r="Y528" s="83"/>
      <c r="Z528" s="83"/>
      <c r="AA528" s="71"/>
      <c r="AB528" s="71"/>
      <c r="AC528" s="71"/>
      <c r="AD528" s="71"/>
      <c r="AE528" s="71"/>
      <c r="AF528" s="71"/>
      <c r="AG528" s="71"/>
      <c r="AJ528" s="71"/>
      <c r="AK528" s="71"/>
      <c r="AL528" s="71"/>
      <c r="AM528" s="71"/>
    </row>
    <row r="529" spans="8:39">
      <c r="H529" s="71"/>
      <c r="I529" s="71"/>
      <c r="Y529" s="83"/>
      <c r="Z529" s="83"/>
      <c r="AA529" s="71"/>
      <c r="AB529" s="71"/>
      <c r="AC529" s="71"/>
      <c r="AD529" s="71"/>
      <c r="AE529" s="71"/>
      <c r="AF529" s="71"/>
      <c r="AG529" s="71"/>
      <c r="AJ529" s="71"/>
      <c r="AK529" s="71"/>
      <c r="AL529" s="71"/>
      <c r="AM529" s="71"/>
    </row>
    <row r="530" spans="8:39">
      <c r="H530" s="71"/>
      <c r="I530" s="71"/>
      <c r="Y530" s="83"/>
      <c r="Z530" s="83"/>
      <c r="AA530" s="71"/>
      <c r="AB530" s="71"/>
      <c r="AC530" s="71"/>
      <c r="AD530" s="71"/>
      <c r="AE530" s="71"/>
      <c r="AF530" s="71"/>
      <c r="AG530" s="71"/>
      <c r="AJ530" s="71"/>
      <c r="AK530" s="71"/>
      <c r="AL530" s="71"/>
      <c r="AM530" s="71"/>
    </row>
    <row r="531" spans="8:39">
      <c r="H531" s="71"/>
      <c r="I531" s="71"/>
      <c r="Y531" s="83"/>
      <c r="Z531" s="83"/>
      <c r="AA531" s="71"/>
      <c r="AB531" s="71"/>
      <c r="AC531" s="71"/>
      <c r="AD531" s="71"/>
      <c r="AE531" s="71"/>
      <c r="AF531" s="71"/>
      <c r="AG531" s="71"/>
      <c r="AJ531" s="71"/>
      <c r="AK531" s="71"/>
      <c r="AL531" s="71"/>
      <c r="AM531" s="71"/>
    </row>
    <row r="532" spans="8:39">
      <c r="H532" s="71"/>
      <c r="I532" s="71"/>
      <c r="Y532" s="83"/>
      <c r="Z532" s="83"/>
      <c r="AA532" s="71"/>
      <c r="AB532" s="71"/>
      <c r="AC532" s="71"/>
      <c r="AD532" s="71"/>
      <c r="AE532" s="71"/>
      <c r="AF532" s="71"/>
      <c r="AG532" s="71"/>
      <c r="AJ532" s="71"/>
      <c r="AK532" s="71"/>
      <c r="AL532" s="71"/>
      <c r="AM532" s="71"/>
    </row>
    <row r="533" spans="8:39">
      <c r="H533" s="71"/>
      <c r="I533" s="71"/>
      <c r="Y533" s="83"/>
      <c r="Z533" s="83"/>
      <c r="AA533" s="71"/>
      <c r="AB533" s="71"/>
      <c r="AC533" s="71"/>
      <c r="AD533" s="71"/>
      <c r="AE533" s="71"/>
      <c r="AF533" s="71"/>
      <c r="AG533" s="71"/>
      <c r="AJ533" s="71"/>
      <c r="AK533" s="71"/>
      <c r="AL533" s="71"/>
      <c r="AM533" s="71"/>
    </row>
    <row r="534" spans="8:39">
      <c r="H534" s="71"/>
      <c r="I534" s="71"/>
      <c r="Y534" s="83"/>
      <c r="Z534" s="83"/>
      <c r="AA534" s="71"/>
      <c r="AB534" s="71"/>
      <c r="AC534" s="71"/>
      <c r="AD534" s="71"/>
      <c r="AE534" s="71"/>
      <c r="AF534" s="71"/>
      <c r="AG534" s="71"/>
      <c r="AJ534" s="71"/>
      <c r="AK534" s="71"/>
      <c r="AL534" s="71"/>
      <c r="AM534" s="71"/>
    </row>
    <row r="535" spans="8:39">
      <c r="H535" s="71"/>
      <c r="I535" s="71"/>
      <c r="Y535" s="83"/>
      <c r="Z535" s="83"/>
      <c r="AA535" s="71"/>
      <c r="AB535" s="71"/>
      <c r="AC535" s="71"/>
      <c r="AD535" s="71"/>
      <c r="AE535" s="71"/>
      <c r="AF535" s="71"/>
      <c r="AG535" s="71"/>
      <c r="AJ535" s="71"/>
      <c r="AK535" s="71"/>
      <c r="AL535" s="71"/>
      <c r="AM535" s="71"/>
    </row>
    <row r="536" spans="8:39">
      <c r="H536" s="71"/>
      <c r="I536" s="71"/>
      <c r="Y536" s="83"/>
      <c r="Z536" s="83"/>
      <c r="AA536" s="71"/>
      <c r="AB536" s="71"/>
      <c r="AC536" s="71"/>
      <c r="AD536" s="71"/>
      <c r="AE536" s="71"/>
      <c r="AF536" s="71"/>
      <c r="AG536" s="71"/>
      <c r="AJ536" s="71"/>
      <c r="AK536" s="71"/>
      <c r="AL536" s="71"/>
      <c r="AM536" s="71"/>
    </row>
    <row r="537" spans="8:39">
      <c r="H537" s="71"/>
      <c r="I537" s="71"/>
      <c r="Y537" s="83"/>
      <c r="Z537" s="83"/>
      <c r="AA537" s="71"/>
      <c r="AB537" s="71"/>
      <c r="AC537" s="71"/>
      <c r="AD537" s="71"/>
      <c r="AE537" s="71"/>
      <c r="AF537" s="71"/>
      <c r="AG537" s="71"/>
      <c r="AJ537" s="71"/>
      <c r="AK537" s="71"/>
      <c r="AL537" s="71"/>
      <c r="AM537" s="71"/>
    </row>
    <row r="538" spans="8:39">
      <c r="H538" s="71"/>
      <c r="I538" s="71"/>
      <c r="Y538" s="83"/>
      <c r="Z538" s="83"/>
      <c r="AA538" s="71"/>
      <c r="AB538" s="71"/>
      <c r="AC538" s="71"/>
      <c r="AD538" s="71"/>
      <c r="AE538" s="71"/>
      <c r="AF538" s="71"/>
      <c r="AG538" s="71"/>
      <c r="AJ538" s="71"/>
      <c r="AK538" s="71"/>
      <c r="AL538" s="71"/>
      <c r="AM538" s="71"/>
    </row>
    <row r="539" spans="8:39">
      <c r="H539" s="71"/>
      <c r="I539" s="71"/>
      <c r="Y539" s="83"/>
      <c r="Z539" s="83"/>
      <c r="AA539" s="71"/>
      <c r="AB539" s="71"/>
      <c r="AC539" s="71"/>
      <c r="AD539" s="71"/>
      <c r="AE539" s="71"/>
      <c r="AF539" s="71"/>
      <c r="AG539" s="71"/>
      <c r="AJ539" s="71"/>
      <c r="AK539" s="71"/>
      <c r="AL539" s="71"/>
      <c r="AM539" s="71"/>
    </row>
    <row r="540" spans="8:39">
      <c r="H540" s="71"/>
      <c r="I540" s="71"/>
      <c r="Y540" s="83"/>
      <c r="Z540" s="83"/>
      <c r="AA540" s="71"/>
      <c r="AB540" s="71"/>
      <c r="AC540" s="71"/>
      <c r="AD540" s="71"/>
      <c r="AE540" s="71"/>
      <c r="AF540" s="71"/>
      <c r="AG540" s="71"/>
      <c r="AJ540" s="71"/>
      <c r="AK540" s="71"/>
      <c r="AL540" s="71"/>
      <c r="AM540" s="71"/>
    </row>
    <row r="541" spans="8:39">
      <c r="H541" s="71"/>
      <c r="I541" s="71"/>
      <c r="Y541" s="83"/>
      <c r="Z541" s="83"/>
      <c r="AA541" s="71"/>
      <c r="AB541" s="71"/>
      <c r="AC541" s="71"/>
      <c r="AD541" s="71"/>
      <c r="AE541" s="71"/>
      <c r="AF541" s="71"/>
      <c r="AG541" s="71"/>
      <c r="AJ541" s="71"/>
      <c r="AK541" s="71"/>
      <c r="AL541" s="71"/>
      <c r="AM541" s="71"/>
    </row>
    <row r="542" spans="8:39">
      <c r="H542" s="71"/>
      <c r="I542" s="71"/>
      <c r="Y542" s="83"/>
      <c r="Z542" s="83"/>
      <c r="AA542" s="71"/>
      <c r="AB542" s="71"/>
      <c r="AC542" s="71"/>
      <c r="AD542" s="71"/>
      <c r="AE542" s="71"/>
      <c r="AF542" s="71"/>
      <c r="AG542" s="71"/>
      <c r="AJ542" s="71"/>
      <c r="AK542" s="71"/>
      <c r="AL542" s="71"/>
      <c r="AM542" s="71"/>
    </row>
    <row r="543" spans="8:39">
      <c r="H543" s="71"/>
      <c r="I543" s="71"/>
      <c r="Y543" s="83"/>
      <c r="Z543" s="83"/>
      <c r="AA543" s="71"/>
      <c r="AB543" s="71"/>
      <c r="AC543" s="71"/>
      <c r="AD543" s="71"/>
      <c r="AE543" s="71"/>
      <c r="AF543" s="71"/>
      <c r="AG543" s="71"/>
      <c r="AJ543" s="71"/>
      <c r="AK543" s="71"/>
      <c r="AL543" s="71"/>
      <c r="AM543" s="71"/>
    </row>
    <row r="544" spans="8:39">
      <c r="H544" s="71"/>
      <c r="I544" s="71"/>
      <c r="Y544" s="83"/>
      <c r="Z544" s="83"/>
      <c r="AA544" s="71"/>
      <c r="AB544" s="71"/>
      <c r="AC544" s="71"/>
      <c r="AD544" s="71"/>
      <c r="AE544" s="71"/>
      <c r="AF544" s="71"/>
      <c r="AG544" s="71"/>
      <c r="AJ544" s="71"/>
      <c r="AK544" s="71"/>
      <c r="AL544" s="71"/>
      <c r="AM544" s="71"/>
    </row>
    <row r="545" spans="8:39">
      <c r="H545" s="71"/>
      <c r="I545" s="71"/>
      <c r="Y545" s="83"/>
      <c r="Z545" s="83"/>
      <c r="AA545" s="71"/>
      <c r="AB545" s="71"/>
      <c r="AC545" s="71"/>
      <c r="AD545" s="71"/>
      <c r="AE545" s="71"/>
      <c r="AF545" s="71"/>
      <c r="AG545" s="71"/>
      <c r="AJ545" s="71"/>
      <c r="AK545" s="71"/>
      <c r="AL545" s="71"/>
      <c r="AM545" s="71"/>
    </row>
    <row r="546" spans="8:39">
      <c r="H546" s="71"/>
      <c r="I546" s="71"/>
      <c r="Y546" s="83"/>
      <c r="Z546" s="83"/>
      <c r="AA546" s="71"/>
      <c r="AB546" s="71"/>
      <c r="AC546" s="71"/>
      <c r="AD546" s="71"/>
      <c r="AE546" s="71"/>
      <c r="AF546" s="71"/>
      <c r="AG546" s="71"/>
      <c r="AJ546" s="71"/>
      <c r="AK546" s="71"/>
      <c r="AL546" s="71"/>
      <c r="AM546" s="71"/>
    </row>
    <row r="547" spans="8:39">
      <c r="H547" s="71"/>
      <c r="I547" s="71"/>
      <c r="Y547" s="83"/>
      <c r="Z547" s="83"/>
      <c r="AA547" s="71"/>
      <c r="AB547" s="71"/>
      <c r="AC547" s="71"/>
      <c r="AD547" s="71"/>
      <c r="AE547" s="71"/>
      <c r="AF547" s="71"/>
      <c r="AG547" s="71"/>
      <c r="AJ547" s="71"/>
      <c r="AK547" s="71"/>
      <c r="AL547" s="71"/>
      <c r="AM547" s="71"/>
    </row>
    <row r="548" spans="8:39">
      <c r="H548" s="71"/>
      <c r="I548" s="71"/>
      <c r="Y548" s="83"/>
      <c r="Z548" s="83"/>
      <c r="AA548" s="71"/>
      <c r="AB548" s="71"/>
      <c r="AC548" s="71"/>
      <c r="AD548" s="71"/>
      <c r="AE548" s="71"/>
      <c r="AF548" s="71"/>
      <c r="AG548" s="71"/>
      <c r="AJ548" s="71"/>
      <c r="AK548" s="71"/>
      <c r="AL548" s="71"/>
      <c r="AM548" s="71"/>
    </row>
    <row r="549" spans="8:39">
      <c r="H549" s="71"/>
      <c r="I549" s="71"/>
      <c r="Y549" s="83"/>
      <c r="Z549" s="83"/>
      <c r="AA549" s="71"/>
      <c r="AB549" s="71"/>
      <c r="AC549" s="71"/>
      <c r="AD549" s="71"/>
      <c r="AE549" s="71"/>
      <c r="AF549" s="71"/>
      <c r="AG549" s="71"/>
      <c r="AJ549" s="71"/>
      <c r="AK549" s="71"/>
      <c r="AL549" s="71"/>
      <c r="AM549" s="71"/>
    </row>
    <row r="550" spans="8:39">
      <c r="H550" s="71"/>
      <c r="I550" s="71"/>
      <c r="Y550" s="83"/>
      <c r="Z550" s="83"/>
      <c r="AA550" s="71"/>
      <c r="AB550" s="71"/>
      <c r="AC550" s="71"/>
      <c r="AD550" s="71"/>
      <c r="AE550" s="71"/>
      <c r="AF550" s="71"/>
      <c r="AG550" s="71"/>
      <c r="AJ550" s="71"/>
      <c r="AK550" s="71"/>
      <c r="AL550" s="71"/>
      <c r="AM550" s="71"/>
    </row>
    <row r="551" spans="8:39">
      <c r="H551" s="71"/>
      <c r="I551" s="71"/>
      <c r="Y551" s="83"/>
      <c r="Z551" s="83"/>
      <c r="AA551" s="71"/>
      <c r="AB551" s="71"/>
      <c r="AC551" s="71"/>
      <c r="AD551" s="71"/>
      <c r="AE551" s="71"/>
      <c r="AF551" s="71"/>
      <c r="AG551" s="71"/>
      <c r="AJ551" s="71"/>
      <c r="AK551" s="71"/>
      <c r="AL551" s="71"/>
      <c r="AM551" s="71"/>
    </row>
    <row r="552" spans="8:39">
      <c r="H552" s="71"/>
      <c r="I552" s="71"/>
      <c r="Y552" s="83"/>
      <c r="Z552" s="83"/>
      <c r="AA552" s="71"/>
      <c r="AB552" s="71"/>
      <c r="AC552" s="71"/>
      <c r="AD552" s="71"/>
      <c r="AE552" s="71"/>
      <c r="AF552" s="71"/>
      <c r="AG552" s="71"/>
      <c r="AJ552" s="71"/>
      <c r="AK552" s="71"/>
      <c r="AL552" s="71"/>
      <c r="AM552" s="71"/>
    </row>
    <row r="553" spans="8:39">
      <c r="H553" s="71"/>
      <c r="I553" s="71"/>
      <c r="Y553" s="83"/>
      <c r="Z553" s="83"/>
      <c r="AA553" s="71"/>
      <c r="AB553" s="71"/>
      <c r="AC553" s="71"/>
      <c r="AD553" s="71"/>
      <c r="AE553" s="71"/>
      <c r="AF553" s="71"/>
      <c r="AG553" s="71"/>
      <c r="AJ553" s="71"/>
      <c r="AK553" s="71"/>
      <c r="AL553" s="71"/>
      <c r="AM553" s="71"/>
    </row>
    <row r="554" spans="8:39">
      <c r="H554" s="71"/>
      <c r="I554" s="71"/>
      <c r="Y554" s="83"/>
      <c r="Z554" s="83"/>
      <c r="AA554" s="71"/>
      <c r="AB554" s="71"/>
      <c r="AC554" s="71"/>
      <c r="AD554" s="71"/>
      <c r="AE554" s="71"/>
      <c r="AF554" s="71"/>
      <c r="AG554" s="71"/>
      <c r="AJ554" s="71"/>
      <c r="AK554" s="71"/>
      <c r="AL554" s="71"/>
      <c r="AM554" s="71"/>
    </row>
    <row r="555" spans="8:39">
      <c r="H555" s="71"/>
      <c r="I555" s="71"/>
      <c r="Y555" s="83"/>
      <c r="Z555" s="83"/>
      <c r="AA555" s="71"/>
      <c r="AB555" s="71"/>
      <c r="AC555" s="71"/>
      <c r="AD555" s="71"/>
      <c r="AE555" s="71"/>
      <c r="AF555" s="71"/>
      <c r="AG555" s="71"/>
      <c r="AJ555" s="71"/>
      <c r="AK555" s="71"/>
      <c r="AL555" s="71"/>
      <c r="AM555" s="71"/>
    </row>
    <row r="556" spans="8:39">
      <c r="H556" s="71"/>
      <c r="I556" s="71"/>
      <c r="Y556" s="83"/>
      <c r="Z556" s="83"/>
      <c r="AA556" s="71"/>
      <c r="AB556" s="71"/>
      <c r="AC556" s="71"/>
      <c r="AD556" s="71"/>
      <c r="AE556" s="71"/>
      <c r="AF556" s="71"/>
      <c r="AG556" s="71"/>
      <c r="AJ556" s="71"/>
      <c r="AK556" s="71"/>
      <c r="AL556" s="71"/>
      <c r="AM556" s="71"/>
    </row>
    <row r="557" spans="8:39">
      <c r="H557" s="71"/>
      <c r="I557" s="71"/>
      <c r="Y557" s="83"/>
      <c r="Z557" s="83"/>
      <c r="AA557" s="71"/>
      <c r="AB557" s="71"/>
      <c r="AC557" s="71"/>
      <c r="AD557" s="71"/>
      <c r="AE557" s="71"/>
      <c r="AF557" s="71"/>
      <c r="AG557" s="71"/>
      <c r="AJ557" s="71"/>
      <c r="AK557" s="71"/>
      <c r="AL557" s="71"/>
      <c r="AM557" s="71"/>
    </row>
    <row r="558" spans="8:39">
      <c r="H558" s="71"/>
      <c r="I558" s="71"/>
      <c r="Y558" s="83"/>
      <c r="Z558" s="83"/>
      <c r="AA558" s="71"/>
      <c r="AB558" s="71"/>
      <c r="AC558" s="71"/>
      <c r="AD558" s="71"/>
      <c r="AE558" s="71"/>
      <c r="AF558" s="71"/>
      <c r="AG558" s="71"/>
      <c r="AJ558" s="71"/>
      <c r="AK558" s="71"/>
      <c r="AL558" s="71"/>
      <c r="AM558" s="71"/>
    </row>
    <row r="559" spans="8:39">
      <c r="H559" s="71"/>
      <c r="I559" s="71"/>
      <c r="Y559" s="83"/>
      <c r="Z559" s="83"/>
      <c r="AA559" s="71"/>
      <c r="AB559" s="71"/>
      <c r="AC559" s="71"/>
      <c r="AD559" s="71"/>
      <c r="AE559" s="71"/>
      <c r="AF559" s="71"/>
      <c r="AG559" s="71"/>
      <c r="AJ559" s="71"/>
      <c r="AK559" s="71"/>
      <c r="AL559" s="71"/>
      <c r="AM559" s="71"/>
    </row>
    <row r="560" spans="8:39">
      <c r="H560" s="71"/>
      <c r="I560" s="71"/>
      <c r="Y560" s="83"/>
      <c r="Z560" s="83"/>
      <c r="AA560" s="71"/>
      <c r="AB560" s="71"/>
      <c r="AC560" s="71"/>
      <c r="AD560" s="71"/>
      <c r="AE560" s="71"/>
      <c r="AF560" s="71"/>
      <c r="AG560" s="71"/>
      <c r="AJ560" s="71"/>
      <c r="AK560" s="71"/>
      <c r="AL560" s="71"/>
      <c r="AM560" s="71"/>
    </row>
    <row r="561" spans="8:39">
      <c r="H561" s="71"/>
      <c r="I561" s="71"/>
      <c r="Y561" s="83"/>
      <c r="Z561" s="83"/>
      <c r="AA561" s="71"/>
      <c r="AB561" s="71"/>
      <c r="AC561" s="71"/>
      <c r="AD561" s="71"/>
      <c r="AE561" s="71"/>
      <c r="AF561" s="71"/>
      <c r="AG561" s="71"/>
      <c r="AJ561" s="71"/>
      <c r="AK561" s="71"/>
      <c r="AL561" s="71"/>
      <c r="AM561" s="71"/>
    </row>
    <row r="562" spans="8:39">
      <c r="H562" s="71"/>
      <c r="I562" s="71"/>
      <c r="Y562" s="83"/>
      <c r="Z562" s="83"/>
      <c r="AA562" s="71"/>
      <c r="AB562" s="71"/>
      <c r="AC562" s="71"/>
      <c r="AD562" s="71"/>
      <c r="AE562" s="71"/>
      <c r="AF562" s="71"/>
      <c r="AG562" s="71"/>
      <c r="AJ562" s="71"/>
      <c r="AK562" s="71"/>
      <c r="AL562" s="71"/>
      <c r="AM562" s="71"/>
    </row>
    <row r="563" spans="8:39">
      <c r="H563" s="71"/>
      <c r="I563" s="71"/>
      <c r="Y563" s="83"/>
      <c r="Z563" s="83"/>
      <c r="AA563" s="71"/>
      <c r="AB563" s="71"/>
      <c r="AC563" s="71"/>
      <c r="AD563" s="71"/>
      <c r="AE563" s="71"/>
      <c r="AF563" s="71"/>
      <c r="AG563" s="71"/>
      <c r="AJ563" s="71"/>
      <c r="AK563" s="71"/>
      <c r="AL563" s="71"/>
      <c r="AM563" s="71"/>
    </row>
    <row r="564" spans="8:39">
      <c r="H564" s="71"/>
      <c r="I564" s="71"/>
      <c r="Y564" s="83"/>
      <c r="Z564" s="83"/>
      <c r="AA564" s="71"/>
      <c r="AB564" s="71"/>
      <c r="AC564" s="71"/>
      <c r="AD564" s="71"/>
      <c r="AE564" s="71"/>
      <c r="AF564" s="71"/>
      <c r="AG564" s="71"/>
      <c r="AJ564" s="71"/>
      <c r="AK564" s="71"/>
      <c r="AL564" s="71"/>
      <c r="AM564" s="71"/>
    </row>
    <row r="565" spans="8:39">
      <c r="H565" s="71"/>
      <c r="I565" s="71"/>
      <c r="Y565" s="83"/>
      <c r="Z565" s="83"/>
      <c r="AA565" s="71"/>
      <c r="AB565" s="71"/>
      <c r="AC565" s="71"/>
      <c r="AD565" s="71"/>
      <c r="AE565" s="71"/>
      <c r="AF565" s="71"/>
      <c r="AG565" s="71"/>
      <c r="AJ565" s="71"/>
      <c r="AK565" s="71"/>
      <c r="AL565" s="71"/>
      <c r="AM565" s="71"/>
    </row>
    <row r="566" spans="8:39">
      <c r="H566" s="71"/>
      <c r="I566" s="71"/>
      <c r="Y566" s="83"/>
      <c r="Z566" s="83"/>
      <c r="AA566" s="71"/>
      <c r="AB566" s="71"/>
      <c r="AC566" s="71"/>
      <c r="AD566" s="71"/>
      <c r="AE566" s="71"/>
      <c r="AF566" s="71"/>
      <c r="AG566" s="71"/>
      <c r="AJ566" s="71"/>
      <c r="AK566" s="71"/>
      <c r="AL566" s="71"/>
      <c r="AM566" s="71"/>
    </row>
    <row r="567" spans="8:39">
      <c r="H567" s="71"/>
      <c r="I567" s="71"/>
      <c r="Y567" s="83"/>
      <c r="Z567" s="83"/>
      <c r="AA567" s="71"/>
      <c r="AB567" s="71"/>
      <c r="AC567" s="71"/>
      <c r="AD567" s="71"/>
      <c r="AE567" s="71"/>
      <c r="AF567" s="71"/>
      <c r="AG567" s="71"/>
      <c r="AJ567" s="71"/>
      <c r="AK567" s="71"/>
      <c r="AL567" s="71"/>
      <c r="AM567" s="71"/>
    </row>
    <row r="568" spans="8:39">
      <c r="H568" s="71"/>
      <c r="I568" s="71"/>
      <c r="Y568" s="83"/>
      <c r="Z568" s="83"/>
      <c r="AA568" s="71"/>
      <c r="AB568" s="71"/>
      <c r="AC568" s="71"/>
      <c r="AD568" s="71"/>
      <c r="AE568" s="71"/>
      <c r="AF568" s="71"/>
      <c r="AG568" s="71"/>
      <c r="AJ568" s="71"/>
      <c r="AK568" s="71"/>
      <c r="AL568" s="71"/>
      <c r="AM568" s="71"/>
    </row>
    <row r="569" spans="8:39">
      <c r="H569" s="71"/>
      <c r="I569" s="71"/>
      <c r="Y569" s="83"/>
      <c r="Z569" s="83"/>
      <c r="AA569" s="71"/>
      <c r="AB569" s="71"/>
      <c r="AC569" s="71"/>
      <c r="AD569" s="71"/>
      <c r="AE569" s="71"/>
      <c r="AF569" s="71"/>
      <c r="AG569" s="71"/>
      <c r="AJ569" s="71"/>
      <c r="AK569" s="71"/>
      <c r="AL569" s="71"/>
      <c r="AM569" s="71"/>
    </row>
    <row r="570" spans="8:39">
      <c r="H570" s="71"/>
      <c r="I570" s="71"/>
      <c r="Y570" s="83"/>
      <c r="Z570" s="83"/>
      <c r="AA570" s="71"/>
      <c r="AB570" s="71"/>
      <c r="AC570" s="71"/>
      <c r="AD570" s="71"/>
      <c r="AE570" s="71"/>
      <c r="AF570" s="71"/>
      <c r="AG570" s="71"/>
      <c r="AJ570" s="71"/>
      <c r="AK570" s="71"/>
      <c r="AL570" s="71"/>
      <c r="AM570" s="71"/>
    </row>
    <row r="571" spans="8:39">
      <c r="H571" s="71"/>
      <c r="I571" s="71"/>
      <c r="Y571" s="83"/>
      <c r="Z571" s="83"/>
      <c r="AA571" s="71"/>
      <c r="AB571" s="71"/>
      <c r="AC571" s="71"/>
      <c r="AD571" s="71"/>
      <c r="AE571" s="71"/>
      <c r="AF571" s="71"/>
      <c r="AG571" s="71"/>
      <c r="AJ571" s="71"/>
      <c r="AK571" s="71"/>
      <c r="AL571" s="71"/>
      <c r="AM571" s="71"/>
    </row>
    <row r="572" spans="8:39">
      <c r="H572" s="71"/>
      <c r="I572" s="71"/>
      <c r="Y572" s="83"/>
      <c r="Z572" s="83"/>
      <c r="AA572" s="71"/>
      <c r="AB572" s="71"/>
      <c r="AC572" s="71"/>
      <c r="AD572" s="71"/>
      <c r="AE572" s="71"/>
      <c r="AF572" s="71"/>
      <c r="AG572" s="71"/>
      <c r="AJ572" s="71"/>
      <c r="AK572" s="71"/>
      <c r="AL572" s="71"/>
      <c r="AM572" s="71"/>
    </row>
    <row r="573" spans="8:39">
      <c r="H573" s="71"/>
      <c r="I573" s="71"/>
      <c r="Y573" s="83"/>
      <c r="Z573" s="83"/>
      <c r="AA573" s="71"/>
      <c r="AB573" s="71"/>
      <c r="AC573" s="71"/>
      <c r="AD573" s="71"/>
      <c r="AE573" s="71"/>
      <c r="AF573" s="71"/>
      <c r="AG573" s="71"/>
      <c r="AJ573" s="71"/>
      <c r="AK573" s="71"/>
      <c r="AL573" s="71"/>
      <c r="AM573" s="71"/>
    </row>
    <row r="574" spans="8:39">
      <c r="H574" s="71"/>
      <c r="I574" s="71"/>
      <c r="Y574" s="83"/>
      <c r="Z574" s="83"/>
      <c r="AA574" s="71"/>
      <c r="AB574" s="71"/>
      <c r="AC574" s="71"/>
      <c r="AD574" s="71"/>
      <c r="AE574" s="71"/>
      <c r="AF574" s="71"/>
      <c r="AG574" s="71"/>
      <c r="AJ574" s="71"/>
      <c r="AK574" s="71"/>
      <c r="AL574" s="71"/>
      <c r="AM574" s="71"/>
    </row>
    <row r="575" spans="8:39">
      <c r="H575" s="71"/>
      <c r="I575" s="71"/>
      <c r="Y575" s="83"/>
      <c r="Z575" s="83"/>
      <c r="AA575" s="71"/>
      <c r="AB575" s="71"/>
      <c r="AC575" s="71"/>
      <c r="AD575" s="71"/>
      <c r="AE575" s="71"/>
      <c r="AF575" s="71"/>
      <c r="AG575" s="71"/>
      <c r="AJ575" s="71"/>
      <c r="AK575" s="71"/>
      <c r="AL575" s="71"/>
      <c r="AM575" s="71"/>
    </row>
    <row r="576" spans="8:39">
      <c r="H576" s="71"/>
      <c r="I576" s="71"/>
      <c r="Y576" s="83"/>
      <c r="Z576" s="83"/>
      <c r="AA576" s="71"/>
      <c r="AB576" s="71"/>
      <c r="AC576" s="71"/>
      <c r="AD576" s="71"/>
      <c r="AE576" s="71"/>
      <c r="AF576" s="71"/>
      <c r="AG576" s="71"/>
      <c r="AJ576" s="71"/>
      <c r="AK576" s="71"/>
      <c r="AL576" s="71"/>
      <c r="AM576" s="71"/>
    </row>
    <row r="577" spans="8:39">
      <c r="H577" s="71"/>
      <c r="I577" s="71"/>
      <c r="Y577" s="83"/>
      <c r="Z577" s="83"/>
      <c r="AA577" s="71"/>
      <c r="AB577" s="71"/>
      <c r="AC577" s="71"/>
      <c r="AD577" s="71"/>
      <c r="AE577" s="71"/>
      <c r="AF577" s="71"/>
      <c r="AG577" s="71"/>
      <c r="AJ577" s="71"/>
      <c r="AK577" s="71"/>
      <c r="AL577" s="71"/>
      <c r="AM577" s="71"/>
    </row>
    <row r="578" spans="8:39">
      <c r="H578" s="71"/>
      <c r="I578" s="71"/>
      <c r="Y578" s="83"/>
      <c r="Z578" s="83"/>
      <c r="AA578" s="71"/>
      <c r="AB578" s="71"/>
      <c r="AC578" s="71"/>
      <c r="AD578" s="71"/>
      <c r="AE578" s="71"/>
      <c r="AF578" s="71"/>
      <c r="AG578" s="71"/>
      <c r="AJ578" s="71"/>
      <c r="AK578" s="71"/>
      <c r="AL578" s="71"/>
      <c r="AM578" s="71"/>
    </row>
    <row r="579" spans="8:39">
      <c r="H579" s="71"/>
      <c r="I579" s="71"/>
      <c r="Y579" s="83"/>
      <c r="Z579" s="83"/>
      <c r="AA579" s="71"/>
      <c r="AB579" s="71"/>
      <c r="AC579" s="71"/>
      <c r="AD579" s="71"/>
      <c r="AE579" s="71"/>
      <c r="AF579" s="71"/>
      <c r="AG579" s="71"/>
      <c r="AJ579" s="71"/>
      <c r="AK579" s="71"/>
      <c r="AL579" s="71"/>
      <c r="AM579" s="71"/>
    </row>
    <row r="580" spans="8:39">
      <c r="H580" s="71"/>
      <c r="I580" s="71"/>
      <c r="Y580" s="83"/>
      <c r="Z580" s="83"/>
      <c r="AA580" s="71"/>
      <c r="AB580" s="71"/>
      <c r="AC580" s="71"/>
      <c r="AD580" s="71"/>
      <c r="AE580" s="71"/>
      <c r="AF580" s="71"/>
      <c r="AG580" s="71"/>
      <c r="AJ580" s="71"/>
      <c r="AK580" s="71"/>
      <c r="AL580" s="71"/>
      <c r="AM580" s="71"/>
    </row>
    <row r="581" spans="8:39">
      <c r="H581" s="71"/>
      <c r="I581" s="71"/>
      <c r="Y581" s="83"/>
      <c r="Z581" s="83"/>
      <c r="AA581" s="71"/>
      <c r="AB581" s="71"/>
      <c r="AC581" s="71"/>
      <c r="AD581" s="71"/>
      <c r="AE581" s="71"/>
      <c r="AF581" s="71"/>
      <c r="AG581" s="71"/>
      <c r="AJ581" s="71"/>
      <c r="AK581" s="71"/>
      <c r="AL581" s="71"/>
      <c r="AM581" s="71"/>
    </row>
    <row r="582" spans="8:39">
      <c r="H582" s="71"/>
      <c r="I582" s="71"/>
      <c r="Y582" s="83"/>
      <c r="Z582" s="83"/>
      <c r="AA582" s="71"/>
      <c r="AB582" s="71"/>
      <c r="AC582" s="71"/>
      <c r="AD582" s="71"/>
      <c r="AE582" s="71"/>
      <c r="AF582" s="71"/>
      <c r="AG582" s="71"/>
      <c r="AJ582" s="71"/>
      <c r="AK582" s="71"/>
      <c r="AL582" s="71"/>
      <c r="AM582" s="71"/>
    </row>
    <row r="583" spans="8:39">
      <c r="H583" s="71"/>
      <c r="I583" s="71"/>
      <c r="Y583" s="83"/>
      <c r="Z583" s="83"/>
      <c r="AA583" s="71"/>
      <c r="AB583" s="71"/>
      <c r="AC583" s="71"/>
      <c r="AD583" s="71"/>
      <c r="AE583" s="71"/>
      <c r="AF583" s="71"/>
      <c r="AG583" s="71"/>
      <c r="AJ583" s="71"/>
      <c r="AK583" s="71"/>
      <c r="AL583" s="71"/>
      <c r="AM583" s="71"/>
    </row>
    <row r="584" spans="8:39">
      <c r="H584" s="71"/>
      <c r="I584" s="71"/>
      <c r="Y584" s="83"/>
      <c r="Z584" s="83"/>
      <c r="AA584" s="71"/>
      <c r="AB584" s="71"/>
      <c r="AC584" s="71"/>
      <c r="AD584" s="71"/>
      <c r="AE584" s="71"/>
      <c r="AF584" s="71"/>
      <c r="AG584" s="71"/>
      <c r="AJ584" s="71"/>
      <c r="AK584" s="71"/>
      <c r="AL584" s="71"/>
      <c r="AM584" s="71"/>
    </row>
    <row r="585" spans="8:39">
      <c r="H585" s="71"/>
      <c r="I585" s="71"/>
      <c r="Y585" s="83"/>
      <c r="Z585" s="83"/>
      <c r="AA585" s="71"/>
      <c r="AB585" s="71"/>
      <c r="AC585" s="71"/>
      <c r="AD585" s="71"/>
      <c r="AE585" s="71"/>
      <c r="AF585" s="71"/>
      <c r="AG585" s="71"/>
      <c r="AJ585" s="71"/>
      <c r="AK585" s="71"/>
      <c r="AL585" s="71"/>
      <c r="AM585" s="71"/>
    </row>
    <row r="586" spans="8:39">
      <c r="H586" s="71"/>
      <c r="I586" s="71"/>
      <c r="Y586" s="83"/>
      <c r="Z586" s="83"/>
      <c r="AA586" s="71"/>
      <c r="AB586" s="71"/>
      <c r="AC586" s="71"/>
      <c r="AD586" s="71"/>
      <c r="AE586" s="71"/>
      <c r="AF586" s="71"/>
      <c r="AG586" s="71"/>
      <c r="AJ586" s="71"/>
      <c r="AK586" s="71"/>
      <c r="AL586" s="71"/>
      <c r="AM586" s="71"/>
    </row>
    <row r="587" spans="8:39">
      <c r="H587" s="71"/>
      <c r="I587" s="71"/>
      <c r="Y587" s="83"/>
      <c r="Z587" s="83"/>
      <c r="AA587" s="71"/>
      <c r="AB587" s="71"/>
      <c r="AC587" s="71"/>
      <c r="AD587" s="71"/>
      <c r="AE587" s="71"/>
      <c r="AF587" s="71"/>
      <c r="AG587" s="71"/>
      <c r="AJ587" s="71"/>
      <c r="AK587" s="71"/>
      <c r="AL587" s="71"/>
      <c r="AM587" s="71"/>
    </row>
    <row r="588" spans="8:39">
      <c r="H588" s="71"/>
      <c r="I588" s="71"/>
      <c r="Y588" s="83"/>
      <c r="Z588" s="83"/>
      <c r="AA588" s="71"/>
      <c r="AB588" s="71"/>
      <c r="AC588" s="71"/>
      <c r="AD588" s="71"/>
      <c r="AE588" s="71"/>
      <c r="AF588" s="71"/>
      <c r="AG588" s="71"/>
      <c r="AJ588" s="71"/>
      <c r="AK588" s="71"/>
      <c r="AL588" s="71"/>
      <c r="AM588" s="71"/>
    </row>
    <row r="589" spans="8:39">
      <c r="H589" s="71"/>
      <c r="I589" s="71"/>
      <c r="Y589" s="83"/>
      <c r="Z589" s="83"/>
      <c r="AA589" s="71"/>
      <c r="AB589" s="71"/>
      <c r="AC589" s="71"/>
      <c r="AD589" s="71"/>
      <c r="AE589" s="71"/>
      <c r="AF589" s="71"/>
      <c r="AG589" s="71"/>
      <c r="AJ589" s="71"/>
      <c r="AK589" s="71"/>
      <c r="AL589" s="71"/>
      <c r="AM589" s="71"/>
    </row>
    <row r="590" spans="8:39">
      <c r="H590" s="71"/>
      <c r="I590" s="71"/>
      <c r="Y590" s="83"/>
      <c r="Z590" s="83"/>
      <c r="AA590" s="71"/>
      <c r="AB590" s="71"/>
      <c r="AC590" s="71"/>
      <c r="AD590" s="71"/>
      <c r="AE590" s="71"/>
      <c r="AF590" s="71"/>
      <c r="AG590" s="71"/>
      <c r="AJ590" s="71"/>
      <c r="AK590" s="71"/>
      <c r="AL590" s="71"/>
      <c r="AM590" s="71"/>
    </row>
    <row r="591" spans="8:39">
      <c r="H591" s="71"/>
      <c r="I591" s="71"/>
      <c r="Y591" s="83"/>
      <c r="Z591" s="83"/>
      <c r="AA591" s="71"/>
      <c r="AB591" s="71"/>
      <c r="AC591" s="71"/>
      <c r="AD591" s="71"/>
      <c r="AE591" s="71"/>
      <c r="AF591" s="71"/>
      <c r="AG591" s="71"/>
      <c r="AJ591" s="71"/>
      <c r="AK591" s="71"/>
      <c r="AL591" s="71"/>
      <c r="AM591" s="71"/>
    </row>
    <row r="592" spans="8:39">
      <c r="H592" s="71"/>
      <c r="I592" s="71"/>
      <c r="Y592" s="83"/>
      <c r="Z592" s="83"/>
      <c r="AA592" s="71"/>
      <c r="AB592" s="71"/>
      <c r="AC592" s="71"/>
      <c r="AD592" s="71"/>
      <c r="AE592" s="71"/>
      <c r="AF592" s="71"/>
      <c r="AG592" s="71"/>
      <c r="AJ592" s="71"/>
      <c r="AK592" s="71"/>
      <c r="AL592" s="71"/>
      <c r="AM592" s="71"/>
    </row>
    <row r="593" spans="8:39">
      <c r="H593" s="71"/>
      <c r="I593" s="71"/>
      <c r="Y593" s="83"/>
      <c r="Z593" s="83"/>
      <c r="AA593" s="71"/>
      <c r="AB593" s="71"/>
      <c r="AC593" s="71"/>
      <c r="AD593" s="71"/>
      <c r="AE593" s="71"/>
      <c r="AF593" s="71"/>
      <c r="AG593" s="71"/>
      <c r="AJ593" s="71"/>
      <c r="AK593" s="71"/>
      <c r="AL593" s="71"/>
      <c r="AM593" s="71"/>
    </row>
    <row r="594" spans="8:39">
      <c r="H594" s="71"/>
      <c r="I594" s="71"/>
      <c r="Y594" s="83"/>
      <c r="Z594" s="83"/>
      <c r="AA594" s="71"/>
      <c r="AB594" s="71"/>
      <c r="AC594" s="71"/>
      <c r="AD594" s="71"/>
      <c r="AE594" s="71"/>
      <c r="AF594" s="71"/>
      <c r="AG594" s="71"/>
      <c r="AJ594" s="71"/>
      <c r="AK594" s="71"/>
      <c r="AL594" s="71"/>
      <c r="AM594" s="71"/>
    </row>
    <row r="595" spans="8:39">
      <c r="H595" s="71"/>
      <c r="I595" s="71"/>
      <c r="Y595" s="83"/>
      <c r="Z595" s="83"/>
      <c r="AA595" s="71"/>
      <c r="AB595" s="71"/>
      <c r="AC595" s="71"/>
      <c r="AD595" s="71"/>
      <c r="AE595" s="71"/>
      <c r="AF595" s="71"/>
      <c r="AG595" s="71"/>
      <c r="AJ595" s="71"/>
      <c r="AK595" s="71"/>
      <c r="AL595" s="71"/>
      <c r="AM595" s="71"/>
    </row>
    <row r="596" spans="8:39">
      <c r="H596" s="71"/>
      <c r="I596" s="71"/>
      <c r="Y596" s="83"/>
      <c r="Z596" s="83"/>
      <c r="AA596" s="71"/>
      <c r="AB596" s="71"/>
      <c r="AC596" s="71"/>
      <c r="AD596" s="71"/>
      <c r="AE596" s="71"/>
      <c r="AF596" s="71"/>
      <c r="AG596" s="71"/>
      <c r="AJ596" s="71"/>
      <c r="AK596" s="71"/>
      <c r="AL596" s="71"/>
      <c r="AM596" s="71"/>
    </row>
    <row r="597" spans="8:39">
      <c r="H597" s="71"/>
      <c r="I597" s="71"/>
      <c r="Y597" s="83"/>
      <c r="Z597" s="83"/>
      <c r="AA597" s="71"/>
      <c r="AB597" s="71"/>
      <c r="AC597" s="71"/>
      <c r="AD597" s="71"/>
      <c r="AE597" s="71"/>
      <c r="AF597" s="71"/>
      <c r="AG597" s="71"/>
      <c r="AJ597" s="71"/>
      <c r="AK597" s="71"/>
      <c r="AL597" s="71"/>
      <c r="AM597" s="71"/>
    </row>
    <row r="598" spans="8:39">
      <c r="H598" s="71"/>
      <c r="I598" s="71"/>
      <c r="Y598" s="83"/>
      <c r="Z598" s="83"/>
      <c r="AA598" s="71"/>
      <c r="AB598" s="71"/>
      <c r="AC598" s="71"/>
      <c r="AD598" s="71"/>
      <c r="AE598" s="71"/>
      <c r="AF598" s="71"/>
      <c r="AG598" s="71"/>
      <c r="AJ598" s="71"/>
      <c r="AK598" s="71"/>
      <c r="AL598" s="71"/>
      <c r="AM598" s="71"/>
    </row>
    <row r="599" spans="8:39">
      <c r="H599" s="71"/>
      <c r="I599" s="71"/>
      <c r="Y599" s="83"/>
      <c r="Z599" s="83"/>
      <c r="AA599" s="71"/>
      <c r="AB599" s="71"/>
      <c r="AC599" s="71"/>
      <c r="AD599" s="71"/>
      <c r="AE599" s="71"/>
      <c r="AF599" s="71"/>
      <c r="AG599" s="71"/>
      <c r="AJ599" s="71"/>
      <c r="AK599" s="71"/>
      <c r="AL599" s="71"/>
      <c r="AM599" s="71"/>
    </row>
    <row r="600" spans="8:39">
      <c r="H600" s="71"/>
      <c r="I600" s="71"/>
      <c r="Y600" s="83"/>
      <c r="Z600" s="83"/>
      <c r="AA600" s="71"/>
      <c r="AB600" s="71"/>
      <c r="AC600" s="71"/>
      <c r="AD600" s="71"/>
      <c r="AE600" s="71"/>
      <c r="AF600" s="71"/>
      <c r="AG600" s="71"/>
      <c r="AJ600" s="71"/>
      <c r="AK600" s="71"/>
      <c r="AL600" s="71"/>
      <c r="AM600" s="71"/>
    </row>
    <row r="601" spans="8:39">
      <c r="H601" s="71"/>
      <c r="I601" s="71"/>
      <c r="Y601" s="83"/>
      <c r="Z601" s="83"/>
      <c r="AA601" s="71"/>
      <c r="AB601" s="71"/>
      <c r="AC601" s="71"/>
      <c r="AD601" s="71"/>
      <c r="AE601" s="71"/>
      <c r="AF601" s="71"/>
      <c r="AG601" s="71"/>
      <c r="AJ601" s="71"/>
      <c r="AK601" s="71"/>
      <c r="AL601" s="71"/>
      <c r="AM601" s="71"/>
    </row>
    <row r="602" spans="8:39">
      <c r="H602" s="71"/>
      <c r="I602" s="71"/>
      <c r="Y602" s="83"/>
      <c r="Z602" s="83"/>
      <c r="AA602" s="71"/>
      <c r="AB602" s="71"/>
      <c r="AC602" s="71"/>
      <c r="AD602" s="71"/>
      <c r="AE602" s="71"/>
      <c r="AF602" s="71"/>
      <c r="AG602" s="71"/>
      <c r="AJ602" s="71"/>
      <c r="AK602" s="71"/>
      <c r="AL602" s="71"/>
      <c r="AM602" s="71"/>
    </row>
    <row r="603" spans="8:39">
      <c r="H603" s="71"/>
      <c r="I603" s="71"/>
      <c r="Y603" s="83"/>
      <c r="Z603" s="83"/>
      <c r="AA603" s="71"/>
      <c r="AB603" s="71"/>
      <c r="AC603" s="71"/>
      <c r="AD603" s="71"/>
      <c r="AE603" s="71"/>
      <c r="AF603" s="71"/>
      <c r="AG603" s="71"/>
      <c r="AJ603" s="71"/>
      <c r="AK603" s="71"/>
      <c r="AL603" s="71"/>
      <c r="AM603" s="71"/>
    </row>
    <row r="604" spans="8:39">
      <c r="H604" s="71"/>
      <c r="I604" s="71"/>
      <c r="Y604" s="83"/>
      <c r="Z604" s="83"/>
      <c r="AA604" s="71"/>
      <c r="AB604" s="71"/>
      <c r="AC604" s="71"/>
      <c r="AD604" s="71"/>
      <c r="AE604" s="71"/>
      <c r="AF604" s="71"/>
      <c r="AG604" s="71"/>
      <c r="AJ604" s="71"/>
      <c r="AK604" s="71"/>
      <c r="AL604" s="71"/>
      <c r="AM604" s="71"/>
    </row>
    <row r="605" spans="8:39">
      <c r="H605" s="71"/>
      <c r="I605" s="71"/>
      <c r="Y605" s="83"/>
      <c r="Z605" s="83"/>
      <c r="AA605" s="71"/>
      <c r="AB605" s="71"/>
      <c r="AC605" s="71"/>
      <c r="AD605" s="71"/>
      <c r="AE605" s="71"/>
      <c r="AF605" s="71"/>
      <c r="AG605" s="71"/>
      <c r="AJ605" s="71"/>
      <c r="AK605" s="71"/>
      <c r="AL605" s="71"/>
      <c r="AM605" s="71"/>
    </row>
    <row r="606" spans="8:39">
      <c r="H606" s="71"/>
      <c r="I606" s="71"/>
      <c r="Y606" s="83"/>
      <c r="Z606" s="83"/>
      <c r="AA606" s="71"/>
      <c r="AB606" s="71"/>
      <c r="AC606" s="71"/>
      <c r="AD606" s="71"/>
      <c r="AE606" s="71"/>
      <c r="AF606" s="71"/>
      <c r="AG606" s="71"/>
      <c r="AJ606" s="71"/>
      <c r="AK606" s="71"/>
      <c r="AL606" s="71"/>
      <c r="AM606" s="71"/>
    </row>
    <row r="607" spans="8:39">
      <c r="H607" s="71"/>
      <c r="I607" s="71"/>
      <c r="Y607" s="83"/>
      <c r="Z607" s="83"/>
      <c r="AA607" s="71"/>
      <c r="AB607" s="71"/>
      <c r="AC607" s="71"/>
      <c r="AD607" s="71"/>
      <c r="AE607" s="71"/>
      <c r="AF607" s="71"/>
      <c r="AG607" s="71"/>
      <c r="AJ607" s="71"/>
      <c r="AK607" s="71"/>
      <c r="AL607" s="71"/>
      <c r="AM607" s="71"/>
    </row>
    <row r="608" spans="8:39">
      <c r="H608" s="71"/>
      <c r="I608" s="71"/>
      <c r="Y608" s="83"/>
      <c r="Z608" s="83"/>
      <c r="AA608" s="71"/>
      <c r="AB608" s="71"/>
      <c r="AC608" s="71"/>
      <c r="AD608" s="71"/>
      <c r="AE608" s="71"/>
      <c r="AF608" s="71"/>
      <c r="AG608" s="71"/>
      <c r="AJ608" s="71"/>
      <c r="AK608" s="71"/>
      <c r="AL608" s="71"/>
      <c r="AM608" s="71"/>
    </row>
    <row r="609" spans="8:39">
      <c r="H609" s="71"/>
      <c r="I609" s="71"/>
      <c r="Y609" s="83"/>
      <c r="Z609" s="83"/>
      <c r="AA609" s="71"/>
      <c r="AB609" s="71"/>
      <c r="AC609" s="71"/>
      <c r="AD609" s="71"/>
      <c r="AE609" s="71"/>
      <c r="AF609" s="71"/>
      <c r="AG609" s="71"/>
      <c r="AJ609" s="71"/>
      <c r="AK609" s="71"/>
      <c r="AL609" s="71"/>
      <c r="AM609" s="71"/>
    </row>
    <row r="610" spans="8:39">
      <c r="H610" s="71"/>
      <c r="I610" s="71"/>
      <c r="Y610" s="83"/>
      <c r="Z610" s="83"/>
      <c r="AA610" s="71"/>
      <c r="AB610" s="71"/>
      <c r="AC610" s="71"/>
      <c r="AD610" s="71"/>
      <c r="AE610" s="71"/>
      <c r="AF610" s="71"/>
      <c r="AG610" s="71"/>
      <c r="AJ610" s="71"/>
      <c r="AK610" s="71"/>
      <c r="AL610" s="71"/>
      <c r="AM610" s="71"/>
    </row>
    <row r="611" spans="8:39">
      <c r="H611" s="71"/>
      <c r="I611" s="71"/>
      <c r="Y611" s="83"/>
      <c r="Z611" s="83"/>
      <c r="AA611" s="71"/>
      <c r="AB611" s="71"/>
      <c r="AC611" s="71"/>
      <c r="AD611" s="71"/>
      <c r="AE611" s="71"/>
      <c r="AF611" s="71"/>
      <c r="AG611" s="71"/>
      <c r="AJ611" s="71"/>
      <c r="AK611" s="71"/>
      <c r="AL611" s="71"/>
      <c r="AM611" s="71"/>
    </row>
    <row r="612" spans="8:39">
      <c r="H612" s="71"/>
      <c r="I612" s="71"/>
      <c r="Y612" s="83"/>
      <c r="Z612" s="83"/>
      <c r="AA612" s="71"/>
      <c r="AB612" s="71"/>
      <c r="AC612" s="71"/>
      <c r="AD612" s="71"/>
      <c r="AE612" s="71"/>
      <c r="AF612" s="71"/>
      <c r="AG612" s="71"/>
      <c r="AJ612" s="71"/>
      <c r="AK612" s="71"/>
      <c r="AL612" s="71"/>
      <c r="AM612" s="71"/>
    </row>
    <row r="613" spans="8:39">
      <c r="H613" s="71"/>
      <c r="I613" s="71"/>
      <c r="Y613" s="83"/>
      <c r="Z613" s="83"/>
      <c r="AA613" s="71"/>
      <c r="AB613" s="71"/>
      <c r="AC613" s="71"/>
      <c r="AD613" s="71"/>
      <c r="AE613" s="71"/>
      <c r="AF613" s="71"/>
      <c r="AG613" s="71"/>
      <c r="AJ613" s="71"/>
      <c r="AK613" s="71"/>
      <c r="AL613" s="71"/>
      <c r="AM613" s="71"/>
    </row>
    <row r="614" spans="8:39">
      <c r="H614" s="71"/>
      <c r="I614" s="71"/>
      <c r="Y614" s="83"/>
      <c r="Z614" s="83"/>
      <c r="AA614" s="71"/>
      <c r="AB614" s="71"/>
      <c r="AC614" s="71"/>
      <c r="AD614" s="71"/>
      <c r="AE614" s="71"/>
      <c r="AF614" s="71"/>
      <c r="AG614" s="71"/>
      <c r="AJ614" s="71"/>
      <c r="AK614" s="71"/>
      <c r="AL614" s="71"/>
      <c r="AM614" s="71"/>
    </row>
    <row r="615" spans="8:39">
      <c r="H615" s="71"/>
      <c r="I615" s="71"/>
      <c r="Y615" s="83"/>
      <c r="Z615" s="83"/>
      <c r="AA615" s="71"/>
      <c r="AB615" s="71"/>
      <c r="AC615" s="71"/>
      <c r="AD615" s="71"/>
      <c r="AE615" s="71"/>
      <c r="AF615" s="71"/>
      <c r="AG615" s="71"/>
      <c r="AJ615" s="71"/>
      <c r="AK615" s="71"/>
      <c r="AL615" s="71"/>
      <c r="AM615" s="71"/>
    </row>
    <row r="616" spans="8:39">
      <c r="H616" s="71"/>
      <c r="I616" s="71"/>
      <c r="Y616" s="83"/>
      <c r="Z616" s="83"/>
      <c r="AA616" s="71"/>
      <c r="AB616" s="71"/>
      <c r="AC616" s="71"/>
      <c r="AD616" s="71"/>
      <c r="AE616" s="71"/>
      <c r="AF616" s="71"/>
      <c r="AG616" s="71"/>
      <c r="AJ616" s="71"/>
      <c r="AK616" s="71"/>
      <c r="AL616" s="71"/>
      <c r="AM616" s="71"/>
    </row>
    <row r="617" spans="8:39">
      <c r="H617" s="71"/>
      <c r="I617" s="71"/>
      <c r="Y617" s="83"/>
      <c r="Z617" s="83"/>
      <c r="AA617" s="71"/>
      <c r="AB617" s="71"/>
      <c r="AC617" s="71"/>
      <c r="AD617" s="71"/>
      <c r="AE617" s="71"/>
      <c r="AF617" s="71"/>
      <c r="AG617" s="71"/>
      <c r="AJ617" s="71"/>
      <c r="AK617" s="71"/>
      <c r="AL617" s="71"/>
      <c r="AM617" s="71"/>
    </row>
    <row r="618" spans="8:39">
      <c r="H618" s="71"/>
      <c r="I618" s="71"/>
      <c r="Y618" s="83"/>
      <c r="Z618" s="83"/>
      <c r="AA618" s="71"/>
      <c r="AB618" s="71"/>
      <c r="AC618" s="71"/>
      <c r="AD618" s="71"/>
      <c r="AE618" s="71"/>
      <c r="AF618" s="71"/>
      <c r="AG618" s="71"/>
      <c r="AJ618" s="71"/>
      <c r="AK618" s="71"/>
      <c r="AL618" s="71"/>
      <c r="AM618" s="71"/>
    </row>
    <row r="619" spans="8:39">
      <c r="H619" s="71"/>
      <c r="I619" s="71"/>
      <c r="Y619" s="83"/>
      <c r="Z619" s="83"/>
      <c r="AA619" s="71"/>
      <c r="AB619" s="71"/>
      <c r="AC619" s="71"/>
      <c r="AD619" s="71"/>
      <c r="AE619" s="71"/>
      <c r="AF619" s="71"/>
      <c r="AG619" s="71"/>
      <c r="AJ619" s="71"/>
      <c r="AK619" s="71"/>
      <c r="AL619" s="71"/>
      <c r="AM619" s="71"/>
    </row>
    <row r="620" spans="8:39">
      <c r="H620" s="71"/>
      <c r="I620" s="71"/>
      <c r="Y620" s="83"/>
      <c r="Z620" s="83"/>
      <c r="AA620" s="71"/>
      <c r="AB620" s="71"/>
      <c r="AC620" s="71"/>
      <c r="AD620" s="71"/>
      <c r="AE620" s="71"/>
      <c r="AF620" s="71"/>
      <c r="AG620" s="71"/>
      <c r="AJ620" s="71"/>
      <c r="AK620" s="71"/>
      <c r="AL620" s="71"/>
      <c r="AM620" s="71"/>
    </row>
    <row r="621" spans="8:39">
      <c r="H621" s="71"/>
      <c r="I621" s="71"/>
      <c r="Y621" s="83"/>
      <c r="Z621" s="83"/>
      <c r="AA621" s="71"/>
      <c r="AB621" s="71"/>
      <c r="AC621" s="71"/>
      <c r="AD621" s="71"/>
      <c r="AE621" s="71"/>
      <c r="AF621" s="71"/>
      <c r="AG621" s="71"/>
      <c r="AJ621" s="71"/>
      <c r="AK621" s="71"/>
      <c r="AL621" s="71"/>
      <c r="AM621" s="71"/>
    </row>
    <row r="622" spans="8:39">
      <c r="H622" s="71"/>
      <c r="I622" s="71"/>
      <c r="Y622" s="83"/>
      <c r="Z622" s="83"/>
      <c r="AA622" s="71"/>
      <c r="AB622" s="71"/>
      <c r="AC622" s="71"/>
      <c r="AD622" s="71"/>
      <c r="AE622" s="71"/>
      <c r="AF622" s="71"/>
      <c r="AG622" s="71"/>
      <c r="AJ622" s="71"/>
      <c r="AK622" s="71"/>
      <c r="AL622" s="71"/>
      <c r="AM622" s="71"/>
    </row>
    <row r="623" spans="8:39">
      <c r="H623" s="71"/>
      <c r="I623" s="71"/>
      <c r="Y623" s="83"/>
      <c r="Z623" s="83"/>
      <c r="AA623" s="71"/>
      <c r="AB623" s="71"/>
      <c r="AC623" s="71"/>
      <c r="AD623" s="71"/>
      <c r="AE623" s="71"/>
      <c r="AF623" s="71"/>
      <c r="AG623" s="71"/>
      <c r="AJ623" s="71"/>
      <c r="AK623" s="71"/>
      <c r="AL623" s="71"/>
      <c r="AM623" s="71"/>
    </row>
    <row r="624" spans="8:39">
      <c r="H624" s="71"/>
      <c r="I624" s="71"/>
      <c r="Y624" s="83"/>
      <c r="Z624" s="83"/>
      <c r="AA624" s="71"/>
      <c r="AB624" s="71"/>
      <c r="AC624" s="71"/>
      <c r="AD624" s="71"/>
      <c r="AE624" s="71"/>
      <c r="AF624" s="71"/>
      <c r="AG624" s="71"/>
      <c r="AJ624" s="71"/>
      <c r="AK624" s="71"/>
      <c r="AL624" s="71"/>
      <c r="AM624" s="71"/>
    </row>
    <row r="625" spans="8:39">
      <c r="H625" s="71"/>
      <c r="I625" s="71"/>
      <c r="Y625" s="83"/>
      <c r="Z625" s="83"/>
      <c r="AA625" s="71"/>
      <c r="AB625" s="71"/>
      <c r="AC625" s="71"/>
      <c r="AD625" s="71"/>
      <c r="AE625" s="71"/>
      <c r="AF625" s="71"/>
      <c r="AG625" s="71"/>
      <c r="AJ625" s="71"/>
      <c r="AK625" s="71"/>
      <c r="AL625" s="71"/>
      <c r="AM625" s="71"/>
    </row>
    <row r="626" spans="8:39">
      <c r="H626" s="71"/>
      <c r="I626" s="71"/>
      <c r="Y626" s="83"/>
      <c r="Z626" s="83"/>
      <c r="AA626" s="71"/>
      <c r="AB626" s="71"/>
      <c r="AC626" s="71"/>
      <c r="AD626" s="71"/>
      <c r="AE626" s="71"/>
      <c r="AF626" s="71"/>
      <c r="AG626" s="71"/>
      <c r="AJ626" s="71"/>
      <c r="AK626" s="71"/>
      <c r="AL626" s="71"/>
      <c r="AM626" s="71"/>
    </row>
    <row r="627" spans="8:39">
      <c r="H627" s="71"/>
      <c r="I627" s="71"/>
      <c r="Y627" s="83"/>
      <c r="Z627" s="83"/>
      <c r="AA627" s="71"/>
      <c r="AB627" s="71"/>
      <c r="AC627" s="71"/>
      <c r="AD627" s="71"/>
      <c r="AE627" s="71"/>
      <c r="AF627" s="71"/>
      <c r="AG627" s="71"/>
      <c r="AJ627" s="71"/>
      <c r="AK627" s="71"/>
      <c r="AL627" s="71"/>
      <c r="AM627" s="71"/>
    </row>
    <row r="628" spans="8:39">
      <c r="H628" s="71"/>
      <c r="I628" s="71"/>
      <c r="Y628" s="83"/>
      <c r="Z628" s="83"/>
      <c r="AA628" s="71"/>
      <c r="AB628" s="71"/>
      <c r="AC628" s="71"/>
      <c r="AD628" s="71"/>
      <c r="AE628" s="71"/>
      <c r="AF628" s="71"/>
      <c r="AG628" s="71"/>
      <c r="AJ628" s="71"/>
      <c r="AK628" s="71"/>
      <c r="AL628" s="71"/>
      <c r="AM628" s="71"/>
    </row>
    <row r="629" spans="8:39">
      <c r="H629" s="71"/>
      <c r="I629" s="71"/>
      <c r="Y629" s="83"/>
      <c r="Z629" s="83"/>
      <c r="AA629" s="71"/>
      <c r="AB629" s="71"/>
      <c r="AC629" s="71"/>
      <c r="AD629" s="71"/>
      <c r="AE629" s="71"/>
      <c r="AF629" s="71"/>
      <c r="AG629" s="71"/>
      <c r="AJ629" s="71"/>
      <c r="AK629" s="71"/>
      <c r="AL629" s="71"/>
      <c r="AM629" s="71"/>
    </row>
    <row r="630" spans="8:39">
      <c r="H630" s="71"/>
      <c r="I630" s="71"/>
      <c r="Y630" s="83"/>
      <c r="Z630" s="83"/>
      <c r="AA630" s="71"/>
      <c r="AB630" s="71"/>
      <c r="AC630" s="71"/>
      <c r="AD630" s="71"/>
      <c r="AE630" s="71"/>
      <c r="AF630" s="71"/>
      <c r="AG630" s="71"/>
      <c r="AJ630" s="71"/>
      <c r="AK630" s="71"/>
      <c r="AL630" s="71"/>
      <c r="AM630" s="71"/>
    </row>
    <row r="631" spans="8:39">
      <c r="H631" s="71"/>
      <c r="I631" s="71"/>
      <c r="Y631" s="83"/>
      <c r="Z631" s="83"/>
      <c r="AA631" s="71"/>
      <c r="AB631" s="71"/>
      <c r="AC631" s="71"/>
      <c r="AD631" s="71"/>
      <c r="AE631" s="71"/>
      <c r="AF631" s="71"/>
      <c r="AG631" s="71"/>
      <c r="AJ631" s="71"/>
      <c r="AK631" s="71"/>
      <c r="AL631" s="71"/>
      <c r="AM631" s="71"/>
    </row>
    <row r="632" spans="8:39">
      <c r="H632" s="71"/>
      <c r="I632" s="71"/>
      <c r="Y632" s="83"/>
      <c r="Z632" s="83"/>
      <c r="AA632" s="71"/>
      <c r="AB632" s="71"/>
      <c r="AC632" s="71"/>
      <c r="AD632" s="71"/>
      <c r="AE632" s="71"/>
      <c r="AF632" s="71"/>
      <c r="AG632" s="71"/>
      <c r="AJ632" s="71"/>
      <c r="AK632" s="71"/>
      <c r="AL632" s="71"/>
      <c r="AM632" s="71"/>
    </row>
    <row r="633" spans="8:39">
      <c r="H633" s="71"/>
      <c r="I633" s="71"/>
      <c r="Y633" s="83"/>
      <c r="Z633" s="83"/>
      <c r="AA633" s="71"/>
      <c r="AB633" s="71"/>
      <c r="AC633" s="71"/>
      <c r="AD633" s="71"/>
      <c r="AE633" s="71"/>
      <c r="AF633" s="71"/>
      <c r="AG633" s="71"/>
      <c r="AJ633" s="71"/>
      <c r="AK633" s="71"/>
      <c r="AL633" s="71"/>
      <c r="AM633" s="71"/>
    </row>
    <row r="634" spans="8:39">
      <c r="H634" s="71"/>
      <c r="I634" s="71"/>
      <c r="Y634" s="83"/>
      <c r="Z634" s="83"/>
      <c r="AA634" s="71"/>
      <c r="AB634" s="71"/>
      <c r="AC634" s="71"/>
      <c r="AD634" s="71"/>
      <c r="AE634" s="71"/>
      <c r="AF634" s="71"/>
      <c r="AG634" s="71"/>
      <c r="AJ634" s="71"/>
      <c r="AK634" s="71"/>
      <c r="AL634" s="71"/>
      <c r="AM634" s="71"/>
    </row>
    <row r="635" spans="8:39">
      <c r="H635" s="71"/>
      <c r="I635" s="71"/>
      <c r="Y635" s="83"/>
      <c r="Z635" s="83"/>
      <c r="AA635" s="71"/>
      <c r="AB635" s="71"/>
      <c r="AC635" s="71"/>
      <c r="AD635" s="71"/>
      <c r="AE635" s="71"/>
      <c r="AF635" s="71"/>
      <c r="AG635" s="71"/>
      <c r="AJ635" s="71"/>
      <c r="AK635" s="71"/>
      <c r="AL635" s="71"/>
      <c r="AM635" s="71"/>
    </row>
    <row r="636" spans="8:39">
      <c r="H636" s="71"/>
      <c r="I636" s="71"/>
      <c r="Y636" s="83"/>
      <c r="Z636" s="83"/>
      <c r="AA636" s="71"/>
      <c r="AB636" s="71"/>
      <c r="AC636" s="71"/>
      <c r="AD636" s="71"/>
      <c r="AE636" s="71"/>
      <c r="AF636" s="71"/>
      <c r="AG636" s="71"/>
      <c r="AJ636" s="71"/>
      <c r="AK636" s="71"/>
      <c r="AL636" s="71"/>
      <c r="AM636" s="71"/>
    </row>
    <row r="637" spans="8:39">
      <c r="H637" s="71"/>
      <c r="I637" s="71"/>
      <c r="Y637" s="83"/>
      <c r="Z637" s="83"/>
      <c r="AA637" s="71"/>
      <c r="AB637" s="71"/>
      <c r="AC637" s="71"/>
      <c r="AD637" s="71"/>
      <c r="AE637" s="71"/>
      <c r="AF637" s="71"/>
      <c r="AG637" s="71"/>
      <c r="AJ637" s="71"/>
      <c r="AK637" s="71"/>
      <c r="AL637" s="71"/>
      <c r="AM637" s="71"/>
    </row>
    <row r="638" spans="8:39">
      <c r="H638" s="71"/>
      <c r="I638" s="71"/>
      <c r="Y638" s="83"/>
      <c r="Z638" s="83"/>
      <c r="AA638" s="71"/>
      <c r="AB638" s="71"/>
      <c r="AC638" s="71"/>
      <c r="AD638" s="71"/>
      <c r="AE638" s="71"/>
      <c r="AF638" s="71"/>
      <c r="AG638" s="71"/>
      <c r="AJ638" s="71"/>
      <c r="AK638" s="71"/>
      <c r="AL638" s="71"/>
      <c r="AM638" s="71"/>
    </row>
    <row r="639" spans="8:39">
      <c r="H639" s="71"/>
      <c r="I639" s="71"/>
      <c r="Y639" s="83"/>
      <c r="Z639" s="83"/>
      <c r="AA639" s="71"/>
      <c r="AB639" s="71"/>
      <c r="AC639" s="71"/>
      <c r="AD639" s="71"/>
      <c r="AE639" s="71"/>
      <c r="AF639" s="71"/>
      <c r="AG639" s="71"/>
      <c r="AJ639" s="71"/>
      <c r="AK639" s="71"/>
      <c r="AL639" s="71"/>
      <c r="AM639" s="71"/>
    </row>
    <row r="640" spans="8:39">
      <c r="H640" s="71"/>
      <c r="I640" s="71"/>
      <c r="Y640" s="83"/>
      <c r="Z640" s="83"/>
      <c r="AA640" s="71"/>
      <c r="AB640" s="71"/>
      <c r="AC640" s="71"/>
      <c r="AD640" s="71"/>
      <c r="AE640" s="71"/>
      <c r="AF640" s="71"/>
      <c r="AG640" s="71"/>
      <c r="AJ640" s="71"/>
      <c r="AK640" s="71"/>
      <c r="AL640" s="71"/>
      <c r="AM640" s="71"/>
    </row>
    <row r="641" spans="8:39">
      <c r="H641" s="71"/>
      <c r="I641" s="71"/>
      <c r="Y641" s="83"/>
      <c r="Z641" s="83"/>
      <c r="AA641" s="71"/>
      <c r="AB641" s="71"/>
      <c r="AC641" s="71"/>
      <c r="AD641" s="71"/>
      <c r="AE641" s="71"/>
      <c r="AF641" s="71"/>
      <c r="AG641" s="71"/>
      <c r="AJ641" s="71"/>
      <c r="AK641" s="71"/>
      <c r="AL641" s="71"/>
      <c r="AM641" s="71"/>
    </row>
    <row r="642" spans="8:39">
      <c r="H642" s="71"/>
      <c r="I642" s="71"/>
      <c r="Y642" s="83"/>
      <c r="Z642" s="83"/>
      <c r="AA642" s="71"/>
      <c r="AB642" s="71"/>
      <c r="AC642" s="71"/>
      <c r="AD642" s="71"/>
      <c r="AE642" s="71"/>
      <c r="AF642" s="71"/>
      <c r="AG642" s="71"/>
      <c r="AJ642" s="71"/>
      <c r="AK642" s="71"/>
      <c r="AL642" s="71"/>
      <c r="AM642" s="71"/>
    </row>
    <row r="643" spans="8:39">
      <c r="H643" s="71"/>
      <c r="I643" s="71"/>
      <c r="Y643" s="83"/>
      <c r="Z643" s="83"/>
      <c r="AA643" s="71"/>
      <c r="AB643" s="71"/>
      <c r="AC643" s="71"/>
      <c r="AD643" s="71"/>
      <c r="AE643" s="71"/>
      <c r="AF643" s="71"/>
      <c r="AG643" s="71"/>
      <c r="AJ643" s="71"/>
      <c r="AK643" s="71"/>
      <c r="AL643" s="71"/>
      <c r="AM643" s="71"/>
    </row>
    <row r="644" spans="8:39">
      <c r="H644" s="71"/>
      <c r="I644" s="71"/>
      <c r="Y644" s="83"/>
      <c r="Z644" s="83"/>
      <c r="AA644" s="71"/>
      <c r="AB644" s="71"/>
      <c r="AC644" s="71"/>
      <c r="AD644" s="71"/>
      <c r="AE644" s="71"/>
      <c r="AF644" s="71"/>
      <c r="AG644" s="71"/>
      <c r="AJ644" s="71"/>
      <c r="AK644" s="71"/>
      <c r="AL644" s="71"/>
      <c r="AM644" s="71"/>
    </row>
    <row r="645" spans="8:39">
      <c r="H645" s="71"/>
      <c r="I645" s="71"/>
      <c r="Y645" s="83"/>
      <c r="Z645" s="83"/>
      <c r="AA645" s="71"/>
      <c r="AB645" s="71"/>
      <c r="AC645" s="71"/>
      <c r="AD645" s="71"/>
      <c r="AE645" s="71"/>
      <c r="AF645" s="71"/>
      <c r="AG645" s="71"/>
      <c r="AJ645" s="71"/>
      <c r="AK645" s="71"/>
      <c r="AL645" s="71"/>
      <c r="AM645" s="71"/>
    </row>
    <row r="646" spans="8:39">
      <c r="H646" s="71"/>
      <c r="I646" s="71"/>
      <c r="Y646" s="83"/>
      <c r="Z646" s="83"/>
      <c r="AA646" s="71"/>
      <c r="AB646" s="71"/>
      <c r="AC646" s="71"/>
      <c r="AD646" s="71"/>
      <c r="AE646" s="71"/>
      <c r="AF646" s="71"/>
      <c r="AG646" s="71"/>
      <c r="AJ646" s="71"/>
      <c r="AK646" s="71"/>
      <c r="AL646" s="71"/>
      <c r="AM646" s="71"/>
    </row>
    <row r="647" spans="8:39">
      <c r="H647" s="71"/>
      <c r="I647" s="71"/>
      <c r="Y647" s="83"/>
      <c r="Z647" s="83"/>
      <c r="AA647" s="71"/>
      <c r="AB647" s="71"/>
      <c r="AC647" s="71"/>
      <c r="AD647" s="71"/>
      <c r="AE647" s="71"/>
      <c r="AF647" s="71"/>
      <c r="AG647" s="71"/>
      <c r="AJ647" s="71"/>
      <c r="AK647" s="71"/>
      <c r="AL647" s="71"/>
      <c r="AM647" s="71"/>
    </row>
    <row r="648" spans="8:39">
      <c r="H648" s="71"/>
      <c r="I648" s="71"/>
      <c r="Y648" s="83"/>
      <c r="Z648" s="83"/>
      <c r="AA648" s="71"/>
      <c r="AB648" s="71"/>
      <c r="AC648" s="71"/>
      <c r="AD648" s="71"/>
      <c r="AE648" s="71"/>
      <c r="AF648" s="71"/>
      <c r="AG648" s="71"/>
      <c r="AJ648" s="71"/>
      <c r="AK648" s="71"/>
      <c r="AL648" s="71"/>
      <c r="AM648" s="71"/>
    </row>
    <row r="649" spans="8:39">
      <c r="H649" s="71"/>
      <c r="I649" s="71"/>
      <c r="Y649" s="83"/>
      <c r="Z649" s="83"/>
      <c r="AA649" s="71"/>
      <c r="AB649" s="71"/>
      <c r="AC649" s="71"/>
      <c r="AD649" s="71"/>
      <c r="AE649" s="71"/>
      <c r="AF649" s="71"/>
      <c r="AG649" s="71"/>
      <c r="AJ649" s="71"/>
      <c r="AK649" s="71"/>
      <c r="AL649" s="71"/>
      <c r="AM649" s="71"/>
    </row>
    <row r="650" spans="8:39">
      <c r="H650" s="71"/>
      <c r="I650" s="71"/>
      <c r="Y650" s="83"/>
      <c r="Z650" s="83"/>
      <c r="AA650" s="71"/>
      <c r="AB650" s="71"/>
      <c r="AC650" s="71"/>
      <c r="AD650" s="71"/>
      <c r="AE650" s="71"/>
      <c r="AF650" s="71"/>
      <c r="AG650" s="71"/>
      <c r="AJ650" s="71"/>
      <c r="AK650" s="71"/>
      <c r="AL650" s="71"/>
      <c r="AM650" s="71"/>
    </row>
    <row r="651" spans="8:39">
      <c r="H651" s="71"/>
      <c r="I651" s="71"/>
      <c r="Y651" s="83"/>
      <c r="Z651" s="83"/>
      <c r="AA651" s="71"/>
      <c r="AB651" s="71"/>
      <c r="AC651" s="71"/>
      <c r="AD651" s="71"/>
      <c r="AE651" s="71"/>
      <c r="AF651" s="71"/>
      <c r="AG651" s="71"/>
      <c r="AJ651" s="71"/>
      <c r="AK651" s="71"/>
      <c r="AL651" s="71"/>
      <c r="AM651" s="71"/>
    </row>
    <row r="652" spans="8:39">
      <c r="H652" s="71"/>
      <c r="I652" s="71"/>
      <c r="Y652" s="83"/>
      <c r="Z652" s="83"/>
      <c r="AA652" s="71"/>
      <c r="AB652" s="71"/>
      <c r="AC652" s="71"/>
      <c r="AD652" s="71"/>
      <c r="AE652" s="71"/>
      <c r="AF652" s="71"/>
      <c r="AG652" s="71"/>
      <c r="AJ652" s="71"/>
      <c r="AK652" s="71"/>
      <c r="AL652" s="71"/>
      <c r="AM652" s="71"/>
    </row>
    <row r="653" spans="8:39">
      <c r="H653" s="71"/>
      <c r="I653" s="71"/>
      <c r="Y653" s="83"/>
      <c r="Z653" s="83"/>
      <c r="AA653" s="71"/>
      <c r="AB653" s="71"/>
      <c r="AC653" s="71"/>
      <c r="AD653" s="71"/>
      <c r="AE653" s="71"/>
      <c r="AF653" s="71"/>
      <c r="AG653" s="71"/>
      <c r="AJ653" s="71"/>
      <c r="AK653" s="71"/>
      <c r="AL653" s="71"/>
      <c r="AM653" s="71"/>
    </row>
    <row r="654" spans="8:39">
      <c r="H654" s="71"/>
      <c r="I654" s="71"/>
      <c r="Y654" s="83"/>
      <c r="Z654" s="83"/>
      <c r="AA654" s="71"/>
      <c r="AB654" s="71"/>
      <c r="AC654" s="71"/>
      <c r="AD654" s="71"/>
      <c r="AE654" s="71"/>
      <c r="AF654" s="71"/>
      <c r="AG654" s="71"/>
      <c r="AJ654" s="71"/>
      <c r="AK654" s="71"/>
      <c r="AL654" s="71"/>
      <c r="AM654" s="71"/>
    </row>
    <row r="655" spans="8:39">
      <c r="H655" s="71"/>
      <c r="I655" s="71"/>
      <c r="Y655" s="83"/>
      <c r="Z655" s="83"/>
      <c r="AA655" s="71"/>
      <c r="AB655" s="71"/>
      <c r="AC655" s="71"/>
      <c r="AD655" s="71"/>
      <c r="AE655" s="71"/>
      <c r="AF655" s="71"/>
      <c r="AG655" s="71"/>
      <c r="AJ655" s="71"/>
      <c r="AK655" s="71"/>
      <c r="AL655" s="71"/>
      <c r="AM655" s="71"/>
    </row>
    <row r="656" spans="8:39">
      <c r="H656" s="71"/>
      <c r="I656" s="71"/>
      <c r="Y656" s="83"/>
      <c r="Z656" s="83"/>
      <c r="AA656" s="71"/>
      <c r="AB656" s="71"/>
      <c r="AC656" s="71"/>
      <c r="AD656" s="71"/>
      <c r="AE656" s="71"/>
      <c r="AF656" s="71"/>
      <c r="AG656" s="71"/>
      <c r="AJ656" s="71"/>
      <c r="AK656" s="71"/>
      <c r="AL656" s="71"/>
      <c r="AM656" s="71"/>
    </row>
    <row r="657" spans="8:39">
      <c r="H657" s="71"/>
      <c r="I657" s="71"/>
      <c r="Y657" s="83"/>
      <c r="Z657" s="83"/>
      <c r="AA657" s="71"/>
      <c r="AB657" s="71"/>
      <c r="AC657" s="71"/>
      <c r="AD657" s="71"/>
      <c r="AE657" s="71"/>
      <c r="AF657" s="71"/>
      <c r="AG657" s="71"/>
      <c r="AJ657" s="71"/>
      <c r="AK657" s="71"/>
      <c r="AL657" s="71"/>
      <c r="AM657" s="71"/>
    </row>
    <row r="658" spans="8:39">
      <c r="H658" s="71"/>
      <c r="I658" s="71"/>
      <c r="Y658" s="83"/>
      <c r="Z658" s="83"/>
      <c r="AA658" s="71"/>
      <c r="AB658" s="71"/>
      <c r="AC658" s="71"/>
      <c r="AD658" s="71"/>
      <c r="AE658" s="71"/>
      <c r="AF658" s="71"/>
      <c r="AG658" s="71"/>
      <c r="AJ658" s="71"/>
      <c r="AK658" s="71"/>
      <c r="AL658" s="71"/>
      <c r="AM658" s="71"/>
    </row>
    <row r="659" spans="8:39">
      <c r="H659" s="71"/>
      <c r="I659" s="71"/>
      <c r="Y659" s="83"/>
      <c r="Z659" s="83"/>
      <c r="AA659" s="71"/>
      <c r="AB659" s="71"/>
      <c r="AC659" s="71"/>
      <c r="AD659" s="71"/>
      <c r="AE659" s="71"/>
      <c r="AF659" s="71"/>
      <c r="AG659" s="71"/>
      <c r="AJ659" s="71"/>
      <c r="AK659" s="71"/>
      <c r="AL659" s="71"/>
      <c r="AM659" s="71"/>
    </row>
    <row r="660" spans="8:39">
      <c r="H660" s="71"/>
      <c r="I660" s="71"/>
      <c r="Y660" s="83"/>
      <c r="Z660" s="83"/>
      <c r="AA660" s="71"/>
      <c r="AB660" s="71"/>
      <c r="AC660" s="71"/>
      <c r="AD660" s="71"/>
      <c r="AE660" s="71"/>
      <c r="AF660" s="71"/>
      <c r="AG660" s="71"/>
      <c r="AJ660" s="71"/>
      <c r="AK660" s="71"/>
      <c r="AL660" s="71"/>
      <c r="AM660" s="71"/>
    </row>
    <row r="661" spans="8:39">
      <c r="H661" s="71"/>
      <c r="I661" s="71"/>
      <c r="Y661" s="83"/>
      <c r="Z661" s="83"/>
      <c r="AA661" s="71"/>
      <c r="AB661" s="71"/>
      <c r="AC661" s="71"/>
      <c r="AD661" s="71"/>
      <c r="AE661" s="71"/>
      <c r="AF661" s="71"/>
      <c r="AG661" s="71"/>
      <c r="AJ661" s="71"/>
      <c r="AK661" s="71"/>
      <c r="AL661" s="71"/>
      <c r="AM661" s="71"/>
    </row>
    <row r="662" spans="8:39">
      <c r="H662" s="71"/>
      <c r="I662" s="71"/>
      <c r="Y662" s="83"/>
      <c r="Z662" s="83"/>
      <c r="AA662" s="71"/>
      <c r="AB662" s="71"/>
      <c r="AC662" s="71"/>
      <c r="AD662" s="71"/>
      <c r="AE662" s="71"/>
      <c r="AF662" s="71"/>
      <c r="AG662" s="71"/>
      <c r="AJ662" s="71"/>
      <c r="AK662" s="71"/>
      <c r="AL662" s="71"/>
      <c r="AM662" s="71"/>
    </row>
    <row r="663" spans="8:39">
      <c r="H663" s="71"/>
      <c r="I663" s="71"/>
      <c r="Y663" s="83"/>
      <c r="Z663" s="83"/>
      <c r="AA663" s="71"/>
      <c r="AB663" s="71"/>
      <c r="AC663" s="71"/>
      <c r="AD663" s="71"/>
      <c r="AE663" s="71"/>
      <c r="AF663" s="71"/>
      <c r="AG663" s="71"/>
      <c r="AJ663" s="71"/>
      <c r="AK663" s="71"/>
      <c r="AL663" s="71"/>
      <c r="AM663" s="71"/>
    </row>
    <row r="664" spans="8:39">
      <c r="H664" s="71"/>
      <c r="I664" s="71"/>
      <c r="Y664" s="83"/>
      <c r="Z664" s="83"/>
      <c r="AA664" s="71"/>
      <c r="AB664" s="71"/>
      <c r="AC664" s="71"/>
      <c r="AD664" s="71"/>
      <c r="AE664" s="71"/>
      <c r="AF664" s="71"/>
      <c r="AG664" s="71"/>
      <c r="AJ664" s="71"/>
      <c r="AK664" s="71"/>
      <c r="AL664" s="71"/>
      <c r="AM664" s="71"/>
    </row>
    <row r="665" spans="8:39">
      <c r="H665" s="71"/>
      <c r="I665" s="71"/>
      <c r="Y665" s="83"/>
      <c r="Z665" s="83"/>
      <c r="AA665" s="71"/>
      <c r="AB665" s="71"/>
      <c r="AC665" s="71"/>
      <c r="AD665" s="71"/>
      <c r="AE665" s="71"/>
      <c r="AF665" s="71"/>
      <c r="AG665" s="71"/>
      <c r="AJ665" s="71"/>
      <c r="AK665" s="71"/>
      <c r="AL665" s="71"/>
      <c r="AM665" s="71"/>
    </row>
    <row r="666" spans="8:39">
      <c r="H666" s="71"/>
      <c r="I666" s="71"/>
      <c r="Y666" s="83"/>
      <c r="Z666" s="83"/>
      <c r="AA666" s="71"/>
      <c r="AB666" s="71"/>
      <c r="AC666" s="71"/>
      <c r="AD666" s="71"/>
      <c r="AE666" s="71"/>
      <c r="AF666" s="71"/>
      <c r="AG666" s="71"/>
      <c r="AJ666" s="71"/>
      <c r="AK666" s="71"/>
      <c r="AL666" s="71"/>
      <c r="AM666" s="71"/>
    </row>
    <row r="667" spans="8:39">
      <c r="H667" s="71"/>
      <c r="I667" s="71"/>
      <c r="Y667" s="83"/>
      <c r="Z667" s="83"/>
      <c r="AA667" s="71"/>
      <c r="AB667" s="71"/>
      <c r="AC667" s="71"/>
      <c r="AD667" s="71"/>
      <c r="AE667" s="71"/>
      <c r="AF667" s="71"/>
      <c r="AG667" s="71"/>
      <c r="AJ667" s="71"/>
      <c r="AK667" s="71"/>
      <c r="AL667" s="71"/>
      <c r="AM667" s="71"/>
    </row>
    <row r="668" spans="8:39">
      <c r="H668" s="71"/>
      <c r="I668" s="71"/>
      <c r="Y668" s="83"/>
      <c r="Z668" s="83"/>
      <c r="AA668" s="71"/>
      <c r="AB668" s="71"/>
      <c r="AC668" s="71"/>
      <c r="AD668" s="71"/>
      <c r="AE668" s="71"/>
      <c r="AF668" s="71"/>
      <c r="AG668" s="71"/>
      <c r="AJ668" s="71"/>
      <c r="AK668" s="71"/>
      <c r="AL668" s="71"/>
      <c r="AM668" s="71"/>
    </row>
    <row r="669" spans="8:39">
      <c r="H669" s="71"/>
      <c r="I669" s="71"/>
      <c r="Y669" s="83"/>
      <c r="Z669" s="83"/>
      <c r="AA669" s="71"/>
      <c r="AB669" s="71"/>
      <c r="AC669" s="71"/>
      <c r="AD669" s="71"/>
      <c r="AE669" s="71"/>
      <c r="AF669" s="71"/>
      <c r="AG669" s="71"/>
      <c r="AJ669" s="71"/>
      <c r="AK669" s="71"/>
      <c r="AL669" s="71"/>
      <c r="AM669" s="71"/>
    </row>
    <row r="670" spans="8:39">
      <c r="H670" s="71"/>
      <c r="I670" s="71"/>
      <c r="Y670" s="83"/>
      <c r="Z670" s="83"/>
      <c r="AA670" s="71"/>
      <c r="AB670" s="71"/>
      <c r="AC670" s="71"/>
      <c r="AD670" s="71"/>
      <c r="AE670" s="71"/>
      <c r="AF670" s="71"/>
      <c r="AG670" s="71"/>
      <c r="AJ670" s="71"/>
      <c r="AK670" s="71"/>
      <c r="AL670" s="71"/>
      <c r="AM670" s="71"/>
    </row>
    <row r="671" spans="8:39">
      <c r="H671" s="71"/>
      <c r="I671" s="71"/>
      <c r="Y671" s="83"/>
      <c r="Z671" s="83"/>
      <c r="AA671" s="71"/>
      <c r="AB671" s="71"/>
      <c r="AC671" s="71"/>
      <c r="AD671" s="71"/>
      <c r="AE671" s="71"/>
      <c r="AF671" s="71"/>
      <c r="AG671" s="71"/>
      <c r="AJ671" s="71"/>
      <c r="AK671" s="71"/>
      <c r="AL671" s="71"/>
      <c r="AM671" s="71"/>
    </row>
    <row r="672" spans="8:39">
      <c r="H672" s="71"/>
      <c r="I672" s="71"/>
      <c r="Y672" s="83"/>
      <c r="Z672" s="83"/>
      <c r="AA672" s="71"/>
      <c r="AB672" s="71"/>
      <c r="AC672" s="71"/>
      <c r="AD672" s="71"/>
      <c r="AE672" s="71"/>
      <c r="AF672" s="71"/>
      <c r="AG672" s="71"/>
      <c r="AJ672" s="71"/>
      <c r="AK672" s="71"/>
      <c r="AL672" s="71"/>
      <c r="AM672" s="71"/>
    </row>
    <row r="673" spans="8:39">
      <c r="H673" s="71"/>
      <c r="I673" s="71"/>
      <c r="Y673" s="83"/>
      <c r="Z673" s="83"/>
      <c r="AA673" s="71"/>
      <c r="AB673" s="71"/>
      <c r="AC673" s="71"/>
      <c r="AD673" s="71"/>
      <c r="AE673" s="71"/>
      <c r="AF673" s="71"/>
      <c r="AG673" s="71"/>
      <c r="AJ673" s="71"/>
      <c r="AK673" s="71"/>
      <c r="AL673" s="71"/>
      <c r="AM673" s="71"/>
    </row>
    <row r="674" spans="8:39">
      <c r="H674" s="71"/>
      <c r="I674" s="71"/>
      <c r="Y674" s="83"/>
      <c r="Z674" s="83"/>
      <c r="AA674" s="71"/>
      <c r="AB674" s="71"/>
      <c r="AC674" s="71"/>
      <c r="AD674" s="71"/>
      <c r="AE674" s="71"/>
      <c r="AF674" s="71"/>
      <c r="AG674" s="71"/>
      <c r="AJ674" s="71"/>
      <c r="AK674" s="71"/>
      <c r="AL674" s="71"/>
      <c r="AM674" s="71"/>
    </row>
    <row r="675" spans="8:39">
      <c r="H675" s="71"/>
      <c r="I675" s="71"/>
      <c r="Y675" s="83"/>
      <c r="Z675" s="83"/>
      <c r="AA675" s="71"/>
      <c r="AB675" s="71"/>
      <c r="AC675" s="71"/>
      <c r="AD675" s="71"/>
      <c r="AE675" s="71"/>
      <c r="AF675" s="71"/>
      <c r="AG675" s="71"/>
      <c r="AJ675" s="71"/>
      <c r="AK675" s="71"/>
      <c r="AL675" s="71"/>
      <c r="AM675" s="71"/>
    </row>
    <row r="676" spans="8:39">
      <c r="H676" s="71"/>
      <c r="I676" s="71"/>
      <c r="Y676" s="83"/>
      <c r="Z676" s="83"/>
      <c r="AA676" s="71"/>
      <c r="AB676" s="71"/>
      <c r="AC676" s="71"/>
      <c r="AD676" s="71"/>
      <c r="AE676" s="71"/>
      <c r="AF676" s="71"/>
      <c r="AG676" s="71"/>
      <c r="AJ676" s="71"/>
      <c r="AK676" s="71"/>
      <c r="AL676" s="71"/>
      <c r="AM676" s="71"/>
    </row>
    <row r="677" spans="8:39">
      <c r="H677" s="71"/>
      <c r="I677" s="71"/>
      <c r="Y677" s="83"/>
      <c r="Z677" s="83"/>
      <c r="AA677" s="71"/>
      <c r="AB677" s="71"/>
      <c r="AC677" s="71"/>
      <c r="AD677" s="71"/>
      <c r="AE677" s="71"/>
      <c r="AF677" s="71"/>
      <c r="AG677" s="71"/>
      <c r="AJ677" s="71"/>
      <c r="AK677" s="71"/>
      <c r="AL677" s="71"/>
      <c r="AM677" s="71"/>
    </row>
    <row r="678" spans="8:39">
      <c r="H678" s="71"/>
      <c r="I678" s="71"/>
      <c r="Y678" s="83"/>
      <c r="Z678" s="83"/>
      <c r="AA678" s="71"/>
      <c r="AB678" s="71"/>
      <c r="AC678" s="71"/>
      <c r="AD678" s="71"/>
      <c r="AE678" s="71"/>
      <c r="AF678" s="71"/>
      <c r="AG678" s="71"/>
      <c r="AJ678" s="71"/>
      <c r="AK678" s="71"/>
      <c r="AL678" s="71"/>
      <c r="AM678" s="71"/>
    </row>
    <row r="679" spans="8:39">
      <c r="H679" s="71"/>
      <c r="I679" s="71"/>
      <c r="Y679" s="83"/>
      <c r="Z679" s="83"/>
      <c r="AA679" s="71"/>
      <c r="AB679" s="71"/>
      <c r="AC679" s="71"/>
      <c r="AD679" s="71"/>
      <c r="AE679" s="71"/>
      <c r="AF679" s="71"/>
      <c r="AG679" s="71"/>
      <c r="AJ679" s="71"/>
      <c r="AK679" s="71"/>
      <c r="AL679" s="71"/>
      <c r="AM679" s="71"/>
    </row>
    <row r="680" spans="8:39">
      <c r="H680" s="71"/>
      <c r="I680" s="71"/>
      <c r="Y680" s="83"/>
      <c r="Z680" s="83"/>
      <c r="AA680" s="71"/>
      <c r="AB680" s="71"/>
      <c r="AC680" s="71"/>
      <c r="AD680" s="71"/>
      <c r="AE680" s="71"/>
      <c r="AF680" s="71"/>
      <c r="AG680" s="71"/>
      <c r="AJ680" s="71"/>
      <c r="AK680" s="71"/>
      <c r="AL680" s="71"/>
      <c r="AM680" s="71"/>
    </row>
    <row r="681" spans="8:39">
      <c r="H681" s="71"/>
      <c r="I681" s="71"/>
      <c r="Y681" s="83"/>
      <c r="Z681" s="83"/>
      <c r="AA681" s="71"/>
      <c r="AB681" s="71"/>
      <c r="AC681" s="71"/>
      <c r="AD681" s="71"/>
      <c r="AE681" s="71"/>
      <c r="AF681" s="71"/>
      <c r="AG681" s="71"/>
      <c r="AJ681" s="71"/>
      <c r="AK681" s="71"/>
      <c r="AL681" s="71"/>
      <c r="AM681" s="71"/>
    </row>
    <row r="682" spans="8:39">
      <c r="H682" s="71"/>
      <c r="I682" s="71"/>
      <c r="Y682" s="83"/>
      <c r="Z682" s="83"/>
      <c r="AA682" s="71"/>
      <c r="AB682" s="71"/>
      <c r="AC682" s="71"/>
      <c r="AD682" s="71"/>
      <c r="AE682" s="71"/>
      <c r="AF682" s="71"/>
      <c r="AG682" s="71"/>
      <c r="AJ682" s="71"/>
      <c r="AK682" s="71"/>
      <c r="AL682" s="71"/>
      <c r="AM682" s="71"/>
    </row>
    <row r="683" spans="8:39">
      <c r="H683" s="71"/>
      <c r="I683" s="71"/>
      <c r="Y683" s="83"/>
      <c r="Z683" s="83"/>
      <c r="AA683" s="71"/>
      <c r="AB683" s="71"/>
      <c r="AC683" s="71"/>
      <c r="AD683" s="71"/>
      <c r="AE683" s="71"/>
      <c r="AF683" s="71"/>
      <c r="AG683" s="71"/>
      <c r="AJ683" s="71"/>
      <c r="AK683" s="71"/>
      <c r="AL683" s="71"/>
      <c r="AM683" s="71"/>
    </row>
    <row r="684" spans="8:39">
      <c r="H684" s="71"/>
      <c r="I684" s="71"/>
      <c r="Y684" s="83"/>
      <c r="Z684" s="83"/>
      <c r="AA684" s="71"/>
      <c r="AB684" s="71"/>
      <c r="AC684" s="71"/>
      <c r="AD684" s="71"/>
      <c r="AE684" s="71"/>
      <c r="AF684" s="71"/>
      <c r="AG684" s="71"/>
      <c r="AJ684" s="71"/>
      <c r="AK684" s="71"/>
      <c r="AL684" s="71"/>
      <c r="AM684" s="71"/>
    </row>
    <row r="685" spans="8:39">
      <c r="H685" s="71"/>
      <c r="I685" s="71"/>
      <c r="Y685" s="83"/>
      <c r="Z685" s="83"/>
      <c r="AA685" s="71"/>
      <c r="AB685" s="71"/>
      <c r="AC685" s="71"/>
      <c r="AD685" s="71"/>
      <c r="AE685" s="71"/>
      <c r="AF685" s="71"/>
      <c r="AG685" s="71"/>
      <c r="AJ685" s="71"/>
      <c r="AK685" s="71"/>
      <c r="AL685" s="71"/>
      <c r="AM685" s="71"/>
    </row>
    <row r="686" spans="8:39">
      <c r="H686" s="71"/>
      <c r="I686" s="71"/>
      <c r="Y686" s="83"/>
      <c r="Z686" s="83"/>
      <c r="AA686" s="71"/>
      <c r="AB686" s="71"/>
      <c r="AC686" s="71"/>
      <c r="AD686" s="71"/>
      <c r="AE686" s="71"/>
      <c r="AF686" s="71"/>
      <c r="AG686" s="71"/>
      <c r="AJ686" s="71"/>
      <c r="AK686" s="71"/>
      <c r="AL686" s="71"/>
      <c r="AM686" s="71"/>
    </row>
    <row r="687" spans="8:39">
      <c r="H687" s="71"/>
      <c r="I687" s="71"/>
      <c r="Y687" s="83"/>
      <c r="Z687" s="83"/>
      <c r="AA687" s="71"/>
      <c r="AB687" s="71"/>
      <c r="AC687" s="71"/>
      <c r="AD687" s="71"/>
      <c r="AE687" s="71"/>
      <c r="AF687" s="71"/>
      <c r="AG687" s="71"/>
      <c r="AJ687" s="71"/>
      <c r="AK687" s="71"/>
      <c r="AL687" s="71"/>
      <c r="AM687" s="71"/>
    </row>
    <row r="688" spans="8:39">
      <c r="H688" s="71"/>
      <c r="I688" s="71"/>
      <c r="Y688" s="83"/>
      <c r="Z688" s="83"/>
      <c r="AA688" s="71"/>
      <c r="AB688" s="71"/>
      <c r="AC688" s="71"/>
      <c r="AD688" s="71"/>
      <c r="AE688" s="71"/>
      <c r="AF688" s="71"/>
      <c r="AG688" s="71"/>
      <c r="AJ688" s="71"/>
      <c r="AK688" s="71"/>
      <c r="AL688" s="71"/>
      <c r="AM688" s="71"/>
    </row>
    <row r="689" spans="8:39">
      <c r="H689" s="71"/>
      <c r="I689" s="71"/>
      <c r="Y689" s="83"/>
      <c r="Z689" s="83"/>
      <c r="AA689" s="71"/>
      <c r="AB689" s="71"/>
      <c r="AC689" s="71"/>
      <c r="AD689" s="71"/>
      <c r="AE689" s="71"/>
      <c r="AF689" s="71"/>
      <c r="AG689" s="71"/>
      <c r="AJ689" s="71"/>
      <c r="AK689" s="71"/>
      <c r="AL689" s="71"/>
      <c r="AM689" s="71"/>
    </row>
    <row r="690" spans="8:39">
      <c r="H690" s="71"/>
      <c r="I690" s="71"/>
      <c r="Y690" s="83"/>
      <c r="Z690" s="83"/>
      <c r="AA690" s="71"/>
      <c r="AB690" s="71"/>
      <c r="AC690" s="71"/>
      <c r="AD690" s="71"/>
      <c r="AE690" s="71"/>
      <c r="AF690" s="71"/>
      <c r="AG690" s="71"/>
      <c r="AJ690" s="71"/>
      <c r="AK690" s="71"/>
      <c r="AL690" s="71"/>
      <c r="AM690" s="71"/>
    </row>
    <row r="691" spans="8:39">
      <c r="H691" s="71"/>
      <c r="I691" s="71"/>
      <c r="Y691" s="83"/>
      <c r="Z691" s="83"/>
      <c r="AA691" s="71"/>
      <c r="AB691" s="71"/>
      <c r="AC691" s="71"/>
      <c r="AD691" s="71"/>
      <c r="AE691" s="71"/>
      <c r="AF691" s="71"/>
      <c r="AG691" s="71"/>
      <c r="AJ691" s="71"/>
      <c r="AK691" s="71"/>
      <c r="AL691" s="71"/>
      <c r="AM691" s="71"/>
    </row>
    <row r="692" spans="8:39">
      <c r="H692" s="71"/>
      <c r="I692" s="71"/>
      <c r="Y692" s="83"/>
      <c r="Z692" s="83"/>
      <c r="AA692" s="71"/>
      <c r="AB692" s="71"/>
      <c r="AC692" s="71"/>
      <c r="AD692" s="71"/>
      <c r="AE692" s="71"/>
      <c r="AF692" s="71"/>
      <c r="AG692" s="71"/>
      <c r="AJ692" s="71"/>
      <c r="AK692" s="71"/>
      <c r="AL692" s="71"/>
      <c r="AM692" s="71"/>
    </row>
    <row r="693" spans="8:39">
      <c r="H693" s="71"/>
      <c r="I693" s="71"/>
      <c r="Y693" s="83"/>
      <c r="Z693" s="83"/>
      <c r="AA693" s="71"/>
      <c r="AB693" s="71"/>
      <c r="AC693" s="71"/>
      <c r="AD693" s="71"/>
      <c r="AE693" s="71"/>
      <c r="AF693" s="71"/>
      <c r="AG693" s="71"/>
      <c r="AJ693" s="71"/>
      <c r="AK693" s="71"/>
      <c r="AL693" s="71"/>
      <c r="AM693" s="71"/>
    </row>
    <row r="694" spans="8:39">
      <c r="H694" s="71"/>
      <c r="I694" s="71"/>
      <c r="Y694" s="83"/>
      <c r="Z694" s="83"/>
      <c r="AA694" s="71"/>
      <c r="AB694" s="71"/>
      <c r="AC694" s="71"/>
      <c r="AD694" s="71"/>
      <c r="AE694" s="71"/>
      <c r="AF694" s="71"/>
      <c r="AG694" s="71"/>
      <c r="AJ694" s="71"/>
      <c r="AK694" s="71"/>
      <c r="AL694" s="71"/>
      <c r="AM694" s="71"/>
    </row>
    <row r="695" spans="8:39">
      <c r="H695" s="71"/>
      <c r="I695" s="71"/>
      <c r="Y695" s="83"/>
      <c r="Z695" s="83"/>
      <c r="AA695" s="71"/>
      <c r="AB695" s="71"/>
      <c r="AC695" s="71"/>
      <c r="AD695" s="71"/>
      <c r="AE695" s="71"/>
      <c r="AF695" s="71"/>
      <c r="AG695" s="71"/>
      <c r="AJ695" s="71"/>
      <c r="AK695" s="71"/>
      <c r="AL695" s="71"/>
      <c r="AM695" s="71"/>
    </row>
    <row r="696" spans="8:39">
      <c r="H696" s="71"/>
      <c r="I696" s="71"/>
      <c r="Y696" s="83"/>
      <c r="Z696" s="83"/>
      <c r="AA696" s="71"/>
      <c r="AB696" s="71"/>
      <c r="AC696" s="71"/>
      <c r="AD696" s="71"/>
      <c r="AE696" s="71"/>
      <c r="AF696" s="71"/>
      <c r="AG696" s="71"/>
      <c r="AJ696" s="71"/>
      <c r="AK696" s="71"/>
      <c r="AL696" s="71"/>
      <c r="AM696" s="71"/>
    </row>
    <row r="697" spans="8:39">
      <c r="H697" s="71"/>
      <c r="I697" s="71"/>
      <c r="Y697" s="83"/>
      <c r="Z697" s="83"/>
      <c r="AA697" s="71"/>
      <c r="AB697" s="71"/>
      <c r="AC697" s="71"/>
      <c r="AD697" s="71"/>
      <c r="AE697" s="71"/>
      <c r="AF697" s="71"/>
      <c r="AG697" s="71"/>
      <c r="AJ697" s="71"/>
      <c r="AK697" s="71"/>
      <c r="AL697" s="71"/>
      <c r="AM697" s="71"/>
    </row>
    <row r="698" spans="8:39">
      <c r="H698" s="71"/>
      <c r="I698" s="71"/>
      <c r="Y698" s="83"/>
      <c r="Z698" s="83"/>
      <c r="AA698" s="71"/>
      <c r="AB698" s="71"/>
      <c r="AC698" s="71"/>
      <c r="AD698" s="71"/>
      <c r="AE698" s="71"/>
      <c r="AF698" s="71"/>
      <c r="AG698" s="71"/>
      <c r="AJ698" s="71"/>
      <c r="AK698" s="71"/>
      <c r="AL698" s="71"/>
      <c r="AM698" s="71"/>
    </row>
    <row r="699" spans="8:39">
      <c r="H699" s="71"/>
      <c r="I699" s="71"/>
      <c r="Y699" s="83"/>
      <c r="Z699" s="83"/>
      <c r="AA699" s="71"/>
      <c r="AB699" s="71"/>
      <c r="AC699" s="71"/>
      <c r="AD699" s="71"/>
      <c r="AE699" s="71"/>
      <c r="AF699" s="71"/>
      <c r="AG699" s="71"/>
      <c r="AJ699" s="71"/>
      <c r="AK699" s="71"/>
      <c r="AL699" s="71"/>
      <c r="AM699" s="71"/>
    </row>
    <row r="700" spans="8:39">
      <c r="H700" s="71"/>
      <c r="I700" s="71"/>
      <c r="Y700" s="83"/>
      <c r="Z700" s="83"/>
      <c r="AA700" s="71"/>
      <c r="AB700" s="71"/>
      <c r="AC700" s="71"/>
      <c r="AD700" s="71"/>
      <c r="AE700" s="71"/>
      <c r="AF700" s="71"/>
      <c r="AG700" s="71"/>
      <c r="AJ700" s="71"/>
      <c r="AK700" s="71"/>
      <c r="AL700" s="71"/>
      <c r="AM700" s="71"/>
    </row>
    <row r="701" spans="8:39">
      <c r="H701" s="71"/>
      <c r="I701" s="71"/>
      <c r="Y701" s="83"/>
      <c r="Z701" s="83"/>
      <c r="AA701" s="71"/>
      <c r="AB701" s="71"/>
      <c r="AC701" s="71"/>
      <c r="AD701" s="71"/>
      <c r="AE701" s="71"/>
      <c r="AF701" s="71"/>
      <c r="AG701" s="71"/>
      <c r="AJ701" s="71"/>
      <c r="AK701" s="71"/>
      <c r="AL701" s="71"/>
      <c r="AM701" s="71"/>
    </row>
    <row r="702" spans="8:39">
      <c r="H702" s="71"/>
      <c r="I702" s="71"/>
      <c r="Y702" s="83"/>
      <c r="Z702" s="83"/>
      <c r="AA702" s="71"/>
      <c r="AB702" s="71"/>
      <c r="AC702" s="71"/>
      <c r="AD702" s="71"/>
      <c r="AE702" s="71"/>
      <c r="AF702" s="71"/>
      <c r="AG702" s="71"/>
      <c r="AJ702" s="71"/>
      <c r="AK702" s="71"/>
      <c r="AL702" s="71"/>
      <c r="AM702" s="71"/>
    </row>
    <row r="703" spans="8:39">
      <c r="H703" s="71"/>
      <c r="I703" s="71"/>
      <c r="Y703" s="83"/>
      <c r="Z703" s="83"/>
      <c r="AA703" s="71"/>
      <c r="AB703" s="71"/>
      <c r="AC703" s="71"/>
      <c r="AD703" s="71"/>
      <c r="AE703" s="71"/>
      <c r="AF703" s="71"/>
      <c r="AG703" s="71"/>
      <c r="AJ703" s="71"/>
      <c r="AK703" s="71"/>
      <c r="AL703" s="71"/>
      <c r="AM703" s="71"/>
    </row>
    <row r="704" spans="8:39">
      <c r="H704" s="71"/>
      <c r="I704" s="71"/>
      <c r="Y704" s="83"/>
      <c r="Z704" s="83"/>
      <c r="AA704" s="71"/>
      <c r="AB704" s="71"/>
      <c r="AC704" s="71"/>
      <c r="AD704" s="71"/>
      <c r="AE704" s="71"/>
      <c r="AF704" s="71"/>
      <c r="AG704" s="71"/>
      <c r="AJ704" s="71"/>
      <c r="AK704" s="71"/>
      <c r="AL704" s="71"/>
      <c r="AM704" s="71"/>
    </row>
    <row r="705" spans="8:39">
      <c r="H705" s="71"/>
      <c r="I705" s="71"/>
      <c r="Y705" s="83"/>
      <c r="Z705" s="83"/>
      <c r="AA705" s="71"/>
      <c r="AB705" s="71"/>
      <c r="AC705" s="71"/>
      <c r="AD705" s="71"/>
      <c r="AE705" s="71"/>
      <c r="AF705" s="71"/>
      <c r="AG705" s="71"/>
      <c r="AJ705" s="71"/>
      <c r="AK705" s="71"/>
      <c r="AL705" s="71"/>
      <c r="AM705" s="71"/>
    </row>
    <row r="706" spans="8:39">
      <c r="H706" s="71"/>
      <c r="I706" s="71"/>
      <c r="Y706" s="83"/>
      <c r="Z706" s="83"/>
      <c r="AA706" s="71"/>
      <c r="AB706" s="71"/>
      <c r="AC706" s="71"/>
      <c r="AD706" s="71"/>
      <c r="AE706" s="71"/>
      <c r="AF706" s="71"/>
      <c r="AG706" s="71"/>
      <c r="AJ706" s="71"/>
      <c r="AK706" s="71"/>
      <c r="AL706" s="71"/>
      <c r="AM706" s="71"/>
    </row>
    <row r="707" spans="8:39">
      <c r="H707" s="71"/>
      <c r="I707" s="71"/>
      <c r="Y707" s="83"/>
      <c r="Z707" s="83"/>
      <c r="AA707" s="71"/>
      <c r="AB707" s="71"/>
      <c r="AC707" s="71"/>
      <c r="AD707" s="71"/>
      <c r="AE707" s="71"/>
      <c r="AF707" s="71"/>
      <c r="AG707" s="71"/>
      <c r="AJ707" s="71"/>
      <c r="AK707" s="71"/>
      <c r="AL707" s="71"/>
      <c r="AM707" s="71"/>
    </row>
    <row r="708" spans="8:39">
      <c r="H708" s="71"/>
      <c r="I708" s="71"/>
      <c r="Y708" s="83"/>
      <c r="Z708" s="83"/>
      <c r="AA708" s="71"/>
      <c r="AB708" s="71"/>
      <c r="AC708" s="71"/>
      <c r="AD708" s="71"/>
      <c r="AE708" s="71"/>
      <c r="AF708" s="71"/>
      <c r="AG708" s="71"/>
      <c r="AJ708" s="71"/>
      <c r="AK708" s="71"/>
      <c r="AL708" s="71"/>
      <c r="AM708" s="71"/>
    </row>
    <row r="709" spans="8:39">
      <c r="H709" s="71"/>
      <c r="I709" s="71"/>
      <c r="Y709" s="83"/>
      <c r="Z709" s="83"/>
      <c r="AA709" s="71"/>
      <c r="AB709" s="71"/>
      <c r="AC709" s="71"/>
      <c r="AD709" s="71"/>
      <c r="AE709" s="71"/>
      <c r="AF709" s="71"/>
      <c r="AG709" s="71"/>
      <c r="AJ709" s="71"/>
      <c r="AK709" s="71"/>
      <c r="AL709" s="71"/>
      <c r="AM709" s="71"/>
    </row>
    <row r="710" spans="8:39">
      <c r="H710" s="71"/>
      <c r="I710" s="71"/>
      <c r="Y710" s="83"/>
      <c r="Z710" s="83"/>
      <c r="AA710" s="71"/>
      <c r="AB710" s="71"/>
      <c r="AC710" s="71"/>
      <c r="AD710" s="71"/>
      <c r="AE710" s="71"/>
      <c r="AF710" s="71"/>
      <c r="AG710" s="71"/>
      <c r="AJ710" s="71"/>
      <c r="AK710" s="71"/>
      <c r="AL710" s="71"/>
      <c r="AM710" s="71"/>
    </row>
    <row r="711" spans="8:39">
      <c r="H711" s="71"/>
      <c r="I711" s="71"/>
      <c r="Y711" s="83"/>
      <c r="Z711" s="83"/>
      <c r="AA711" s="71"/>
      <c r="AB711" s="71"/>
      <c r="AC711" s="71"/>
      <c r="AD711" s="71"/>
      <c r="AE711" s="71"/>
      <c r="AF711" s="71"/>
      <c r="AG711" s="71"/>
      <c r="AJ711" s="71"/>
      <c r="AK711" s="71"/>
      <c r="AL711" s="71"/>
      <c r="AM711" s="71"/>
    </row>
    <row r="712" spans="8:39">
      <c r="H712" s="71"/>
      <c r="I712" s="71"/>
      <c r="Y712" s="83"/>
      <c r="Z712" s="83"/>
      <c r="AA712" s="71"/>
      <c r="AB712" s="71"/>
      <c r="AC712" s="71"/>
      <c r="AD712" s="71"/>
      <c r="AE712" s="71"/>
      <c r="AF712" s="71"/>
      <c r="AG712" s="71"/>
      <c r="AJ712" s="71"/>
      <c r="AK712" s="71"/>
      <c r="AL712" s="71"/>
      <c r="AM712" s="71"/>
    </row>
    <row r="713" spans="8:39">
      <c r="H713" s="71"/>
      <c r="I713" s="71"/>
      <c r="Y713" s="83"/>
      <c r="Z713" s="83"/>
      <c r="AA713" s="71"/>
      <c r="AB713" s="71"/>
      <c r="AC713" s="71"/>
      <c r="AD713" s="71"/>
      <c r="AE713" s="71"/>
      <c r="AF713" s="71"/>
      <c r="AG713" s="71"/>
      <c r="AJ713" s="71"/>
      <c r="AK713" s="71"/>
      <c r="AL713" s="71"/>
      <c r="AM713" s="71"/>
    </row>
    <row r="714" spans="8:39">
      <c r="H714" s="71"/>
      <c r="I714" s="71"/>
      <c r="Y714" s="83"/>
      <c r="Z714" s="83"/>
      <c r="AA714" s="71"/>
      <c r="AB714" s="71"/>
      <c r="AC714" s="71"/>
      <c r="AD714" s="71"/>
      <c r="AE714" s="71"/>
      <c r="AF714" s="71"/>
      <c r="AG714" s="71"/>
      <c r="AJ714" s="71"/>
      <c r="AK714" s="71"/>
      <c r="AL714" s="71"/>
      <c r="AM714" s="71"/>
    </row>
    <row r="715" spans="8:39">
      <c r="H715" s="71"/>
      <c r="I715" s="71"/>
      <c r="Y715" s="83"/>
      <c r="Z715" s="83"/>
      <c r="AA715" s="71"/>
      <c r="AB715" s="71"/>
      <c r="AC715" s="71"/>
      <c r="AD715" s="71"/>
      <c r="AE715" s="71"/>
      <c r="AF715" s="71"/>
      <c r="AG715" s="71"/>
      <c r="AJ715" s="71"/>
      <c r="AK715" s="71"/>
      <c r="AL715" s="71"/>
      <c r="AM715" s="71"/>
    </row>
    <row r="716" spans="8:39">
      <c r="H716" s="71"/>
      <c r="I716" s="71"/>
      <c r="Y716" s="83"/>
      <c r="Z716" s="83"/>
      <c r="AA716" s="71"/>
      <c r="AB716" s="71"/>
      <c r="AC716" s="71"/>
      <c r="AD716" s="71"/>
      <c r="AE716" s="71"/>
      <c r="AF716" s="71"/>
      <c r="AG716" s="71"/>
      <c r="AJ716" s="71"/>
      <c r="AK716" s="71"/>
      <c r="AL716" s="71"/>
      <c r="AM716" s="71"/>
    </row>
    <row r="717" spans="8:39">
      <c r="H717" s="71"/>
      <c r="I717" s="71"/>
      <c r="Y717" s="83"/>
      <c r="Z717" s="83"/>
      <c r="AA717" s="71"/>
      <c r="AB717" s="71"/>
      <c r="AC717" s="71"/>
      <c r="AD717" s="71"/>
      <c r="AE717" s="71"/>
      <c r="AF717" s="71"/>
      <c r="AG717" s="71"/>
      <c r="AJ717" s="71"/>
      <c r="AK717" s="71"/>
      <c r="AL717" s="71"/>
      <c r="AM717" s="71"/>
    </row>
    <row r="718" spans="8:39">
      <c r="H718" s="71"/>
      <c r="I718" s="71"/>
      <c r="Y718" s="83"/>
      <c r="Z718" s="83"/>
      <c r="AA718" s="71"/>
      <c r="AB718" s="71"/>
      <c r="AC718" s="71"/>
      <c r="AD718" s="71"/>
      <c r="AE718" s="71"/>
      <c r="AF718" s="71"/>
      <c r="AG718" s="71"/>
      <c r="AJ718" s="71"/>
      <c r="AK718" s="71"/>
      <c r="AL718" s="71"/>
      <c r="AM718" s="71"/>
    </row>
    <row r="719" spans="8:39">
      <c r="H719" s="71"/>
      <c r="I719" s="71"/>
      <c r="Y719" s="83"/>
      <c r="Z719" s="83"/>
      <c r="AA719" s="71"/>
      <c r="AB719" s="71"/>
      <c r="AC719" s="71"/>
      <c r="AD719" s="71"/>
      <c r="AE719" s="71"/>
      <c r="AF719" s="71"/>
      <c r="AG719" s="71"/>
      <c r="AJ719" s="71"/>
      <c r="AK719" s="71"/>
      <c r="AL719" s="71"/>
      <c r="AM719" s="71"/>
    </row>
    <row r="720" spans="8:39">
      <c r="H720" s="71"/>
      <c r="I720" s="71"/>
      <c r="Y720" s="83"/>
      <c r="Z720" s="83"/>
      <c r="AA720" s="71"/>
      <c r="AB720" s="71"/>
      <c r="AC720" s="71"/>
      <c r="AD720" s="71"/>
      <c r="AE720" s="71"/>
      <c r="AF720" s="71"/>
      <c r="AG720" s="71"/>
      <c r="AJ720" s="71"/>
      <c r="AK720" s="71"/>
      <c r="AL720" s="71"/>
      <c r="AM720" s="71"/>
    </row>
    <row r="721" spans="8:39">
      <c r="H721" s="71"/>
      <c r="I721" s="71"/>
      <c r="Y721" s="83"/>
      <c r="Z721" s="83"/>
      <c r="AA721" s="71"/>
      <c r="AB721" s="71"/>
      <c r="AC721" s="71"/>
      <c r="AD721" s="71"/>
      <c r="AE721" s="71"/>
      <c r="AF721" s="71"/>
      <c r="AG721" s="71"/>
      <c r="AJ721" s="71"/>
      <c r="AK721" s="71"/>
      <c r="AL721" s="71"/>
      <c r="AM721" s="71"/>
    </row>
    <row r="722" spans="8:39">
      <c r="H722" s="71"/>
      <c r="I722" s="71"/>
      <c r="Y722" s="83"/>
      <c r="Z722" s="83"/>
      <c r="AA722" s="71"/>
      <c r="AB722" s="71"/>
      <c r="AC722" s="71"/>
      <c r="AD722" s="71"/>
      <c r="AE722" s="71"/>
      <c r="AF722" s="71"/>
      <c r="AG722" s="71"/>
      <c r="AJ722" s="71"/>
      <c r="AK722" s="71"/>
      <c r="AL722" s="71"/>
      <c r="AM722" s="71"/>
    </row>
    <row r="723" spans="8:39">
      <c r="H723" s="71"/>
      <c r="I723" s="71"/>
      <c r="Y723" s="83"/>
      <c r="Z723" s="83"/>
      <c r="AA723" s="71"/>
      <c r="AB723" s="71"/>
      <c r="AC723" s="71"/>
      <c r="AD723" s="71"/>
      <c r="AE723" s="71"/>
      <c r="AF723" s="71"/>
      <c r="AG723" s="71"/>
      <c r="AJ723" s="71"/>
      <c r="AK723" s="71"/>
      <c r="AL723" s="71"/>
      <c r="AM723" s="71"/>
    </row>
    <row r="724" spans="8:39">
      <c r="H724" s="71"/>
      <c r="I724" s="71"/>
      <c r="Y724" s="83"/>
      <c r="Z724" s="83"/>
      <c r="AA724" s="71"/>
      <c r="AB724" s="71"/>
      <c r="AC724" s="71"/>
      <c r="AD724" s="71"/>
      <c r="AE724" s="71"/>
      <c r="AF724" s="71"/>
      <c r="AG724" s="71"/>
      <c r="AJ724" s="71"/>
      <c r="AK724" s="71"/>
      <c r="AL724" s="71"/>
      <c r="AM724" s="71"/>
    </row>
    <row r="725" spans="8:39">
      <c r="H725" s="71"/>
      <c r="I725" s="71"/>
      <c r="Y725" s="83"/>
      <c r="Z725" s="83"/>
      <c r="AA725" s="71"/>
      <c r="AB725" s="71"/>
      <c r="AC725" s="71"/>
      <c r="AD725" s="71"/>
      <c r="AE725" s="71"/>
      <c r="AF725" s="71"/>
      <c r="AG725" s="71"/>
      <c r="AJ725" s="71"/>
      <c r="AK725" s="71"/>
      <c r="AL725" s="71"/>
      <c r="AM725" s="71"/>
    </row>
    <row r="726" spans="8:39">
      <c r="H726" s="71"/>
      <c r="I726" s="71"/>
      <c r="Y726" s="83"/>
      <c r="Z726" s="83"/>
      <c r="AA726" s="71"/>
      <c r="AB726" s="71"/>
      <c r="AC726" s="71"/>
      <c r="AD726" s="71"/>
      <c r="AE726" s="71"/>
      <c r="AF726" s="71"/>
      <c r="AG726" s="71"/>
      <c r="AJ726" s="71"/>
      <c r="AK726" s="71"/>
      <c r="AL726" s="71"/>
      <c r="AM726" s="71"/>
    </row>
    <row r="727" spans="8:39">
      <c r="H727" s="71"/>
      <c r="I727" s="71"/>
      <c r="Y727" s="83"/>
      <c r="Z727" s="83"/>
      <c r="AA727" s="71"/>
      <c r="AB727" s="71"/>
      <c r="AC727" s="71"/>
      <c r="AD727" s="71"/>
      <c r="AE727" s="71"/>
      <c r="AF727" s="71"/>
      <c r="AG727" s="71"/>
      <c r="AJ727" s="71"/>
      <c r="AK727" s="71"/>
      <c r="AL727" s="71"/>
      <c r="AM727" s="71"/>
    </row>
    <row r="728" spans="8:39">
      <c r="H728" s="71"/>
      <c r="I728" s="71"/>
      <c r="Y728" s="83"/>
      <c r="Z728" s="83"/>
      <c r="AA728" s="71"/>
      <c r="AB728" s="71"/>
      <c r="AC728" s="71"/>
      <c r="AD728" s="71"/>
      <c r="AE728" s="71"/>
      <c r="AF728" s="71"/>
      <c r="AG728" s="71"/>
      <c r="AJ728" s="71"/>
      <c r="AK728" s="71"/>
      <c r="AL728" s="71"/>
      <c r="AM728" s="71"/>
    </row>
    <row r="729" spans="8:39">
      <c r="H729" s="71"/>
      <c r="I729" s="71"/>
      <c r="Y729" s="83"/>
      <c r="Z729" s="83"/>
      <c r="AA729" s="71"/>
      <c r="AB729" s="71"/>
      <c r="AC729" s="71"/>
      <c r="AD729" s="71"/>
      <c r="AE729" s="71"/>
      <c r="AF729" s="71"/>
      <c r="AG729" s="71"/>
      <c r="AJ729" s="71"/>
      <c r="AK729" s="71"/>
      <c r="AL729" s="71"/>
      <c r="AM729" s="71"/>
    </row>
    <row r="730" spans="8:39">
      <c r="H730" s="71"/>
      <c r="I730" s="71"/>
      <c r="Y730" s="83"/>
      <c r="Z730" s="83"/>
      <c r="AA730" s="71"/>
      <c r="AB730" s="71"/>
      <c r="AC730" s="71"/>
      <c r="AD730" s="71"/>
      <c r="AE730" s="71"/>
      <c r="AF730" s="71"/>
      <c r="AG730" s="71"/>
      <c r="AJ730" s="71"/>
      <c r="AK730" s="71"/>
      <c r="AL730" s="71"/>
      <c r="AM730" s="71"/>
    </row>
    <row r="731" spans="8:39">
      <c r="H731" s="71"/>
      <c r="I731" s="71"/>
      <c r="Y731" s="83"/>
      <c r="Z731" s="83"/>
      <c r="AA731" s="71"/>
      <c r="AB731" s="71"/>
      <c r="AC731" s="71"/>
      <c r="AD731" s="71"/>
      <c r="AE731" s="71"/>
      <c r="AF731" s="71"/>
      <c r="AG731" s="71"/>
      <c r="AJ731" s="71"/>
      <c r="AK731" s="71"/>
      <c r="AL731" s="71"/>
      <c r="AM731" s="71"/>
    </row>
    <row r="732" spans="8:39">
      <c r="H732" s="71"/>
      <c r="I732" s="71"/>
      <c r="Y732" s="83"/>
      <c r="Z732" s="83"/>
      <c r="AA732" s="71"/>
      <c r="AB732" s="71"/>
      <c r="AC732" s="71"/>
      <c r="AD732" s="71"/>
      <c r="AE732" s="71"/>
      <c r="AF732" s="71"/>
      <c r="AG732" s="71"/>
      <c r="AJ732" s="71"/>
      <c r="AK732" s="71"/>
      <c r="AL732" s="71"/>
      <c r="AM732" s="71"/>
    </row>
    <row r="733" spans="8:39">
      <c r="H733" s="71"/>
      <c r="I733" s="71"/>
      <c r="Y733" s="83"/>
      <c r="Z733" s="83"/>
      <c r="AA733" s="71"/>
      <c r="AB733" s="71"/>
      <c r="AC733" s="71"/>
      <c r="AD733" s="71"/>
      <c r="AE733" s="71"/>
      <c r="AF733" s="71"/>
      <c r="AG733" s="71"/>
      <c r="AJ733" s="71"/>
      <c r="AK733" s="71"/>
      <c r="AL733" s="71"/>
      <c r="AM733" s="71"/>
    </row>
    <row r="734" spans="8:39">
      <c r="H734" s="71"/>
      <c r="I734" s="71"/>
      <c r="Y734" s="83"/>
      <c r="Z734" s="83"/>
      <c r="AA734" s="71"/>
      <c r="AB734" s="71"/>
      <c r="AC734" s="71"/>
      <c r="AD734" s="71"/>
      <c r="AE734" s="71"/>
      <c r="AF734" s="71"/>
      <c r="AG734" s="71"/>
      <c r="AJ734" s="71"/>
      <c r="AK734" s="71"/>
      <c r="AL734" s="71"/>
      <c r="AM734" s="71"/>
    </row>
    <row r="735" spans="8:39">
      <c r="H735" s="71"/>
      <c r="I735" s="71"/>
      <c r="Y735" s="83"/>
      <c r="Z735" s="83"/>
      <c r="AA735" s="71"/>
      <c r="AB735" s="71"/>
      <c r="AC735" s="71"/>
      <c r="AD735" s="71"/>
      <c r="AE735" s="71"/>
      <c r="AF735" s="71"/>
      <c r="AG735" s="71"/>
      <c r="AJ735" s="71"/>
      <c r="AK735" s="71"/>
      <c r="AL735" s="71"/>
      <c r="AM735" s="71"/>
    </row>
    <row r="736" spans="8:39">
      <c r="H736" s="71"/>
      <c r="I736" s="71"/>
      <c r="Y736" s="83"/>
      <c r="Z736" s="83"/>
      <c r="AA736" s="71"/>
      <c r="AB736" s="71"/>
      <c r="AC736" s="71"/>
      <c r="AD736" s="71"/>
      <c r="AE736" s="71"/>
      <c r="AF736" s="71"/>
      <c r="AG736" s="71"/>
      <c r="AJ736" s="71"/>
      <c r="AK736" s="71"/>
      <c r="AL736" s="71"/>
      <c r="AM736" s="71"/>
    </row>
    <row r="737" spans="8:39">
      <c r="H737" s="71"/>
      <c r="I737" s="71"/>
      <c r="Y737" s="83"/>
      <c r="Z737" s="83"/>
      <c r="AA737" s="71"/>
      <c r="AB737" s="71"/>
      <c r="AC737" s="71"/>
      <c r="AD737" s="71"/>
      <c r="AE737" s="71"/>
      <c r="AF737" s="71"/>
      <c r="AG737" s="71"/>
      <c r="AJ737" s="71"/>
      <c r="AK737" s="71"/>
      <c r="AL737" s="71"/>
      <c r="AM737" s="71"/>
    </row>
    <row r="738" spans="8:39">
      <c r="H738" s="71"/>
      <c r="I738" s="71"/>
      <c r="Y738" s="83"/>
      <c r="Z738" s="83"/>
      <c r="AA738" s="71"/>
      <c r="AB738" s="71"/>
      <c r="AC738" s="71"/>
      <c r="AD738" s="71"/>
      <c r="AE738" s="71"/>
      <c r="AF738" s="71"/>
      <c r="AG738" s="71"/>
      <c r="AJ738" s="71"/>
      <c r="AK738" s="71"/>
      <c r="AL738" s="71"/>
      <c r="AM738" s="71"/>
    </row>
    <row r="739" spans="8:39">
      <c r="H739" s="71"/>
      <c r="I739" s="71"/>
      <c r="Y739" s="83"/>
      <c r="Z739" s="83"/>
      <c r="AA739" s="71"/>
      <c r="AB739" s="71"/>
      <c r="AC739" s="71"/>
      <c r="AD739" s="71"/>
      <c r="AE739" s="71"/>
      <c r="AF739" s="71"/>
      <c r="AG739" s="71"/>
      <c r="AJ739" s="71"/>
      <c r="AK739" s="71"/>
      <c r="AL739" s="71"/>
      <c r="AM739" s="71"/>
    </row>
    <row r="740" spans="8:39">
      <c r="H740" s="71"/>
      <c r="I740" s="71"/>
      <c r="Y740" s="83"/>
      <c r="Z740" s="83"/>
      <c r="AA740" s="71"/>
      <c r="AB740" s="71"/>
      <c r="AC740" s="71"/>
      <c r="AD740" s="71"/>
      <c r="AE740" s="71"/>
      <c r="AF740" s="71"/>
      <c r="AG740" s="71"/>
      <c r="AJ740" s="71"/>
      <c r="AK740" s="71"/>
      <c r="AL740" s="71"/>
      <c r="AM740" s="71"/>
    </row>
    <row r="741" spans="8:39">
      <c r="H741" s="71"/>
      <c r="I741" s="71"/>
      <c r="Y741" s="83"/>
      <c r="Z741" s="83"/>
      <c r="AA741" s="71"/>
      <c r="AB741" s="71"/>
      <c r="AC741" s="71"/>
      <c r="AD741" s="71"/>
      <c r="AE741" s="71"/>
      <c r="AF741" s="71"/>
      <c r="AG741" s="71"/>
      <c r="AJ741" s="71"/>
      <c r="AK741" s="71"/>
      <c r="AL741" s="71"/>
      <c r="AM741" s="71"/>
    </row>
    <row r="742" spans="8:39">
      <c r="H742" s="71"/>
      <c r="I742" s="71"/>
      <c r="Y742" s="83"/>
      <c r="Z742" s="83"/>
      <c r="AA742" s="71"/>
      <c r="AB742" s="71"/>
      <c r="AC742" s="71"/>
      <c r="AD742" s="71"/>
      <c r="AE742" s="71"/>
      <c r="AF742" s="71"/>
      <c r="AG742" s="71"/>
      <c r="AJ742" s="71"/>
      <c r="AK742" s="71"/>
      <c r="AL742" s="71"/>
      <c r="AM742" s="71"/>
    </row>
    <row r="743" spans="8:39">
      <c r="H743" s="71"/>
      <c r="I743" s="71"/>
      <c r="Y743" s="83"/>
      <c r="Z743" s="83"/>
      <c r="AA743" s="71"/>
      <c r="AB743" s="71"/>
      <c r="AC743" s="71"/>
      <c r="AD743" s="71"/>
      <c r="AE743" s="71"/>
      <c r="AF743" s="71"/>
      <c r="AG743" s="71"/>
      <c r="AJ743" s="71"/>
      <c r="AK743" s="71"/>
      <c r="AL743" s="71"/>
      <c r="AM743" s="71"/>
    </row>
    <row r="744" spans="8:39">
      <c r="H744" s="71"/>
      <c r="I744" s="71"/>
      <c r="Y744" s="83"/>
      <c r="Z744" s="83"/>
      <c r="AA744" s="71"/>
      <c r="AB744" s="71"/>
      <c r="AC744" s="71"/>
      <c r="AD744" s="71"/>
      <c r="AE744" s="71"/>
      <c r="AF744" s="71"/>
      <c r="AG744" s="71"/>
      <c r="AJ744" s="71"/>
      <c r="AK744" s="71"/>
      <c r="AL744" s="71"/>
      <c r="AM744" s="71"/>
    </row>
    <row r="745" spans="8:39">
      <c r="H745" s="71"/>
      <c r="I745" s="71"/>
      <c r="Y745" s="83"/>
      <c r="Z745" s="83"/>
      <c r="AA745" s="71"/>
      <c r="AB745" s="71"/>
      <c r="AC745" s="71"/>
      <c r="AD745" s="71"/>
      <c r="AE745" s="71"/>
      <c r="AF745" s="71"/>
      <c r="AG745" s="71"/>
      <c r="AJ745" s="71"/>
      <c r="AK745" s="71"/>
      <c r="AL745" s="71"/>
      <c r="AM745" s="71"/>
    </row>
    <row r="746" spans="8:39">
      <c r="H746" s="71"/>
      <c r="I746" s="71"/>
      <c r="Y746" s="83"/>
      <c r="Z746" s="83"/>
      <c r="AA746" s="71"/>
      <c r="AB746" s="71"/>
      <c r="AC746" s="71"/>
      <c r="AD746" s="71"/>
      <c r="AE746" s="71"/>
      <c r="AF746" s="71"/>
      <c r="AG746" s="71"/>
      <c r="AJ746" s="71"/>
      <c r="AK746" s="71"/>
      <c r="AL746" s="71"/>
      <c r="AM746" s="71"/>
    </row>
    <row r="747" spans="8:39">
      <c r="H747" s="71"/>
      <c r="I747" s="71"/>
      <c r="Y747" s="83"/>
      <c r="Z747" s="83"/>
      <c r="AA747" s="71"/>
      <c r="AB747" s="71"/>
      <c r="AC747" s="71"/>
      <c r="AD747" s="71"/>
      <c r="AE747" s="71"/>
      <c r="AF747" s="71"/>
      <c r="AG747" s="71"/>
      <c r="AJ747" s="71"/>
      <c r="AK747" s="71"/>
      <c r="AL747" s="71"/>
      <c r="AM747" s="71"/>
    </row>
    <row r="748" spans="8:39">
      <c r="H748" s="71"/>
      <c r="I748" s="71"/>
      <c r="Y748" s="83"/>
      <c r="Z748" s="83"/>
      <c r="AA748" s="71"/>
      <c r="AB748" s="71"/>
      <c r="AC748" s="71"/>
      <c r="AD748" s="71"/>
      <c r="AE748" s="71"/>
      <c r="AF748" s="71"/>
      <c r="AG748" s="71"/>
      <c r="AJ748" s="71"/>
      <c r="AK748" s="71"/>
      <c r="AL748" s="71"/>
      <c r="AM748" s="71"/>
    </row>
    <row r="749" spans="8:39">
      <c r="H749" s="71"/>
      <c r="I749" s="71"/>
      <c r="Y749" s="83"/>
      <c r="Z749" s="83"/>
      <c r="AA749" s="71"/>
      <c r="AB749" s="71"/>
      <c r="AC749" s="71"/>
      <c r="AD749" s="71"/>
      <c r="AE749" s="71"/>
      <c r="AF749" s="71"/>
      <c r="AG749" s="71"/>
      <c r="AJ749" s="71"/>
      <c r="AK749" s="71"/>
      <c r="AL749" s="71"/>
      <c r="AM749" s="71"/>
    </row>
    <row r="750" spans="8:39">
      <c r="H750" s="71"/>
      <c r="I750" s="71"/>
      <c r="Y750" s="83"/>
      <c r="Z750" s="83"/>
      <c r="AA750" s="71"/>
      <c r="AB750" s="71"/>
      <c r="AC750" s="71"/>
      <c r="AD750" s="71"/>
      <c r="AE750" s="71"/>
      <c r="AF750" s="71"/>
      <c r="AG750" s="71"/>
      <c r="AJ750" s="71"/>
      <c r="AK750" s="71"/>
      <c r="AL750" s="71"/>
      <c r="AM750" s="71"/>
    </row>
    <row r="751" spans="8:39">
      <c r="H751" s="71"/>
      <c r="I751" s="71"/>
      <c r="Y751" s="83"/>
      <c r="Z751" s="83"/>
      <c r="AA751" s="71"/>
      <c r="AB751" s="71"/>
      <c r="AC751" s="71"/>
      <c r="AD751" s="71"/>
      <c r="AE751" s="71"/>
      <c r="AF751" s="71"/>
      <c r="AG751" s="71"/>
      <c r="AJ751" s="71"/>
      <c r="AK751" s="71"/>
      <c r="AL751" s="71"/>
      <c r="AM751" s="71"/>
    </row>
    <row r="752" spans="8:39">
      <c r="H752" s="71"/>
      <c r="I752" s="71"/>
      <c r="Y752" s="83"/>
      <c r="Z752" s="83"/>
      <c r="AA752" s="71"/>
      <c r="AB752" s="71"/>
      <c r="AC752" s="71"/>
      <c r="AD752" s="71"/>
      <c r="AE752" s="71"/>
      <c r="AF752" s="71"/>
      <c r="AG752" s="71"/>
      <c r="AJ752" s="71"/>
      <c r="AK752" s="71"/>
      <c r="AL752" s="71"/>
      <c r="AM752" s="71"/>
    </row>
    <row r="753" spans="8:39">
      <c r="H753" s="71"/>
      <c r="I753" s="71"/>
      <c r="Y753" s="83"/>
      <c r="Z753" s="83"/>
      <c r="AA753" s="71"/>
      <c r="AB753" s="71"/>
      <c r="AC753" s="71"/>
      <c r="AD753" s="71"/>
      <c r="AE753" s="71"/>
      <c r="AF753" s="71"/>
      <c r="AG753" s="71"/>
      <c r="AJ753" s="71"/>
      <c r="AK753" s="71"/>
      <c r="AL753" s="71"/>
      <c r="AM753" s="71"/>
    </row>
    <row r="754" spans="8:39">
      <c r="H754" s="71"/>
      <c r="I754" s="71"/>
      <c r="Y754" s="83"/>
      <c r="Z754" s="83"/>
      <c r="AA754" s="71"/>
      <c r="AB754" s="71"/>
      <c r="AC754" s="71"/>
      <c r="AD754" s="71"/>
      <c r="AE754" s="71"/>
      <c r="AF754" s="71"/>
      <c r="AG754" s="71"/>
      <c r="AJ754" s="71"/>
      <c r="AK754" s="71"/>
      <c r="AL754" s="71"/>
      <c r="AM754" s="71"/>
    </row>
    <row r="755" spans="8:39">
      <c r="H755" s="71"/>
      <c r="I755" s="71"/>
      <c r="Y755" s="83"/>
      <c r="Z755" s="83"/>
      <c r="AA755" s="71"/>
      <c r="AB755" s="71"/>
      <c r="AC755" s="71"/>
      <c r="AD755" s="71"/>
      <c r="AE755" s="71"/>
      <c r="AF755" s="71"/>
      <c r="AG755" s="71"/>
      <c r="AJ755" s="71"/>
      <c r="AK755" s="71"/>
      <c r="AL755" s="71"/>
      <c r="AM755" s="71"/>
    </row>
    <row r="756" spans="8:39">
      <c r="H756" s="71"/>
      <c r="I756" s="71"/>
      <c r="Y756" s="83"/>
      <c r="Z756" s="83"/>
      <c r="AA756" s="71"/>
      <c r="AB756" s="71"/>
      <c r="AC756" s="71"/>
      <c r="AD756" s="71"/>
      <c r="AE756" s="71"/>
      <c r="AF756" s="71"/>
      <c r="AG756" s="71"/>
      <c r="AJ756" s="71"/>
      <c r="AK756" s="71"/>
      <c r="AL756" s="71"/>
      <c r="AM756" s="71"/>
    </row>
    <row r="757" spans="8:39">
      <c r="H757" s="71"/>
      <c r="I757" s="71"/>
      <c r="Y757" s="83"/>
      <c r="Z757" s="83"/>
      <c r="AA757" s="71"/>
      <c r="AB757" s="71"/>
      <c r="AC757" s="71"/>
      <c r="AD757" s="71"/>
      <c r="AE757" s="71"/>
      <c r="AF757" s="71"/>
      <c r="AG757" s="71"/>
      <c r="AJ757" s="71"/>
      <c r="AK757" s="71"/>
      <c r="AL757" s="71"/>
      <c r="AM757" s="71"/>
    </row>
    <row r="758" spans="8:39">
      <c r="H758" s="71"/>
      <c r="I758" s="71"/>
      <c r="Y758" s="83"/>
      <c r="Z758" s="83"/>
      <c r="AA758" s="71"/>
      <c r="AB758" s="71"/>
      <c r="AC758" s="71"/>
      <c r="AD758" s="71"/>
      <c r="AE758" s="71"/>
      <c r="AF758" s="71"/>
      <c r="AG758" s="71"/>
      <c r="AJ758" s="71"/>
      <c r="AK758" s="71"/>
      <c r="AL758" s="71"/>
      <c r="AM758" s="71"/>
    </row>
    <row r="759" spans="8:39">
      <c r="H759" s="71"/>
      <c r="I759" s="71"/>
      <c r="Y759" s="83"/>
      <c r="Z759" s="83"/>
      <c r="AA759" s="71"/>
      <c r="AB759" s="71"/>
      <c r="AC759" s="71"/>
      <c r="AD759" s="71"/>
      <c r="AE759" s="71"/>
      <c r="AF759" s="71"/>
      <c r="AG759" s="71"/>
      <c r="AJ759" s="71"/>
      <c r="AK759" s="71"/>
      <c r="AL759" s="71"/>
      <c r="AM759" s="71"/>
    </row>
    <row r="760" spans="8:39">
      <c r="H760" s="71"/>
      <c r="I760" s="71"/>
      <c r="Y760" s="83"/>
      <c r="Z760" s="83"/>
      <c r="AA760" s="71"/>
      <c r="AB760" s="71"/>
      <c r="AC760" s="71"/>
      <c r="AD760" s="71"/>
      <c r="AE760" s="71"/>
      <c r="AF760" s="71"/>
      <c r="AG760" s="71"/>
      <c r="AJ760" s="71"/>
      <c r="AK760" s="71"/>
      <c r="AL760" s="71"/>
      <c r="AM760" s="71"/>
    </row>
    <row r="761" spans="8:39">
      <c r="H761" s="71"/>
      <c r="I761" s="71"/>
      <c r="Y761" s="83"/>
      <c r="Z761" s="83"/>
      <c r="AA761" s="71"/>
      <c r="AB761" s="71"/>
      <c r="AC761" s="71"/>
      <c r="AD761" s="71"/>
      <c r="AE761" s="71"/>
      <c r="AF761" s="71"/>
      <c r="AG761" s="71"/>
      <c r="AJ761" s="71"/>
      <c r="AK761" s="71"/>
      <c r="AL761" s="71"/>
      <c r="AM761" s="71"/>
    </row>
    <row r="762" spans="8:39">
      <c r="H762" s="71"/>
      <c r="I762" s="71"/>
      <c r="Y762" s="83"/>
      <c r="Z762" s="83"/>
      <c r="AA762" s="71"/>
      <c r="AB762" s="71"/>
      <c r="AC762" s="71"/>
      <c r="AD762" s="71"/>
      <c r="AE762" s="71"/>
      <c r="AF762" s="71"/>
      <c r="AG762" s="71"/>
      <c r="AJ762" s="71"/>
      <c r="AK762" s="71"/>
      <c r="AL762" s="71"/>
      <c r="AM762" s="71"/>
    </row>
    <row r="763" spans="8:39">
      <c r="H763" s="71"/>
      <c r="I763" s="71"/>
      <c r="Y763" s="83"/>
      <c r="Z763" s="83"/>
      <c r="AA763" s="71"/>
      <c r="AB763" s="71"/>
      <c r="AC763" s="71"/>
      <c r="AD763" s="71"/>
      <c r="AE763" s="71"/>
      <c r="AF763" s="71"/>
      <c r="AG763" s="71"/>
      <c r="AJ763" s="71"/>
      <c r="AK763" s="71"/>
      <c r="AL763" s="71"/>
      <c r="AM763" s="71"/>
    </row>
    <row r="764" spans="8:39">
      <c r="H764" s="71"/>
      <c r="I764" s="71"/>
      <c r="Y764" s="83"/>
      <c r="Z764" s="83"/>
      <c r="AA764" s="71"/>
      <c r="AB764" s="71"/>
      <c r="AC764" s="71"/>
      <c r="AD764" s="71"/>
      <c r="AE764" s="71"/>
      <c r="AF764" s="71"/>
      <c r="AG764" s="71"/>
      <c r="AJ764" s="71"/>
      <c r="AK764" s="71"/>
      <c r="AL764" s="71"/>
      <c r="AM764" s="71"/>
    </row>
    <row r="765" spans="8:39">
      <c r="H765" s="71"/>
      <c r="I765" s="71"/>
      <c r="Y765" s="83"/>
      <c r="Z765" s="83"/>
      <c r="AA765" s="71"/>
      <c r="AB765" s="71"/>
      <c r="AC765" s="71"/>
      <c r="AD765" s="71"/>
      <c r="AE765" s="71"/>
      <c r="AF765" s="71"/>
      <c r="AG765" s="71"/>
      <c r="AJ765" s="71"/>
      <c r="AK765" s="71"/>
      <c r="AL765" s="71"/>
      <c r="AM765" s="71"/>
    </row>
    <row r="766" spans="8:39">
      <c r="H766" s="71"/>
      <c r="I766" s="71"/>
      <c r="Y766" s="83"/>
      <c r="Z766" s="83"/>
      <c r="AA766" s="71"/>
      <c r="AB766" s="71"/>
      <c r="AC766" s="71"/>
      <c r="AD766" s="71"/>
      <c r="AE766" s="71"/>
      <c r="AF766" s="71"/>
      <c r="AG766" s="71"/>
      <c r="AJ766" s="71"/>
      <c r="AK766" s="71"/>
      <c r="AL766" s="71"/>
      <c r="AM766" s="71"/>
    </row>
    <row r="767" spans="8:39">
      <c r="H767" s="71"/>
      <c r="I767" s="71"/>
      <c r="Y767" s="83"/>
      <c r="Z767" s="83"/>
      <c r="AA767" s="71"/>
      <c r="AB767" s="71"/>
      <c r="AC767" s="71"/>
      <c r="AD767" s="71"/>
      <c r="AE767" s="71"/>
      <c r="AF767" s="71"/>
      <c r="AG767" s="71"/>
      <c r="AJ767" s="71"/>
      <c r="AK767" s="71"/>
      <c r="AL767" s="71"/>
      <c r="AM767" s="71"/>
    </row>
    <row r="768" spans="8:39">
      <c r="H768" s="71"/>
      <c r="I768" s="71"/>
      <c r="Y768" s="83"/>
      <c r="Z768" s="83"/>
      <c r="AA768" s="71"/>
      <c r="AB768" s="71"/>
      <c r="AC768" s="71"/>
      <c r="AD768" s="71"/>
      <c r="AE768" s="71"/>
      <c r="AF768" s="71"/>
      <c r="AG768" s="71"/>
      <c r="AJ768" s="71"/>
      <c r="AK768" s="71"/>
      <c r="AL768" s="71"/>
      <c r="AM768" s="71"/>
    </row>
    <row r="769" spans="8:39">
      <c r="H769" s="71"/>
      <c r="I769" s="71"/>
      <c r="Y769" s="83"/>
      <c r="Z769" s="83"/>
      <c r="AA769" s="71"/>
      <c r="AB769" s="71"/>
      <c r="AC769" s="71"/>
      <c r="AD769" s="71"/>
      <c r="AE769" s="71"/>
      <c r="AF769" s="71"/>
      <c r="AG769" s="71"/>
      <c r="AJ769" s="71"/>
      <c r="AK769" s="71"/>
      <c r="AL769" s="71"/>
      <c r="AM769" s="71"/>
    </row>
    <row r="770" spans="8:39">
      <c r="H770" s="71"/>
      <c r="I770" s="71"/>
      <c r="Y770" s="83"/>
      <c r="Z770" s="83"/>
      <c r="AA770" s="71"/>
      <c r="AB770" s="71"/>
      <c r="AC770" s="71"/>
      <c r="AD770" s="71"/>
      <c r="AE770" s="71"/>
      <c r="AF770" s="71"/>
      <c r="AG770" s="71"/>
      <c r="AJ770" s="71"/>
      <c r="AK770" s="71"/>
      <c r="AL770" s="71"/>
      <c r="AM770" s="71"/>
    </row>
    <row r="771" spans="8:39">
      <c r="H771" s="71"/>
      <c r="I771" s="71"/>
      <c r="Y771" s="83"/>
      <c r="Z771" s="83"/>
      <c r="AA771" s="71"/>
      <c r="AB771" s="71"/>
      <c r="AC771" s="71"/>
      <c r="AD771" s="71"/>
      <c r="AE771" s="71"/>
      <c r="AF771" s="71"/>
      <c r="AG771" s="71"/>
      <c r="AJ771" s="71"/>
      <c r="AK771" s="71"/>
      <c r="AL771" s="71"/>
      <c r="AM771" s="71"/>
    </row>
    <row r="772" spans="8:39">
      <c r="H772" s="71"/>
      <c r="I772" s="71"/>
      <c r="Y772" s="83"/>
      <c r="Z772" s="83"/>
      <c r="AA772" s="71"/>
      <c r="AB772" s="71"/>
      <c r="AC772" s="71"/>
      <c r="AD772" s="71"/>
      <c r="AE772" s="71"/>
      <c r="AF772" s="71"/>
      <c r="AG772" s="71"/>
      <c r="AJ772" s="71"/>
      <c r="AK772" s="71"/>
      <c r="AL772" s="71"/>
      <c r="AM772" s="71"/>
    </row>
    <row r="773" spans="8:39">
      <c r="H773" s="71"/>
      <c r="I773" s="71"/>
      <c r="Y773" s="83"/>
      <c r="Z773" s="83"/>
      <c r="AA773" s="71"/>
      <c r="AB773" s="71"/>
      <c r="AC773" s="71"/>
      <c r="AD773" s="71"/>
      <c r="AE773" s="71"/>
      <c r="AF773" s="71"/>
      <c r="AG773" s="71"/>
      <c r="AJ773" s="71"/>
      <c r="AK773" s="71"/>
      <c r="AL773" s="71"/>
      <c r="AM773" s="71"/>
    </row>
    <row r="774" spans="8:39">
      <c r="H774" s="71"/>
      <c r="I774" s="71"/>
      <c r="Y774" s="83"/>
      <c r="Z774" s="83"/>
      <c r="AA774" s="71"/>
      <c r="AB774" s="71"/>
      <c r="AC774" s="71"/>
      <c r="AD774" s="71"/>
      <c r="AE774" s="71"/>
      <c r="AF774" s="71"/>
      <c r="AG774" s="71"/>
      <c r="AJ774" s="71"/>
      <c r="AK774" s="71"/>
      <c r="AL774" s="71"/>
      <c r="AM774" s="71"/>
    </row>
    <row r="775" spans="8:39">
      <c r="H775" s="71"/>
      <c r="I775" s="71"/>
      <c r="Y775" s="83"/>
      <c r="Z775" s="83"/>
      <c r="AA775" s="71"/>
      <c r="AB775" s="71"/>
      <c r="AC775" s="71"/>
      <c r="AD775" s="71"/>
      <c r="AE775" s="71"/>
      <c r="AF775" s="71"/>
      <c r="AG775" s="71"/>
      <c r="AJ775" s="71"/>
      <c r="AK775" s="71"/>
      <c r="AL775" s="71"/>
      <c r="AM775" s="71"/>
    </row>
    <row r="776" spans="8:39">
      <c r="H776" s="71"/>
      <c r="I776" s="71"/>
      <c r="Y776" s="83"/>
      <c r="Z776" s="83"/>
      <c r="AA776" s="71"/>
      <c r="AB776" s="71"/>
      <c r="AC776" s="71"/>
      <c r="AD776" s="71"/>
      <c r="AE776" s="71"/>
      <c r="AF776" s="71"/>
      <c r="AG776" s="71"/>
      <c r="AJ776" s="71"/>
      <c r="AK776" s="71"/>
      <c r="AL776" s="71"/>
      <c r="AM776" s="71"/>
    </row>
    <row r="777" spans="8:39">
      <c r="H777" s="71"/>
      <c r="I777" s="71"/>
      <c r="Y777" s="83"/>
      <c r="Z777" s="83"/>
      <c r="AA777" s="71"/>
      <c r="AB777" s="71"/>
      <c r="AC777" s="71"/>
      <c r="AD777" s="71"/>
      <c r="AE777" s="71"/>
      <c r="AF777" s="71"/>
      <c r="AG777" s="71"/>
      <c r="AJ777" s="71"/>
      <c r="AK777" s="71"/>
      <c r="AL777" s="71"/>
      <c r="AM777" s="71"/>
    </row>
    <row r="778" spans="8:39">
      <c r="H778" s="71"/>
      <c r="I778" s="71"/>
      <c r="Y778" s="83"/>
      <c r="Z778" s="83"/>
      <c r="AA778" s="71"/>
      <c r="AB778" s="71"/>
      <c r="AC778" s="71"/>
      <c r="AD778" s="71"/>
      <c r="AE778" s="71"/>
      <c r="AF778" s="71"/>
      <c r="AG778" s="71"/>
      <c r="AJ778" s="71"/>
      <c r="AK778" s="71"/>
      <c r="AL778" s="71"/>
      <c r="AM778" s="71"/>
    </row>
    <row r="779" spans="8:39">
      <c r="H779" s="71"/>
      <c r="I779" s="71"/>
      <c r="Y779" s="83"/>
      <c r="Z779" s="83"/>
      <c r="AA779" s="71"/>
      <c r="AB779" s="71"/>
      <c r="AC779" s="71"/>
      <c r="AD779" s="71"/>
      <c r="AE779" s="71"/>
      <c r="AF779" s="71"/>
      <c r="AG779" s="71"/>
      <c r="AJ779" s="71"/>
      <c r="AK779" s="71"/>
      <c r="AL779" s="71"/>
      <c r="AM779" s="71"/>
    </row>
    <row r="780" spans="8:39">
      <c r="H780" s="71"/>
      <c r="I780" s="71"/>
      <c r="Y780" s="83"/>
      <c r="Z780" s="83"/>
      <c r="AA780" s="71"/>
      <c r="AB780" s="71"/>
      <c r="AC780" s="71"/>
      <c r="AD780" s="71"/>
      <c r="AE780" s="71"/>
      <c r="AF780" s="71"/>
      <c r="AG780" s="71"/>
      <c r="AJ780" s="71"/>
      <c r="AK780" s="71"/>
      <c r="AL780" s="71"/>
      <c r="AM780" s="71"/>
    </row>
    <row r="781" spans="8:39">
      <c r="H781" s="71"/>
      <c r="I781" s="71"/>
      <c r="Y781" s="83"/>
      <c r="Z781" s="83"/>
      <c r="AA781" s="71"/>
      <c r="AB781" s="71"/>
      <c r="AC781" s="71"/>
      <c r="AD781" s="71"/>
      <c r="AE781" s="71"/>
      <c r="AF781" s="71"/>
      <c r="AG781" s="71"/>
      <c r="AJ781" s="71"/>
      <c r="AK781" s="71"/>
      <c r="AL781" s="71"/>
      <c r="AM781" s="71"/>
    </row>
    <row r="782" spans="8:39">
      <c r="H782" s="71"/>
      <c r="I782" s="71"/>
      <c r="Y782" s="83"/>
      <c r="Z782" s="83"/>
      <c r="AA782" s="71"/>
      <c r="AB782" s="71"/>
      <c r="AC782" s="71"/>
      <c r="AD782" s="71"/>
      <c r="AE782" s="71"/>
      <c r="AF782" s="71"/>
      <c r="AG782" s="71"/>
      <c r="AJ782" s="71"/>
      <c r="AK782" s="71"/>
      <c r="AL782" s="71"/>
      <c r="AM782" s="71"/>
    </row>
    <row r="783" spans="8:39">
      <c r="H783" s="71"/>
      <c r="I783" s="71"/>
      <c r="Y783" s="83"/>
      <c r="Z783" s="83"/>
      <c r="AA783" s="71"/>
      <c r="AB783" s="71"/>
      <c r="AC783" s="71"/>
      <c r="AD783" s="71"/>
      <c r="AE783" s="71"/>
      <c r="AF783" s="71"/>
      <c r="AG783" s="71"/>
      <c r="AJ783" s="71"/>
      <c r="AK783" s="71"/>
      <c r="AL783" s="71"/>
      <c r="AM783" s="71"/>
    </row>
    <row r="784" spans="8:39">
      <c r="H784" s="71"/>
      <c r="I784" s="71"/>
      <c r="Y784" s="83"/>
      <c r="Z784" s="83"/>
      <c r="AA784" s="71"/>
      <c r="AB784" s="71"/>
      <c r="AC784" s="71"/>
      <c r="AD784" s="71"/>
      <c r="AE784" s="71"/>
      <c r="AF784" s="71"/>
      <c r="AG784" s="71"/>
      <c r="AJ784" s="71"/>
      <c r="AK784" s="71"/>
      <c r="AL784" s="71"/>
      <c r="AM784" s="71"/>
    </row>
    <row r="785" spans="8:39">
      <c r="H785" s="71"/>
      <c r="I785" s="71"/>
      <c r="Y785" s="83"/>
      <c r="Z785" s="83"/>
      <c r="AA785" s="71"/>
      <c r="AB785" s="71"/>
      <c r="AC785" s="71"/>
      <c r="AD785" s="71"/>
      <c r="AE785" s="71"/>
      <c r="AF785" s="71"/>
      <c r="AG785" s="71"/>
      <c r="AJ785" s="71"/>
      <c r="AK785" s="71"/>
      <c r="AL785" s="71"/>
      <c r="AM785" s="71"/>
    </row>
    <row r="786" spans="8:39">
      <c r="H786" s="71"/>
      <c r="I786" s="71"/>
      <c r="Y786" s="83"/>
      <c r="Z786" s="83"/>
      <c r="AA786" s="71"/>
      <c r="AB786" s="71"/>
      <c r="AC786" s="71"/>
      <c r="AD786" s="71"/>
      <c r="AE786" s="71"/>
      <c r="AF786" s="71"/>
      <c r="AG786" s="71"/>
      <c r="AJ786" s="71"/>
      <c r="AK786" s="71"/>
      <c r="AL786" s="71"/>
      <c r="AM786" s="71"/>
    </row>
    <row r="787" spans="8:39">
      <c r="H787" s="71"/>
      <c r="I787" s="71"/>
      <c r="Y787" s="83"/>
      <c r="Z787" s="83"/>
      <c r="AA787" s="71"/>
      <c r="AB787" s="71"/>
      <c r="AC787" s="71"/>
      <c r="AD787" s="71"/>
      <c r="AE787" s="71"/>
      <c r="AF787" s="71"/>
      <c r="AG787" s="71"/>
      <c r="AJ787" s="71"/>
      <c r="AK787" s="71"/>
      <c r="AL787" s="71"/>
      <c r="AM787" s="71"/>
    </row>
    <row r="788" spans="8:39">
      <c r="H788" s="71"/>
      <c r="I788" s="71"/>
      <c r="Y788" s="83"/>
      <c r="Z788" s="83"/>
      <c r="AA788" s="71"/>
      <c r="AB788" s="71"/>
      <c r="AC788" s="71"/>
      <c r="AD788" s="71"/>
      <c r="AE788" s="71"/>
      <c r="AF788" s="71"/>
      <c r="AG788" s="71"/>
      <c r="AJ788" s="71"/>
      <c r="AK788" s="71"/>
      <c r="AL788" s="71"/>
      <c r="AM788" s="71"/>
    </row>
    <row r="789" spans="8:39">
      <c r="H789" s="71"/>
      <c r="I789" s="71"/>
      <c r="Y789" s="83"/>
      <c r="Z789" s="83"/>
      <c r="AA789" s="71"/>
      <c r="AB789" s="71"/>
      <c r="AC789" s="71"/>
      <c r="AD789" s="71"/>
      <c r="AE789" s="71"/>
      <c r="AF789" s="71"/>
      <c r="AG789" s="71"/>
      <c r="AJ789" s="71"/>
      <c r="AK789" s="71"/>
      <c r="AL789" s="71"/>
      <c r="AM789" s="71"/>
    </row>
    <row r="790" spans="8:39">
      <c r="H790" s="71"/>
      <c r="I790" s="71"/>
      <c r="Y790" s="83"/>
      <c r="Z790" s="83"/>
      <c r="AA790" s="71"/>
      <c r="AB790" s="71"/>
      <c r="AC790" s="71"/>
      <c r="AD790" s="71"/>
      <c r="AE790" s="71"/>
      <c r="AF790" s="71"/>
      <c r="AG790" s="71"/>
      <c r="AJ790" s="71"/>
      <c r="AK790" s="71"/>
      <c r="AL790" s="71"/>
      <c r="AM790" s="71"/>
    </row>
    <row r="791" spans="8:39">
      <c r="H791" s="71"/>
      <c r="I791" s="71"/>
      <c r="Y791" s="83"/>
      <c r="Z791" s="83"/>
      <c r="AA791" s="71"/>
      <c r="AB791" s="71"/>
      <c r="AC791" s="71"/>
      <c r="AD791" s="71"/>
      <c r="AE791" s="71"/>
      <c r="AF791" s="71"/>
      <c r="AG791" s="71"/>
      <c r="AJ791" s="71"/>
      <c r="AK791" s="71"/>
      <c r="AL791" s="71"/>
      <c r="AM791" s="71"/>
    </row>
    <row r="792" spans="8:39">
      <c r="H792" s="71"/>
      <c r="I792" s="71"/>
      <c r="Y792" s="83"/>
      <c r="Z792" s="83"/>
      <c r="AA792" s="71"/>
      <c r="AB792" s="71"/>
      <c r="AC792" s="71"/>
      <c r="AD792" s="71"/>
      <c r="AE792" s="71"/>
      <c r="AF792" s="71"/>
      <c r="AG792" s="71"/>
      <c r="AJ792" s="71"/>
      <c r="AK792" s="71"/>
      <c r="AL792" s="71"/>
      <c r="AM792" s="71"/>
    </row>
    <row r="793" spans="8:39">
      <c r="H793" s="71"/>
      <c r="I793" s="71"/>
      <c r="Y793" s="83"/>
      <c r="Z793" s="83"/>
      <c r="AA793" s="71"/>
      <c r="AB793" s="71"/>
      <c r="AC793" s="71"/>
      <c r="AD793" s="71"/>
      <c r="AE793" s="71"/>
      <c r="AF793" s="71"/>
      <c r="AG793" s="71"/>
      <c r="AJ793" s="71"/>
      <c r="AK793" s="71"/>
      <c r="AL793" s="71"/>
      <c r="AM793" s="71"/>
    </row>
    <row r="794" spans="8:39">
      <c r="H794" s="71"/>
      <c r="I794" s="71"/>
      <c r="Y794" s="83"/>
      <c r="Z794" s="83"/>
      <c r="AA794" s="71"/>
      <c r="AB794" s="71"/>
      <c r="AC794" s="71"/>
      <c r="AD794" s="71"/>
      <c r="AE794" s="71"/>
      <c r="AF794" s="71"/>
      <c r="AG794" s="71"/>
      <c r="AJ794" s="71"/>
      <c r="AK794" s="71"/>
      <c r="AL794" s="71"/>
      <c r="AM794" s="71"/>
    </row>
    <row r="795" spans="8:39">
      <c r="H795" s="71"/>
      <c r="I795" s="71"/>
      <c r="Y795" s="83"/>
      <c r="Z795" s="83"/>
      <c r="AA795" s="71"/>
      <c r="AB795" s="71"/>
      <c r="AC795" s="71"/>
      <c r="AD795" s="71"/>
      <c r="AE795" s="71"/>
      <c r="AF795" s="71"/>
      <c r="AG795" s="71"/>
      <c r="AJ795" s="71"/>
      <c r="AK795" s="71"/>
      <c r="AL795" s="71"/>
      <c r="AM795" s="71"/>
    </row>
    <row r="796" spans="8:39">
      <c r="H796" s="71"/>
      <c r="I796" s="71"/>
      <c r="Y796" s="83"/>
      <c r="Z796" s="83"/>
      <c r="AA796" s="71"/>
      <c r="AB796" s="71"/>
      <c r="AC796" s="71"/>
      <c r="AD796" s="71"/>
      <c r="AE796" s="71"/>
      <c r="AF796" s="71"/>
      <c r="AG796" s="71"/>
      <c r="AJ796" s="71"/>
      <c r="AK796" s="71"/>
      <c r="AL796" s="71"/>
      <c r="AM796" s="71"/>
    </row>
    <row r="797" spans="8:39">
      <c r="H797" s="71"/>
      <c r="I797" s="71"/>
      <c r="Y797" s="83"/>
      <c r="Z797" s="83"/>
      <c r="AA797" s="71"/>
      <c r="AB797" s="71"/>
      <c r="AC797" s="71"/>
      <c r="AD797" s="71"/>
      <c r="AE797" s="71"/>
      <c r="AF797" s="71"/>
      <c r="AG797" s="71"/>
      <c r="AJ797" s="71"/>
      <c r="AK797" s="71"/>
      <c r="AL797" s="71"/>
      <c r="AM797" s="71"/>
    </row>
    <row r="798" spans="8:39">
      <c r="H798" s="71"/>
      <c r="I798" s="71"/>
      <c r="Y798" s="83"/>
      <c r="Z798" s="83"/>
      <c r="AA798" s="71"/>
      <c r="AB798" s="71"/>
      <c r="AC798" s="71"/>
      <c r="AD798" s="71"/>
      <c r="AE798" s="71"/>
      <c r="AF798" s="71"/>
      <c r="AG798" s="71"/>
      <c r="AJ798" s="71"/>
      <c r="AK798" s="71"/>
      <c r="AL798" s="71"/>
      <c r="AM798" s="71"/>
    </row>
    <row r="799" spans="8:39">
      <c r="H799" s="71"/>
      <c r="I799" s="71"/>
      <c r="Y799" s="83"/>
      <c r="Z799" s="83"/>
      <c r="AA799" s="71"/>
      <c r="AB799" s="71"/>
      <c r="AC799" s="71"/>
      <c r="AD799" s="71"/>
      <c r="AE799" s="71"/>
      <c r="AF799" s="71"/>
      <c r="AG799" s="71"/>
      <c r="AJ799" s="71"/>
      <c r="AK799" s="71"/>
      <c r="AL799" s="71"/>
      <c r="AM799" s="71"/>
    </row>
    <row r="800" spans="8:39">
      <c r="H800" s="71"/>
      <c r="I800" s="71"/>
      <c r="Y800" s="83"/>
      <c r="Z800" s="83"/>
      <c r="AA800" s="71"/>
      <c r="AB800" s="71"/>
      <c r="AC800" s="71"/>
      <c r="AD800" s="71"/>
      <c r="AE800" s="71"/>
      <c r="AF800" s="71"/>
      <c r="AG800" s="71"/>
      <c r="AJ800" s="71"/>
      <c r="AK800" s="71"/>
      <c r="AL800" s="71"/>
      <c r="AM800" s="71"/>
    </row>
    <row r="801" spans="8:39">
      <c r="H801" s="71"/>
      <c r="I801" s="71"/>
      <c r="Y801" s="83"/>
      <c r="Z801" s="83"/>
      <c r="AA801" s="71"/>
      <c r="AB801" s="71"/>
      <c r="AC801" s="71"/>
      <c r="AD801" s="71"/>
      <c r="AE801" s="71"/>
      <c r="AF801" s="71"/>
      <c r="AG801" s="71"/>
      <c r="AJ801" s="71"/>
      <c r="AK801" s="71"/>
      <c r="AL801" s="71"/>
      <c r="AM801" s="71"/>
    </row>
    <row r="802" spans="8:39">
      <c r="H802" s="71"/>
      <c r="I802" s="71"/>
      <c r="Y802" s="83"/>
      <c r="Z802" s="83"/>
      <c r="AA802" s="71"/>
      <c r="AB802" s="71"/>
      <c r="AC802" s="71"/>
      <c r="AD802" s="71"/>
      <c r="AE802" s="71"/>
      <c r="AF802" s="71"/>
      <c r="AG802" s="71"/>
      <c r="AJ802" s="71"/>
      <c r="AK802" s="71"/>
      <c r="AL802" s="71"/>
      <c r="AM802" s="71"/>
    </row>
    <row r="803" spans="8:39">
      <c r="H803" s="71"/>
      <c r="I803" s="71"/>
      <c r="Y803" s="83"/>
      <c r="Z803" s="83"/>
      <c r="AA803" s="71"/>
      <c r="AB803" s="71"/>
      <c r="AC803" s="71"/>
      <c r="AD803" s="71"/>
      <c r="AE803" s="71"/>
      <c r="AF803" s="71"/>
      <c r="AG803" s="71"/>
      <c r="AJ803" s="71"/>
      <c r="AK803" s="71"/>
      <c r="AL803" s="71"/>
      <c r="AM803" s="71"/>
    </row>
    <row r="804" spans="8:39">
      <c r="H804" s="71"/>
      <c r="I804" s="71"/>
      <c r="Y804" s="83"/>
      <c r="Z804" s="83"/>
      <c r="AA804" s="71"/>
      <c r="AB804" s="71"/>
      <c r="AC804" s="71"/>
      <c r="AD804" s="71"/>
      <c r="AE804" s="71"/>
      <c r="AF804" s="71"/>
      <c r="AG804" s="71"/>
      <c r="AJ804" s="71"/>
      <c r="AK804" s="71"/>
      <c r="AL804" s="71"/>
      <c r="AM804" s="71"/>
    </row>
    <row r="805" spans="8:39">
      <c r="H805" s="71"/>
      <c r="I805" s="71"/>
      <c r="Y805" s="83"/>
      <c r="Z805" s="83"/>
      <c r="AA805" s="71"/>
      <c r="AB805" s="71"/>
      <c r="AC805" s="71"/>
      <c r="AD805" s="71"/>
      <c r="AE805" s="71"/>
      <c r="AF805" s="71"/>
      <c r="AG805" s="71"/>
      <c r="AJ805" s="71"/>
      <c r="AK805" s="71"/>
      <c r="AL805" s="71"/>
      <c r="AM805" s="71"/>
    </row>
    <row r="806" spans="8:39">
      <c r="H806" s="71"/>
      <c r="I806" s="71"/>
      <c r="Y806" s="83"/>
      <c r="Z806" s="83"/>
      <c r="AA806" s="71"/>
      <c r="AB806" s="71"/>
      <c r="AC806" s="71"/>
      <c r="AD806" s="71"/>
      <c r="AE806" s="71"/>
      <c r="AF806" s="71"/>
      <c r="AG806" s="71"/>
      <c r="AJ806" s="71"/>
      <c r="AK806" s="71"/>
      <c r="AL806" s="71"/>
      <c r="AM806" s="71"/>
    </row>
    <row r="807" spans="8:39">
      <c r="H807" s="71"/>
      <c r="I807" s="71"/>
      <c r="Y807" s="83"/>
      <c r="Z807" s="83"/>
      <c r="AA807" s="71"/>
      <c r="AB807" s="71"/>
      <c r="AC807" s="71"/>
      <c r="AD807" s="71"/>
      <c r="AE807" s="71"/>
      <c r="AF807" s="71"/>
      <c r="AG807" s="71"/>
      <c r="AJ807" s="71"/>
      <c r="AK807" s="71"/>
      <c r="AL807" s="71"/>
      <c r="AM807" s="71"/>
    </row>
    <row r="808" spans="8:39">
      <c r="H808" s="71"/>
      <c r="I808" s="71"/>
      <c r="Y808" s="83"/>
      <c r="Z808" s="83"/>
      <c r="AA808" s="71"/>
      <c r="AB808" s="71"/>
      <c r="AC808" s="71"/>
      <c r="AD808" s="71"/>
      <c r="AE808" s="71"/>
      <c r="AF808" s="71"/>
      <c r="AG808" s="71"/>
      <c r="AJ808" s="71"/>
      <c r="AK808" s="71"/>
      <c r="AL808" s="71"/>
      <c r="AM808" s="71"/>
    </row>
    <row r="809" spans="8:39">
      <c r="H809" s="71"/>
      <c r="I809" s="71"/>
      <c r="Y809" s="83"/>
      <c r="Z809" s="83"/>
      <c r="AA809" s="71"/>
      <c r="AB809" s="71"/>
      <c r="AC809" s="71"/>
      <c r="AD809" s="71"/>
      <c r="AE809" s="71"/>
      <c r="AF809" s="71"/>
      <c r="AG809" s="71"/>
      <c r="AJ809" s="71"/>
      <c r="AK809" s="71"/>
      <c r="AL809" s="71"/>
      <c r="AM809" s="71"/>
    </row>
    <row r="810" spans="8:39">
      <c r="H810" s="71"/>
      <c r="I810" s="71"/>
      <c r="Y810" s="83"/>
      <c r="Z810" s="83"/>
      <c r="AA810" s="71"/>
      <c r="AB810" s="71"/>
      <c r="AC810" s="71"/>
      <c r="AD810" s="71"/>
      <c r="AE810" s="71"/>
      <c r="AF810" s="71"/>
      <c r="AG810" s="71"/>
      <c r="AJ810" s="71"/>
      <c r="AK810" s="71"/>
      <c r="AL810" s="71"/>
      <c r="AM810" s="71"/>
    </row>
    <row r="811" spans="8:39">
      <c r="H811" s="71"/>
      <c r="I811" s="71"/>
      <c r="Y811" s="83"/>
      <c r="Z811" s="83"/>
      <c r="AA811" s="71"/>
      <c r="AB811" s="71"/>
      <c r="AC811" s="71"/>
      <c r="AD811" s="71"/>
      <c r="AE811" s="71"/>
      <c r="AF811" s="71"/>
      <c r="AG811" s="71"/>
      <c r="AJ811" s="71"/>
      <c r="AK811" s="71"/>
      <c r="AL811" s="71"/>
      <c r="AM811" s="71"/>
    </row>
    <row r="812" spans="8:39">
      <c r="H812" s="71"/>
      <c r="I812" s="71"/>
      <c r="Y812" s="83"/>
      <c r="Z812" s="83"/>
      <c r="AA812" s="71"/>
      <c r="AB812" s="71"/>
      <c r="AC812" s="71"/>
      <c r="AD812" s="71"/>
      <c r="AE812" s="71"/>
      <c r="AF812" s="71"/>
      <c r="AG812" s="71"/>
      <c r="AJ812" s="71"/>
      <c r="AK812" s="71"/>
      <c r="AL812" s="71"/>
      <c r="AM812" s="71"/>
    </row>
    <row r="813" spans="8:39">
      <c r="H813" s="71"/>
      <c r="I813" s="71"/>
      <c r="Y813" s="83"/>
      <c r="Z813" s="83"/>
      <c r="AA813" s="71"/>
      <c r="AB813" s="71"/>
      <c r="AC813" s="71"/>
      <c r="AD813" s="71"/>
      <c r="AE813" s="71"/>
      <c r="AF813" s="71"/>
      <c r="AG813" s="71"/>
      <c r="AJ813" s="71"/>
      <c r="AK813" s="71"/>
      <c r="AL813" s="71"/>
      <c r="AM813" s="71"/>
    </row>
    <row r="814" spans="8:39">
      <c r="H814" s="71"/>
      <c r="I814" s="71"/>
      <c r="Y814" s="83"/>
      <c r="Z814" s="83"/>
      <c r="AA814" s="71"/>
      <c r="AB814" s="71"/>
      <c r="AC814" s="71"/>
      <c r="AD814" s="71"/>
      <c r="AE814" s="71"/>
      <c r="AF814" s="71"/>
      <c r="AG814" s="71"/>
      <c r="AJ814" s="71"/>
      <c r="AK814" s="71"/>
      <c r="AL814" s="71"/>
      <c r="AM814" s="71"/>
    </row>
    <row r="815" spans="8:39">
      <c r="H815" s="71"/>
      <c r="I815" s="71"/>
      <c r="Y815" s="83"/>
      <c r="Z815" s="83"/>
      <c r="AA815" s="71"/>
      <c r="AB815" s="71"/>
      <c r="AC815" s="71"/>
      <c r="AD815" s="71"/>
      <c r="AE815" s="71"/>
      <c r="AF815" s="71"/>
      <c r="AG815" s="71"/>
      <c r="AJ815" s="71"/>
      <c r="AK815" s="71"/>
      <c r="AL815" s="71"/>
      <c r="AM815" s="71"/>
    </row>
    <row r="816" spans="8:39">
      <c r="H816" s="71"/>
      <c r="I816" s="71"/>
      <c r="Y816" s="83"/>
      <c r="Z816" s="83"/>
      <c r="AA816" s="71"/>
      <c r="AB816" s="71"/>
      <c r="AC816" s="71"/>
      <c r="AD816" s="71"/>
      <c r="AE816" s="71"/>
      <c r="AF816" s="71"/>
      <c r="AG816" s="71"/>
      <c r="AJ816" s="71"/>
      <c r="AK816" s="71"/>
      <c r="AL816" s="71"/>
      <c r="AM816" s="71"/>
    </row>
    <row r="817" spans="8:39">
      <c r="H817" s="71"/>
      <c r="I817" s="71"/>
      <c r="Y817" s="83"/>
      <c r="Z817" s="83"/>
      <c r="AA817" s="71"/>
      <c r="AB817" s="71"/>
      <c r="AC817" s="71"/>
      <c r="AD817" s="71"/>
      <c r="AE817" s="71"/>
      <c r="AF817" s="71"/>
      <c r="AG817" s="71"/>
      <c r="AJ817" s="71"/>
      <c r="AK817" s="71"/>
      <c r="AL817" s="71"/>
      <c r="AM817" s="71"/>
    </row>
    <row r="818" spans="8:39">
      <c r="H818" s="71"/>
      <c r="I818" s="71"/>
      <c r="Y818" s="83"/>
      <c r="Z818" s="83"/>
      <c r="AA818" s="71"/>
      <c r="AB818" s="71"/>
      <c r="AC818" s="71"/>
      <c r="AD818" s="71"/>
      <c r="AE818" s="71"/>
      <c r="AF818" s="71"/>
      <c r="AG818" s="71"/>
      <c r="AJ818" s="71"/>
      <c r="AK818" s="71"/>
      <c r="AL818" s="71"/>
      <c r="AM818" s="71"/>
    </row>
    <row r="819" spans="8:39">
      <c r="H819" s="71"/>
      <c r="I819" s="71"/>
      <c r="Y819" s="83"/>
      <c r="Z819" s="83"/>
      <c r="AA819" s="71"/>
      <c r="AB819" s="71"/>
      <c r="AC819" s="71"/>
      <c r="AD819" s="71"/>
      <c r="AE819" s="71"/>
      <c r="AF819" s="71"/>
      <c r="AG819" s="71"/>
      <c r="AJ819" s="71"/>
      <c r="AK819" s="71"/>
      <c r="AL819" s="71"/>
      <c r="AM819" s="71"/>
    </row>
    <row r="820" spans="8:39">
      <c r="H820" s="71"/>
      <c r="I820" s="71"/>
      <c r="Y820" s="83"/>
      <c r="Z820" s="83"/>
      <c r="AA820" s="71"/>
      <c r="AB820" s="71"/>
      <c r="AC820" s="71"/>
      <c r="AD820" s="71"/>
      <c r="AE820" s="71"/>
      <c r="AF820" s="71"/>
      <c r="AG820" s="71"/>
      <c r="AJ820" s="71"/>
      <c r="AK820" s="71"/>
      <c r="AL820" s="71"/>
      <c r="AM820" s="71"/>
    </row>
    <row r="821" spans="8:39">
      <c r="H821" s="71"/>
      <c r="I821" s="71"/>
      <c r="Y821" s="83"/>
      <c r="Z821" s="83"/>
      <c r="AA821" s="71"/>
      <c r="AB821" s="71"/>
      <c r="AC821" s="71"/>
      <c r="AD821" s="71"/>
      <c r="AE821" s="71"/>
      <c r="AF821" s="71"/>
      <c r="AG821" s="71"/>
      <c r="AJ821" s="71"/>
      <c r="AK821" s="71"/>
      <c r="AL821" s="71"/>
      <c r="AM821" s="71"/>
    </row>
    <row r="822" spans="8:39">
      <c r="H822" s="71"/>
      <c r="I822" s="71"/>
      <c r="Y822" s="83"/>
      <c r="Z822" s="83"/>
      <c r="AA822" s="71"/>
      <c r="AB822" s="71"/>
      <c r="AC822" s="71"/>
      <c r="AD822" s="71"/>
      <c r="AE822" s="71"/>
      <c r="AF822" s="71"/>
      <c r="AG822" s="71"/>
      <c r="AJ822" s="71"/>
      <c r="AK822" s="71"/>
      <c r="AL822" s="71"/>
      <c r="AM822" s="71"/>
    </row>
    <row r="823" spans="8:39">
      <c r="H823" s="71"/>
      <c r="I823" s="71"/>
      <c r="Y823" s="83"/>
      <c r="Z823" s="83"/>
      <c r="AA823" s="71"/>
      <c r="AB823" s="71"/>
      <c r="AC823" s="71"/>
      <c r="AD823" s="71"/>
      <c r="AE823" s="71"/>
      <c r="AF823" s="71"/>
      <c r="AG823" s="71"/>
      <c r="AJ823" s="71"/>
      <c r="AK823" s="71"/>
      <c r="AL823" s="71"/>
      <c r="AM823" s="71"/>
    </row>
    <row r="824" spans="8:39">
      <c r="H824" s="71"/>
      <c r="I824" s="71"/>
      <c r="Y824" s="83"/>
      <c r="Z824" s="83"/>
      <c r="AA824" s="71"/>
      <c r="AB824" s="71"/>
      <c r="AC824" s="71"/>
      <c r="AD824" s="71"/>
      <c r="AE824" s="71"/>
      <c r="AF824" s="71"/>
      <c r="AG824" s="71"/>
      <c r="AJ824" s="71"/>
      <c r="AK824" s="71"/>
      <c r="AL824" s="71"/>
      <c r="AM824" s="71"/>
    </row>
    <row r="825" spans="8:39">
      <c r="H825" s="71"/>
      <c r="I825" s="71"/>
      <c r="Y825" s="83"/>
      <c r="Z825" s="83"/>
      <c r="AA825" s="71"/>
      <c r="AB825" s="71"/>
      <c r="AC825" s="71"/>
      <c r="AD825" s="71"/>
      <c r="AE825" s="71"/>
      <c r="AF825" s="71"/>
      <c r="AG825" s="71"/>
      <c r="AJ825" s="71"/>
      <c r="AK825" s="71"/>
      <c r="AL825" s="71"/>
      <c r="AM825" s="71"/>
    </row>
    <row r="826" spans="8:39">
      <c r="H826" s="71"/>
      <c r="I826" s="71"/>
      <c r="Y826" s="83"/>
      <c r="Z826" s="83"/>
      <c r="AA826" s="71"/>
      <c r="AB826" s="71"/>
      <c r="AC826" s="71"/>
      <c r="AD826" s="71"/>
      <c r="AE826" s="71"/>
      <c r="AF826" s="71"/>
      <c r="AG826" s="71"/>
      <c r="AJ826" s="71"/>
      <c r="AK826" s="71"/>
      <c r="AL826" s="71"/>
      <c r="AM826" s="71"/>
    </row>
    <row r="827" spans="8:39">
      <c r="H827" s="71"/>
      <c r="I827" s="71"/>
      <c r="Y827" s="83"/>
      <c r="Z827" s="83"/>
      <c r="AA827" s="71"/>
      <c r="AB827" s="71"/>
      <c r="AC827" s="71"/>
      <c r="AD827" s="71"/>
      <c r="AE827" s="71"/>
      <c r="AF827" s="71"/>
      <c r="AG827" s="71"/>
      <c r="AJ827" s="71"/>
      <c r="AK827" s="71"/>
      <c r="AL827" s="71"/>
      <c r="AM827" s="71"/>
    </row>
    <row r="828" spans="8:39">
      <c r="H828" s="71"/>
      <c r="I828" s="71"/>
      <c r="Y828" s="83"/>
      <c r="Z828" s="83"/>
      <c r="AA828" s="71"/>
      <c r="AB828" s="71"/>
      <c r="AC828" s="71"/>
      <c r="AD828" s="71"/>
      <c r="AE828" s="71"/>
      <c r="AF828" s="71"/>
      <c r="AG828" s="71"/>
      <c r="AJ828" s="71"/>
      <c r="AK828" s="71"/>
      <c r="AL828" s="71"/>
      <c r="AM828" s="71"/>
    </row>
    <row r="829" spans="8:39">
      <c r="H829" s="71"/>
      <c r="I829" s="71"/>
      <c r="Y829" s="83"/>
      <c r="Z829" s="83"/>
      <c r="AA829" s="71"/>
      <c r="AB829" s="71"/>
      <c r="AC829" s="71"/>
      <c r="AD829" s="71"/>
      <c r="AE829" s="71"/>
      <c r="AF829" s="71"/>
      <c r="AG829" s="71"/>
      <c r="AJ829" s="71"/>
      <c r="AK829" s="71"/>
      <c r="AL829" s="71"/>
      <c r="AM829" s="71"/>
    </row>
    <row r="830" spans="8:39">
      <c r="H830" s="71"/>
      <c r="I830" s="71"/>
      <c r="Y830" s="83"/>
      <c r="Z830" s="83"/>
      <c r="AA830" s="71"/>
      <c r="AB830" s="71"/>
      <c r="AC830" s="71"/>
      <c r="AD830" s="71"/>
      <c r="AE830" s="71"/>
      <c r="AF830" s="71"/>
      <c r="AG830" s="71"/>
      <c r="AJ830" s="71"/>
      <c r="AK830" s="71"/>
      <c r="AL830" s="71"/>
      <c r="AM830" s="71"/>
    </row>
    <row r="831" spans="8:39">
      <c r="H831" s="71"/>
      <c r="I831" s="71"/>
      <c r="Y831" s="83"/>
      <c r="Z831" s="83"/>
      <c r="AA831" s="71"/>
      <c r="AB831" s="71"/>
      <c r="AC831" s="71"/>
      <c r="AD831" s="71"/>
      <c r="AE831" s="71"/>
      <c r="AF831" s="71"/>
      <c r="AG831" s="71"/>
      <c r="AJ831" s="71"/>
      <c r="AK831" s="71"/>
      <c r="AL831" s="71"/>
      <c r="AM831" s="71"/>
    </row>
    <row r="832" spans="8:39">
      <c r="H832" s="71"/>
      <c r="I832" s="71"/>
      <c r="Y832" s="83"/>
      <c r="Z832" s="83"/>
      <c r="AA832" s="71"/>
      <c r="AB832" s="71"/>
      <c r="AC832" s="71"/>
      <c r="AD832" s="71"/>
      <c r="AE832" s="71"/>
      <c r="AF832" s="71"/>
      <c r="AG832" s="71"/>
      <c r="AJ832" s="71"/>
      <c r="AK832" s="71"/>
      <c r="AL832" s="71"/>
      <c r="AM832" s="71"/>
    </row>
    <row r="833" spans="8:39">
      <c r="H833" s="71"/>
      <c r="I833" s="71"/>
      <c r="Y833" s="83"/>
      <c r="Z833" s="83"/>
      <c r="AA833" s="71"/>
      <c r="AB833" s="71"/>
      <c r="AC833" s="71"/>
      <c r="AD833" s="71"/>
      <c r="AE833" s="71"/>
      <c r="AF833" s="71"/>
      <c r="AG833" s="71"/>
      <c r="AJ833" s="71"/>
      <c r="AK833" s="71"/>
      <c r="AL833" s="71"/>
      <c r="AM833" s="71"/>
    </row>
    <row r="834" spans="8:39">
      <c r="H834" s="71"/>
      <c r="I834" s="71"/>
      <c r="Y834" s="83"/>
      <c r="Z834" s="83"/>
      <c r="AA834" s="71"/>
      <c r="AB834" s="71"/>
      <c r="AC834" s="71"/>
      <c r="AD834" s="71"/>
      <c r="AE834" s="71"/>
      <c r="AF834" s="71"/>
      <c r="AG834" s="71"/>
      <c r="AJ834" s="71"/>
      <c r="AK834" s="71"/>
      <c r="AL834" s="71"/>
      <c r="AM834" s="71"/>
    </row>
    <row r="835" spans="8:39">
      <c r="H835" s="71"/>
      <c r="I835" s="71"/>
      <c r="Y835" s="83"/>
      <c r="Z835" s="83"/>
      <c r="AA835" s="71"/>
      <c r="AB835" s="71"/>
      <c r="AC835" s="71"/>
      <c r="AD835" s="71"/>
      <c r="AE835" s="71"/>
      <c r="AF835" s="71"/>
      <c r="AG835" s="71"/>
      <c r="AJ835" s="71"/>
      <c r="AK835" s="71"/>
      <c r="AL835" s="71"/>
      <c r="AM835" s="71"/>
    </row>
    <row r="836" spans="8:39">
      <c r="H836" s="71"/>
      <c r="I836" s="71"/>
      <c r="Y836" s="83"/>
      <c r="Z836" s="83"/>
      <c r="AA836" s="71"/>
      <c r="AB836" s="71"/>
      <c r="AC836" s="71"/>
      <c r="AD836" s="71"/>
      <c r="AE836" s="71"/>
      <c r="AF836" s="71"/>
      <c r="AG836" s="71"/>
      <c r="AJ836" s="71"/>
      <c r="AK836" s="71"/>
      <c r="AL836" s="71"/>
      <c r="AM836" s="71"/>
    </row>
    <row r="837" spans="8:39">
      <c r="H837" s="71"/>
      <c r="I837" s="71"/>
      <c r="Y837" s="83"/>
      <c r="Z837" s="83"/>
      <c r="AA837" s="71"/>
      <c r="AB837" s="71"/>
      <c r="AC837" s="71"/>
      <c r="AD837" s="71"/>
      <c r="AE837" s="71"/>
      <c r="AF837" s="71"/>
      <c r="AG837" s="71"/>
      <c r="AJ837" s="71"/>
      <c r="AK837" s="71"/>
      <c r="AL837" s="71"/>
      <c r="AM837" s="71"/>
    </row>
    <row r="838" spans="8:39">
      <c r="H838" s="71"/>
      <c r="I838" s="71"/>
      <c r="Y838" s="83"/>
      <c r="Z838" s="83"/>
      <c r="AA838" s="71"/>
      <c r="AB838" s="71"/>
      <c r="AC838" s="71"/>
      <c r="AD838" s="71"/>
      <c r="AE838" s="71"/>
      <c r="AF838" s="71"/>
      <c r="AG838" s="71"/>
      <c r="AJ838" s="71"/>
      <c r="AK838" s="71"/>
      <c r="AL838" s="71"/>
      <c r="AM838" s="71"/>
    </row>
    <row r="839" spans="8:39">
      <c r="H839" s="71"/>
      <c r="I839" s="71"/>
      <c r="Y839" s="83"/>
      <c r="Z839" s="83"/>
      <c r="AA839" s="71"/>
      <c r="AB839" s="71"/>
      <c r="AC839" s="71"/>
      <c r="AD839" s="71"/>
      <c r="AE839" s="71"/>
      <c r="AF839" s="71"/>
      <c r="AG839" s="71"/>
      <c r="AJ839" s="71"/>
      <c r="AK839" s="71"/>
      <c r="AL839" s="71"/>
      <c r="AM839" s="71"/>
    </row>
    <row r="840" spans="8:39">
      <c r="H840" s="71"/>
      <c r="I840" s="71"/>
      <c r="Y840" s="83"/>
      <c r="Z840" s="83"/>
      <c r="AA840" s="71"/>
      <c r="AB840" s="71"/>
      <c r="AC840" s="71"/>
      <c r="AD840" s="71"/>
      <c r="AE840" s="71"/>
      <c r="AF840" s="71"/>
      <c r="AG840" s="71"/>
      <c r="AJ840" s="71"/>
      <c r="AK840" s="71"/>
      <c r="AL840" s="71"/>
      <c r="AM840" s="71"/>
    </row>
    <row r="841" spans="8:39">
      <c r="H841" s="71"/>
      <c r="I841" s="71"/>
      <c r="Y841" s="83"/>
      <c r="Z841" s="83"/>
      <c r="AA841" s="71"/>
      <c r="AB841" s="71"/>
      <c r="AC841" s="71"/>
      <c r="AD841" s="71"/>
      <c r="AE841" s="71"/>
      <c r="AF841" s="71"/>
      <c r="AG841" s="71"/>
      <c r="AJ841" s="71"/>
      <c r="AK841" s="71"/>
      <c r="AL841" s="71"/>
      <c r="AM841" s="71"/>
    </row>
    <row r="842" spans="8:39">
      <c r="H842" s="71"/>
      <c r="I842" s="71"/>
      <c r="Y842" s="83"/>
      <c r="Z842" s="83"/>
      <c r="AA842" s="71"/>
      <c r="AB842" s="71"/>
      <c r="AC842" s="71"/>
      <c r="AD842" s="71"/>
      <c r="AE842" s="71"/>
      <c r="AF842" s="71"/>
      <c r="AG842" s="71"/>
      <c r="AJ842" s="71"/>
      <c r="AK842" s="71"/>
      <c r="AL842" s="71"/>
      <c r="AM842" s="71"/>
    </row>
    <row r="843" spans="8:39">
      <c r="H843" s="71"/>
      <c r="I843" s="71"/>
      <c r="Y843" s="83"/>
      <c r="Z843" s="83"/>
      <c r="AA843" s="71"/>
      <c r="AB843" s="71"/>
      <c r="AC843" s="71"/>
      <c r="AD843" s="71"/>
      <c r="AE843" s="71"/>
      <c r="AF843" s="71"/>
      <c r="AG843" s="71"/>
      <c r="AJ843" s="71"/>
      <c r="AK843" s="71"/>
      <c r="AL843" s="71"/>
      <c r="AM843" s="71"/>
    </row>
    <row r="844" spans="8:39">
      <c r="H844" s="71"/>
      <c r="I844" s="71"/>
      <c r="Y844" s="83"/>
      <c r="Z844" s="83"/>
      <c r="AA844" s="71"/>
      <c r="AB844" s="71"/>
      <c r="AC844" s="71"/>
      <c r="AD844" s="71"/>
      <c r="AE844" s="71"/>
      <c r="AF844" s="71"/>
      <c r="AG844" s="71"/>
      <c r="AJ844" s="71"/>
      <c r="AK844" s="71"/>
      <c r="AL844" s="71"/>
      <c r="AM844" s="71"/>
    </row>
    <row r="845" spans="8:39">
      <c r="H845" s="71"/>
      <c r="I845" s="71"/>
      <c r="Y845" s="83"/>
      <c r="Z845" s="83"/>
      <c r="AA845" s="71"/>
      <c r="AB845" s="71"/>
      <c r="AC845" s="71"/>
      <c r="AD845" s="71"/>
      <c r="AE845" s="71"/>
      <c r="AF845" s="71"/>
      <c r="AG845" s="71"/>
      <c r="AJ845" s="71"/>
      <c r="AK845" s="71"/>
      <c r="AL845" s="71"/>
      <c r="AM845" s="71"/>
    </row>
    <row r="846" spans="8:39">
      <c r="H846" s="71"/>
      <c r="I846" s="71"/>
      <c r="Y846" s="83"/>
      <c r="Z846" s="83"/>
      <c r="AA846" s="71"/>
      <c r="AB846" s="71"/>
      <c r="AC846" s="71"/>
      <c r="AD846" s="71"/>
      <c r="AE846" s="71"/>
      <c r="AF846" s="71"/>
      <c r="AG846" s="71"/>
      <c r="AJ846" s="71"/>
      <c r="AK846" s="71"/>
      <c r="AL846" s="71"/>
      <c r="AM846" s="71"/>
    </row>
    <row r="847" spans="8:39">
      <c r="H847" s="71"/>
      <c r="I847" s="71"/>
      <c r="Y847" s="83"/>
      <c r="Z847" s="83"/>
      <c r="AA847" s="71"/>
      <c r="AB847" s="71"/>
      <c r="AC847" s="71"/>
      <c r="AD847" s="71"/>
      <c r="AE847" s="71"/>
      <c r="AF847" s="71"/>
      <c r="AG847" s="71"/>
      <c r="AJ847" s="71"/>
      <c r="AK847" s="71"/>
      <c r="AL847" s="71"/>
      <c r="AM847" s="71"/>
    </row>
    <row r="848" spans="8:39">
      <c r="H848" s="71"/>
      <c r="I848" s="71"/>
      <c r="Y848" s="83"/>
      <c r="Z848" s="83"/>
      <c r="AA848" s="71"/>
      <c r="AB848" s="71"/>
      <c r="AC848" s="71"/>
      <c r="AD848" s="71"/>
      <c r="AE848" s="71"/>
      <c r="AF848" s="71"/>
      <c r="AG848" s="71"/>
      <c r="AJ848" s="71"/>
      <c r="AK848" s="71"/>
      <c r="AL848" s="71"/>
      <c r="AM848" s="71"/>
    </row>
    <row r="849" spans="8:39">
      <c r="H849" s="71"/>
      <c r="I849" s="71"/>
      <c r="Y849" s="83"/>
      <c r="Z849" s="83"/>
      <c r="AA849" s="71"/>
      <c r="AB849" s="71"/>
      <c r="AC849" s="71"/>
      <c r="AD849" s="71"/>
      <c r="AE849" s="71"/>
      <c r="AF849" s="71"/>
      <c r="AG849" s="71"/>
      <c r="AJ849" s="71"/>
      <c r="AK849" s="71"/>
      <c r="AL849" s="71"/>
      <c r="AM849" s="71"/>
    </row>
    <row r="850" spans="8:39">
      <c r="H850" s="71"/>
      <c r="I850" s="71"/>
      <c r="Y850" s="83"/>
      <c r="Z850" s="83"/>
      <c r="AA850" s="71"/>
      <c r="AB850" s="71"/>
      <c r="AC850" s="71"/>
      <c r="AD850" s="71"/>
      <c r="AE850" s="71"/>
      <c r="AF850" s="71"/>
      <c r="AG850" s="71"/>
      <c r="AJ850" s="71"/>
      <c r="AK850" s="71"/>
      <c r="AL850" s="71"/>
      <c r="AM850" s="71"/>
    </row>
    <row r="851" spans="8:39">
      <c r="H851" s="71"/>
      <c r="I851" s="71"/>
      <c r="Y851" s="83"/>
      <c r="Z851" s="83"/>
      <c r="AA851" s="71"/>
      <c r="AB851" s="71"/>
      <c r="AC851" s="71"/>
      <c r="AD851" s="71"/>
      <c r="AE851" s="71"/>
      <c r="AF851" s="71"/>
      <c r="AG851" s="71"/>
      <c r="AJ851" s="71"/>
      <c r="AK851" s="71"/>
      <c r="AL851" s="71"/>
      <c r="AM851" s="71"/>
    </row>
    <row r="852" spans="8:39">
      <c r="H852" s="71"/>
      <c r="I852" s="71"/>
      <c r="Y852" s="83"/>
      <c r="Z852" s="83"/>
      <c r="AA852" s="71"/>
      <c r="AB852" s="71"/>
      <c r="AC852" s="71"/>
      <c r="AD852" s="71"/>
      <c r="AE852" s="71"/>
      <c r="AF852" s="71"/>
      <c r="AG852" s="71"/>
      <c r="AJ852" s="71"/>
      <c r="AK852" s="71"/>
      <c r="AL852" s="71"/>
      <c r="AM852" s="71"/>
    </row>
    <row r="853" spans="8:39">
      <c r="H853" s="71"/>
      <c r="I853" s="71"/>
      <c r="Y853" s="83"/>
      <c r="Z853" s="83"/>
      <c r="AA853" s="71"/>
      <c r="AB853" s="71"/>
      <c r="AC853" s="71"/>
      <c r="AD853" s="71"/>
      <c r="AE853" s="71"/>
      <c r="AF853" s="71"/>
      <c r="AG853" s="71"/>
      <c r="AJ853" s="71"/>
      <c r="AK853" s="71"/>
      <c r="AL853" s="71"/>
      <c r="AM853" s="71"/>
    </row>
    <row r="854" spans="8:39">
      <c r="H854" s="71"/>
      <c r="I854" s="71"/>
      <c r="Y854" s="83"/>
      <c r="Z854" s="83"/>
      <c r="AA854" s="71"/>
      <c r="AB854" s="71"/>
      <c r="AC854" s="71"/>
      <c r="AD854" s="71"/>
      <c r="AE854" s="71"/>
      <c r="AF854" s="71"/>
      <c r="AG854" s="71"/>
      <c r="AJ854" s="71"/>
      <c r="AK854" s="71"/>
      <c r="AL854" s="71"/>
      <c r="AM854" s="71"/>
    </row>
    <row r="855" spans="8:39">
      <c r="H855" s="71"/>
      <c r="I855" s="71"/>
      <c r="Y855" s="83"/>
      <c r="Z855" s="83"/>
      <c r="AA855" s="71"/>
      <c r="AB855" s="71"/>
      <c r="AC855" s="71"/>
      <c r="AD855" s="71"/>
      <c r="AE855" s="71"/>
      <c r="AF855" s="71"/>
      <c r="AG855" s="71"/>
      <c r="AJ855" s="71"/>
      <c r="AK855" s="71"/>
      <c r="AL855" s="71"/>
      <c r="AM855" s="71"/>
    </row>
    <row r="856" spans="8:39">
      <c r="H856" s="71"/>
      <c r="I856" s="71"/>
      <c r="Y856" s="83"/>
      <c r="Z856" s="83"/>
      <c r="AA856" s="71"/>
      <c r="AB856" s="71"/>
      <c r="AC856" s="71"/>
      <c r="AD856" s="71"/>
      <c r="AE856" s="71"/>
      <c r="AF856" s="71"/>
      <c r="AG856" s="71"/>
      <c r="AJ856" s="71"/>
      <c r="AK856" s="71"/>
      <c r="AL856" s="71"/>
      <c r="AM856" s="71"/>
    </row>
    <row r="857" spans="8:39">
      <c r="H857" s="71"/>
      <c r="I857" s="71"/>
      <c r="Y857" s="83"/>
      <c r="Z857" s="83"/>
      <c r="AA857" s="71"/>
      <c r="AB857" s="71"/>
      <c r="AC857" s="71"/>
      <c r="AD857" s="71"/>
      <c r="AE857" s="71"/>
      <c r="AF857" s="71"/>
      <c r="AG857" s="71"/>
      <c r="AJ857" s="71"/>
      <c r="AK857" s="71"/>
      <c r="AL857" s="71"/>
      <c r="AM857" s="71"/>
    </row>
    <row r="858" spans="8:39">
      <c r="H858" s="71"/>
      <c r="I858" s="71"/>
      <c r="Y858" s="83"/>
      <c r="Z858" s="83"/>
      <c r="AA858" s="71"/>
      <c r="AB858" s="71"/>
      <c r="AC858" s="71"/>
      <c r="AD858" s="71"/>
      <c r="AE858" s="71"/>
      <c r="AF858" s="71"/>
      <c r="AG858" s="71"/>
      <c r="AJ858" s="71"/>
      <c r="AK858" s="71"/>
      <c r="AL858" s="71"/>
      <c r="AM858" s="71"/>
    </row>
    <row r="859" spans="8:39">
      <c r="H859" s="71"/>
      <c r="I859" s="71"/>
      <c r="Y859" s="83"/>
      <c r="Z859" s="83"/>
      <c r="AA859" s="71"/>
      <c r="AB859" s="71"/>
      <c r="AC859" s="71"/>
      <c r="AD859" s="71"/>
      <c r="AE859" s="71"/>
      <c r="AF859" s="71"/>
      <c r="AG859" s="71"/>
      <c r="AJ859" s="71"/>
      <c r="AK859" s="71"/>
      <c r="AL859" s="71"/>
      <c r="AM859" s="71"/>
    </row>
    <row r="860" spans="8:39">
      <c r="H860" s="71"/>
      <c r="I860" s="71"/>
      <c r="Y860" s="83"/>
      <c r="Z860" s="83"/>
      <c r="AA860" s="71"/>
      <c r="AB860" s="71"/>
      <c r="AC860" s="71"/>
      <c r="AD860" s="71"/>
      <c r="AE860" s="71"/>
      <c r="AF860" s="71"/>
      <c r="AG860" s="71"/>
      <c r="AJ860" s="71"/>
      <c r="AK860" s="71"/>
      <c r="AL860" s="71"/>
      <c r="AM860" s="71"/>
    </row>
    <row r="861" spans="8:39">
      <c r="H861" s="71"/>
      <c r="I861" s="71"/>
      <c r="Y861" s="83"/>
      <c r="Z861" s="83"/>
      <c r="AA861" s="71"/>
      <c r="AB861" s="71"/>
      <c r="AC861" s="71"/>
      <c r="AD861" s="71"/>
      <c r="AE861" s="71"/>
      <c r="AF861" s="71"/>
      <c r="AG861" s="71"/>
      <c r="AJ861" s="71"/>
      <c r="AK861" s="71"/>
      <c r="AL861" s="71"/>
      <c r="AM861" s="71"/>
    </row>
    <row r="862" spans="8:39">
      <c r="H862" s="71"/>
      <c r="I862" s="71"/>
      <c r="Y862" s="83"/>
      <c r="Z862" s="83"/>
      <c r="AA862" s="71"/>
      <c r="AB862" s="71"/>
      <c r="AC862" s="71"/>
      <c r="AD862" s="71"/>
      <c r="AE862" s="71"/>
      <c r="AF862" s="71"/>
      <c r="AG862" s="71"/>
      <c r="AJ862" s="71"/>
      <c r="AK862" s="71"/>
      <c r="AL862" s="71"/>
      <c r="AM862" s="71"/>
    </row>
    <row r="863" spans="8:39">
      <c r="H863" s="71"/>
      <c r="I863" s="71"/>
      <c r="Y863" s="83"/>
      <c r="Z863" s="83"/>
      <c r="AA863" s="71"/>
      <c r="AB863" s="71"/>
      <c r="AC863" s="71"/>
      <c r="AD863" s="71"/>
      <c r="AE863" s="71"/>
      <c r="AF863" s="71"/>
      <c r="AG863" s="71"/>
      <c r="AJ863" s="71"/>
      <c r="AK863" s="71"/>
      <c r="AL863" s="71"/>
      <c r="AM863" s="71"/>
    </row>
    <row r="864" spans="8:39">
      <c r="H864" s="71"/>
      <c r="I864" s="71"/>
      <c r="Y864" s="83"/>
      <c r="Z864" s="83"/>
      <c r="AA864" s="71"/>
      <c r="AB864" s="71"/>
      <c r="AC864" s="71"/>
      <c r="AD864" s="71"/>
      <c r="AE864" s="71"/>
      <c r="AF864" s="71"/>
      <c r="AG864" s="71"/>
      <c r="AJ864" s="71"/>
      <c r="AK864" s="71"/>
      <c r="AL864" s="71"/>
      <c r="AM864" s="71"/>
    </row>
    <row r="865" spans="8:39">
      <c r="H865" s="71"/>
      <c r="I865" s="71"/>
      <c r="Y865" s="83"/>
      <c r="Z865" s="83"/>
      <c r="AA865" s="71"/>
      <c r="AB865" s="71"/>
      <c r="AC865" s="71"/>
      <c r="AD865" s="71"/>
      <c r="AE865" s="71"/>
      <c r="AF865" s="71"/>
      <c r="AG865" s="71"/>
      <c r="AJ865" s="71"/>
      <c r="AK865" s="71"/>
      <c r="AL865" s="71"/>
      <c r="AM865" s="71"/>
    </row>
    <row r="866" spans="8:39">
      <c r="H866" s="71"/>
      <c r="I866" s="71"/>
      <c r="Y866" s="83"/>
      <c r="Z866" s="83"/>
      <c r="AA866" s="71"/>
      <c r="AB866" s="71"/>
      <c r="AC866" s="71"/>
      <c r="AD866" s="71"/>
      <c r="AE866" s="71"/>
      <c r="AF866" s="71"/>
      <c r="AG866" s="71"/>
      <c r="AJ866" s="71"/>
      <c r="AK866" s="71"/>
      <c r="AL866" s="71"/>
      <c r="AM866" s="71"/>
    </row>
    <row r="867" spans="8:39">
      <c r="H867" s="71"/>
      <c r="I867" s="71"/>
      <c r="Y867" s="83"/>
      <c r="Z867" s="83"/>
      <c r="AA867" s="71"/>
      <c r="AB867" s="71"/>
      <c r="AC867" s="71"/>
      <c r="AD867" s="71"/>
      <c r="AE867" s="71"/>
      <c r="AF867" s="71"/>
      <c r="AG867" s="71"/>
      <c r="AJ867" s="71"/>
      <c r="AK867" s="71"/>
      <c r="AL867" s="71"/>
      <c r="AM867" s="71"/>
    </row>
    <row r="868" spans="8:39">
      <c r="H868" s="71"/>
      <c r="I868" s="71"/>
      <c r="Y868" s="83"/>
      <c r="Z868" s="83"/>
      <c r="AA868" s="71"/>
      <c r="AB868" s="71"/>
      <c r="AC868" s="71"/>
      <c r="AD868" s="71"/>
      <c r="AE868" s="71"/>
      <c r="AF868" s="71"/>
      <c r="AG868" s="71"/>
      <c r="AJ868" s="71"/>
      <c r="AK868" s="71"/>
      <c r="AL868" s="71"/>
      <c r="AM868" s="71"/>
    </row>
    <row r="869" spans="8:39">
      <c r="H869" s="71"/>
      <c r="I869" s="71"/>
      <c r="Y869" s="83"/>
      <c r="Z869" s="83"/>
      <c r="AA869" s="71"/>
      <c r="AB869" s="71"/>
      <c r="AC869" s="71"/>
      <c r="AD869" s="71"/>
      <c r="AE869" s="71"/>
      <c r="AF869" s="71"/>
      <c r="AG869" s="71"/>
      <c r="AJ869" s="71"/>
      <c r="AK869" s="71"/>
      <c r="AL869" s="71"/>
      <c r="AM869" s="71"/>
    </row>
    <row r="870" spans="8:39">
      <c r="H870" s="71"/>
      <c r="I870" s="71"/>
      <c r="Y870" s="83"/>
      <c r="Z870" s="83"/>
      <c r="AA870" s="71"/>
      <c r="AB870" s="71"/>
      <c r="AC870" s="71"/>
      <c r="AD870" s="71"/>
      <c r="AE870" s="71"/>
      <c r="AF870" s="71"/>
      <c r="AG870" s="71"/>
      <c r="AJ870" s="71"/>
      <c r="AK870" s="71"/>
      <c r="AL870" s="71"/>
      <c r="AM870" s="71"/>
    </row>
    <row r="871" spans="8:39">
      <c r="H871" s="71"/>
      <c r="I871" s="71"/>
      <c r="Y871" s="83"/>
      <c r="Z871" s="83"/>
      <c r="AA871" s="71"/>
      <c r="AB871" s="71"/>
      <c r="AC871" s="71"/>
      <c r="AD871" s="71"/>
      <c r="AE871" s="71"/>
      <c r="AF871" s="71"/>
      <c r="AG871" s="71"/>
      <c r="AJ871" s="71"/>
      <c r="AK871" s="71"/>
      <c r="AL871" s="71"/>
      <c r="AM871" s="71"/>
    </row>
    <row r="872" spans="8:39">
      <c r="H872" s="71"/>
      <c r="I872" s="71"/>
      <c r="Y872" s="83"/>
      <c r="Z872" s="83"/>
      <c r="AA872" s="71"/>
      <c r="AB872" s="71"/>
      <c r="AC872" s="71"/>
      <c r="AD872" s="71"/>
      <c r="AE872" s="71"/>
      <c r="AF872" s="71"/>
      <c r="AG872" s="71"/>
      <c r="AJ872" s="71"/>
      <c r="AK872" s="71"/>
      <c r="AL872" s="71"/>
      <c r="AM872" s="71"/>
    </row>
    <row r="873" spans="8:39">
      <c r="H873" s="71"/>
      <c r="I873" s="71"/>
      <c r="Y873" s="83"/>
      <c r="Z873" s="83"/>
      <c r="AA873" s="71"/>
      <c r="AB873" s="71"/>
      <c r="AC873" s="71"/>
      <c r="AD873" s="71"/>
      <c r="AE873" s="71"/>
      <c r="AF873" s="71"/>
      <c r="AG873" s="71"/>
      <c r="AJ873" s="71"/>
      <c r="AK873" s="71"/>
      <c r="AL873" s="71"/>
      <c r="AM873" s="71"/>
    </row>
    <row r="874" spans="8:39">
      <c r="H874" s="71"/>
      <c r="I874" s="71"/>
      <c r="Y874" s="83"/>
      <c r="Z874" s="83"/>
      <c r="AA874" s="71"/>
      <c r="AB874" s="71"/>
      <c r="AC874" s="71"/>
      <c r="AD874" s="71"/>
      <c r="AE874" s="71"/>
      <c r="AF874" s="71"/>
      <c r="AG874" s="71"/>
      <c r="AJ874" s="71"/>
      <c r="AK874" s="71"/>
      <c r="AL874" s="71"/>
      <c r="AM874" s="71"/>
    </row>
    <row r="875" spans="8:39">
      <c r="H875" s="71"/>
      <c r="I875" s="71"/>
      <c r="Y875" s="83"/>
      <c r="Z875" s="83"/>
      <c r="AA875" s="71"/>
      <c r="AB875" s="71"/>
      <c r="AC875" s="71"/>
      <c r="AD875" s="71"/>
      <c r="AE875" s="71"/>
      <c r="AF875" s="71"/>
      <c r="AG875" s="71"/>
      <c r="AJ875" s="71"/>
      <c r="AK875" s="71"/>
      <c r="AL875" s="71"/>
      <c r="AM875" s="71"/>
    </row>
    <row r="876" spans="8:39">
      <c r="H876" s="71"/>
      <c r="I876" s="71"/>
      <c r="Y876" s="83"/>
      <c r="Z876" s="83"/>
      <c r="AA876" s="71"/>
      <c r="AB876" s="71"/>
      <c r="AC876" s="71"/>
      <c r="AD876" s="71"/>
      <c r="AE876" s="71"/>
      <c r="AF876" s="71"/>
      <c r="AG876" s="71"/>
      <c r="AJ876" s="71"/>
      <c r="AK876" s="71"/>
      <c r="AL876" s="71"/>
      <c r="AM876" s="71"/>
    </row>
    <row r="877" spans="8:39">
      <c r="H877" s="71"/>
      <c r="I877" s="71"/>
      <c r="Y877" s="83"/>
      <c r="Z877" s="83"/>
      <c r="AA877" s="71"/>
      <c r="AB877" s="71"/>
      <c r="AC877" s="71"/>
      <c r="AD877" s="71"/>
      <c r="AE877" s="71"/>
      <c r="AF877" s="71"/>
      <c r="AG877" s="71"/>
      <c r="AJ877" s="71"/>
      <c r="AK877" s="71"/>
      <c r="AL877" s="71"/>
      <c r="AM877" s="71"/>
    </row>
    <row r="878" spans="8:39">
      <c r="H878" s="71"/>
      <c r="I878" s="71"/>
      <c r="Y878" s="83"/>
      <c r="Z878" s="83"/>
      <c r="AA878" s="71"/>
      <c r="AB878" s="71"/>
      <c r="AC878" s="71"/>
      <c r="AD878" s="71"/>
      <c r="AE878" s="71"/>
      <c r="AF878" s="71"/>
      <c r="AG878" s="71"/>
      <c r="AJ878" s="71"/>
      <c r="AK878" s="71"/>
      <c r="AL878" s="71"/>
      <c r="AM878" s="71"/>
    </row>
    <row r="879" spans="8:39">
      <c r="H879" s="71"/>
      <c r="I879" s="71"/>
      <c r="Y879" s="83"/>
      <c r="Z879" s="83"/>
      <c r="AA879" s="71"/>
      <c r="AB879" s="71"/>
      <c r="AC879" s="71"/>
      <c r="AD879" s="71"/>
      <c r="AE879" s="71"/>
      <c r="AF879" s="71"/>
      <c r="AG879" s="71"/>
      <c r="AJ879" s="71"/>
      <c r="AK879" s="71"/>
      <c r="AL879" s="71"/>
      <c r="AM879" s="71"/>
    </row>
    <row r="880" spans="8:39">
      <c r="H880" s="71"/>
      <c r="I880" s="71"/>
      <c r="Y880" s="83"/>
      <c r="Z880" s="83"/>
      <c r="AA880" s="71"/>
      <c r="AB880" s="71"/>
      <c r="AC880" s="71"/>
      <c r="AD880" s="71"/>
      <c r="AE880" s="71"/>
      <c r="AF880" s="71"/>
      <c r="AG880" s="71"/>
      <c r="AJ880" s="71"/>
      <c r="AK880" s="71"/>
      <c r="AL880" s="71"/>
      <c r="AM880" s="71"/>
    </row>
    <row r="881" spans="8:39">
      <c r="H881" s="71"/>
      <c r="I881" s="71"/>
      <c r="Y881" s="83"/>
      <c r="Z881" s="83"/>
      <c r="AA881" s="71"/>
      <c r="AB881" s="71"/>
      <c r="AC881" s="71"/>
      <c r="AD881" s="71"/>
      <c r="AE881" s="71"/>
      <c r="AF881" s="71"/>
      <c r="AG881" s="71"/>
      <c r="AJ881" s="71"/>
      <c r="AK881" s="71"/>
      <c r="AL881" s="71"/>
      <c r="AM881" s="71"/>
    </row>
    <row r="882" spans="8:39">
      <c r="H882" s="71"/>
      <c r="I882" s="71"/>
      <c r="Y882" s="83"/>
      <c r="Z882" s="83"/>
      <c r="AA882" s="71"/>
      <c r="AB882" s="71"/>
      <c r="AC882" s="71"/>
      <c r="AD882" s="71"/>
      <c r="AE882" s="71"/>
      <c r="AF882" s="71"/>
      <c r="AG882" s="71"/>
      <c r="AJ882" s="71"/>
      <c r="AK882" s="71"/>
      <c r="AL882" s="71"/>
      <c r="AM882" s="71"/>
    </row>
    <row r="883" spans="8:39">
      <c r="H883" s="71"/>
      <c r="I883" s="71"/>
      <c r="Y883" s="83"/>
      <c r="Z883" s="83"/>
      <c r="AA883" s="71"/>
      <c r="AB883" s="71"/>
      <c r="AC883" s="71"/>
      <c r="AD883" s="71"/>
      <c r="AE883" s="71"/>
      <c r="AF883" s="71"/>
      <c r="AG883" s="71"/>
      <c r="AJ883" s="71"/>
      <c r="AK883" s="71"/>
      <c r="AL883" s="71"/>
      <c r="AM883" s="71"/>
    </row>
    <row r="884" spans="8:39">
      <c r="H884" s="71"/>
      <c r="I884" s="71"/>
      <c r="Y884" s="83"/>
      <c r="Z884" s="83"/>
      <c r="AA884" s="71"/>
      <c r="AB884" s="71"/>
      <c r="AC884" s="71"/>
      <c r="AD884" s="71"/>
      <c r="AE884" s="71"/>
      <c r="AF884" s="71"/>
      <c r="AG884" s="71"/>
      <c r="AJ884" s="71"/>
      <c r="AK884" s="71"/>
      <c r="AL884" s="71"/>
      <c r="AM884" s="71"/>
    </row>
    <row r="885" spans="8:39">
      <c r="H885" s="71"/>
      <c r="I885" s="71"/>
      <c r="Y885" s="83"/>
      <c r="Z885" s="83"/>
      <c r="AA885" s="71"/>
      <c r="AB885" s="71"/>
      <c r="AC885" s="71"/>
      <c r="AD885" s="71"/>
      <c r="AE885" s="71"/>
      <c r="AF885" s="71"/>
      <c r="AG885" s="71"/>
      <c r="AJ885" s="71"/>
      <c r="AK885" s="71"/>
      <c r="AL885" s="71"/>
      <c r="AM885" s="71"/>
    </row>
    <row r="886" spans="8:39">
      <c r="H886" s="71"/>
      <c r="I886" s="71"/>
      <c r="Y886" s="83"/>
      <c r="Z886" s="83"/>
      <c r="AA886" s="71"/>
      <c r="AB886" s="71"/>
      <c r="AC886" s="71"/>
      <c r="AD886" s="71"/>
      <c r="AE886" s="71"/>
      <c r="AF886" s="71"/>
      <c r="AG886" s="71"/>
      <c r="AJ886" s="71"/>
      <c r="AK886" s="71"/>
      <c r="AL886" s="71"/>
      <c r="AM886" s="71"/>
    </row>
    <row r="887" spans="8:39">
      <c r="H887" s="71"/>
      <c r="I887" s="71"/>
      <c r="Y887" s="83"/>
      <c r="Z887" s="83"/>
      <c r="AA887" s="71"/>
      <c r="AB887" s="71"/>
      <c r="AC887" s="71"/>
      <c r="AD887" s="71"/>
      <c r="AE887" s="71"/>
      <c r="AF887" s="71"/>
      <c r="AG887" s="71"/>
      <c r="AJ887" s="71"/>
      <c r="AK887" s="71"/>
      <c r="AL887" s="71"/>
      <c r="AM887" s="71"/>
    </row>
    <row r="888" spans="8:39">
      <c r="H888" s="71"/>
      <c r="I888" s="71"/>
      <c r="Y888" s="83"/>
      <c r="Z888" s="83"/>
      <c r="AA888" s="71"/>
      <c r="AB888" s="71"/>
      <c r="AC888" s="71"/>
      <c r="AD888" s="71"/>
      <c r="AE888" s="71"/>
      <c r="AF888" s="71"/>
      <c r="AG888" s="71"/>
      <c r="AJ888" s="71"/>
      <c r="AK888" s="71"/>
      <c r="AL888" s="71"/>
      <c r="AM888" s="71"/>
    </row>
    <row r="889" spans="8:39">
      <c r="H889" s="71"/>
      <c r="I889" s="71"/>
      <c r="Y889" s="83"/>
      <c r="Z889" s="83"/>
      <c r="AA889" s="71"/>
      <c r="AB889" s="71"/>
      <c r="AC889" s="71"/>
      <c r="AD889" s="71"/>
      <c r="AE889" s="71"/>
      <c r="AF889" s="71"/>
      <c r="AG889" s="71"/>
      <c r="AJ889" s="71"/>
      <c r="AK889" s="71"/>
      <c r="AL889" s="71"/>
      <c r="AM889" s="71"/>
    </row>
    <row r="890" spans="8:39">
      <c r="H890" s="71"/>
      <c r="I890" s="71"/>
      <c r="Y890" s="83"/>
      <c r="Z890" s="83"/>
      <c r="AA890" s="71"/>
      <c r="AB890" s="71"/>
      <c r="AC890" s="71"/>
      <c r="AD890" s="71"/>
      <c r="AE890" s="71"/>
      <c r="AF890" s="71"/>
      <c r="AG890" s="71"/>
      <c r="AJ890" s="71"/>
      <c r="AK890" s="71"/>
      <c r="AL890" s="71"/>
      <c r="AM890" s="71"/>
    </row>
    <row r="891" spans="8:39">
      <c r="H891" s="71"/>
      <c r="I891" s="71"/>
      <c r="Y891" s="83"/>
      <c r="Z891" s="83"/>
      <c r="AA891" s="71"/>
      <c r="AB891" s="71"/>
      <c r="AC891" s="71"/>
      <c r="AD891" s="71"/>
      <c r="AE891" s="71"/>
      <c r="AF891" s="71"/>
      <c r="AG891" s="71"/>
      <c r="AJ891" s="71"/>
      <c r="AK891" s="71"/>
      <c r="AL891" s="71"/>
      <c r="AM891" s="71"/>
    </row>
    <row r="892" spans="8:39">
      <c r="H892" s="71"/>
      <c r="I892" s="71"/>
      <c r="Y892" s="83"/>
      <c r="Z892" s="83"/>
      <c r="AA892" s="71"/>
      <c r="AB892" s="71"/>
      <c r="AC892" s="71"/>
      <c r="AD892" s="71"/>
      <c r="AE892" s="71"/>
      <c r="AF892" s="71"/>
      <c r="AG892" s="71"/>
      <c r="AJ892" s="71"/>
      <c r="AK892" s="71"/>
      <c r="AL892" s="71"/>
      <c r="AM892" s="71"/>
    </row>
    <row r="893" spans="8:39">
      <c r="H893" s="71"/>
      <c r="I893" s="71"/>
      <c r="Y893" s="83"/>
      <c r="Z893" s="83"/>
      <c r="AA893" s="71"/>
      <c r="AB893" s="71"/>
      <c r="AC893" s="71"/>
      <c r="AD893" s="71"/>
      <c r="AE893" s="71"/>
      <c r="AF893" s="71"/>
      <c r="AG893" s="71"/>
      <c r="AJ893" s="71"/>
      <c r="AK893" s="71"/>
      <c r="AL893" s="71"/>
      <c r="AM893" s="71"/>
    </row>
    <row r="894" spans="8:39">
      <c r="H894" s="71"/>
      <c r="I894" s="71"/>
      <c r="Y894" s="83"/>
      <c r="Z894" s="83"/>
      <c r="AA894" s="71"/>
      <c r="AB894" s="71"/>
      <c r="AC894" s="71"/>
      <c r="AD894" s="71"/>
      <c r="AE894" s="71"/>
      <c r="AF894" s="71"/>
      <c r="AG894" s="71"/>
      <c r="AJ894" s="71"/>
      <c r="AK894" s="71"/>
      <c r="AL894" s="71"/>
      <c r="AM894" s="71"/>
    </row>
    <row r="895" spans="8:39">
      <c r="H895" s="71"/>
      <c r="I895" s="71"/>
      <c r="Y895" s="83"/>
      <c r="Z895" s="83"/>
      <c r="AA895" s="71"/>
      <c r="AB895" s="71"/>
      <c r="AC895" s="71"/>
      <c r="AD895" s="71"/>
      <c r="AE895" s="71"/>
      <c r="AF895" s="71"/>
      <c r="AG895" s="71"/>
      <c r="AJ895" s="71"/>
      <c r="AK895" s="71"/>
      <c r="AL895" s="71"/>
      <c r="AM895" s="71"/>
    </row>
    <row r="896" spans="8:39">
      <c r="H896" s="71"/>
      <c r="I896" s="71"/>
      <c r="Y896" s="83"/>
      <c r="Z896" s="83"/>
      <c r="AA896" s="71"/>
      <c r="AB896" s="71"/>
      <c r="AC896" s="71"/>
      <c r="AD896" s="71"/>
      <c r="AE896" s="71"/>
      <c r="AF896" s="71"/>
      <c r="AG896" s="71"/>
      <c r="AJ896" s="71"/>
      <c r="AK896" s="71"/>
      <c r="AL896" s="71"/>
      <c r="AM896" s="71"/>
    </row>
    <row r="897" spans="8:39">
      <c r="H897" s="71"/>
      <c r="I897" s="71"/>
      <c r="Y897" s="83"/>
      <c r="Z897" s="83"/>
      <c r="AA897" s="71"/>
      <c r="AB897" s="71"/>
      <c r="AC897" s="71"/>
      <c r="AD897" s="71"/>
      <c r="AE897" s="71"/>
      <c r="AF897" s="71"/>
      <c r="AG897" s="71"/>
      <c r="AJ897" s="71"/>
      <c r="AK897" s="71"/>
      <c r="AL897" s="71"/>
      <c r="AM897" s="71"/>
    </row>
    <row r="898" spans="8:39">
      <c r="H898" s="71"/>
      <c r="I898" s="71"/>
      <c r="Y898" s="83"/>
      <c r="Z898" s="83"/>
      <c r="AA898" s="71"/>
      <c r="AB898" s="71"/>
      <c r="AC898" s="71"/>
      <c r="AD898" s="71"/>
      <c r="AE898" s="71"/>
      <c r="AF898" s="71"/>
      <c r="AG898" s="71"/>
      <c r="AJ898" s="71"/>
      <c r="AK898" s="71"/>
      <c r="AL898" s="71"/>
      <c r="AM898" s="71"/>
    </row>
    <row r="899" spans="8:39">
      <c r="H899" s="71"/>
      <c r="I899" s="71"/>
      <c r="Y899" s="83"/>
      <c r="Z899" s="83"/>
      <c r="AA899" s="71"/>
      <c r="AB899" s="71"/>
      <c r="AC899" s="71"/>
      <c r="AD899" s="71"/>
      <c r="AE899" s="71"/>
      <c r="AF899" s="71"/>
      <c r="AG899" s="71"/>
      <c r="AJ899" s="71"/>
      <c r="AK899" s="71"/>
      <c r="AL899" s="71"/>
      <c r="AM899" s="71"/>
    </row>
    <row r="900" spans="8:39">
      <c r="H900" s="71"/>
      <c r="I900" s="71"/>
      <c r="Y900" s="83"/>
      <c r="Z900" s="83"/>
      <c r="AA900" s="71"/>
      <c r="AB900" s="71"/>
      <c r="AC900" s="71"/>
      <c r="AD900" s="71"/>
      <c r="AE900" s="71"/>
      <c r="AF900" s="71"/>
      <c r="AG900" s="71"/>
      <c r="AJ900" s="71"/>
      <c r="AK900" s="71"/>
      <c r="AL900" s="71"/>
      <c r="AM900" s="71"/>
    </row>
    <row r="901" spans="8:39">
      <c r="H901" s="71"/>
      <c r="I901" s="71"/>
      <c r="Y901" s="83"/>
      <c r="Z901" s="83"/>
      <c r="AA901" s="71"/>
      <c r="AB901" s="71"/>
      <c r="AC901" s="71"/>
      <c r="AD901" s="71"/>
      <c r="AE901" s="71"/>
      <c r="AF901" s="71"/>
      <c r="AG901" s="71"/>
      <c r="AJ901" s="71"/>
      <c r="AK901" s="71"/>
      <c r="AL901" s="71"/>
      <c r="AM901" s="71"/>
    </row>
    <row r="902" spans="8:39">
      <c r="H902" s="71"/>
      <c r="I902" s="71"/>
      <c r="Y902" s="83"/>
      <c r="Z902" s="83"/>
      <c r="AA902" s="71"/>
      <c r="AB902" s="71"/>
      <c r="AC902" s="71"/>
      <c r="AD902" s="71"/>
      <c r="AE902" s="71"/>
      <c r="AF902" s="71"/>
      <c r="AG902" s="71"/>
      <c r="AJ902" s="71"/>
      <c r="AK902" s="71"/>
      <c r="AL902" s="71"/>
      <c r="AM902" s="71"/>
    </row>
    <row r="903" spans="8:39">
      <c r="H903" s="71"/>
      <c r="I903" s="71"/>
      <c r="Y903" s="83"/>
      <c r="Z903" s="83"/>
      <c r="AA903" s="71"/>
      <c r="AB903" s="71"/>
      <c r="AC903" s="71"/>
      <c r="AD903" s="71"/>
      <c r="AE903" s="71"/>
      <c r="AF903" s="71"/>
      <c r="AG903" s="71"/>
      <c r="AJ903" s="71"/>
      <c r="AK903" s="71"/>
      <c r="AL903" s="71"/>
      <c r="AM903" s="71"/>
    </row>
    <row r="904" spans="8:39">
      <c r="H904" s="71"/>
      <c r="I904" s="71"/>
      <c r="Y904" s="83"/>
      <c r="Z904" s="83"/>
      <c r="AA904" s="71"/>
      <c r="AB904" s="71"/>
      <c r="AC904" s="71"/>
      <c r="AD904" s="71"/>
      <c r="AE904" s="71"/>
      <c r="AF904" s="71"/>
      <c r="AG904" s="71"/>
      <c r="AJ904" s="71"/>
      <c r="AK904" s="71"/>
      <c r="AL904" s="71"/>
      <c r="AM904" s="71"/>
    </row>
    <row r="905" spans="8:39">
      <c r="H905" s="71"/>
      <c r="I905" s="71"/>
      <c r="Y905" s="83"/>
      <c r="Z905" s="83"/>
      <c r="AA905" s="71"/>
      <c r="AB905" s="71"/>
      <c r="AC905" s="71"/>
      <c r="AD905" s="71"/>
      <c r="AE905" s="71"/>
      <c r="AF905" s="71"/>
      <c r="AG905" s="71"/>
      <c r="AJ905" s="71"/>
      <c r="AK905" s="71"/>
      <c r="AL905" s="71"/>
      <c r="AM905" s="71"/>
    </row>
    <row r="906" spans="8:39">
      <c r="H906" s="71"/>
      <c r="I906" s="71"/>
      <c r="Y906" s="83"/>
      <c r="Z906" s="83"/>
      <c r="AA906" s="71"/>
      <c r="AB906" s="71"/>
      <c r="AC906" s="71"/>
      <c r="AD906" s="71"/>
      <c r="AE906" s="71"/>
      <c r="AF906" s="71"/>
      <c r="AG906" s="71"/>
      <c r="AJ906" s="71"/>
      <c r="AK906" s="71"/>
      <c r="AL906" s="71"/>
      <c r="AM906" s="71"/>
    </row>
    <row r="907" spans="8:39">
      <c r="H907" s="71"/>
      <c r="I907" s="71"/>
      <c r="Y907" s="83"/>
      <c r="Z907" s="83"/>
      <c r="AA907" s="71"/>
      <c r="AB907" s="71"/>
      <c r="AC907" s="71"/>
      <c r="AD907" s="71"/>
      <c r="AE907" s="71"/>
      <c r="AF907" s="71"/>
      <c r="AG907" s="71"/>
      <c r="AJ907" s="71"/>
      <c r="AK907" s="71"/>
      <c r="AL907" s="71"/>
      <c r="AM907" s="71"/>
    </row>
    <row r="908" spans="8:39">
      <c r="H908" s="71"/>
      <c r="I908" s="71"/>
      <c r="Y908" s="83"/>
      <c r="Z908" s="83"/>
      <c r="AA908" s="71"/>
      <c r="AB908" s="71"/>
      <c r="AC908" s="71"/>
      <c r="AD908" s="71"/>
      <c r="AE908" s="71"/>
      <c r="AF908" s="71"/>
      <c r="AG908" s="71"/>
      <c r="AJ908" s="71"/>
      <c r="AK908" s="71"/>
      <c r="AL908" s="71"/>
      <c r="AM908" s="71"/>
    </row>
    <row r="909" spans="8:39">
      <c r="H909" s="71"/>
      <c r="I909" s="71"/>
      <c r="Y909" s="83"/>
      <c r="Z909" s="83"/>
      <c r="AA909" s="71"/>
      <c r="AB909" s="71"/>
      <c r="AC909" s="71"/>
      <c r="AD909" s="71"/>
      <c r="AE909" s="71"/>
      <c r="AF909" s="71"/>
      <c r="AG909" s="71"/>
      <c r="AJ909" s="71"/>
      <c r="AK909" s="71"/>
      <c r="AL909" s="71"/>
      <c r="AM909" s="71"/>
    </row>
    <row r="910" spans="8:39">
      <c r="H910" s="71"/>
      <c r="I910" s="71"/>
      <c r="Y910" s="83"/>
      <c r="Z910" s="83"/>
      <c r="AA910" s="71"/>
      <c r="AB910" s="71"/>
      <c r="AC910" s="71"/>
      <c r="AD910" s="71"/>
      <c r="AE910" s="71"/>
      <c r="AF910" s="71"/>
      <c r="AG910" s="71"/>
      <c r="AJ910" s="71"/>
      <c r="AK910" s="71"/>
      <c r="AL910" s="71"/>
      <c r="AM910" s="71"/>
    </row>
    <row r="911" spans="8:39">
      <c r="H911" s="71"/>
      <c r="I911" s="71"/>
      <c r="Y911" s="83"/>
      <c r="Z911" s="83"/>
      <c r="AA911" s="71"/>
      <c r="AB911" s="71"/>
      <c r="AC911" s="71"/>
      <c r="AD911" s="71"/>
      <c r="AE911" s="71"/>
      <c r="AF911" s="71"/>
      <c r="AG911" s="71"/>
      <c r="AJ911" s="71"/>
      <c r="AK911" s="71"/>
      <c r="AL911" s="71"/>
      <c r="AM911" s="71"/>
    </row>
    <row r="912" spans="8:39">
      <c r="H912" s="71"/>
      <c r="I912" s="71"/>
      <c r="Y912" s="83"/>
      <c r="Z912" s="83"/>
      <c r="AA912" s="71"/>
      <c r="AB912" s="71"/>
      <c r="AC912" s="71"/>
      <c r="AD912" s="71"/>
      <c r="AE912" s="71"/>
      <c r="AF912" s="71"/>
      <c r="AG912" s="71"/>
      <c r="AJ912" s="71"/>
      <c r="AK912" s="71"/>
      <c r="AL912" s="71"/>
      <c r="AM912" s="71"/>
    </row>
    <row r="913" spans="8:39">
      <c r="H913" s="71"/>
      <c r="I913" s="71"/>
      <c r="Y913" s="83"/>
      <c r="Z913" s="83"/>
      <c r="AA913" s="71"/>
      <c r="AB913" s="71"/>
      <c r="AC913" s="71"/>
      <c r="AD913" s="71"/>
      <c r="AE913" s="71"/>
      <c r="AF913" s="71"/>
      <c r="AG913" s="71"/>
      <c r="AJ913" s="71"/>
      <c r="AK913" s="71"/>
      <c r="AL913" s="71"/>
      <c r="AM913" s="71"/>
    </row>
    <row r="914" spans="8:39">
      <c r="H914" s="71"/>
      <c r="I914" s="71"/>
      <c r="Y914" s="83"/>
      <c r="Z914" s="83"/>
      <c r="AA914" s="71"/>
      <c r="AB914" s="71"/>
      <c r="AC914" s="71"/>
      <c r="AD914" s="71"/>
      <c r="AE914" s="71"/>
      <c r="AF914" s="71"/>
      <c r="AG914" s="71"/>
      <c r="AJ914" s="71"/>
      <c r="AK914" s="71"/>
      <c r="AL914" s="71"/>
      <c r="AM914" s="71"/>
    </row>
    <row r="915" spans="8:39">
      <c r="H915" s="71"/>
      <c r="I915" s="71"/>
      <c r="Y915" s="83"/>
      <c r="Z915" s="83"/>
      <c r="AA915" s="71"/>
      <c r="AB915" s="71"/>
      <c r="AC915" s="71"/>
      <c r="AD915" s="71"/>
      <c r="AE915" s="71"/>
      <c r="AF915" s="71"/>
      <c r="AG915" s="71"/>
      <c r="AJ915" s="71"/>
      <c r="AK915" s="71"/>
      <c r="AL915" s="71"/>
      <c r="AM915" s="71"/>
    </row>
    <row r="916" spans="8:39">
      <c r="H916" s="71"/>
      <c r="I916" s="71"/>
      <c r="Y916" s="83"/>
      <c r="Z916" s="83"/>
      <c r="AA916" s="71"/>
      <c r="AB916" s="71"/>
      <c r="AC916" s="71"/>
      <c r="AD916" s="71"/>
      <c r="AE916" s="71"/>
      <c r="AF916" s="71"/>
      <c r="AG916" s="71"/>
      <c r="AJ916" s="71"/>
      <c r="AK916" s="71"/>
      <c r="AL916" s="71"/>
      <c r="AM916" s="71"/>
    </row>
    <row r="917" spans="8:39">
      <c r="H917" s="71"/>
      <c r="I917" s="71"/>
      <c r="Y917" s="83"/>
      <c r="Z917" s="83"/>
      <c r="AA917" s="71"/>
      <c r="AB917" s="71"/>
      <c r="AC917" s="71"/>
      <c r="AD917" s="71"/>
      <c r="AE917" s="71"/>
      <c r="AF917" s="71"/>
      <c r="AG917" s="71"/>
      <c r="AJ917" s="71"/>
      <c r="AK917" s="71"/>
      <c r="AL917" s="71"/>
      <c r="AM917" s="71"/>
    </row>
    <row r="918" spans="8:39">
      <c r="H918" s="71"/>
      <c r="I918" s="71"/>
      <c r="Y918" s="83"/>
      <c r="Z918" s="83"/>
      <c r="AA918" s="71"/>
      <c r="AB918" s="71"/>
      <c r="AC918" s="71"/>
      <c r="AD918" s="71"/>
      <c r="AE918" s="71"/>
      <c r="AF918" s="71"/>
      <c r="AG918" s="71"/>
      <c r="AJ918" s="71"/>
      <c r="AK918" s="71"/>
      <c r="AL918" s="71"/>
      <c r="AM918" s="71"/>
    </row>
    <row r="919" spans="8:39">
      <c r="H919" s="71"/>
      <c r="I919" s="71"/>
      <c r="Y919" s="83"/>
      <c r="Z919" s="83"/>
      <c r="AA919" s="71"/>
      <c r="AB919" s="71"/>
      <c r="AC919" s="71"/>
      <c r="AD919" s="71"/>
      <c r="AE919" s="71"/>
      <c r="AF919" s="71"/>
      <c r="AG919" s="71"/>
      <c r="AJ919" s="71"/>
      <c r="AK919" s="71"/>
      <c r="AL919" s="71"/>
      <c r="AM919" s="71"/>
    </row>
    <row r="920" spans="8:39">
      <c r="H920" s="71"/>
      <c r="I920" s="71"/>
      <c r="Y920" s="83"/>
      <c r="Z920" s="83"/>
      <c r="AA920" s="71"/>
      <c r="AB920" s="71"/>
      <c r="AC920" s="71"/>
      <c r="AD920" s="71"/>
      <c r="AE920" s="71"/>
      <c r="AF920" s="71"/>
      <c r="AG920" s="71"/>
      <c r="AJ920" s="71"/>
      <c r="AK920" s="71"/>
      <c r="AL920" s="71"/>
      <c r="AM920" s="71"/>
    </row>
    <row r="921" spans="8:39">
      <c r="H921" s="71"/>
      <c r="I921" s="71"/>
      <c r="Y921" s="83"/>
      <c r="Z921" s="83"/>
      <c r="AA921" s="71"/>
      <c r="AB921" s="71"/>
      <c r="AC921" s="71"/>
      <c r="AD921" s="71"/>
      <c r="AE921" s="71"/>
      <c r="AF921" s="71"/>
      <c r="AG921" s="71"/>
      <c r="AJ921" s="71"/>
      <c r="AK921" s="71"/>
      <c r="AL921" s="71"/>
      <c r="AM921" s="71"/>
    </row>
    <row r="922" spans="8:39">
      <c r="H922" s="71"/>
      <c r="I922" s="71"/>
      <c r="Y922" s="83"/>
      <c r="Z922" s="83"/>
      <c r="AA922" s="71"/>
      <c r="AB922" s="71"/>
      <c r="AC922" s="71"/>
      <c r="AD922" s="71"/>
      <c r="AE922" s="71"/>
      <c r="AF922" s="71"/>
      <c r="AG922" s="71"/>
      <c r="AJ922" s="71"/>
      <c r="AK922" s="71"/>
      <c r="AL922" s="71"/>
      <c r="AM922" s="71"/>
    </row>
    <row r="923" spans="8:39">
      <c r="H923" s="71"/>
      <c r="I923" s="71"/>
      <c r="Y923" s="83"/>
      <c r="Z923" s="83"/>
      <c r="AA923" s="71"/>
      <c r="AB923" s="71"/>
      <c r="AC923" s="71"/>
      <c r="AD923" s="71"/>
      <c r="AE923" s="71"/>
      <c r="AF923" s="71"/>
      <c r="AG923" s="71"/>
      <c r="AJ923" s="71"/>
      <c r="AK923" s="71"/>
      <c r="AL923" s="71"/>
      <c r="AM923" s="71"/>
    </row>
    <row r="924" spans="8:39">
      <c r="H924" s="71"/>
      <c r="I924" s="71"/>
      <c r="Y924" s="83"/>
      <c r="Z924" s="83"/>
      <c r="AA924" s="71"/>
      <c r="AB924" s="71"/>
      <c r="AC924" s="71"/>
      <c r="AD924" s="71"/>
      <c r="AE924" s="71"/>
      <c r="AF924" s="71"/>
      <c r="AG924" s="71"/>
      <c r="AJ924" s="71"/>
      <c r="AK924" s="71"/>
      <c r="AL924" s="71"/>
      <c r="AM924" s="71"/>
    </row>
    <row r="925" spans="8:39">
      <c r="H925" s="71"/>
      <c r="I925" s="71"/>
      <c r="Y925" s="83"/>
      <c r="Z925" s="83"/>
      <c r="AA925" s="71"/>
      <c r="AB925" s="71"/>
      <c r="AC925" s="71"/>
      <c r="AD925" s="71"/>
      <c r="AE925" s="71"/>
      <c r="AF925" s="71"/>
      <c r="AG925" s="71"/>
      <c r="AJ925" s="71"/>
      <c r="AK925" s="71"/>
      <c r="AL925" s="71"/>
      <c r="AM925" s="71"/>
    </row>
    <row r="926" spans="8:39">
      <c r="H926" s="71"/>
      <c r="I926" s="71"/>
      <c r="Y926" s="83"/>
      <c r="Z926" s="83"/>
      <c r="AA926" s="71"/>
      <c r="AB926" s="71"/>
      <c r="AC926" s="71"/>
      <c r="AD926" s="71"/>
      <c r="AE926" s="71"/>
      <c r="AF926" s="71"/>
      <c r="AG926" s="71"/>
      <c r="AJ926" s="71"/>
      <c r="AK926" s="71"/>
      <c r="AL926" s="71"/>
      <c r="AM926" s="71"/>
    </row>
    <row r="927" spans="8:39">
      <c r="H927" s="71"/>
      <c r="I927" s="71"/>
      <c r="Y927" s="83"/>
      <c r="Z927" s="83"/>
      <c r="AA927" s="71"/>
      <c r="AB927" s="71"/>
      <c r="AC927" s="71"/>
      <c r="AD927" s="71"/>
      <c r="AE927" s="71"/>
      <c r="AF927" s="71"/>
      <c r="AG927" s="71"/>
      <c r="AJ927" s="71"/>
      <c r="AK927" s="71"/>
      <c r="AL927" s="71"/>
      <c r="AM927" s="71"/>
    </row>
    <row r="928" spans="8:39">
      <c r="H928" s="71"/>
      <c r="I928" s="71"/>
      <c r="Y928" s="83"/>
      <c r="Z928" s="83"/>
      <c r="AA928" s="71"/>
      <c r="AB928" s="71"/>
      <c r="AC928" s="71"/>
      <c r="AD928" s="71"/>
      <c r="AE928" s="71"/>
      <c r="AF928" s="71"/>
      <c r="AG928" s="71"/>
      <c r="AJ928" s="71"/>
      <c r="AK928" s="71"/>
      <c r="AL928" s="71"/>
      <c r="AM928" s="71"/>
    </row>
    <row r="929" spans="8:39">
      <c r="H929" s="71"/>
      <c r="I929" s="71"/>
      <c r="Y929" s="83"/>
      <c r="Z929" s="83"/>
      <c r="AA929" s="71"/>
      <c r="AB929" s="71"/>
      <c r="AC929" s="71"/>
      <c r="AD929" s="71"/>
      <c r="AE929" s="71"/>
      <c r="AF929" s="71"/>
      <c r="AG929" s="71"/>
      <c r="AJ929" s="71"/>
      <c r="AK929" s="71"/>
      <c r="AL929" s="71"/>
      <c r="AM929" s="71"/>
    </row>
    <row r="930" spans="8:39">
      <c r="H930" s="71"/>
      <c r="I930" s="71"/>
      <c r="Y930" s="83"/>
      <c r="Z930" s="83"/>
      <c r="AA930" s="71"/>
      <c r="AB930" s="71"/>
      <c r="AC930" s="71"/>
      <c r="AD930" s="71"/>
      <c r="AE930" s="71"/>
      <c r="AF930" s="71"/>
      <c r="AG930" s="71"/>
      <c r="AJ930" s="71"/>
      <c r="AK930" s="71"/>
      <c r="AL930" s="71"/>
      <c r="AM930" s="71"/>
    </row>
    <row r="931" spans="8:39">
      <c r="H931" s="71"/>
      <c r="I931" s="71"/>
      <c r="Y931" s="83"/>
      <c r="Z931" s="83"/>
      <c r="AA931" s="71"/>
      <c r="AB931" s="71"/>
      <c r="AC931" s="71"/>
      <c r="AD931" s="71"/>
      <c r="AE931" s="71"/>
      <c r="AF931" s="71"/>
      <c r="AG931" s="71"/>
      <c r="AJ931" s="71"/>
      <c r="AK931" s="71"/>
      <c r="AL931" s="71"/>
      <c r="AM931" s="71"/>
    </row>
    <row r="932" spans="8:39">
      <c r="H932" s="71"/>
      <c r="I932" s="71"/>
      <c r="Y932" s="83"/>
      <c r="Z932" s="83"/>
      <c r="AA932" s="71"/>
      <c r="AB932" s="71"/>
      <c r="AC932" s="71"/>
      <c r="AD932" s="71"/>
      <c r="AE932" s="71"/>
      <c r="AF932" s="71"/>
      <c r="AG932" s="71"/>
      <c r="AJ932" s="71"/>
      <c r="AK932" s="71"/>
      <c r="AL932" s="71"/>
      <c r="AM932" s="71"/>
    </row>
    <row r="933" spans="8:39">
      <c r="H933" s="71"/>
      <c r="I933" s="71"/>
      <c r="Y933" s="83"/>
      <c r="Z933" s="83"/>
      <c r="AA933" s="71"/>
      <c r="AB933" s="71"/>
      <c r="AC933" s="71"/>
      <c r="AD933" s="71"/>
      <c r="AE933" s="71"/>
      <c r="AF933" s="71"/>
      <c r="AG933" s="71"/>
      <c r="AJ933" s="71"/>
      <c r="AK933" s="71"/>
      <c r="AL933" s="71"/>
      <c r="AM933" s="71"/>
    </row>
    <row r="934" spans="8:39">
      <c r="H934" s="71"/>
      <c r="I934" s="71"/>
      <c r="Y934" s="83"/>
      <c r="Z934" s="83"/>
      <c r="AA934" s="71"/>
      <c r="AB934" s="71"/>
      <c r="AC934" s="71"/>
      <c r="AD934" s="71"/>
      <c r="AE934" s="71"/>
      <c r="AF934" s="71"/>
      <c r="AG934" s="71"/>
      <c r="AJ934" s="71"/>
      <c r="AK934" s="71"/>
      <c r="AL934" s="71"/>
      <c r="AM934" s="71"/>
    </row>
    <row r="935" spans="8:39">
      <c r="H935" s="71"/>
      <c r="I935" s="71"/>
      <c r="Y935" s="83"/>
      <c r="Z935" s="83"/>
      <c r="AA935" s="71"/>
      <c r="AB935" s="71"/>
      <c r="AC935" s="71"/>
      <c r="AD935" s="71"/>
      <c r="AE935" s="71"/>
      <c r="AF935" s="71"/>
      <c r="AG935" s="71"/>
      <c r="AJ935" s="71"/>
      <c r="AK935" s="71"/>
      <c r="AL935" s="71"/>
      <c r="AM935" s="71"/>
    </row>
    <row r="936" spans="8:39">
      <c r="H936" s="71"/>
      <c r="I936" s="71"/>
      <c r="Y936" s="83"/>
      <c r="Z936" s="83"/>
      <c r="AA936" s="71"/>
      <c r="AB936" s="71"/>
      <c r="AC936" s="71"/>
      <c r="AD936" s="71"/>
      <c r="AE936" s="71"/>
      <c r="AF936" s="71"/>
      <c r="AG936" s="71"/>
      <c r="AJ936" s="71"/>
      <c r="AK936" s="71"/>
      <c r="AL936" s="71"/>
      <c r="AM936" s="71"/>
    </row>
    <row r="937" spans="8:39">
      <c r="H937" s="71"/>
      <c r="I937" s="71"/>
      <c r="Y937" s="83"/>
      <c r="Z937" s="83"/>
      <c r="AA937" s="71"/>
      <c r="AB937" s="71"/>
      <c r="AC937" s="71"/>
      <c r="AD937" s="71"/>
      <c r="AE937" s="71"/>
      <c r="AF937" s="71"/>
      <c r="AG937" s="71"/>
      <c r="AJ937" s="71"/>
      <c r="AK937" s="71"/>
      <c r="AL937" s="71"/>
      <c r="AM937" s="71"/>
    </row>
    <row r="938" spans="8:39">
      <c r="H938" s="71"/>
      <c r="I938" s="71"/>
      <c r="Y938" s="83"/>
      <c r="Z938" s="83"/>
      <c r="AA938" s="71"/>
      <c r="AB938" s="71"/>
      <c r="AC938" s="71"/>
      <c r="AD938" s="71"/>
      <c r="AE938" s="71"/>
      <c r="AF938" s="71"/>
      <c r="AG938" s="71"/>
      <c r="AJ938" s="71"/>
      <c r="AK938" s="71"/>
      <c r="AL938" s="71"/>
      <c r="AM938" s="71"/>
    </row>
    <row r="939" spans="8:39">
      <c r="H939" s="71"/>
      <c r="I939" s="71"/>
      <c r="Y939" s="83"/>
      <c r="Z939" s="83"/>
      <c r="AA939" s="71"/>
      <c r="AB939" s="71"/>
      <c r="AC939" s="71"/>
      <c r="AD939" s="71"/>
      <c r="AE939" s="71"/>
      <c r="AF939" s="71"/>
      <c r="AG939" s="71"/>
      <c r="AJ939" s="71"/>
      <c r="AK939" s="71"/>
      <c r="AL939" s="71"/>
      <c r="AM939" s="71"/>
    </row>
    <row r="940" spans="8:39">
      <c r="H940" s="71"/>
      <c r="I940" s="71"/>
      <c r="Y940" s="83"/>
      <c r="Z940" s="83"/>
      <c r="AA940" s="71"/>
      <c r="AB940" s="71"/>
      <c r="AC940" s="71"/>
      <c r="AD940" s="71"/>
      <c r="AE940" s="71"/>
      <c r="AF940" s="71"/>
      <c r="AG940" s="71"/>
      <c r="AJ940" s="71"/>
      <c r="AK940" s="71"/>
      <c r="AL940" s="71"/>
      <c r="AM940" s="71"/>
    </row>
    <row r="941" spans="8:39">
      <c r="H941" s="71"/>
      <c r="I941" s="71"/>
      <c r="Y941" s="83"/>
      <c r="Z941" s="83"/>
      <c r="AA941" s="71"/>
      <c r="AB941" s="71"/>
      <c r="AC941" s="71"/>
      <c r="AD941" s="71"/>
      <c r="AE941" s="71"/>
      <c r="AF941" s="71"/>
      <c r="AG941" s="71"/>
      <c r="AJ941" s="71"/>
      <c r="AK941" s="71"/>
      <c r="AL941" s="71"/>
      <c r="AM941" s="71"/>
    </row>
    <row r="942" spans="8:39">
      <c r="H942" s="71"/>
      <c r="I942" s="71"/>
      <c r="Y942" s="83"/>
      <c r="Z942" s="83"/>
      <c r="AA942" s="71"/>
      <c r="AB942" s="71"/>
      <c r="AC942" s="71"/>
      <c r="AD942" s="71"/>
      <c r="AE942" s="71"/>
      <c r="AF942" s="71"/>
      <c r="AG942" s="71"/>
      <c r="AJ942" s="71"/>
      <c r="AK942" s="71"/>
      <c r="AL942" s="71"/>
      <c r="AM942" s="71"/>
    </row>
    <row r="943" spans="8:39">
      <c r="H943" s="71"/>
      <c r="I943" s="71"/>
      <c r="Y943" s="83"/>
      <c r="Z943" s="83"/>
      <c r="AA943" s="71"/>
      <c r="AB943" s="71"/>
      <c r="AC943" s="71"/>
      <c r="AD943" s="71"/>
      <c r="AE943" s="71"/>
      <c r="AF943" s="71"/>
      <c r="AG943" s="71"/>
      <c r="AJ943" s="71"/>
      <c r="AK943" s="71"/>
      <c r="AL943" s="71"/>
      <c r="AM943" s="71"/>
    </row>
    <row r="944" spans="8:39">
      <c r="H944" s="71"/>
      <c r="I944" s="71"/>
      <c r="Y944" s="83"/>
      <c r="Z944" s="83"/>
      <c r="AA944" s="71"/>
      <c r="AB944" s="71"/>
      <c r="AC944" s="71"/>
      <c r="AD944" s="71"/>
      <c r="AE944" s="71"/>
      <c r="AF944" s="71"/>
      <c r="AG944" s="71"/>
      <c r="AJ944" s="71"/>
      <c r="AK944" s="71"/>
      <c r="AL944" s="71"/>
      <c r="AM944" s="71"/>
    </row>
    <row r="945" spans="8:39">
      <c r="H945" s="71"/>
      <c r="I945" s="71"/>
      <c r="Y945" s="83"/>
      <c r="Z945" s="83"/>
      <c r="AA945" s="71"/>
      <c r="AB945" s="71"/>
      <c r="AC945" s="71"/>
      <c r="AD945" s="71"/>
      <c r="AE945" s="71"/>
      <c r="AF945" s="71"/>
      <c r="AG945" s="71"/>
      <c r="AJ945" s="71"/>
      <c r="AK945" s="71"/>
      <c r="AL945" s="71"/>
      <c r="AM945" s="71"/>
    </row>
    <row r="946" spans="8:39">
      <c r="H946" s="71"/>
      <c r="I946" s="71"/>
      <c r="Y946" s="83"/>
      <c r="Z946" s="83"/>
      <c r="AA946" s="71"/>
      <c r="AB946" s="71"/>
      <c r="AC946" s="71"/>
      <c r="AD946" s="71"/>
      <c r="AE946" s="71"/>
      <c r="AF946" s="71"/>
      <c r="AG946" s="71"/>
      <c r="AJ946" s="71"/>
      <c r="AK946" s="71"/>
      <c r="AL946" s="71"/>
      <c r="AM946" s="71"/>
    </row>
    <row r="947" spans="8:39">
      <c r="H947" s="71"/>
      <c r="I947" s="71"/>
      <c r="Y947" s="83"/>
      <c r="Z947" s="83"/>
      <c r="AA947" s="71"/>
      <c r="AB947" s="71"/>
      <c r="AC947" s="71"/>
      <c r="AD947" s="71"/>
      <c r="AE947" s="71"/>
      <c r="AF947" s="71"/>
      <c r="AG947" s="71"/>
      <c r="AJ947" s="71"/>
      <c r="AK947" s="71"/>
      <c r="AL947" s="71"/>
      <c r="AM947" s="71"/>
    </row>
    <row r="948" spans="8:39">
      <c r="H948" s="71"/>
      <c r="I948" s="71"/>
      <c r="Y948" s="83"/>
      <c r="Z948" s="83"/>
      <c r="AA948" s="71"/>
      <c r="AB948" s="71"/>
      <c r="AC948" s="71"/>
      <c r="AD948" s="71"/>
      <c r="AE948" s="71"/>
      <c r="AF948" s="71"/>
      <c r="AG948" s="71"/>
      <c r="AJ948" s="71"/>
      <c r="AK948" s="71"/>
      <c r="AL948" s="71"/>
      <c r="AM948" s="71"/>
    </row>
    <row r="949" spans="8:39">
      <c r="H949" s="71"/>
      <c r="I949" s="71"/>
      <c r="Y949" s="83"/>
      <c r="Z949" s="83"/>
      <c r="AA949" s="71"/>
      <c r="AB949" s="71"/>
      <c r="AC949" s="71"/>
      <c r="AD949" s="71"/>
      <c r="AE949" s="71"/>
      <c r="AF949" s="71"/>
      <c r="AG949" s="71"/>
      <c r="AJ949" s="71"/>
      <c r="AK949" s="71"/>
      <c r="AL949" s="71"/>
      <c r="AM949" s="71"/>
    </row>
    <row r="950" spans="8:39">
      <c r="H950" s="71"/>
      <c r="I950" s="71"/>
      <c r="Y950" s="83"/>
      <c r="Z950" s="83"/>
      <c r="AA950" s="71"/>
      <c r="AB950" s="71"/>
      <c r="AC950" s="71"/>
      <c r="AD950" s="71"/>
      <c r="AE950" s="71"/>
      <c r="AF950" s="71"/>
      <c r="AG950" s="71"/>
      <c r="AJ950" s="71"/>
      <c r="AK950" s="71"/>
      <c r="AL950" s="71"/>
      <c r="AM950" s="71"/>
    </row>
    <row r="951" spans="8:39">
      <c r="H951" s="71"/>
      <c r="I951" s="71"/>
      <c r="Y951" s="83"/>
      <c r="Z951" s="83"/>
      <c r="AA951" s="71"/>
      <c r="AB951" s="71"/>
      <c r="AC951" s="71"/>
      <c r="AD951" s="71"/>
      <c r="AE951" s="71"/>
      <c r="AF951" s="71"/>
      <c r="AG951" s="71"/>
      <c r="AJ951" s="71"/>
      <c r="AK951" s="71"/>
      <c r="AL951" s="71"/>
      <c r="AM951" s="71"/>
    </row>
    <row r="952" spans="8:39">
      <c r="H952" s="71"/>
      <c r="I952" s="71"/>
      <c r="Y952" s="83"/>
      <c r="Z952" s="83"/>
      <c r="AA952" s="71"/>
      <c r="AB952" s="71"/>
      <c r="AC952" s="71"/>
      <c r="AD952" s="71"/>
      <c r="AE952" s="71"/>
      <c r="AF952" s="71"/>
      <c r="AG952" s="71"/>
      <c r="AJ952" s="71"/>
      <c r="AK952" s="71"/>
      <c r="AL952" s="71"/>
      <c r="AM952" s="71"/>
    </row>
    <row r="953" spans="8:39">
      <c r="H953" s="71"/>
      <c r="I953" s="71"/>
      <c r="Y953" s="83"/>
      <c r="Z953" s="83"/>
      <c r="AA953" s="71"/>
      <c r="AB953" s="71"/>
      <c r="AC953" s="71"/>
      <c r="AD953" s="71"/>
      <c r="AE953" s="71"/>
      <c r="AF953" s="71"/>
      <c r="AG953" s="71"/>
      <c r="AJ953" s="71"/>
      <c r="AK953" s="71"/>
      <c r="AL953" s="71"/>
      <c r="AM953" s="71"/>
    </row>
    <row r="954" spans="8:39">
      <c r="H954" s="71"/>
      <c r="I954" s="71"/>
      <c r="Y954" s="83"/>
      <c r="Z954" s="83"/>
      <c r="AA954" s="71"/>
      <c r="AB954" s="71"/>
      <c r="AC954" s="71"/>
      <c r="AD954" s="71"/>
      <c r="AE954" s="71"/>
      <c r="AF954" s="71"/>
      <c r="AG954" s="71"/>
      <c r="AJ954" s="71"/>
      <c r="AK954" s="71"/>
      <c r="AL954" s="71"/>
      <c r="AM954" s="71"/>
    </row>
    <row r="955" spans="8:39">
      <c r="H955" s="71"/>
      <c r="I955" s="71"/>
      <c r="Y955" s="83"/>
      <c r="Z955" s="83"/>
      <c r="AA955" s="71"/>
      <c r="AB955" s="71"/>
      <c r="AC955" s="71"/>
      <c r="AD955" s="71"/>
      <c r="AE955" s="71"/>
      <c r="AF955" s="71"/>
      <c r="AG955" s="71"/>
      <c r="AJ955" s="71"/>
      <c r="AK955" s="71"/>
      <c r="AL955" s="71"/>
      <c r="AM955" s="71"/>
    </row>
    <row r="956" spans="8:39">
      <c r="H956" s="71"/>
      <c r="I956" s="71"/>
      <c r="Y956" s="83"/>
      <c r="Z956" s="83"/>
      <c r="AA956" s="71"/>
      <c r="AB956" s="71"/>
      <c r="AC956" s="71"/>
      <c r="AD956" s="71"/>
      <c r="AE956" s="71"/>
      <c r="AF956" s="71"/>
      <c r="AG956" s="71"/>
      <c r="AJ956" s="71"/>
      <c r="AK956" s="71"/>
      <c r="AL956" s="71"/>
      <c r="AM956" s="71"/>
    </row>
    <row r="957" spans="8:39">
      <c r="H957" s="71"/>
      <c r="I957" s="71"/>
      <c r="Y957" s="83"/>
      <c r="Z957" s="83"/>
      <c r="AA957" s="71"/>
      <c r="AB957" s="71"/>
      <c r="AC957" s="71"/>
      <c r="AD957" s="71"/>
      <c r="AE957" s="71"/>
      <c r="AF957" s="71"/>
      <c r="AG957" s="71"/>
      <c r="AJ957" s="71"/>
      <c r="AK957" s="71"/>
      <c r="AL957" s="71"/>
      <c r="AM957" s="71"/>
    </row>
    <row r="958" spans="8:39">
      <c r="H958" s="71"/>
      <c r="I958" s="71"/>
      <c r="Y958" s="83"/>
      <c r="Z958" s="83"/>
      <c r="AA958" s="71"/>
      <c r="AB958" s="71"/>
      <c r="AC958" s="71"/>
      <c r="AD958" s="71"/>
      <c r="AE958" s="71"/>
      <c r="AF958" s="71"/>
      <c r="AG958" s="71"/>
      <c r="AJ958" s="71"/>
      <c r="AK958" s="71"/>
      <c r="AL958" s="71"/>
      <c r="AM958" s="71"/>
    </row>
    <row r="959" spans="8:39">
      <c r="H959" s="71"/>
      <c r="I959" s="71"/>
      <c r="Y959" s="83"/>
      <c r="Z959" s="83"/>
      <c r="AA959" s="71"/>
      <c r="AB959" s="71"/>
      <c r="AC959" s="71"/>
      <c r="AD959" s="71"/>
      <c r="AE959" s="71"/>
      <c r="AF959" s="71"/>
      <c r="AG959" s="71"/>
      <c r="AJ959" s="71"/>
      <c r="AK959" s="71"/>
      <c r="AL959" s="71"/>
      <c r="AM959" s="71"/>
    </row>
  </sheetData>
  <mergeCells count="13">
    <mergeCell ref="AN2:AO3"/>
    <mergeCell ref="Z3:AA3"/>
    <mergeCell ref="AB3:AC3"/>
    <mergeCell ref="AD3:AE3"/>
    <mergeCell ref="AL2:AM3"/>
    <mergeCell ref="Z2:AA2"/>
    <mergeCell ref="AJ2:AK3"/>
    <mergeCell ref="AB2:AC2"/>
    <mergeCell ref="AD2:AE2"/>
    <mergeCell ref="J3:S3"/>
    <mergeCell ref="AH2:AI3"/>
    <mergeCell ref="AF2:AG3"/>
    <mergeCell ref="T2:T3"/>
  </mergeCells>
  <conditionalFormatting sqref="C5:D20">
    <cfRule type="containsBlanks" dxfId="14" priority="3">
      <formula>LEN(TRIM(C5))=0</formula>
    </cfRule>
  </conditionalFormatting>
  <conditionalFormatting sqref="E5:E3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T5:T34">
    <cfRule type="cellIs" dxfId="13" priority="8" operator="greaterThanOrEqual">
      <formula>1</formula>
    </cfRule>
  </conditionalFormatting>
  <conditionalFormatting sqref="V5:V34">
    <cfRule type="colorScale" priority="7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AJ5:AK34">
    <cfRule type="cellIs" dxfId="12" priority="9" operator="greaterThanOrEqual">
      <formula>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5"/>
  <sheetViews>
    <sheetView workbookViewId="0">
      <selection activeCell="A23" sqref="A23"/>
    </sheetView>
  </sheetViews>
  <sheetFormatPr defaultColWidth="12.5703125" defaultRowHeight="15" customHeight="1"/>
  <cols>
    <col min="3" max="3" width="15.5703125" customWidth="1"/>
    <col min="5" max="5" width="21.42578125" customWidth="1"/>
  </cols>
  <sheetData>
    <row r="1" spans="1:10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  <row r="2" spans="1:10">
      <c r="A2" s="89">
        <f t="shared" ref="A2:A15" ca="1" si="0">TODAY()</f>
        <v>46109</v>
      </c>
      <c r="B2" s="1" t="str">
        <f>IF('First 5 Innings'!D5="","",'First 5 Innings'!D5)</f>
        <v>TBR</v>
      </c>
      <c r="C2" s="1" t="str">
        <f>IF('First 5 Innings'!B5="","",'First 5 Innings'!B5)</f>
        <v>Joe Boyle</v>
      </c>
      <c r="D2" s="1" t="str">
        <f>IF('First 5 Innings'!D6="","",'First 5 Innings'!D6)</f>
        <v>STL</v>
      </c>
      <c r="E2" s="1" t="str">
        <f>IF('First 5 Innings'!B6="","",'First 5 Innings'!B6)</f>
        <v>Michael McGreevy</v>
      </c>
      <c r="F2" s="90">
        <f>IFERROR(IF('First 5 Innings'!G5=0,"",'First 5 Innings'!G5),"")</f>
        <v>2.0592547604653251</v>
      </c>
      <c r="G2" s="90">
        <f>IF('First 5 Innings'!G6=0,"",'First 5 Innings'!G6)</f>
        <v>2.5805188991313051</v>
      </c>
      <c r="H2" s="90">
        <f t="shared" ref="H2:H15" si="1">IF(D2="","",SUM(F2:G2))</f>
        <v>4.6397736595966297</v>
      </c>
      <c r="I2" s="90">
        <f>IF(D2="","",'First 5 Innings'!H6)</f>
        <v>0.59169813339037169</v>
      </c>
      <c r="J2" s="1" t="str">
        <f>IF(D2="","",'Version History'!$A$2)</f>
        <v>v1.0</v>
      </c>
    </row>
    <row r="3" spans="1:10">
      <c r="A3" s="89">
        <f t="shared" ca="1" si="0"/>
        <v>46109</v>
      </c>
      <c r="B3" s="1" t="str">
        <f>IF('First 5 Innings'!D7="","",'First 5 Innings'!D7)</f>
        <v>WSN</v>
      </c>
      <c r="C3" s="1" t="str">
        <f>IF('First 5 Innings'!B7="","",'First 5 Innings'!B7)</f>
        <v>Miles Mikolas</v>
      </c>
      <c r="D3" s="1" t="str">
        <f>IF('First 5 Innings'!D8="","",'First 5 Innings'!D8)</f>
        <v>CHC</v>
      </c>
      <c r="E3" s="1" t="str">
        <f>IF('First 5 Innings'!B8="","",'First 5 Innings'!B8)</f>
        <v>Cade Horton</v>
      </c>
      <c r="F3" s="90">
        <f>IFERROR(IF('First 5 Innings'!G7=0,"",'First 5 Innings'!G7),"")</f>
        <v>1.2815108987336001</v>
      </c>
      <c r="G3" s="90">
        <f>IF('First 5 Innings'!G8=0,"",'First 5 Innings'!G8)</f>
        <v>0.77474742001497776</v>
      </c>
      <c r="H3" s="90">
        <f t="shared" si="1"/>
        <v>2.0562583187485779</v>
      </c>
      <c r="I3" s="90">
        <f>IF(D3="","",'First 5 Innings'!H8)</f>
        <v>0.33689914442947611</v>
      </c>
      <c r="J3" s="1" t="str">
        <f>IF(D3="","",'Version History'!$A$2)</f>
        <v>v1.0</v>
      </c>
    </row>
    <row r="4" spans="1:10">
      <c r="A4" s="89">
        <f t="shared" ca="1" si="0"/>
        <v>46109</v>
      </c>
      <c r="B4" s="1" t="str">
        <f>IF('First 5 Innings'!D9="","",'First 5 Innings'!D9)</f>
        <v>ATH</v>
      </c>
      <c r="C4" s="1" t="str">
        <f>IF('First 5 Innings'!B9="","",'First 5 Innings'!B9)</f>
        <v>Jeffrey Springs</v>
      </c>
      <c r="D4" s="1" t="str">
        <f>IF('First 5 Innings'!D10="","",'First 5 Innings'!D10)</f>
        <v>TOR</v>
      </c>
      <c r="E4" s="1" t="str">
        <f>IF('First 5 Innings'!B10="","",'First 5 Innings'!B10)</f>
        <v>Dylan Cease</v>
      </c>
      <c r="F4" s="90">
        <f>IFERROR(IF('First 5 Innings'!G9=0,"",'First 5 Innings'!G9),"")</f>
        <v>2.7819080350664733</v>
      </c>
      <c r="G4" s="90">
        <f>IF('First 5 Innings'!G10=0,"",'First 5 Innings'!G10)</f>
        <v>2.7766069472561337</v>
      </c>
      <c r="H4" s="90">
        <f t="shared" si="1"/>
        <v>5.558514982322607</v>
      </c>
      <c r="I4" s="90">
        <f>IF(D4="","",'First 5 Innings'!H10)</f>
        <v>0.49917979572574855</v>
      </c>
      <c r="J4" s="1" t="str">
        <f>IF(D4="","",'Version History'!$A$2)</f>
        <v>v1.0</v>
      </c>
    </row>
    <row r="5" spans="1:10">
      <c r="A5" s="89">
        <f t="shared" ca="1" si="0"/>
        <v>46109</v>
      </c>
      <c r="B5" s="1" t="str">
        <f>IF('First 5 Innings'!D11="","",'First 5 Innings'!D11)</f>
        <v>MIN</v>
      </c>
      <c r="C5" s="1" t="str">
        <f>IF('First 5 Innings'!B11="","",'First 5 Innings'!B11)</f>
        <v>Taj Bradley</v>
      </c>
      <c r="D5" s="1" t="str">
        <f>IF('First 5 Innings'!D12="","",'First 5 Innings'!D12)</f>
        <v>BAL</v>
      </c>
      <c r="E5" s="1" t="str">
        <f>IF('First 5 Innings'!B12="","",'First 5 Innings'!B12)</f>
        <v>Kyle Bradish</v>
      </c>
      <c r="F5" s="90">
        <f>IFERROR(IF('First 5 Innings'!G11=0,"",'First 5 Innings'!G11),"")</f>
        <v>1.826642062696648</v>
      </c>
      <c r="G5" s="90">
        <f>IF('First 5 Innings'!G12=0,"",'First 5 Innings'!G12)</f>
        <v>1.145226521098774</v>
      </c>
      <c r="H5" s="90">
        <f t="shared" si="1"/>
        <v>2.971868583795422</v>
      </c>
      <c r="I5" s="90">
        <f>IF(D5="","",'First 5 Innings'!H12)</f>
        <v>0.33513437349096048</v>
      </c>
      <c r="J5" s="1" t="str">
        <f>IF(D5="","",'Version History'!$A$2)</f>
        <v>v1.0</v>
      </c>
    </row>
    <row r="6" spans="1:10">
      <c r="A6" s="89">
        <f t="shared" ca="1" si="0"/>
        <v>46109</v>
      </c>
      <c r="B6" s="1" t="str">
        <f>IF('First 5 Innings'!D13="","",'First 5 Innings'!D13)</f>
        <v>TEX</v>
      </c>
      <c r="C6" s="1" t="str">
        <f>IF('First 5 Innings'!B13="","",'First 5 Innings'!B13)</f>
        <v>Jacob deGrom</v>
      </c>
      <c r="D6" s="1" t="str">
        <f>IF('First 5 Innings'!D14="","",'First 5 Innings'!D14)</f>
        <v>PHI</v>
      </c>
      <c r="E6" s="1" t="str">
        <f>IF('First 5 Innings'!B14="","",'First 5 Innings'!B14)</f>
        <v>Aaron Nola</v>
      </c>
      <c r="F6" s="90">
        <f>IFERROR(IF('First 5 Innings'!G13=0,"",'First 5 Innings'!G13),"")</f>
        <v>1.545381866307149</v>
      </c>
      <c r="G6" s="90">
        <f>IF('First 5 Innings'!G14=0,"",'First 5 Innings'!G14)</f>
        <v>3.585309627595878</v>
      </c>
      <c r="H6" s="90">
        <f t="shared" si="1"/>
        <v>5.1306914939030275</v>
      </c>
      <c r="I6" s="90">
        <f>IF(D6="","",'First 5 Innings'!H14)</f>
        <v>0.80384275166390839</v>
      </c>
      <c r="J6" s="1" t="str">
        <f>IF(D6="","",'Version History'!$A$2)</f>
        <v>v1.0</v>
      </c>
    </row>
    <row r="7" spans="1:10">
      <c r="A7" s="89">
        <f t="shared" ca="1" si="0"/>
        <v>46109</v>
      </c>
      <c r="B7" s="1" t="str">
        <f>IF('First 5 Innings'!D15="","",'First 5 Innings'!D15)</f>
        <v>BOS</v>
      </c>
      <c r="C7" s="1" t="str">
        <f>IF('First 5 Innings'!B15="","",'First 5 Innings'!B15)</f>
        <v>Sonny Gray</v>
      </c>
      <c r="D7" s="1" t="str">
        <f>IF('First 5 Innings'!D16="","",'First 5 Innings'!D16)</f>
        <v>CIN</v>
      </c>
      <c r="E7" s="1" t="str">
        <f>IF('First 5 Innings'!B16="","",'First 5 Innings'!B16)</f>
        <v>Brady Singer</v>
      </c>
      <c r="F7" s="90">
        <f>IFERROR(IF('First 5 Innings'!G15=0,"",'First 5 Innings'!G15),"")</f>
        <v>2.7907438072104722</v>
      </c>
      <c r="G7" s="90">
        <f>IF('First 5 Innings'!G16=0,"",'First 5 Innings'!G16)</f>
        <v>2.1072283818818565</v>
      </c>
      <c r="H7" s="90">
        <f t="shared" si="1"/>
        <v>4.8979721890923287</v>
      </c>
      <c r="I7" s="90">
        <f>IF(D7="","",'First 5 Innings'!H16)</f>
        <v>0.38507353347765055</v>
      </c>
      <c r="J7" s="1" t="str">
        <f>IF(D7="","",'Version History'!$A$2)</f>
        <v>v1.0</v>
      </c>
    </row>
    <row r="8" spans="1:10">
      <c r="A8" s="89">
        <f t="shared" ca="1" si="0"/>
        <v>46109</v>
      </c>
      <c r="B8" s="1" t="str">
        <f>IF('First 5 Innings'!D17="","",'First 5 Innings'!D17)</f>
        <v>PIT</v>
      </c>
      <c r="C8" s="1" t="str">
        <f>IF('First 5 Innings'!B17="","",'First 5 Innings'!B17)</f>
        <v>Mitch Keller</v>
      </c>
      <c r="D8" s="1" t="str">
        <f>IF('First 5 Innings'!D18="","",'First 5 Innings'!D18)</f>
        <v>NYM</v>
      </c>
      <c r="E8" s="1" t="str">
        <f>IF('First 5 Innings'!B18="","",'First 5 Innings'!B18)</f>
        <v>David Peterson</v>
      </c>
      <c r="F8" s="90">
        <f>IFERROR(IF('First 5 Innings'!G17=0,"",'First 5 Innings'!G17),"")</f>
        <v>2.6219045834201022</v>
      </c>
      <c r="G8" s="90">
        <f>IF('First 5 Innings'!G18=0,"",'First 5 Innings'!G18)</f>
        <v>1.2917355733137645</v>
      </c>
      <c r="H8" s="90">
        <f t="shared" si="1"/>
        <v>3.9136401567338668</v>
      </c>
      <c r="I8" s="90">
        <f>IF(D8="","",'First 5 Innings'!H18)</f>
        <v>0.2480985085803529</v>
      </c>
      <c r="J8" s="1" t="str">
        <f>IF(D8="","",'Version History'!$A$2)</f>
        <v>v1.0</v>
      </c>
    </row>
    <row r="9" spans="1:10">
      <c r="A9" s="89">
        <f t="shared" ca="1" si="0"/>
        <v>46109</v>
      </c>
      <c r="B9" s="1" t="str">
        <f>IF('First 5 Innings'!D19="","",'First 5 Innings'!D19)</f>
        <v>COL</v>
      </c>
      <c r="C9" s="1" t="str">
        <f>IF('First 5 Innings'!B19="","",'First 5 Innings'!B19)</f>
        <v>Michael Lorenzen</v>
      </c>
      <c r="D9" s="1" t="str">
        <f>IF('First 5 Innings'!D20="","",'First 5 Innings'!D20)</f>
        <v>MIA</v>
      </c>
      <c r="E9" s="1" t="str">
        <f>IF('First 5 Innings'!B20="","",'First 5 Innings'!B20)</f>
        <v>Eury Pérez</v>
      </c>
      <c r="F9" s="90">
        <f>IFERROR(IF('First 5 Innings'!G19=0,"",'First 5 Innings'!G19),"")</f>
        <v>2.0217493368403221</v>
      </c>
      <c r="G9" s="90">
        <f>IF('First 5 Innings'!G20=0,"",'First 5 Innings'!G20)</f>
        <v>1.8849384483789042</v>
      </c>
      <c r="H9" s="90">
        <f t="shared" si="1"/>
        <v>3.9066877852192263</v>
      </c>
      <c r="I9" s="90">
        <f>IF(D9="","",'First 5 Innings'!H20)</f>
        <v>0.47243020700841371</v>
      </c>
      <c r="J9" s="1" t="str">
        <f>IF(D9="","",'Version History'!$A$2)</f>
        <v>v1.0</v>
      </c>
    </row>
    <row r="10" spans="1:10">
      <c r="A10" s="89">
        <f t="shared" ca="1" si="0"/>
        <v>46109</v>
      </c>
      <c r="B10" s="1" t="str">
        <f>IF('First 5 Innings'!D21="","",'First 5 Innings'!D21)</f>
        <v>LAA</v>
      </c>
      <c r="C10" s="1" t="str">
        <f>IF('First 5 Innings'!B21="","",'First 5 Innings'!B21)</f>
        <v>Reid Detmers</v>
      </c>
      <c r="D10" s="1" t="str">
        <f>IF('First 5 Innings'!D22="","",'First 5 Innings'!D22)</f>
        <v>HOU</v>
      </c>
      <c r="E10" s="1" t="str">
        <f>IF('First 5 Innings'!B22="","",'First 5 Innings'!B22)</f>
        <v>Cristian Javier</v>
      </c>
      <c r="F10" s="90">
        <f>IFERROR(IF('First 5 Innings'!G21=0,"",'First 5 Innings'!G21),"")</f>
        <v>2.2501747104752448</v>
      </c>
      <c r="G10" s="90">
        <f>IF('First 5 Innings'!G22=0,"",'First 5 Innings'!G22)</f>
        <v>2.6557283258573658</v>
      </c>
      <c r="H10" s="90">
        <f t="shared" si="1"/>
        <v>4.9059030363326102</v>
      </c>
      <c r="I10" s="90">
        <f>IF(D10="","",'First 5 Innings'!H22)</f>
        <v>0.56864666254252483</v>
      </c>
      <c r="J10" s="1" t="str">
        <f>IF(D10="","",'Version History'!$A$2)</f>
        <v>v1.0</v>
      </c>
    </row>
    <row r="11" spans="1:10">
      <c r="A11" s="89">
        <f t="shared" ca="1" si="0"/>
        <v>46109</v>
      </c>
      <c r="B11" s="1" t="str">
        <f>IF('First 5 Innings'!D23="","",'First 5 Innings'!D23)</f>
        <v>CHW</v>
      </c>
      <c r="C11" s="1" t="str">
        <f>IF('First 5 Innings'!B23="","",'First 5 Innings'!B23)</f>
        <v>Sean Burke</v>
      </c>
      <c r="D11" s="1" t="str">
        <f>IF('First 5 Innings'!D24="","",'First 5 Innings'!D24)</f>
        <v>MIL</v>
      </c>
      <c r="E11" s="1" t="str">
        <f>IF('First 5 Innings'!B24="","",'First 5 Innings'!B24)</f>
        <v>Chad Patrick</v>
      </c>
      <c r="F11" s="1">
        <f>IFERROR(IF('First 5 Innings'!G23=0,"",'First 5 Innings'!G23),"")</f>
        <v>1.778999877783157</v>
      </c>
      <c r="G11" s="91">
        <f>IF('First 5 Innings'!G24=0,"",'First 5 Innings'!G24)</f>
        <v>1.5298006976196104</v>
      </c>
      <c r="H11" s="1">
        <f t="shared" si="1"/>
        <v>3.3088005754027674</v>
      </c>
      <c r="I11" s="92">
        <f>IF(D11="","",'First 5 Innings'!H24)</f>
        <v>0.4432345921896102</v>
      </c>
      <c r="J11" s="1" t="str">
        <f>IF(D11="","",'Version History'!$A$2)</f>
        <v>v1.0</v>
      </c>
    </row>
    <row r="12" spans="1:10">
      <c r="A12" s="89">
        <f t="shared" ca="1" si="0"/>
        <v>46109</v>
      </c>
      <c r="B12" s="1" t="str">
        <f>IF('First 5 Innings'!D25="","",'First 5 Innings'!D25)</f>
        <v>KCR</v>
      </c>
      <c r="C12" s="1" t="str">
        <f>IF('First 5 Innings'!B25="","",'First 5 Innings'!B25)</f>
        <v>Michael Wacha</v>
      </c>
      <c r="D12" s="1" t="str">
        <f>IF('First 5 Innings'!D26="","",'First 5 Innings'!D26)</f>
        <v>ATL</v>
      </c>
      <c r="E12" s="1" t="str">
        <f>IF('First 5 Innings'!B26="","",'First 5 Innings'!B26)</f>
        <v>Reynaldo López</v>
      </c>
      <c r="F12" s="1">
        <f>IFERROR(IF('First 5 Innings'!G25=0,"",'First 5 Innings'!G25),"")</f>
        <v>3.1117188342635362</v>
      </c>
      <c r="G12" s="91">
        <f>IF('First 5 Innings'!G26=0,"",'First 5 Innings'!G26)</f>
        <v>1.9808153809433779</v>
      </c>
      <c r="H12" s="1">
        <f t="shared" si="1"/>
        <v>5.0925342152069142</v>
      </c>
      <c r="I12" s="92">
        <f>IF(D12="","",'First 5 Innings'!H26)</f>
        <v>0.31884849796946874</v>
      </c>
      <c r="J12" s="1" t="str">
        <f>IF(D12="","",'Version History'!$A$2)</f>
        <v>v1.0</v>
      </c>
    </row>
    <row r="13" spans="1:10">
      <c r="A13" s="89">
        <f t="shared" ca="1" si="0"/>
        <v>46109</v>
      </c>
      <c r="B13" s="1" t="str">
        <f>IF('First 5 Innings'!D27="","",'First 5 Innings'!D27)</f>
        <v>NYY</v>
      </c>
      <c r="C13" s="1" t="str">
        <f>IF('First 5 Innings'!B27="","",'First 5 Innings'!B27)</f>
        <v>Will Warren</v>
      </c>
      <c r="D13" s="1" t="str">
        <f>IF('First 5 Innings'!D28="","",'First 5 Innings'!D28)</f>
        <v>SFG</v>
      </c>
      <c r="E13" s="1" t="str">
        <f>IF('First 5 Innings'!B28="","",'First 5 Innings'!B28)</f>
        <v>Tyler Mahle</v>
      </c>
      <c r="F13" s="1">
        <f>IFERROR(IF('First 5 Innings'!G27=0,"",'First 5 Innings'!G27),"")</f>
        <v>2.3086946189697204</v>
      </c>
      <c r="G13" s="1">
        <f>IF('First 5 Innings'!G28=0,"",'First 5 Innings'!G28)</f>
        <v>2.327387636390323</v>
      </c>
      <c r="H13" s="1">
        <f t="shared" si="1"/>
        <v>4.6360822553600434</v>
      </c>
      <c r="I13" s="1">
        <f>IF(D13="","",'First 5 Innings'!H28)</f>
        <v>0.50331558046580005</v>
      </c>
      <c r="J13" s="1" t="str">
        <f>IF(D13="","",'Version History'!$A$2)</f>
        <v>v1.0</v>
      </c>
    </row>
    <row r="14" spans="1:10">
      <c r="A14" s="89">
        <f t="shared" ca="1" si="0"/>
        <v>46109</v>
      </c>
      <c r="B14" s="1" t="str">
        <f>IF('First 5 Innings'!D29="","",'First 5 Innings'!D29)</f>
        <v>DET</v>
      </c>
      <c r="C14" s="1" t="str">
        <f>IF('First 5 Innings'!B29="","",'First 5 Innings'!B29)</f>
        <v>Jack Flaherty</v>
      </c>
      <c r="D14" s="1" t="str">
        <f>IF('First 5 Innings'!D30="","",'First 5 Innings'!D30)</f>
        <v>SDP</v>
      </c>
      <c r="E14" s="1" t="str">
        <f>IF('First 5 Innings'!B30="","",'First 5 Innings'!B30)</f>
        <v>Randy Vásquez</v>
      </c>
      <c r="F14" s="1">
        <f>IFERROR(IF('First 5 Innings'!G29=0,"",'First 5 Innings'!G29),"")</f>
        <v>2.2923966987800308</v>
      </c>
      <c r="G14" s="1">
        <f>IF('First 5 Innings'!G30=0,"",'First 5 Innings'!G30)</f>
        <v>2.0337119775393169</v>
      </c>
      <c r="H14" s="1">
        <f t="shared" si="1"/>
        <v>4.3261086763193477</v>
      </c>
      <c r="I14" s="1">
        <f>IF(D14="","",'First 5 Innings'!H30)</f>
        <v>0.4517732155130435</v>
      </c>
      <c r="J14" s="1" t="str">
        <f>IF(D14="","",'Version History'!$A$2)</f>
        <v>v1.0</v>
      </c>
    </row>
    <row r="15" spans="1:10">
      <c r="A15" s="89">
        <f t="shared" ca="1" si="0"/>
        <v>46109</v>
      </c>
      <c r="B15" s="1" t="str">
        <f>IF('First 5 Innings'!D31="","",'First 5 Innings'!D31)</f>
        <v>ARI</v>
      </c>
      <c r="C15" s="1" t="str">
        <f>IF('First 5 Innings'!B31="","",'First 5 Innings'!B31)</f>
        <v>Eduardo Rodriguez</v>
      </c>
      <c r="D15" s="1" t="str">
        <f>IF('First 5 Innings'!D32="","",'First 5 Innings'!D32)</f>
        <v>LAD</v>
      </c>
      <c r="E15" s="1" t="str">
        <f>IF('First 5 Innings'!B32="","",'First 5 Innings'!B32)</f>
        <v>Tyler Glasnow</v>
      </c>
      <c r="F15" s="1">
        <f>IFERROR(IF('First 5 Innings'!G31=0,"",'First 5 Innings'!G31),"")</f>
        <v>1.8852230246595205</v>
      </c>
      <c r="G15" s="1">
        <f>IF('First 5 Innings'!G32=0,"",'First 5 Innings'!G32)</f>
        <v>1.513856076234483</v>
      </c>
      <c r="H15" s="1">
        <f t="shared" si="1"/>
        <v>3.3990791008940038</v>
      </c>
      <c r="I15" s="1">
        <f>IF(D15="","",'First 5 Innings'!H32)</f>
        <v>0.41736048391557323</v>
      </c>
      <c r="J15" s="1" t="str">
        <f>IF(D15="","",'Version History'!$A$2)</f>
        <v>v1.0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M1002"/>
  <sheetViews>
    <sheetView workbookViewId="0">
      <selection activeCell="A3" sqref="A3"/>
    </sheetView>
  </sheetViews>
  <sheetFormatPr defaultColWidth="12.5703125" defaultRowHeight="15" customHeight="1"/>
  <sheetData>
    <row r="1" spans="1:39">
      <c r="A1" s="1" t="s">
        <v>326</v>
      </c>
      <c r="B1" s="398" t="s">
        <v>327</v>
      </c>
      <c r="C1" s="377"/>
      <c r="D1" s="398" t="s">
        <v>328</v>
      </c>
      <c r="E1" s="377"/>
      <c r="F1" s="398" t="s">
        <v>329</v>
      </c>
      <c r="G1" s="377"/>
      <c r="H1" s="398" t="s">
        <v>330</v>
      </c>
      <c r="I1" s="377"/>
      <c r="J1" s="398" t="s">
        <v>331</v>
      </c>
      <c r="K1" s="377"/>
      <c r="L1" s="398" t="s">
        <v>332</v>
      </c>
      <c r="M1" s="377"/>
      <c r="N1" s="398" t="s">
        <v>333</v>
      </c>
      <c r="O1" s="377"/>
      <c r="P1" s="398" t="s">
        <v>334</v>
      </c>
      <c r="Q1" s="377"/>
      <c r="R1" s="398" t="s">
        <v>335</v>
      </c>
      <c r="S1" s="377"/>
      <c r="T1" s="398" t="s">
        <v>336</v>
      </c>
      <c r="U1" s="377"/>
      <c r="V1" s="398" t="s">
        <v>337</v>
      </c>
      <c r="W1" s="377"/>
      <c r="X1" s="398" t="s">
        <v>338</v>
      </c>
      <c r="Y1" s="377"/>
      <c r="Z1" s="398" t="s">
        <v>339</v>
      </c>
      <c r="AA1" s="377"/>
      <c r="AB1" s="398" t="s">
        <v>340</v>
      </c>
      <c r="AC1" s="377"/>
      <c r="AD1" s="398" t="s">
        <v>341</v>
      </c>
      <c r="AE1" s="377"/>
      <c r="AF1" s="71"/>
      <c r="AG1" s="71"/>
      <c r="AH1" s="71"/>
      <c r="AI1" s="71"/>
      <c r="AJ1" s="71"/>
      <c r="AK1" s="71"/>
      <c r="AL1" s="71"/>
      <c r="AM1" s="71"/>
    </row>
    <row r="2" spans="1:39">
      <c r="A2" s="1">
        <v>6.7</v>
      </c>
      <c r="B2" s="76" t="s">
        <v>342</v>
      </c>
      <c r="C2" s="76" t="s">
        <v>343</v>
      </c>
      <c r="D2" s="76" t="s">
        <v>342</v>
      </c>
      <c r="E2" s="76" t="s">
        <v>343</v>
      </c>
      <c r="F2" s="76" t="s">
        <v>342</v>
      </c>
      <c r="G2" s="76" t="s">
        <v>343</v>
      </c>
      <c r="H2" s="76" t="s">
        <v>342</v>
      </c>
      <c r="I2" s="76" t="s">
        <v>343</v>
      </c>
      <c r="J2" s="76" t="s">
        <v>342</v>
      </c>
      <c r="K2" s="76" t="s">
        <v>343</v>
      </c>
      <c r="L2" s="76" t="s">
        <v>342</v>
      </c>
      <c r="M2" s="76" t="s">
        <v>343</v>
      </c>
      <c r="N2" s="76" t="s">
        <v>342</v>
      </c>
      <c r="O2" s="76" t="s">
        <v>343</v>
      </c>
      <c r="P2" s="76" t="s">
        <v>342</v>
      </c>
      <c r="Q2" s="76" t="s">
        <v>343</v>
      </c>
      <c r="R2" s="76" t="s">
        <v>342</v>
      </c>
      <c r="S2" s="76" t="s">
        <v>343</v>
      </c>
      <c r="T2" s="76" t="s">
        <v>342</v>
      </c>
      <c r="U2" s="76" t="s">
        <v>343</v>
      </c>
      <c r="V2" s="76" t="s">
        <v>342</v>
      </c>
      <c r="W2" s="76" t="s">
        <v>343</v>
      </c>
      <c r="X2" s="76" t="s">
        <v>342</v>
      </c>
      <c r="Y2" s="76" t="s">
        <v>343</v>
      </c>
      <c r="Z2" s="76" t="s">
        <v>342</v>
      </c>
      <c r="AA2" s="76" t="s">
        <v>343</v>
      </c>
      <c r="AB2" s="76" t="s">
        <v>342</v>
      </c>
      <c r="AC2" s="76" t="s">
        <v>343</v>
      </c>
      <c r="AD2" s="76" t="s">
        <v>342</v>
      </c>
      <c r="AE2" s="76" t="s">
        <v>343</v>
      </c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 t="e">
        <f>'First 5 Innings'!#REF!</f>
        <v>#REF!</v>
      </c>
      <c r="E3" s="76" t="e">
        <f>'First 5 Innings'!#REF!</f>
        <v>#REF!</v>
      </c>
      <c r="F3" s="76" t="e">
        <f>'First 5 Innings'!#REF!</f>
        <v>#REF!</v>
      </c>
      <c r="G3" s="76" t="e">
        <f>'First 5 Innings'!#REF!</f>
        <v>#REF!</v>
      </c>
      <c r="H3" s="76" t="e">
        <f>'First 5 Innings'!#REF!</f>
        <v>#REF!</v>
      </c>
      <c r="I3" s="76" t="e">
        <f>'First 5 Innings'!#REF!</f>
        <v>#REF!</v>
      </c>
      <c r="J3" s="76" t="e">
        <f>'First 5 Innings'!#REF!</f>
        <v>#REF!</v>
      </c>
      <c r="K3" s="76" t="e">
        <f>'First 5 Innings'!#REF!</f>
        <v>#REF!</v>
      </c>
      <c r="L3" s="76" t="e">
        <f>'First 5 Innings'!#REF!</f>
        <v>#REF!</v>
      </c>
      <c r="M3" s="76" t="e">
        <f>'First 5 Innings'!#REF!</f>
        <v>#REF!</v>
      </c>
      <c r="N3" s="76" t="e">
        <f>'First 5 Innings'!#REF!</f>
        <v>#REF!</v>
      </c>
      <c r="O3" s="76" t="e">
        <f>'First 5 Innings'!#REF!</f>
        <v>#REF!</v>
      </c>
      <c r="P3" s="76" t="e">
        <f>'First 5 Innings'!#REF!</f>
        <v>#REF!</v>
      </c>
      <c r="Q3" s="76" t="e">
        <f>'First 5 Innings'!#REF!</f>
        <v>#REF!</v>
      </c>
      <c r="R3" s="76" t="e">
        <f>'First 5 Innings'!#REF!</f>
        <v>#REF!</v>
      </c>
      <c r="S3" s="76" t="e">
        <f>'First 5 Innings'!#REF!</f>
        <v>#REF!</v>
      </c>
      <c r="T3" s="76" t="e">
        <f>'First 5 Innings'!#REF!</f>
        <v>#REF!</v>
      </c>
      <c r="U3" s="76" t="e">
        <f>'First 5 Innings'!#REF!</f>
        <v>#REF!</v>
      </c>
      <c r="V3" s="76" t="e">
        <f>'First 5 Innings'!#REF!</f>
        <v>#REF!</v>
      </c>
      <c r="W3" s="76" t="e">
        <f>'First 5 Innings'!#REF!</f>
        <v>#REF!</v>
      </c>
      <c r="X3" s="76" t="e">
        <f>'First 5 Innings'!#REF!</f>
        <v>#REF!</v>
      </c>
      <c r="Y3" s="76" t="e">
        <f>'First 5 Innings'!#REF!</f>
        <v>#REF!</v>
      </c>
      <c r="Z3" s="76" t="e">
        <f>'First 5 Innings'!#REF!</f>
        <v>#REF!</v>
      </c>
      <c r="AA3" s="76" t="e">
        <f>'First 5 Innings'!#REF!</f>
        <v>#REF!</v>
      </c>
      <c r="AB3" s="76" t="e">
        <f>'First 5 Innings'!#REF!</f>
        <v>#REF!</v>
      </c>
      <c r="AC3" s="76" t="e">
        <f>'First 5 Innings'!#REF!</f>
        <v>#REF!</v>
      </c>
      <c r="AD3" s="76" t="e">
        <f>'First 5 Innings'!#REF!</f>
        <v>#REF!</v>
      </c>
      <c r="AE3" s="76" t="e">
        <f>'First 5 Innings'!#REF!</f>
        <v>#REF!</v>
      </c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Innings'!$G$5</f>
        <v>2.0592547604653251</v>
      </c>
      <c r="C4" s="87">
        <f>'First 5 Innings'!$G$6</f>
        <v>2.5805188991313051</v>
      </c>
      <c r="D4" s="87">
        <f>'First 5 Innings'!$G$7</f>
        <v>1.2815108987336001</v>
      </c>
      <c r="E4" s="87">
        <f>'First 5 Innings'!$G$8</f>
        <v>0.77474742001497776</v>
      </c>
      <c r="F4" s="87">
        <f>'First 5 Innings'!$G$9</f>
        <v>2.7819080350664733</v>
      </c>
      <c r="G4" s="87">
        <f>'First 5 Innings'!$G$10</f>
        <v>2.7766069472561337</v>
      </c>
      <c r="H4" s="87">
        <f>'First 5 Innings'!$G$11</f>
        <v>1.826642062696648</v>
      </c>
      <c r="I4" s="87">
        <f>'First 5 Innings'!$G$12</f>
        <v>1.145226521098774</v>
      </c>
      <c r="J4" s="87">
        <f>'First 5 Innings'!$G$13</f>
        <v>1.545381866307149</v>
      </c>
      <c r="K4" s="87">
        <f>'First 5 Innings'!$G$14</f>
        <v>3.585309627595878</v>
      </c>
      <c r="L4" s="87">
        <f>'First 5 Innings'!$G$15</f>
        <v>2.7907438072104722</v>
      </c>
      <c r="M4" s="87">
        <f>'First 5 Innings'!$G$16</f>
        <v>2.1072283818818565</v>
      </c>
      <c r="N4" s="87">
        <f>'First 5 Innings'!$G$17</f>
        <v>2.6219045834201022</v>
      </c>
      <c r="O4" s="87">
        <f>'First 5 Innings'!$G$18</f>
        <v>1.2917355733137645</v>
      </c>
      <c r="P4" s="87">
        <f>'First 5 Innings'!$G$19</f>
        <v>2.0217493368403221</v>
      </c>
      <c r="Q4" s="87">
        <f>'First 5 Innings'!$G$20</f>
        <v>1.8849384483789042</v>
      </c>
      <c r="R4" s="87">
        <f>'First 5 Innings'!$G$21</f>
        <v>2.2501747104752448</v>
      </c>
      <c r="S4" s="87">
        <f>'First 5 Innings'!$G$22</f>
        <v>2.6557283258573658</v>
      </c>
      <c r="T4" s="87">
        <f>'First 5 Innings'!$G$23</f>
        <v>1.778999877783157</v>
      </c>
      <c r="U4" s="87">
        <f>'First 5 Innings'!$G$24</f>
        <v>1.5298006976196104</v>
      </c>
      <c r="V4" s="87">
        <f>'First 5 Innings'!$G$25</f>
        <v>3.1117188342635362</v>
      </c>
      <c r="W4" s="87">
        <f>'First 5 Innings'!$G$26</f>
        <v>1.9808153809433779</v>
      </c>
      <c r="X4" s="87">
        <f>'First 5 Innings'!$G$27</f>
        <v>2.3086946189697204</v>
      </c>
      <c r="Y4" s="87">
        <f>'First 5 Innings'!$G$28</f>
        <v>2.327387636390323</v>
      </c>
      <c r="Z4" s="87">
        <f>'First 5 Innings'!$G$29</f>
        <v>2.2923966987800308</v>
      </c>
      <c r="AA4" s="87">
        <f>'First 5 Innings'!$G$28</f>
        <v>2.327387636390323</v>
      </c>
      <c r="AB4" s="87">
        <f>'First 5 Innings'!$G$31</f>
        <v>1.8852230246595205</v>
      </c>
      <c r="AC4" s="87">
        <f>'First 5 Innings'!$G$30</f>
        <v>2.0337119775393169</v>
      </c>
      <c r="AD4" s="87">
        <f>'First 5 Innings'!$G$33</f>
        <v>1.5819340230731458</v>
      </c>
      <c r="AE4" s="87">
        <f>'First 5 Innings'!$G$32</f>
        <v>1.513856076234483</v>
      </c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0">_xlfn.NEGBINOM.DIST(A5,$A$2,$A$2/($A$2+$B$4),FALSE)</f>
        <v>0.2002838213714542</v>
      </c>
      <c r="C5" s="93">
        <f>_xlfn.NEGBINOM.DIST(A5,$A$2,$A$2/($A$2+$C$4),FALSE)</f>
        <v>0.14158435258727384</v>
      </c>
      <c r="D5" s="93">
        <f t="shared" ref="D5:D20" si="1">NEGBINOMDIST(A5,$A$2,$A$2/($A$2+$D$4))</f>
        <v>0.34989533329750844</v>
      </c>
      <c r="E5" s="93">
        <f t="shared" ref="E5:E20" si="2">NEGBINOMDIST(A5,$A$2,$A$2/($A$2+$E$4))</f>
        <v>0.51864438981299754</v>
      </c>
      <c r="F5" s="93">
        <f t="shared" ref="F5:F20" si="3">NEGBINOMDIST($A5,$A$2,$A$2/($A$2+$F$4))</f>
        <v>0.12447277834211715</v>
      </c>
      <c r="G5" s="93">
        <f t="shared" ref="G5:G20" si="4">NEGBINOMDIST($A5,$A$2,$A$2/($A$2+$G$4))</f>
        <v>0.12489113351041521</v>
      </c>
      <c r="H5" s="93">
        <f t="shared" ref="H5:H20" si="5">NEGBINOMDIST($A5,$A$2,$A$2/($A$2+$H$4))</f>
        <v>0.23538599667280424</v>
      </c>
      <c r="I5" s="93">
        <f t="shared" ref="I5:I20" si="6">NEGBINOMDIST($A5,$A$2,$A$2/($A$2+$I$4))</f>
        <v>0.38798585208522313</v>
      </c>
      <c r="J5" s="93">
        <f t="shared" ref="J5:J20" si="7">NEGBINOMDIST($A5,$A$2,$A$2/($A$2+$J$4))</f>
        <v>0.2878618905343342</v>
      </c>
      <c r="K5" s="93">
        <f t="shared" ref="K5:K20" si="8">NEGBINOMDIST($A5,$A$2,$A$2/($A$2+$K$4))</f>
        <v>7.6409013946945631E-2</v>
      </c>
      <c r="L5" s="93">
        <f t="shared" ref="L5:L20" si="9">NEGBINOMDIST($A5,$A$2,$A$2/($A$2+$L$4))</f>
        <v>0.12377909835953903</v>
      </c>
      <c r="M5" s="93">
        <f t="shared" ref="M5:M20" si="10">NEGBINOMDIST($A5,$A$2,$A$2/($A$2+$M$4))</f>
        <v>0.19382655044770938</v>
      </c>
      <c r="N5" s="93">
        <f t="shared" ref="N5:N20" si="11">NEGBINOMDIST($A5,$A$2,$A$2/($A$2+L$4))</f>
        <v>0.12377909835953903</v>
      </c>
      <c r="O5" s="93">
        <f t="shared" ref="O5:O20" si="12">NEGBINOMDIST($A5,$A$2,$A$2/($A$2+O$4))</f>
        <v>0.34721796053631959</v>
      </c>
      <c r="P5" s="93">
        <f>NEGBINOMDIST($A$5,$A$2,$A$2/($A$2+$P$4))</f>
        <v>0.20550727986032388</v>
      </c>
      <c r="Q5" s="93">
        <f>NEGBINOMDIST($A$5,$A$2,$A$2/($A$2+$Q$4))</f>
        <v>0.22595694887979917</v>
      </c>
      <c r="R5" s="93">
        <f t="shared" ref="R5:R20" si="13">NEGBINOMDIST($A5,$A$2,$A$2/($A$2+$R$4))</f>
        <v>0.17597855137870386</v>
      </c>
      <c r="S5" s="93">
        <f t="shared" ref="S5:S20" si="14">NEGBINOMDIST($A5,$A$2,$A$2/($A$2+$S$4))</f>
        <v>0.1348910711153487</v>
      </c>
      <c r="T5" s="93">
        <f t="shared" ref="T5:T20" si="15">NEGBINOMDIST($A5,$A$2,$A$2/($A$2+$T$4))</f>
        <v>0.24343389176003299</v>
      </c>
      <c r="U5" s="93">
        <f t="shared" ref="U5:U20" si="16">NEGBINOMDIST($A5,$A$2,$A$2/($A$2+$U$4))</f>
        <v>0.29114739484011631</v>
      </c>
      <c r="V5" s="93">
        <f t="shared" ref="V5:V20" si="17">NEGBINOMDIST($A5,$A$2,$A$2/($A$2+$V$4))</f>
        <v>0.1013860606942166</v>
      </c>
      <c r="W5" s="93">
        <f t="shared" ref="W5:W20" si="18">NEGBINOMDIST($A5,$A$2,$A$2/($A$2+$W$4))</f>
        <v>0.21139061214270041</v>
      </c>
      <c r="X5" s="93">
        <f t="shared" ref="X5:X20" si="19">NEGBINOMDIST($A5,$A$2,$A$2/($A$2+$X$4))</f>
        <v>0.16923010531940311</v>
      </c>
      <c r="Y5" s="93">
        <f t="shared" ref="Y5:Y20" si="20">NEGBINOMDIST($A5,$A$2,$A$2/($A$2+$Y$4))</f>
        <v>0.16713841035904681</v>
      </c>
      <c r="Z5" s="93">
        <f t="shared" ref="Z5:Z20" si="21">NEGBINOMDIST($A5,$A$2,$A$2/($A$2+$Z$4))</f>
        <v>0.17107875108504267</v>
      </c>
      <c r="AA5" s="93">
        <f t="shared" ref="AA5:AA20" si="22">NEGBINOMDIST($A5,$A$2,$A$2/($A$2+$AA$4))</f>
        <v>0.16713841035904681</v>
      </c>
      <c r="AB5" s="93">
        <f t="shared" ref="AB5:AB20" si="23">NEGBINOMDIST($A5,$A$2,$A$2/($A$2+$AB$4))</f>
        <v>0.22591201353480347</v>
      </c>
      <c r="AC5" s="93">
        <f t="shared" ref="AC5:AC20" si="24">NEGBINOMDIST($A5,$A$2,$A$2/($A$2+$AC$4))</f>
        <v>0.20382414202480562</v>
      </c>
      <c r="AD5" s="93">
        <f t="shared" ref="AD5:AD20" si="25">NEGBINOMDIST($A5,$A$2,$A$2/($A$2+$AD$4))</f>
        <v>0.28032266778665016</v>
      </c>
      <c r="AE5" s="93">
        <f t="shared" ref="AE5:AE20" si="26">NEGBINOMDIST($A5,$A$2,$A$2/($A$2+$AE$4))</f>
        <v>0.29455492129176153</v>
      </c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0"/>
        <v>0.28251404295137339</v>
      </c>
      <c r="C6" s="93">
        <f t="shared" ref="C6:C20" si="27">NEGBINOMDIST(A6,$A$2,$A$2/($A$2+$C$4))</f>
        <v>0.23621163965751724</v>
      </c>
      <c r="D6" s="93">
        <f t="shared" si="1"/>
        <v>0.33707503909411035</v>
      </c>
      <c r="E6" s="93">
        <f t="shared" si="2"/>
        <v>0.32254072037558462</v>
      </c>
      <c r="F6" s="93">
        <f t="shared" si="3"/>
        <v>0.21911527992238511</v>
      </c>
      <c r="G6" s="93">
        <f t="shared" si="4"/>
        <v>0.21955553768500483</v>
      </c>
      <c r="H6" s="93">
        <f t="shared" si="5"/>
        <v>0.3025570624384829</v>
      </c>
      <c r="I6" s="93">
        <f t="shared" si="6"/>
        <v>0.33982321843031149</v>
      </c>
      <c r="J6" s="93">
        <f t="shared" si="7"/>
        <v>0.32371323937133123</v>
      </c>
      <c r="K6" s="93">
        <f t="shared" si="8"/>
        <v>0.15981043833862246</v>
      </c>
      <c r="L6" s="93">
        <f t="shared" si="9"/>
        <v>0.21838272693434568</v>
      </c>
      <c r="M6" s="93">
        <f t="shared" si="10"/>
        <v>0.27825108460175785</v>
      </c>
      <c r="N6" s="93">
        <f t="shared" si="11"/>
        <v>0.21838272693434568</v>
      </c>
      <c r="O6" s="93">
        <f t="shared" si="12"/>
        <v>0.33673320685126956</v>
      </c>
      <c r="P6" s="93">
        <f t="shared" ref="P6:Q20" si="28">NEGBINOMDIST($A6,$A$2,$A$2/($A$2+P$4))</f>
        <v>0.28582628832393486</v>
      </c>
      <c r="Q6" s="93">
        <f t="shared" si="28"/>
        <v>0.29767128315451985</v>
      </c>
      <c r="R6" s="93">
        <f t="shared" si="13"/>
        <v>0.26545793710706345</v>
      </c>
      <c r="S6" s="93">
        <f t="shared" si="14"/>
        <v>0.22974205277606302</v>
      </c>
      <c r="T6" s="93">
        <f t="shared" si="15"/>
        <v>0.30645279155442318</v>
      </c>
      <c r="U6" s="93">
        <f t="shared" si="16"/>
        <v>0.32472049137134196</v>
      </c>
      <c r="V6" s="93">
        <f t="shared" si="17"/>
        <v>0.19292333173609133</v>
      </c>
      <c r="W6" s="93">
        <f t="shared" si="18"/>
        <v>0.28941459359117888</v>
      </c>
      <c r="X6" s="93">
        <f t="shared" si="19"/>
        <v>0.26021570274735373</v>
      </c>
      <c r="Y6" s="93">
        <f t="shared" si="20"/>
        <v>0.25854381278643379</v>
      </c>
      <c r="Z6" s="93">
        <f t="shared" si="21"/>
        <v>0.26167464182622291</v>
      </c>
      <c r="AA6" s="93">
        <f t="shared" si="22"/>
        <v>0.25854381278643379</v>
      </c>
      <c r="AB6" s="93">
        <f t="shared" si="23"/>
        <v>0.2976471513248044</v>
      </c>
      <c r="AC6" s="93">
        <f t="shared" si="24"/>
        <v>0.28477211065367253</v>
      </c>
      <c r="AD6" s="93">
        <f t="shared" si="25"/>
        <v>0.3212669632780647</v>
      </c>
      <c r="AE6" s="93">
        <f t="shared" si="26"/>
        <v>0.3257279552334636</v>
      </c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0"/>
        <v>0.23246148366993646</v>
      </c>
      <c r="C7" s="93">
        <f t="shared" si="27"/>
        <v>0.22988155342889882</v>
      </c>
      <c r="D7" s="93">
        <f t="shared" si="1"/>
        <v>0.18942261636896765</v>
      </c>
      <c r="E7" s="93">
        <f t="shared" si="2"/>
        <v>0.11700817689447694</v>
      </c>
      <c r="F7" s="93">
        <f t="shared" si="3"/>
        <v>0.22500270457029087</v>
      </c>
      <c r="G7" s="93">
        <f t="shared" si="4"/>
        <v>0.22515105050066206</v>
      </c>
      <c r="H7" s="93">
        <f t="shared" si="5"/>
        <v>0.22685625641760432</v>
      </c>
      <c r="I7" s="93">
        <f t="shared" si="6"/>
        <v>0.1736228984780924</v>
      </c>
      <c r="J7" s="93">
        <f t="shared" si="7"/>
        <v>0.21235062528549464</v>
      </c>
      <c r="K7" s="93">
        <f t="shared" si="8"/>
        <v>0.19497659610554477</v>
      </c>
      <c r="L7" s="93">
        <f t="shared" si="9"/>
        <v>0.22475328521222812</v>
      </c>
      <c r="M7" s="93">
        <f t="shared" si="10"/>
        <v>0.23301144817472336</v>
      </c>
      <c r="N7" s="93">
        <f t="shared" si="11"/>
        <v>0.22475328521222812</v>
      </c>
      <c r="O7" s="93">
        <f t="shared" si="12"/>
        <v>0.19049628244757674</v>
      </c>
      <c r="P7" s="93">
        <f t="shared" si="28"/>
        <v>0.23189635506989684</v>
      </c>
      <c r="Q7" s="93">
        <f t="shared" si="28"/>
        <v>0.22875203764071983</v>
      </c>
      <c r="R7" s="93">
        <f t="shared" si="13"/>
        <v>0.23358690152265615</v>
      </c>
      <c r="S7" s="93">
        <f t="shared" si="14"/>
        <v>0.22825199661805426</v>
      </c>
      <c r="T7" s="93">
        <f t="shared" si="15"/>
        <v>0.22504165621294625</v>
      </c>
      <c r="U7" s="93">
        <f t="shared" si="16"/>
        <v>0.21126291919952619</v>
      </c>
      <c r="V7" s="93">
        <f t="shared" si="17"/>
        <v>0.21414505580050561</v>
      </c>
      <c r="W7" s="93">
        <f t="shared" si="18"/>
        <v>0.23113831898750084</v>
      </c>
      <c r="X7" s="93">
        <f t="shared" si="19"/>
        <v>0.23340285839385111</v>
      </c>
      <c r="Y7" s="93">
        <f t="shared" si="20"/>
        <v>0.23329682312693809</v>
      </c>
      <c r="Z7" s="93">
        <f t="shared" si="21"/>
        <v>0.2334769436999943</v>
      </c>
      <c r="AA7" s="93">
        <f t="shared" si="22"/>
        <v>0.23329682312693809</v>
      </c>
      <c r="AB7" s="93">
        <f t="shared" si="23"/>
        <v>0.22876044274159324</v>
      </c>
      <c r="AC7" s="93">
        <f t="shared" si="24"/>
        <v>0.23208981339002649</v>
      </c>
      <c r="AD7" s="93">
        <f t="shared" si="25"/>
        <v>0.21477845440337379</v>
      </c>
      <c r="AE7" s="93">
        <f t="shared" si="26"/>
        <v>0.21011670265287163</v>
      </c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0"/>
        <v>0.14573459499705013</v>
      </c>
      <c r="C8" s="93">
        <f t="shared" si="27"/>
        <v>0.17045417384738801</v>
      </c>
      <c r="D8" s="93">
        <f t="shared" si="1"/>
        <v>8.1103156339979568E-2</v>
      </c>
      <c r="E8" s="93">
        <f t="shared" si="2"/>
        <v>3.2340636394630369E-2</v>
      </c>
      <c r="F8" s="93">
        <f t="shared" si="3"/>
        <v>0.176036814374184</v>
      </c>
      <c r="G8" s="93">
        <f t="shared" si="4"/>
        <v>0.17591555697282221</v>
      </c>
      <c r="H8" s="93">
        <f t="shared" si="5"/>
        <v>0.12959699011210785</v>
      </c>
      <c r="I8" s="93">
        <f t="shared" si="6"/>
        <v>6.7586762463315228E-2</v>
      </c>
      <c r="J8" s="93">
        <f t="shared" si="7"/>
        <v>0.10613223610051724</v>
      </c>
      <c r="K8" s="93">
        <f t="shared" si="8"/>
        <v>0.18124269597031251</v>
      </c>
      <c r="L8" s="93">
        <f t="shared" si="9"/>
        <v>0.17623594851219299</v>
      </c>
      <c r="M8" s="93">
        <f t="shared" si="10"/>
        <v>0.14866828794319842</v>
      </c>
      <c r="N8" s="93">
        <f t="shared" si="11"/>
        <v>0.17623594851219299</v>
      </c>
      <c r="O8" s="93">
        <f t="shared" si="12"/>
        <v>8.2108430595309229E-2</v>
      </c>
      <c r="P8" s="93">
        <f t="shared" si="28"/>
        <v>0.14334625894307873</v>
      </c>
      <c r="Q8" s="93">
        <f t="shared" si="28"/>
        <v>0.13393487939735724</v>
      </c>
      <c r="R8" s="93">
        <f t="shared" si="13"/>
        <v>0.15660367326368255</v>
      </c>
      <c r="S8" s="93">
        <f t="shared" si="14"/>
        <v>0.17277836543606309</v>
      </c>
      <c r="T8" s="93">
        <f t="shared" si="15"/>
        <v>0.12591078654545981</v>
      </c>
      <c r="U8" s="93">
        <f t="shared" si="16"/>
        <v>0.10472190779089632</v>
      </c>
      <c r="V8" s="93">
        <f t="shared" si="17"/>
        <v>0.18110566616778137</v>
      </c>
      <c r="W8" s="93">
        <f t="shared" si="18"/>
        <v>0.14064495627324611</v>
      </c>
      <c r="X8" s="93">
        <f t="shared" si="19"/>
        <v>0.15950691963483371</v>
      </c>
      <c r="Y8" s="93">
        <f t="shared" si="20"/>
        <v>0.16039254872686889</v>
      </c>
      <c r="Z8" s="93">
        <f t="shared" si="21"/>
        <v>0.15871831664239336</v>
      </c>
      <c r="AA8" s="93">
        <f t="shared" si="22"/>
        <v>0.16039254872686889</v>
      </c>
      <c r="AB8" s="93">
        <f t="shared" si="23"/>
        <v>0.13395558160000495</v>
      </c>
      <c r="AC8" s="93">
        <f t="shared" si="24"/>
        <v>0.14411705952597617</v>
      </c>
      <c r="AD8" s="93">
        <f t="shared" si="25"/>
        <v>0.1093996783833948</v>
      </c>
      <c r="AE8" s="93">
        <f t="shared" si="26"/>
        <v>0.1032682478898026</v>
      </c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0"/>
        <v>7.7088234115534796E-2</v>
      </c>
      <c r="C9" s="93">
        <f t="shared" si="27"/>
        <v>0.10664118020953366</v>
      </c>
      <c r="D9" s="93">
        <f t="shared" si="1"/>
        <v>2.9299315029778037E-2</v>
      </c>
      <c r="E9" s="93">
        <f t="shared" si="2"/>
        <v>7.5421418545735192E-3</v>
      </c>
      <c r="F9" s="93">
        <f t="shared" si="3"/>
        <v>0.11620720320940482</v>
      </c>
      <c r="G9" s="93">
        <f t="shared" si="4"/>
        <v>0.11597070668482685</v>
      </c>
      <c r="H9" s="93">
        <f t="shared" si="5"/>
        <v>6.2467317273697968E-2</v>
      </c>
      <c r="I9" s="93">
        <f t="shared" si="6"/>
        <v>2.2198829242223064E-2</v>
      </c>
      <c r="J9" s="93">
        <f t="shared" si="7"/>
        <v>4.4756371561612968E-2</v>
      </c>
      <c r="K9" s="93">
        <f t="shared" si="8"/>
        <v>0.14215178873791354</v>
      </c>
      <c r="L9" s="93">
        <f t="shared" si="9"/>
        <v>0.11659951335693645</v>
      </c>
      <c r="M9" s="93">
        <f t="shared" si="10"/>
        <v>8.0033757508703868E-2</v>
      </c>
      <c r="N9" s="93">
        <f t="shared" si="11"/>
        <v>0.11659951335693645</v>
      </c>
      <c r="O9" s="93">
        <f t="shared" si="12"/>
        <v>2.9860892457698036E-2</v>
      </c>
      <c r="P9" s="93">
        <f t="shared" si="28"/>
        <v>7.476401048907344E-2</v>
      </c>
      <c r="Q9" s="93">
        <f t="shared" si="28"/>
        <v>6.6166200475924142E-2</v>
      </c>
      <c r="R9" s="93">
        <f t="shared" si="13"/>
        <v>8.8586835701579297E-2</v>
      </c>
      <c r="S9" s="93">
        <f t="shared" si="14"/>
        <v>0.11035141917389281</v>
      </c>
      <c r="T9" s="93">
        <f t="shared" si="15"/>
        <v>5.9439718538204026E-2</v>
      </c>
      <c r="U9" s="93">
        <f t="shared" si="16"/>
        <v>4.3799141720654473E-2</v>
      </c>
      <c r="V9" s="93">
        <f t="shared" si="17"/>
        <v>0.12923192402190017</v>
      </c>
      <c r="W9" s="93">
        <f t="shared" si="18"/>
        <v>7.2208805386174288E-2</v>
      </c>
      <c r="X9" s="93">
        <f t="shared" si="19"/>
        <v>9.1974338226136446E-2</v>
      </c>
      <c r="Y9" s="93">
        <f t="shared" si="20"/>
        <v>9.3040779049447506E-2</v>
      </c>
      <c r="Z9" s="93">
        <f t="shared" si="21"/>
        <v>9.1038246411181231E-2</v>
      </c>
      <c r="AA9" s="93">
        <f t="shared" si="22"/>
        <v>9.3040779049447506E-2</v>
      </c>
      <c r="AB9" s="93">
        <f t="shared" si="23"/>
        <v>6.6184224739927938E-2</v>
      </c>
      <c r="AC9" s="93">
        <f t="shared" si="24"/>
        <v>7.5507221840933558E-2</v>
      </c>
      <c r="AD9" s="93">
        <f t="shared" si="25"/>
        <v>4.7017026934537458E-2</v>
      </c>
      <c r="AE9" s="93">
        <f t="shared" si="26"/>
        <v>4.2823960144052584E-2</v>
      </c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0"/>
        <v>3.6246077416258973E-2</v>
      </c>
      <c r="C10" s="93">
        <f t="shared" si="27"/>
        <v>5.9304783266402893E-2</v>
      </c>
      <c r="D10" s="93">
        <f t="shared" si="1"/>
        <v>9.4085924363136002E-3</v>
      </c>
      <c r="E10" s="93">
        <f t="shared" si="2"/>
        <v>1.5634655232821479E-3</v>
      </c>
      <c r="F10" s="93">
        <f t="shared" si="3"/>
        <v>6.8188333222655953E-2</v>
      </c>
      <c r="G10" s="93">
        <f t="shared" si="4"/>
        <v>6.7957882320428459E-2</v>
      </c>
      <c r="H10" s="93">
        <f t="shared" si="5"/>
        <v>2.6764446880010451E-2</v>
      </c>
      <c r="I10" s="93">
        <f t="shared" si="6"/>
        <v>6.4810590024814872E-3</v>
      </c>
      <c r="J10" s="93">
        <f t="shared" si="7"/>
        <v>1.677683002060857E-2</v>
      </c>
      <c r="K10" s="93">
        <f t="shared" si="8"/>
        <v>9.9104099963035513E-2</v>
      </c>
      <c r="L10" s="93">
        <f t="shared" si="9"/>
        <v>6.8571942607365918E-2</v>
      </c>
      <c r="M10" s="93">
        <f t="shared" si="10"/>
        <v>3.8297952095334521E-2</v>
      </c>
      <c r="N10" s="93">
        <f t="shared" si="11"/>
        <v>6.8571942607365918E-2</v>
      </c>
      <c r="O10" s="93">
        <f t="shared" si="12"/>
        <v>9.6530663920631147E-3</v>
      </c>
      <c r="P10" s="93">
        <f t="shared" si="28"/>
        <v>3.4661415454199797E-2</v>
      </c>
      <c r="Q10" s="93">
        <f t="shared" si="28"/>
        <v>2.9055354563145813E-2</v>
      </c>
      <c r="R10" s="93">
        <f t="shared" si="13"/>
        <v>4.4543456150284398E-2</v>
      </c>
      <c r="S10" s="93">
        <f t="shared" si="14"/>
        <v>6.264897386742152E-2</v>
      </c>
      <c r="T10" s="93">
        <f t="shared" si="15"/>
        <v>2.4942387908743983E-2</v>
      </c>
      <c r="U10" s="93">
        <f t="shared" si="16"/>
        <v>1.6283251568601793E-2</v>
      </c>
      <c r="V10" s="93">
        <f t="shared" si="17"/>
        <v>8.1970023552401336E-2</v>
      </c>
      <c r="W10" s="93">
        <f t="shared" si="18"/>
        <v>3.295365839998711E-2</v>
      </c>
      <c r="X10" s="93">
        <f t="shared" si="19"/>
        <v>4.7141271566438471E-2</v>
      </c>
      <c r="Y10" s="93">
        <f t="shared" si="20"/>
        <v>4.7974445667294689E-2</v>
      </c>
      <c r="Z10" s="93">
        <f t="shared" si="21"/>
        <v>4.6416051810531843E-2</v>
      </c>
      <c r="AA10" s="93">
        <f t="shared" si="22"/>
        <v>4.7974445667294689E-2</v>
      </c>
      <c r="AB10" s="93">
        <f t="shared" si="23"/>
        <v>2.9066693780829444E-2</v>
      </c>
      <c r="AC10" s="93">
        <f t="shared" si="24"/>
        <v>3.516487418947143E-2</v>
      </c>
      <c r="AD10" s="93">
        <f t="shared" si="25"/>
        <v>1.7961465127415314E-2</v>
      </c>
      <c r="AE10" s="93">
        <f t="shared" si="26"/>
        <v>1.5785353838879849E-2</v>
      </c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0"/>
        <v>1.5622314237843327E-2</v>
      </c>
      <c r="C11" s="93">
        <f t="shared" si="27"/>
        <v>3.0231934812463262E-2</v>
      </c>
      <c r="D11" s="93">
        <f t="shared" si="1"/>
        <v>2.7695122080771749E-3</v>
      </c>
      <c r="E11" s="93">
        <f t="shared" si="2"/>
        <v>2.9709364379812604E-4</v>
      </c>
      <c r="F11" s="93">
        <f t="shared" si="3"/>
        <v>3.6677399831200989E-2</v>
      </c>
      <c r="G11" s="93">
        <f t="shared" si="4"/>
        <v>3.6504197853393358E-2</v>
      </c>
      <c r="H11" s="93">
        <f t="shared" si="5"/>
        <v>1.0511752556670789E-2</v>
      </c>
      <c r="I11" s="93">
        <f t="shared" si="6"/>
        <v>1.7344960654174213E-3</v>
      </c>
      <c r="J11" s="93">
        <f t="shared" si="7"/>
        <v>5.7646955672038848E-3</v>
      </c>
      <c r="K11" s="93">
        <f t="shared" si="8"/>
        <v>6.3334792737821902E-2</v>
      </c>
      <c r="L11" s="93">
        <f t="shared" si="9"/>
        <v>3.6966438190362716E-2</v>
      </c>
      <c r="M11" s="93">
        <f t="shared" si="10"/>
        <v>1.6799228417153925E-2</v>
      </c>
      <c r="N11" s="93">
        <f t="shared" si="11"/>
        <v>3.6966438190362716E-2</v>
      </c>
      <c r="O11" s="93">
        <f t="shared" si="12"/>
        <v>2.8604821504621047E-3</v>
      </c>
      <c r="P11" s="93">
        <f t="shared" si="28"/>
        <v>1.4730294749800858E-2</v>
      </c>
      <c r="Q11" s="93">
        <f t="shared" si="28"/>
        <v>1.1695737211617501E-2</v>
      </c>
      <c r="R11" s="93">
        <f t="shared" si="13"/>
        <v>2.0530998549884157E-2</v>
      </c>
      <c r="S11" s="93">
        <f t="shared" si="14"/>
        <v>3.2603291010554654E-2</v>
      </c>
      <c r="T11" s="93">
        <f t="shared" si="15"/>
        <v>9.5942438669949382E-3</v>
      </c>
      <c r="U11" s="93">
        <f t="shared" si="16"/>
        <v>5.5491709493451962E-3</v>
      </c>
      <c r="V11" s="93">
        <f t="shared" si="17"/>
        <v>4.7659748763309001E-2</v>
      </c>
      <c r="W11" s="93">
        <f t="shared" si="18"/>
        <v>1.3785691321957786E-2</v>
      </c>
      <c r="X11" s="93">
        <f t="shared" si="19"/>
        <v>2.2148654727477967E-2</v>
      </c>
      <c r="Y11" s="93">
        <f t="shared" si="20"/>
        <v>2.2675560532505298E-2</v>
      </c>
      <c r="Z11" s="93">
        <f t="shared" si="21"/>
        <v>2.1693216364819173E-2</v>
      </c>
      <c r="AA11" s="93">
        <f t="shared" si="22"/>
        <v>2.2675560532505298E-2</v>
      </c>
      <c r="AB11" s="93">
        <f t="shared" si="23"/>
        <v>1.1701680167936492E-2</v>
      </c>
      <c r="AC11" s="93">
        <f t="shared" si="24"/>
        <v>1.5012087379127261E-2</v>
      </c>
      <c r="AD11" s="93">
        <f t="shared" si="25"/>
        <v>6.2898428437033835E-3</v>
      </c>
      <c r="AE11" s="93">
        <f t="shared" si="26"/>
        <v>5.3337573653957126E-3</v>
      </c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0"/>
        <v>6.2960982432231603E-3</v>
      </c>
      <c r="C12" s="93">
        <f t="shared" si="27"/>
        <v>1.4410662037104624E-2</v>
      </c>
      <c r="D12" s="93">
        <f t="shared" si="1"/>
        <v>7.6229607376857196E-4</v>
      </c>
      <c r="E12" s="93">
        <f t="shared" si="2"/>
        <v>5.2788604717444457E-5</v>
      </c>
      <c r="F12" s="93">
        <f t="shared" si="3"/>
        <v>1.8447128619216338E-2</v>
      </c>
      <c r="G12" s="93">
        <f t="shared" si="4"/>
        <v>1.8335280295008055E-2</v>
      </c>
      <c r="H12" s="93">
        <f t="shared" si="5"/>
        <v>3.8604128896872736E-3</v>
      </c>
      <c r="I12" s="93">
        <f t="shared" si="6"/>
        <v>4.340526720144354E-4</v>
      </c>
      <c r="J12" s="93">
        <f t="shared" si="7"/>
        <v>1.8521861027425517E-3</v>
      </c>
      <c r="K12" s="93">
        <f t="shared" si="8"/>
        <v>3.7847296006743726E-2</v>
      </c>
      <c r="L12" s="93">
        <f t="shared" si="9"/>
        <v>1.8634190572564154E-2</v>
      </c>
      <c r="M12" s="93">
        <f t="shared" si="10"/>
        <v>6.8904072322814982E-3</v>
      </c>
      <c r="N12" s="93">
        <f t="shared" si="11"/>
        <v>1.8634190572564154E-2</v>
      </c>
      <c r="O12" s="93">
        <f t="shared" si="12"/>
        <v>7.9260163202725853E-4</v>
      </c>
      <c r="P12" s="93">
        <f t="shared" si="28"/>
        <v>5.8535367799757588E-3</v>
      </c>
      <c r="Q12" s="93">
        <f t="shared" si="28"/>
        <v>4.4022103963735487E-3</v>
      </c>
      <c r="R12" s="93">
        <f t="shared" si="13"/>
        <v>8.8486701185236522E-3</v>
      </c>
      <c r="S12" s="93">
        <f t="shared" si="14"/>
        <v>1.5865387725891186E-2</v>
      </c>
      <c r="T12" s="93">
        <f t="shared" si="15"/>
        <v>3.4508433769805799E-3</v>
      </c>
      <c r="U12" s="93">
        <f t="shared" si="16"/>
        <v>1.7683036636717744E-3</v>
      </c>
      <c r="V12" s="93">
        <f t="shared" si="17"/>
        <v>2.5911360026542672E-2</v>
      </c>
      <c r="W12" s="93">
        <f t="shared" si="18"/>
        <v>5.3925630996930147E-3</v>
      </c>
      <c r="X12" s="93">
        <f t="shared" si="19"/>
        <v>9.7305006170509533E-3</v>
      </c>
      <c r="Y12" s="93">
        <f t="shared" si="20"/>
        <v>1.0021849324160904E-2</v>
      </c>
      <c r="Z12" s="93">
        <f t="shared" si="21"/>
        <v>9.4802866872211403E-3</v>
      </c>
      <c r="AA12" s="93">
        <f t="shared" si="22"/>
        <v>1.0021849324160904E-2</v>
      </c>
      <c r="AB12" s="93">
        <f t="shared" si="23"/>
        <v>4.4049662308826018E-3</v>
      </c>
      <c r="AC12" s="93">
        <f t="shared" si="24"/>
        <v>5.9925942121379647E-3</v>
      </c>
      <c r="AD12" s="93">
        <f t="shared" si="25"/>
        <v>2.0595844331288316E-3</v>
      </c>
      <c r="AE12" s="93">
        <f t="shared" si="26"/>
        <v>1.6852097421353601E-3</v>
      </c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0"/>
        <v>2.405291863370474E-3</v>
      </c>
      <c r="C13" s="93">
        <f t="shared" si="27"/>
        <v>6.5113656334709769E-3</v>
      </c>
      <c r="D13" s="93">
        <f t="shared" si="1"/>
        <v>1.988905923777908E-4</v>
      </c>
      <c r="E13" s="93">
        <f t="shared" si="2"/>
        <v>8.8911341943767768E-6</v>
      </c>
      <c r="F13" s="93">
        <f t="shared" si="3"/>
        <v>8.7948648734370721E-3</v>
      </c>
      <c r="G13" s="93">
        <f t="shared" si="4"/>
        <v>8.7297630641250835E-3</v>
      </c>
      <c r="H13" s="93">
        <f t="shared" si="5"/>
        <v>1.3438863542906245E-3</v>
      </c>
      <c r="I13" s="93">
        <f t="shared" si="6"/>
        <v>1.0296312338308804E-4</v>
      </c>
      <c r="J13" s="93">
        <f t="shared" si="7"/>
        <v>5.6410899479849143E-4</v>
      </c>
      <c r="K13" s="93">
        <f t="shared" si="8"/>
        <v>2.1438654202444892E-2</v>
      </c>
      <c r="L13" s="93">
        <f t="shared" si="9"/>
        <v>8.9039685533170015E-3</v>
      </c>
      <c r="M13" s="93">
        <f t="shared" si="10"/>
        <v>2.6789869878636363E-3</v>
      </c>
      <c r="N13" s="93">
        <f t="shared" si="11"/>
        <v>8.9039685533170015E-3</v>
      </c>
      <c r="O13" s="93">
        <f t="shared" si="12"/>
        <v>2.0818088080070112E-4</v>
      </c>
      <c r="P13" s="93">
        <f t="shared" si="28"/>
        <v>2.2049331418279826E-3</v>
      </c>
      <c r="Q13" s="93">
        <f t="shared" si="28"/>
        <v>1.5706671033570655E-3</v>
      </c>
      <c r="R13" s="93">
        <f t="shared" si="13"/>
        <v>3.6150648836436889E-3</v>
      </c>
      <c r="S13" s="93">
        <f t="shared" si="14"/>
        <v>7.3182981527318888E-3</v>
      </c>
      <c r="T13" s="93">
        <f t="shared" si="15"/>
        <v>1.1765486856795734E-3</v>
      </c>
      <c r="U13" s="93">
        <f t="shared" si="16"/>
        <v>5.3414079529168906E-4</v>
      </c>
      <c r="V13" s="93">
        <f t="shared" si="17"/>
        <v>1.3353614296754938E-2</v>
      </c>
      <c r="W13" s="93">
        <f t="shared" si="18"/>
        <v>1.9995491351303858E-3</v>
      </c>
      <c r="X13" s="93">
        <f t="shared" si="19"/>
        <v>4.0522214890756142E-3</v>
      </c>
      <c r="Y13" s="93">
        <f t="shared" si="20"/>
        <v>4.1986325246288229E-3</v>
      </c>
      <c r="Z13" s="93">
        <f t="shared" si="21"/>
        <v>3.9272554669281153E-3</v>
      </c>
      <c r="AA13" s="93">
        <f t="shared" si="22"/>
        <v>4.1986325246288229E-3</v>
      </c>
      <c r="AB13" s="93">
        <f t="shared" si="23"/>
        <v>1.5718355333768324E-3</v>
      </c>
      <c r="AC13" s="93">
        <f t="shared" si="24"/>
        <v>2.2675601528636753E-3</v>
      </c>
      <c r="AD13" s="93">
        <f t="shared" si="25"/>
        <v>6.3927771623235809E-4</v>
      </c>
      <c r="AE13" s="93">
        <f t="shared" si="26"/>
        <v>5.0471338909494198E-4</v>
      </c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0"/>
        <v>8.7962229633631989E-4</v>
      </c>
      <c r="C14" s="93">
        <f t="shared" si="27"/>
        <v>2.8163874075640615E-3</v>
      </c>
      <c r="D14" s="93">
        <f t="shared" si="1"/>
        <v>4.9674895313287374E-5</v>
      </c>
      <c r="E14" s="93">
        <f t="shared" si="2"/>
        <v>1.4335284224257508E-6</v>
      </c>
      <c r="F14" s="93">
        <f t="shared" si="3"/>
        <v>4.0138554433883991E-3</v>
      </c>
      <c r="G14" s="93">
        <f t="shared" si="4"/>
        <v>3.9787762843951748E-3</v>
      </c>
      <c r="H14" s="93">
        <f t="shared" si="5"/>
        <v>4.4784063016881955E-4</v>
      </c>
      <c r="I14" s="93">
        <f t="shared" si="6"/>
        <v>2.3380464964112591E-5</v>
      </c>
      <c r="J14" s="93">
        <f t="shared" si="7"/>
        <v>1.6446503771502347E-4</v>
      </c>
      <c r="K14" s="93">
        <f t="shared" si="8"/>
        <v>1.1624983435046574E-2</v>
      </c>
      <c r="L14" s="93">
        <f t="shared" si="9"/>
        <v>4.0727604175113188E-3</v>
      </c>
      <c r="M14" s="93">
        <f t="shared" si="10"/>
        <v>9.9707649709697248E-4</v>
      </c>
      <c r="N14" s="93">
        <f t="shared" si="11"/>
        <v>4.0727604175113188E-3</v>
      </c>
      <c r="O14" s="93">
        <f t="shared" si="12"/>
        <v>5.2343032752879188E-5</v>
      </c>
      <c r="P14" s="93">
        <f t="shared" si="28"/>
        <v>7.9506870610280254E-4</v>
      </c>
      <c r="Q14" s="93">
        <f t="shared" si="28"/>
        <v>5.364505086739047E-4</v>
      </c>
      <c r="R14" s="93">
        <f t="shared" si="13"/>
        <v>1.4137946995398584E-3</v>
      </c>
      <c r="S14" s="93">
        <f t="shared" si="14"/>
        <v>3.2314814617775403E-3</v>
      </c>
      <c r="T14" s="93">
        <f t="shared" si="15"/>
        <v>3.8399601597142666E-4</v>
      </c>
      <c r="U14" s="93">
        <f t="shared" si="16"/>
        <v>1.5444960844163616E-4</v>
      </c>
      <c r="V14" s="93">
        <f t="shared" si="17"/>
        <v>6.5877879005296737E-3</v>
      </c>
      <c r="W14" s="93">
        <f t="shared" si="18"/>
        <v>7.0974294863774938E-4</v>
      </c>
      <c r="X14" s="93">
        <f t="shared" si="19"/>
        <v>1.6154120829749111E-3</v>
      </c>
      <c r="Y14" s="93">
        <f t="shared" si="20"/>
        <v>1.6838369033370488E-3</v>
      </c>
      <c r="Z14" s="93">
        <f t="shared" si="21"/>
        <v>1.5573599288512133E-3</v>
      </c>
      <c r="AA14" s="93">
        <f t="shared" si="22"/>
        <v>1.6838369033370488E-3</v>
      </c>
      <c r="AB14" s="93">
        <f t="shared" si="23"/>
        <v>5.3691283033442195E-4</v>
      </c>
      <c r="AC14" s="93">
        <f t="shared" si="24"/>
        <v>8.2136259999581287E-4</v>
      </c>
      <c r="AD14" s="93">
        <f t="shared" si="25"/>
        <v>1.899466736682859E-4</v>
      </c>
      <c r="AE14" s="93">
        <f t="shared" si="26"/>
        <v>1.4469977360282547E-4</v>
      </c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0"/>
        <v>3.1019186860237733E-4</v>
      </c>
      <c r="C15" s="93">
        <f t="shared" si="27"/>
        <v>1.1746769245588357E-3</v>
      </c>
      <c r="D15" s="93">
        <f t="shared" si="1"/>
        <v>1.1963697201903675E-5</v>
      </c>
      <c r="E15" s="93">
        <f t="shared" si="2"/>
        <v>2.2287491156261655E-7</v>
      </c>
      <c r="F15" s="93">
        <f t="shared" si="3"/>
        <v>1.7664445808157259E-3</v>
      </c>
      <c r="G15" s="93">
        <f t="shared" si="4"/>
        <v>1.7486476859782003E-3</v>
      </c>
      <c r="H15" s="93">
        <f t="shared" si="5"/>
        <v>1.4390973488200321E-4</v>
      </c>
      <c r="I15" s="93">
        <f t="shared" si="6"/>
        <v>5.1195325872067171E-6</v>
      </c>
      <c r="J15" s="93">
        <f t="shared" si="7"/>
        <v>4.6237025352013679E-5</v>
      </c>
      <c r="K15" s="93">
        <f t="shared" si="8"/>
        <v>6.0784507038789031E-3</v>
      </c>
      <c r="L15" s="93">
        <f t="shared" si="9"/>
        <v>1.7963867444382694E-3</v>
      </c>
      <c r="M15" s="93">
        <f t="shared" si="10"/>
        <v>3.578426383115671E-4</v>
      </c>
      <c r="N15" s="93">
        <f t="shared" si="11"/>
        <v>1.7963867444382694E-3</v>
      </c>
      <c r="O15" s="93">
        <f t="shared" si="12"/>
        <v>1.2690614598372975E-5</v>
      </c>
      <c r="P15" s="93">
        <f t="shared" si="28"/>
        <v>2.7645193078115364E-4</v>
      </c>
      <c r="Q15" s="93">
        <f t="shared" si="28"/>
        <v>1.7667736272054542E-4</v>
      </c>
      <c r="R15" s="93">
        <f t="shared" si="13"/>
        <v>5.3316586239124061E-4</v>
      </c>
      <c r="S15" s="93">
        <f t="shared" si="14"/>
        <v>1.3759383375007003E-3</v>
      </c>
      <c r="T15" s="93">
        <f t="shared" si="15"/>
        <v>1.2085072685382414E-4</v>
      </c>
      <c r="U15" s="93">
        <f t="shared" si="16"/>
        <v>4.3064916288209444E-5</v>
      </c>
      <c r="V15" s="93">
        <f t="shared" si="17"/>
        <v>3.1339071215472159E-3</v>
      </c>
      <c r="W15" s="93">
        <f t="shared" si="18"/>
        <v>2.4292702139432792E-4</v>
      </c>
      <c r="X15" s="93">
        <f t="shared" si="19"/>
        <v>6.2098228563485893E-4</v>
      </c>
      <c r="Y15" s="93">
        <f t="shared" si="20"/>
        <v>6.5117529262730893E-4</v>
      </c>
      <c r="Z15" s="93">
        <f t="shared" si="21"/>
        <v>5.9551755988398027E-4</v>
      </c>
      <c r="AA15" s="93">
        <f t="shared" si="22"/>
        <v>6.5117529262730893E-4</v>
      </c>
      <c r="AB15" s="93">
        <f t="shared" si="23"/>
        <v>1.7685046044946061E-4</v>
      </c>
      <c r="AC15" s="93">
        <f t="shared" si="24"/>
        <v>2.8689089389657486E-4</v>
      </c>
      <c r="AD15" s="93">
        <f t="shared" si="25"/>
        <v>5.4422633313963645E-5</v>
      </c>
      <c r="AE15" s="93">
        <f t="shared" si="26"/>
        <v>4.0003372861412464E-5</v>
      </c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0"/>
        <v>1.0607196816624626E-4</v>
      </c>
      <c r="C16" s="93">
        <f t="shared" si="27"/>
        <v>4.7509506540533233E-4</v>
      </c>
      <c r="D16" s="93">
        <f t="shared" si="1"/>
        <v>2.7940225258391057E-6</v>
      </c>
      <c r="E16" s="93">
        <f t="shared" si="2"/>
        <v>3.3600991910314684E-8</v>
      </c>
      <c r="F16" s="93">
        <f t="shared" si="3"/>
        <v>7.5383160967907616E-4</v>
      </c>
      <c r="G16" s="93">
        <f t="shared" si="4"/>
        <v>7.4523141269115074E-4</v>
      </c>
      <c r="H16" s="93">
        <f t="shared" si="5"/>
        <v>4.4842817569442317E-5</v>
      </c>
      <c r="I16" s="93">
        <f t="shared" si="6"/>
        <v>1.0870349766735805E-6</v>
      </c>
      <c r="J16" s="93">
        <f t="shared" si="7"/>
        <v>1.2604981761944571E-5</v>
      </c>
      <c r="K16" s="93">
        <f t="shared" si="8"/>
        <v>3.0819777111672025E-3</v>
      </c>
      <c r="L16" s="93">
        <f t="shared" si="9"/>
        <v>7.6832835088127074E-4</v>
      </c>
      <c r="M16" s="93">
        <f t="shared" si="10"/>
        <v>1.2453508843198618E-4</v>
      </c>
      <c r="N16" s="93">
        <f t="shared" si="11"/>
        <v>7.6832835088127074E-4</v>
      </c>
      <c r="O16" s="93">
        <f t="shared" si="12"/>
        <v>2.9836128355439499E-6</v>
      </c>
      <c r="P16" s="93">
        <f t="shared" si="28"/>
        <v>9.3211743927092955E-5</v>
      </c>
      <c r="Q16" s="93">
        <f t="shared" si="28"/>
        <v>5.642456151276337E-5</v>
      </c>
      <c r="R16" s="93">
        <f t="shared" si="13"/>
        <v>1.9497294808210579E-4</v>
      </c>
      <c r="S16" s="93">
        <f t="shared" si="14"/>
        <v>5.6810984131557593E-4</v>
      </c>
      <c r="T16" s="93">
        <f t="shared" si="15"/>
        <v>3.6881438660543214E-5</v>
      </c>
      <c r="U16" s="93">
        <f t="shared" si="16"/>
        <v>1.164384569532676E-5</v>
      </c>
      <c r="V16" s="93">
        <f t="shared" si="17"/>
        <v>1.445668348920465E-3</v>
      </c>
      <c r="W16" s="93">
        <f t="shared" si="18"/>
        <v>8.0628132778819679E-5</v>
      </c>
      <c r="X16" s="93">
        <f t="shared" si="19"/>
        <v>2.3147875319178774E-4</v>
      </c>
      <c r="Y16" s="93">
        <f t="shared" si="20"/>
        <v>2.4419223105626083E-4</v>
      </c>
      <c r="Z16" s="93">
        <f t="shared" si="21"/>
        <v>2.2081887161467224E-4</v>
      </c>
      <c r="AA16" s="93">
        <f t="shared" si="22"/>
        <v>2.4419223105626083E-4</v>
      </c>
      <c r="AB16" s="93">
        <f t="shared" si="23"/>
        <v>5.6486497407475994E-5</v>
      </c>
      <c r="AC16" s="93">
        <f t="shared" si="24"/>
        <v>9.7170545776458728E-5</v>
      </c>
      <c r="AD16" s="93">
        <f t="shared" si="25"/>
        <v>1.5120405894607605E-5</v>
      </c>
      <c r="AE16" s="93">
        <f t="shared" si="26"/>
        <v>1.0724113633275133E-5</v>
      </c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0"/>
        <v>3.5327363203416543E-5</v>
      </c>
      <c r="C17" s="93">
        <f t="shared" si="27"/>
        <v>1.8714704734625227E-4</v>
      </c>
      <c r="D17" s="93">
        <f t="shared" si="1"/>
        <v>6.3552812014731685E-7</v>
      </c>
      <c r="E17" s="93">
        <f t="shared" si="2"/>
        <v>4.9338210109818563E-9</v>
      </c>
      <c r="F17" s="93">
        <f t="shared" si="3"/>
        <v>3.1332067231846264E-4</v>
      </c>
      <c r="G17" s="93">
        <f t="shared" si="4"/>
        <v>3.0932880652187488E-4</v>
      </c>
      <c r="H17" s="93">
        <f t="shared" si="5"/>
        <v>1.3609306327331564E-5</v>
      </c>
      <c r="I17" s="93">
        <f t="shared" si="6"/>
        <v>2.248004118821975E-7</v>
      </c>
      <c r="J17" s="93">
        <f t="shared" si="7"/>
        <v>3.3468398780683936E-6</v>
      </c>
      <c r="K17" s="93">
        <f t="shared" si="8"/>
        <v>1.5219713108589146E-3</v>
      </c>
      <c r="L17" s="93">
        <f t="shared" si="9"/>
        <v>3.200621022756474E-4</v>
      </c>
      <c r="M17" s="93">
        <f t="shared" si="10"/>
        <v>4.2211594514478303E-5</v>
      </c>
      <c r="N17" s="93">
        <f t="shared" si="11"/>
        <v>3.200621022756474E-4</v>
      </c>
      <c r="O17" s="93">
        <f t="shared" si="12"/>
        <v>6.8319181757936285E-7</v>
      </c>
      <c r="P17" s="93">
        <f t="shared" si="28"/>
        <v>3.0609907497412454E-5</v>
      </c>
      <c r="Q17" s="93">
        <f t="shared" si="28"/>
        <v>1.7550757091945071E-5</v>
      </c>
      <c r="R17" s="93">
        <f t="shared" si="13"/>
        <v>6.9442725889757554E-5</v>
      </c>
      <c r="S17" s="93">
        <f t="shared" si="14"/>
        <v>2.284578216764272E-4</v>
      </c>
      <c r="T17" s="93">
        <f t="shared" si="15"/>
        <v>1.0962429618864931E-5</v>
      </c>
      <c r="U17" s="93">
        <f t="shared" si="16"/>
        <v>3.0662647723479E-6</v>
      </c>
      <c r="V17" s="93">
        <f t="shared" si="17"/>
        <v>6.4951861469749632E-4</v>
      </c>
      <c r="W17" s="93">
        <f t="shared" si="18"/>
        <v>2.6063801374252016E-5</v>
      </c>
      <c r="X17" s="93">
        <f t="shared" si="19"/>
        <v>8.4039495237230998E-5</v>
      </c>
      <c r="Y17" s="93">
        <f t="shared" si="20"/>
        <v>8.9187943400909786E-5</v>
      </c>
      <c r="Z17" s="93">
        <f t="shared" si="21"/>
        <v>7.9747702213157787E-5</v>
      </c>
      <c r="AA17" s="93">
        <f t="shared" si="22"/>
        <v>8.9187943400909786E-5</v>
      </c>
      <c r="AB17" s="93">
        <f t="shared" si="23"/>
        <v>1.7572092266504675E-5</v>
      </c>
      <c r="AC17" s="93">
        <f t="shared" si="24"/>
        <v>3.2054787208493163E-5</v>
      </c>
      <c r="AD17" s="93">
        <f t="shared" si="25"/>
        <v>4.0915487034005279E-6</v>
      </c>
      <c r="AE17" s="93">
        <f t="shared" si="26"/>
        <v>2.8000551283895127E-6</v>
      </c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0"/>
        <v>1.1499614900802281E-5</v>
      </c>
      <c r="C18" s="93">
        <f t="shared" si="27"/>
        <v>7.205214543552275E-5</v>
      </c>
      <c r="D18" s="93">
        <f t="shared" si="1"/>
        <v>1.4128664657767769E-7</v>
      </c>
      <c r="E18" s="93">
        <f t="shared" si="2"/>
        <v>7.0806994349548842E-10</v>
      </c>
      <c r="F18" s="93">
        <f t="shared" si="3"/>
        <v>1.2728148472722058E-4</v>
      </c>
      <c r="G18" s="93">
        <f t="shared" si="4"/>
        <v>1.2549055977197085E-4</v>
      </c>
      <c r="H18" s="93">
        <f t="shared" si="5"/>
        <v>4.0368309621956328E-6</v>
      </c>
      <c r="I18" s="93">
        <f t="shared" si="6"/>
        <v>4.5437263156949262E-8</v>
      </c>
      <c r="J18" s="93">
        <f t="shared" si="7"/>
        <v>8.6853860309589036E-7</v>
      </c>
      <c r="K18" s="93">
        <f t="shared" si="8"/>
        <v>7.3458983767801496E-4</v>
      </c>
      <c r="L18" s="93">
        <f t="shared" si="9"/>
        <v>1.3031161457349928E-4</v>
      </c>
      <c r="M18" s="93">
        <f t="shared" si="10"/>
        <v>1.3984059375163096E-5</v>
      </c>
      <c r="N18" s="93">
        <f t="shared" si="11"/>
        <v>1.3031161457349928E-4</v>
      </c>
      <c r="O18" s="93">
        <f t="shared" si="12"/>
        <v>1.5289888669488691E-7</v>
      </c>
      <c r="P18" s="93">
        <f t="shared" si="28"/>
        <v>9.8246000207623453E-6</v>
      </c>
      <c r="Q18" s="93">
        <f t="shared" si="28"/>
        <v>5.3356212763191238E-6</v>
      </c>
      <c r="R18" s="93">
        <f t="shared" si="13"/>
        <v>2.4173561472774958E-5</v>
      </c>
      <c r="S18" s="93">
        <f t="shared" si="14"/>
        <v>8.9792740783141409E-5</v>
      </c>
      <c r="T18" s="93">
        <f t="shared" si="15"/>
        <v>3.1846907037196418E-6</v>
      </c>
      <c r="U18" s="93">
        <f t="shared" si="16"/>
        <v>7.8919503253264648E-7</v>
      </c>
      <c r="V18" s="93">
        <f t="shared" si="17"/>
        <v>2.8521739496164048E-4</v>
      </c>
      <c r="W18" s="93">
        <f t="shared" si="18"/>
        <v>8.2347494480010231E-6</v>
      </c>
      <c r="X18" s="93">
        <f t="shared" si="19"/>
        <v>2.9820657414827745E-5</v>
      </c>
      <c r="Y18" s="93">
        <f t="shared" si="20"/>
        <v>3.1837718154924865E-5</v>
      </c>
      <c r="Z18" s="93">
        <f t="shared" si="21"/>
        <v>2.8148914256073367E-5</v>
      </c>
      <c r="AA18" s="93">
        <f t="shared" si="22"/>
        <v>3.1837718154924865E-5</v>
      </c>
      <c r="AB18" s="93">
        <f t="shared" si="23"/>
        <v>5.3427368171124535E-6</v>
      </c>
      <c r="AC18" s="93">
        <f t="shared" si="24"/>
        <v>1.0335051185907555E-5</v>
      </c>
      <c r="AD18" s="93">
        <f t="shared" si="25"/>
        <v>1.0821151519298673E-6</v>
      </c>
      <c r="AE18" s="93">
        <f t="shared" si="26"/>
        <v>7.1455100475359446E-7</v>
      </c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0"/>
        <v>3.6690343946893001E-6</v>
      </c>
      <c r="C19" s="93">
        <f t="shared" si="27"/>
        <v>2.7189878495278008E-5</v>
      </c>
      <c r="D19" s="93">
        <f t="shared" si="1"/>
        <v>3.0786752165713205E-8</v>
      </c>
      <c r="E19" s="93">
        <f t="shared" si="2"/>
        <v>9.9601376767815505E-11</v>
      </c>
      <c r="F19" s="93">
        <f t="shared" si="3"/>
        <v>5.0680142583106925E-5</v>
      </c>
      <c r="G19" s="93">
        <f t="shared" si="4"/>
        <v>4.9899725852203678E-5</v>
      </c>
      <c r="H19" s="93">
        <f t="shared" si="5"/>
        <v>1.1736579672876253E-6</v>
      </c>
      <c r="I19" s="93">
        <f t="shared" si="6"/>
        <v>9.0016814209728215E-9</v>
      </c>
      <c r="J19" s="93">
        <f t="shared" si="7"/>
        <v>2.2092238812612895E-7</v>
      </c>
      <c r="K19" s="93">
        <f t="shared" si="8"/>
        <v>3.4751997989442398E-4</v>
      </c>
      <c r="L19" s="93">
        <f t="shared" si="9"/>
        <v>5.2003001454831911E-5</v>
      </c>
      <c r="M19" s="93">
        <f t="shared" si="10"/>
        <v>4.5407874491546651E-6</v>
      </c>
      <c r="N19" s="93">
        <f t="shared" si="11"/>
        <v>5.2003001454831911E-5</v>
      </c>
      <c r="O19" s="93">
        <f t="shared" si="12"/>
        <v>3.3539949362045699E-8</v>
      </c>
      <c r="P19" s="93">
        <f t="shared" si="28"/>
        <v>3.0907519514229629E-6</v>
      </c>
      <c r="Q19" s="93">
        <f t="shared" si="28"/>
        <v>1.5899027053829025E-6</v>
      </c>
      <c r="R19" s="93">
        <f t="shared" si="13"/>
        <v>8.2480432785405613E-6</v>
      </c>
      <c r="S19" s="93">
        <f t="shared" si="14"/>
        <v>3.4591774152546702E-5</v>
      </c>
      <c r="T19" s="93">
        <f t="shared" si="15"/>
        <v>9.0682631571113943E-7</v>
      </c>
      <c r="U19" s="93">
        <f t="shared" si="16"/>
        <v>1.9909274978672493E-7</v>
      </c>
      <c r="V19" s="93">
        <f t="shared" si="17"/>
        <v>1.2275998542671203E-4</v>
      </c>
      <c r="W19" s="93">
        <f t="shared" si="18"/>
        <v>2.5501130558035247E-6</v>
      </c>
      <c r="X19" s="93">
        <f t="shared" si="19"/>
        <v>1.0371639289867145E-5</v>
      </c>
      <c r="Y19" s="93">
        <f t="shared" si="20"/>
        <v>1.1139716297588048E-5</v>
      </c>
      <c r="Z19" s="93">
        <f t="shared" si="21"/>
        <v>9.738712168666779E-6</v>
      </c>
      <c r="AA19" s="93">
        <f t="shared" si="22"/>
        <v>1.1139716297588048E-5</v>
      </c>
      <c r="AB19" s="93">
        <f t="shared" si="23"/>
        <v>1.5922105612193791E-6</v>
      </c>
      <c r="AC19" s="93">
        <f t="shared" si="24"/>
        <v>3.2660947384686228E-6</v>
      </c>
      <c r="AD19" s="93">
        <f t="shared" si="25"/>
        <v>2.8051471214403674E-7</v>
      </c>
      <c r="AE19" s="93">
        <f t="shared" si="26"/>
        <v>1.7872952410652128E-7</v>
      </c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0"/>
        <v>1.1500942717450363E-6</v>
      </c>
      <c r="C20" s="93">
        <f t="shared" si="27"/>
        <v>1.0080470152549544E-5</v>
      </c>
      <c r="D20" s="93">
        <f t="shared" si="1"/>
        <v>6.590825377557981E-9</v>
      </c>
      <c r="E20" s="93">
        <f t="shared" si="2"/>
        <v>1.3764729935744128E-11</v>
      </c>
      <c r="F20" s="93">
        <f t="shared" si="3"/>
        <v>1.9825474696844086E-5</v>
      </c>
      <c r="G20" s="93">
        <f t="shared" si="4"/>
        <v>1.9493886540972942E-5</v>
      </c>
      <c r="H20" s="93">
        <f t="shared" si="5"/>
        <v>3.3523990562018069E-7</v>
      </c>
      <c r="I20" s="93">
        <f t="shared" si="6"/>
        <v>1.7520572150985434E-9</v>
      </c>
      <c r="J20" s="93">
        <f t="shared" si="7"/>
        <v>5.520818934479049E-8</v>
      </c>
      <c r="K20" s="93">
        <f t="shared" si="8"/>
        <v>1.6152056020487434E-4</v>
      </c>
      <c r="L20" s="93">
        <f t="shared" si="9"/>
        <v>2.0388574694735135E-5</v>
      </c>
      <c r="M20" s="93">
        <f t="shared" si="10"/>
        <v>1.4485792463587139E-6</v>
      </c>
      <c r="N20" s="93">
        <f t="shared" si="11"/>
        <v>2.0388574694735135E-5</v>
      </c>
      <c r="O20" s="93">
        <f t="shared" si="12"/>
        <v>7.2282581291883391E-9</v>
      </c>
      <c r="P20" s="93">
        <f t="shared" si="28"/>
        <v>9.5527100765331307E-7</v>
      </c>
      <c r="Q20" s="93">
        <f t="shared" si="28"/>
        <v>4.6544596781568856E-7</v>
      </c>
      <c r="R20" s="93">
        <f t="shared" si="13"/>
        <v>2.7648679490103856E-6</v>
      </c>
      <c r="S20" s="93">
        <f t="shared" si="14"/>
        <v>1.3092350306165333E-5</v>
      </c>
      <c r="T20" s="93">
        <f t="shared" si="15"/>
        <v>2.536846213113274E-7</v>
      </c>
      <c r="U20" s="93">
        <f t="shared" si="16"/>
        <v>4.9344609702449215E-8</v>
      </c>
      <c r="V20" s="93">
        <f t="shared" si="17"/>
        <v>5.1909974891419789E-5</v>
      </c>
      <c r="W20" s="93">
        <f t="shared" si="18"/>
        <v>7.7585694314216372E-7</v>
      </c>
      <c r="X20" s="93">
        <f t="shared" si="19"/>
        <v>3.5439759522968803E-6</v>
      </c>
      <c r="Y20" s="93">
        <f t="shared" si="20"/>
        <v>3.8293009418568499E-6</v>
      </c>
      <c r="Z20" s="93">
        <f t="shared" si="21"/>
        <v>3.3102026632268745E-6</v>
      </c>
      <c r="AA20" s="93">
        <f t="shared" si="22"/>
        <v>3.8293009418568499E-6</v>
      </c>
      <c r="AB20" s="93">
        <f t="shared" si="23"/>
        <v>4.6617651461432713E-7</v>
      </c>
      <c r="AC20" s="93">
        <f t="shared" si="24"/>
        <v>1.014047025515824E-6</v>
      </c>
      <c r="AD20" s="93">
        <f t="shared" si="25"/>
        <v>7.1441568418992517E-8</v>
      </c>
      <c r="AE20" s="93">
        <f t="shared" si="26"/>
        <v>4.3921031901855064E-8</v>
      </c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84">
        <f t="array" ref="B21">SUMPRODUCT(B5:B20, _xlfn.BYROW(A5:A20, _xlfn.LAMBDA(_xlpm.x, SUMIF($A$5:$A$20, "&lt;"&amp;_xlpm.x, $C$5:$C$20)))) + 0.5*SUMPRODUCT(B5:B20,C5:C20)</f>
        <v>0.42520128319034367</v>
      </c>
      <c r="C21" s="84">
        <f t="array" ref="C21">1-(
SUMPRODUCT(B5:B20, _xlfn.BYROW(A5:A20, _xlfn.LAMBDA(_xlpm.x, SUMIF($A$5:$A$20, "&lt;"&amp;_xlpm.x, $C$5:$C$20)))) + 0.5*SUMPRODUCT(B5:B20,C5:C20)
)</f>
        <v>0.57479871680965633</v>
      </c>
      <c r="D21" s="84">
        <f t="array" ref="D21">SUMPRODUCT(D5:D20, _xlfn.BYROW($A$5:$A$20, _xlfn.LAMBDA(_xlpm.x, SUMIF($A$5:$A$20, "&lt;"&amp;_xlpm.x, $E$5:$E$20)))) + 0.5*SUMPRODUCT(D5:D20,E5:E20)</f>
        <v>0.6116889929793925</v>
      </c>
      <c r="E21" s="84">
        <f>1-D21</f>
        <v>0.3883110070206075</v>
      </c>
      <c r="F21" s="84">
        <f t="array" ref="F21">SUMPRODUCT(F5:F20, _xlfn.BYROW($A$5:$A$20, _xlfn.LAMBDA(_xlpm.x, SUMIF($A$5:$A$20, "&lt;"&amp;_xlpm.x, $G$5:$G$20)))) + 0.5*SUMPRODUCT(F5:F20,G5:G20)</f>
        <v>0.50067257727276071</v>
      </c>
      <c r="G21" s="84">
        <f>1-F21</f>
        <v>0.49932742272723929</v>
      </c>
      <c r="H21" s="84">
        <f t="array" ref="H21">SUMPRODUCT(H5:H20, _xlfn.BYROW($A$5:$A$20, _xlfn.LAMBDA(_xlpm.x, SUMIF($A$5:$A$20, "&lt;"&amp;_xlpm.x, $I$5:$I$20)))) + 0.5*SUMPRODUCT(H5:H20,I5:I20)</f>
        <v>0.62465991528965137</v>
      </c>
      <c r="I21" s="84">
        <f>1-H21</f>
        <v>0.37534008471034863</v>
      </c>
      <c r="J21" s="84">
        <f t="array" ref="J21">SUMPRODUCT(J5:J20, _xlfn.BYROW($A$5:$A$20, _xlfn.LAMBDA(_xlpm.x, SUMIF($A$5:$A$20, "&lt;"&amp;_xlpm.x, K$5:K$20)))) + 0.5*SUMPRODUCT(J5:J20,K5:K20)</f>
        <v>0.23953238477159031</v>
      </c>
      <c r="K21" s="84">
        <f>1-J21</f>
        <v>0.76046761522840967</v>
      </c>
      <c r="L21" s="84">
        <f t="array" ref="L21">SUMPRODUCT(L5:L20, _xlfn.BYROW($A$5:$A$20, _xlfn.LAMBDA(_xlpm.x, SUMIF($A$5:$A$20, "&lt;"&amp;_xlpm.x, M$5:M$20)))) + 0.5*SUMPRODUCT(L5:L20,M5:M20)</f>
        <v>0.59468389187553017</v>
      </c>
      <c r="M21" s="84">
        <f>1-L21</f>
        <v>0.40531610812446983</v>
      </c>
      <c r="N21" s="84">
        <f t="array" ref="N21">SUMPRODUCT(N5:N20, _xlfn.BYROW($A$5:$A$20, _xlfn.LAMBDA(_xlpm.x, SUMIF($A$5:$A$20, "&lt;"&amp;_xlpm.x, O$5:$O20)))) + 0.5*SUMPRODUCT(N5:N20,O5:O20)</f>
        <v>0.72336028939598673</v>
      </c>
      <c r="O21" s="84">
        <f>1-N21</f>
        <v>0.27663971060401327</v>
      </c>
      <c r="P21" s="84">
        <f t="array" ref="P21">SUMPRODUCT(P5:P20, _xlfn.BYROW($A$5:$A$20, _xlfn.LAMBDA(_xlpm.x, SUMIF($A$5:$A$20, "&lt;"&amp;_xlpm.x, $Q$5:Q20)))) + 0.5*SUMPRODUCT(P5:P20,Q5:Q20)</f>
        <v>0.52178202900225235</v>
      </c>
      <c r="Q21" s="84">
        <f>1-P21</f>
        <v>0.47821797099774765</v>
      </c>
      <c r="R21" s="84">
        <f t="array" ref="R21">SUMPRODUCT(R5:R20, _xlfn.BYROW($A$5:$A$20, _xlfn.LAMBDA(_xlpm.x, SUMIF($A$5:$A$20, "&lt;"&amp;_xlpm.x, $S5:$S20)))) + 0.5*SUMPRODUCT(R5:R20,S5:S20)</f>
        <v>0.44360336160998287</v>
      </c>
      <c r="S21" s="84">
        <f>1-R21</f>
        <v>0.55639663839001718</v>
      </c>
      <c r="T21" s="84">
        <f t="array" ref="T21">SUMPRODUCT(T5:T20, _xlfn.BYROW($A$5:$A$20, _xlfn.LAMBDA(_xlpm.x, SUMIF($A$5:$A$20, "&lt;"&amp;_xlpm.x, $U5:$U20)))) + 0.5*SUMPRODUCT(T5:T20,U5:U20)</f>
        <v>0.54347174962150024</v>
      </c>
      <c r="U21" s="84">
        <f>1-T21</f>
        <v>0.45652825037849976</v>
      </c>
      <c r="V21" s="84">
        <f t="array" ref="V21">SUMPRODUCT(V5:V20, _xlfn.BYROW($A$5:$A$20, _xlfn.LAMBDA(_xlpm.x, SUMIF($A$5:$A$20, "&lt;"&amp;_xlpm.x, $W5:$W20)))) + 0.5*SUMPRODUCT(V5:V20,W5:W20)</f>
        <v>0.65121878624173257</v>
      </c>
      <c r="W21" s="84">
        <f>1-V21</f>
        <v>0.34878121375826743</v>
      </c>
      <c r="X21" s="84">
        <f t="array" ref="X21">SUMPRODUCT(X5:X20, _xlfn.BYROW($A$5:$A$20, _xlfn.LAMBDA(_xlpm.x, SUMIF($A$5:$A$20, "&lt;"&amp;_xlpm.x, $Y5:$Y20)))) + 0.5*SUMPRODUCT(X5:X20,Y5:Y20)</f>
        <v>0.49730270873555282</v>
      </c>
      <c r="Y21" s="84">
        <f>1-X21</f>
        <v>0.50269729126444718</v>
      </c>
      <c r="Z21" s="84">
        <f t="array" ref="Z21">SUMPRODUCT(Z5:Z20, _xlfn.BYROW($A$5:$A$20, _xlfn.LAMBDA(_xlpm.x, SUMIF($A$5:$A$20, "&lt;"&amp;_xlpm.x, $AA5:$AA20)))) + 0.5*SUMPRODUCT(Z5:Z20,AA5:AA20)</f>
        <v>0.4949422247874779</v>
      </c>
      <c r="AA21" s="84">
        <f>1-Z21</f>
        <v>0.50505777521252204</v>
      </c>
      <c r="AB21" s="84">
        <f t="array" ref="AB21">SUMPRODUCT(AB5:AB20, _xlfn.BYROW($A$5:$A$20, _xlfn.LAMBDA(_xlpm.x, SUMIF($A$5:$A$20, "&lt;"&amp;_xlpm.x, $AC5:$AC20)))) + 0.5*SUMPRODUCT(AB5:AB20,AC5:AC20)</f>
        <v>0.47640156986904514</v>
      </c>
      <c r="AC21" s="84">
        <f>1-AB21</f>
        <v>0.52359843013095486</v>
      </c>
      <c r="AD21" s="84">
        <f t="array" ref="AD21">SUMPRODUCT(AD5:AD20, _xlfn.BYROW($A$5:$A$20, _xlfn.LAMBDA(_xlpm.x, SUMIF($A$5:$A$20, "&lt;"&amp;_xlpm.x, $AE5:$AE20)))) + 0.5*SUMPRODUCT(AD5:AD20,AE5:AE20)</f>
        <v>0.51232508188358838</v>
      </c>
      <c r="AE21" s="84">
        <f>1-AD21</f>
        <v>0.48767491811641162</v>
      </c>
      <c r="AF21" s="84"/>
      <c r="AG21" s="84"/>
      <c r="AH21" s="84"/>
      <c r="AI21" s="84"/>
      <c r="AJ21" s="84"/>
      <c r="AK21" s="84"/>
      <c r="AL21" s="84"/>
      <c r="AM21" s="84"/>
    </row>
    <row r="22" spans="1:39">
      <c r="A22" s="1" t="s">
        <v>239</v>
      </c>
      <c r="B22" s="400">
        <v>3.5</v>
      </c>
      <c r="C22" s="377"/>
    </row>
    <row r="23" spans="1:39">
      <c r="A23" s="1" t="s">
        <v>345</v>
      </c>
      <c r="B23" s="399">
        <v>0.43035003690000001</v>
      </c>
      <c r="C23" s="377"/>
    </row>
    <row r="24" spans="1:39">
      <c r="A24" s="1" t="s">
        <v>346</v>
      </c>
      <c r="B24" s="399">
        <v>0.56964996310000005</v>
      </c>
      <c r="C24" s="377"/>
    </row>
    <row r="25" spans="1:39">
      <c r="B25" s="71"/>
      <c r="C25" s="71"/>
    </row>
    <row r="26" spans="1:39">
      <c r="B26" s="71"/>
      <c r="C26" s="71"/>
    </row>
    <row r="27" spans="1:39">
      <c r="B27" s="71"/>
      <c r="C27" s="71"/>
    </row>
    <row r="28" spans="1:39">
      <c r="B28" s="71"/>
      <c r="C28" s="71"/>
    </row>
    <row r="29" spans="1:39">
      <c r="B29" s="71"/>
      <c r="C29" s="71"/>
    </row>
    <row r="30" spans="1:39">
      <c r="B30" s="71"/>
      <c r="C30" s="71"/>
    </row>
    <row r="31" spans="1:39">
      <c r="B31" s="71"/>
      <c r="C31" s="71"/>
    </row>
    <row r="32" spans="1:39">
      <c r="B32" s="71"/>
      <c r="C32" s="71"/>
    </row>
    <row r="33" spans="2:3">
      <c r="B33" s="71"/>
      <c r="C33" s="71"/>
    </row>
    <row r="34" spans="2:3">
      <c r="B34" s="71"/>
      <c r="C34" s="71"/>
    </row>
    <row r="35" spans="2:3">
      <c r="B35" s="71"/>
      <c r="C35" s="71"/>
    </row>
    <row r="36" spans="2:3">
      <c r="B36" s="71"/>
      <c r="C36" s="71"/>
    </row>
    <row r="37" spans="2:3">
      <c r="B37" s="71"/>
      <c r="C37" s="71"/>
    </row>
    <row r="38" spans="2:3">
      <c r="B38" s="71"/>
      <c r="C38" s="71"/>
    </row>
    <row r="39" spans="2:3">
      <c r="B39" s="71"/>
      <c r="C39" s="71"/>
    </row>
    <row r="40" spans="2:3">
      <c r="B40" s="71"/>
      <c r="C40" s="71"/>
    </row>
    <row r="41" spans="2:3">
      <c r="B41" s="71"/>
      <c r="C41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  <row r="1000" spans="2:3">
      <c r="B1000" s="71"/>
      <c r="C1000" s="71"/>
    </row>
    <row r="1001" spans="2:3">
      <c r="B1001" s="71"/>
      <c r="C1001" s="71"/>
    </row>
    <row r="1002" spans="2:3">
      <c r="B1002" s="71"/>
      <c r="C1002" s="71"/>
    </row>
  </sheetData>
  <mergeCells count="18">
    <mergeCell ref="B24:C24"/>
    <mergeCell ref="N1:O1"/>
    <mergeCell ref="AB1:AC1"/>
    <mergeCell ref="B23:C23"/>
    <mergeCell ref="B22:C22"/>
    <mergeCell ref="B1:C1"/>
    <mergeCell ref="AD1:AE1"/>
    <mergeCell ref="D1:E1"/>
    <mergeCell ref="X1:Y1"/>
    <mergeCell ref="V1:W1"/>
    <mergeCell ref="T1:U1"/>
    <mergeCell ref="H1:I1"/>
    <mergeCell ref="Z1:AA1"/>
    <mergeCell ref="L1:M1"/>
    <mergeCell ref="J1:K1"/>
    <mergeCell ref="P1:Q1"/>
    <mergeCell ref="F1:G1"/>
    <mergeCell ref="R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M999"/>
  <sheetViews>
    <sheetView workbookViewId="0">
      <selection activeCell="E29" sqref="E29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2.8357055182582542E-2</v>
      </c>
      <c r="G2" s="327">
        <f t="shared" ref="G2:G17" si="0">$B5*$C$6</f>
        <v>4.7309369843024487E-2</v>
      </c>
      <c r="H2" s="327">
        <f t="shared" ref="H2:H17" si="1">$B5*$C$7</f>
        <v>4.6041555983545979E-2</v>
      </c>
      <c r="I2" s="327">
        <f t="shared" ref="I2:I17" si="2">$B5*$C$8</f>
        <v>3.413921330686906E-2</v>
      </c>
      <c r="J2" s="327">
        <f t="shared" ref="J2:J17" si="3">$B5*$C$9</f>
        <v>2.1358503087927295E-2</v>
      </c>
      <c r="K2" s="327">
        <f t="shared" ref="K2:K17" si="4">$B5*$C$10</f>
        <v>1.1877788618201043E-2</v>
      </c>
      <c r="L2" s="327">
        <f t="shared" ref="L2:L17" si="5">$B5*$C$11</f>
        <v>6.05496743169284E-3</v>
      </c>
      <c r="M2" s="327">
        <f t="shared" ref="M2:M17" si="6">$B5*$C$12</f>
        <v>2.8862224612838591E-3</v>
      </c>
      <c r="N2" s="327">
        <f t="shared" ref="N2:N17" si="7">$B5*$C$13</f>
        <v>1.3041211914183268E-3</v>
      </c>
      <c r="O2" s="327">
        <f t="shared" ref="O2:O17" si="8">$B5*$C$14</f>
        <v>5.6407683244937348E-4</v>
      </c>
      <c r="P2" s="327">
        <f t="shared" ref="P2:P17" si="9">$B5*$C$15</f>
        <v>2.3526878332751102E-4</v>
      </c>
      <c r="Q2" s="327">
        <f t="shared" ref="Q2:Q17" si="10">$B5*$C$16</f>
        <v>9.5153855214100927E-5</v>
      </c>
      <c r="R2" s="327">
        <f t="shared" ref="R2:R17" si="11">$B5*$C$17</f>
        <v>3.7482525800891872E-5</v>
      </c>
      <c r="S2" s="327">
        <f t="shared" ref="S2:S17" si="12">$B5*$C$18</f>
        <v>1.4430879025838278E-5</v>
      </c>
      <c r="T2" s="327">
        <f t="shared" ref="T2:T17" si="13">$B5*$C$19</f>
        <v>5.4456927676598047E-6</v>
      </c>
      <c r="U2" s="327">
        <f t="shared" ref="U2:U17" si="14">$B5*$C$20</f>
        <v>2.0189550833735084E-6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3.9999567868083473E-2</v>
      </c>
      <c r="G3" s="326">
        <f t="shared" si="0"/>
        <v>6.6733105311818156E-2</v>
      </c>
      <c r="H3" s="327">
        <f t="shared" si="1"/>
        <v>6.494476705914036E-2</v>
      </c>
      <c r="I3" s="327">
        <f t="shared" si="2"/>
        <v>4.8155697791561841E-2</v>
      </c>
      <c r="J3" s="327">
        <f t="shared" si="3"/>
        <v>3.012763096610134E-2</v>
      </c>
      <c r="K3" s="327">
        <f t="shared" si="4"/>
        <v>1.6754434086946438E-2</v>
      </c>
      <c r="L3" s="327">
        <f t="shared" si="5"/>
        <v>8.5409461301113668E-3</v>
      </c>
      <c r="M3" s="327">
        <f t="shared" si="6"/>
        <v>4.0712143937083022E-3</v>
      </c>
      <c r="N3" s="327">
        <f t="shared" si="7"/>
        <v>1.8395522302465162E-3</v>
      </c>
      <c r="O3" s="327">
        <f t="shared" si="8"/>
        <v>7.9566899302826045E-4</v>
      </c>
      <c r="P3" s="327">
        <f t="shared" si="9"/>
        <v>3.3186272711880211E-4</v>
      </c>
      <c r="Q3" s="327">
        <f t="shared" si="10"/>
        <v>1.342210277139076E-4</v>
      </c>
      <c r="R3" s="327">
        <f t="shared" si="11"/>
        <v>5.2871668972201821E-5</v>
      </c>
      <c r="S3" s="327">
        <f t="shared" si="12"/>
        <v>2.0355742910309877E-5</v>
      </c>
      <c r="T3" s="327">
        <f t="shared" si="13"/>
        <v>7.6815225010575943E-6</v>
      </c>
      <c r="U3" s="327">
        <f t="shared" si="14"/>
        <v>2.847874377647419E-6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Innings'!$G$5</f>
        <v>2.0592547604653251</v>
      </c>
      <c r="C4" s="87">
        <f>'First 5 Innings'!$G$6</f>
        <v>2.5805188991313051</v>
      </c>
      <c r="D4" s="87"/>
      <c r="E4" s="324">
        <v>2</v>
      </c>
      <c r="F4" s="328">
        <f t="shared" si="15"/>
        <v>3.2912908666885086E-2</v>
      </c>
      <c r="G4" s="328">
        <f t="shared" si="0"/>
        <v>5.4910108214894858E-2</v>
      </c>
      <c r="H4" s="326">
        <f t="shared" si="1"/>
        <v>5.3438606978431592E-2</v>
      </c>
      <c r="I4" s="327">
        <f t="shared" si="2"/>
        <v>3.9624030150297099E-2</v>
      </c>
      <c r="J4" s="327">
        <f t="shared" si="3"/>
        <v>2.4789966971821259E-2</v>
      </c>
      <c r="K4" s="327">
        <f t="shared" si="4"/>
        <v>1.3786077906832037E-2</v>
      </c>
      <c r="L4" s="327">
        <f t="shared" si="5"/>
        <v>7.0277604207180126E-3</v>
      </c>
      <c r="M4" s="327">
        <f t="shared" si="6"/>
        <v>3.3499238778113699E-3</v>
      </c>
      <c r="N4" s="327">
        <f t="shared" si="7"/>
        <v>1.513641715874099E-3</v>
      </c>
      <c r="O4" s="327">
        <f t="shared" si="8"/>
        <v>6.5470159535166775E-4</v>
      </c>
      <c r="P4" s="327">
        <f t="shared" si="9"/>
        <v>2.7306714071578499E-4</v>
      </c>
      <c r="Q4" s="327">
        <f t="shared" si="10"/>
        <v>1.1044130378838905E-4</v>
      </c>
      <c r="R4" s="327">
        <f t="shared" si="11"/>
        <v>4.3504480290557646E-5</v>
      </c>
      <c r="S4" s="327">
        <f t="shared" si="12"/>
        <v>1.6749348629543659E-5</v>
      </c>
      <c r="T4" s="327">
        <f t="shared" si="13"/>
        <v>6.3205994958176253E-6</v>
      </c>
      <c r="U4" s="327">
        <f t="shared" si="14"/>
        <v>2.3433210477521778E-6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0.2002838213714542</v>
      </c>
      <c r="C5" s="93">
        <f>_xlfn.NEGBINOM.DIST(A5,$A$2,$A$2/($A$2+$C$4),FALSE)</f>
        <v>0.14158435258727384</v>
      </c>
      <c r="D5" s="93"/>
      <c r="E5" s="324">
        <v>3</v>
      </c>
      <c r="F5" s="328">
        <f t="shared" si="15"/>
        <v>2.0633738282225901E-2</v>
      </c>
      <c r="G5" s="328">
        <f t="shared" si="0"/>
        <v>3.4424207639077421E-2</v>
      </c>
      <c r="H5" s="328">
        <f t="shared" si="1"/>
        <v>3.3501695086253308E-2</v>
      </c>
      <c r="I5" s="326">
        <f t="shared" si="2"/>
        <v>2.4841069991205864E-2</v>
      </c>
      <c r="J5" s="327">
        <f t="shared" si="3"/>
        <v>1.5541309207843825E-2</v>
      </c>
      <c r="K5" s="327">
        <f t="shared" si="4"/>
        <v>8.6427585707170608E-3</v>
      </c>
      <c r="L5" s="327">
        <f t="shared" si="5"/>
        <v>4.4058387758715541E-3</v>
      </c>
      <c r="M5" s="327">
        <f t="shared" si="6"/>
        <v>2.1001319956168081E-3</v>
      </c>
      <c r="N5" s="327">
        <f t="shared" si="7"/>
        <v>9.4893123347160357E-4</v>
      </c>
      <c r="O5" s="327">
        <f t="shared" si="8"/>
        <v>4.1044507819614049E-4</v>
      </c>
      <c r="P5" s="327">
        <f t="shared" si="9"/>
        <v>1.7119106585296233E-4</v>
      </c>
      <c r="Q5" s="327">
        <f t="shared" si="10"/>
        <v>6.9237786941943156E-5</v>
      </c>
      <c r="R5" s="327">
        <f t="shared" si="11"/>
        <v>2.7273799149899841E-5</v>
      </c>
      <c r="S5" s="327">
        <f t="shared" si="12"/>
        <v>1.0500490233714462E-5</v>
      </c>
      <c r="T5" s="327">
        <f t="shared" si="13"/>
        <v>3.9625059305283435E-6</v>
      </c>
      <c r="U5" s="327">
        <f t="shared" si="14"/>
        <v>1.4690732350616598E-6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0.28251404295137339</v>
      </c>
      <c r="C6" s="93">
        <f t="shared" ref="C6:C20" si="17">NEGBINOMDIST(A6,$A$2,$A$2/($A$2+$C$4))</f>
        <v>0.23621163965751724</v>
      </c>
      <c r="D6" s="93"/>
      <c r="E6" s="324">
        <v>4</v>
      </c>
      <c r="F6" s="328">
        <f t="shared" si="15"/>
        <v>1.0914487719344191E-2</v>
      </c>
      <c r="G6" s="328">
        <f t="shared" si="0"/>
        <v>1.8209138178733032E-2</v>
      </c>
      <c r="H6" s="328">
        <f t="shared" si="1"/>
        <v>1.7721163009569774E-2</v>
      </c>
      <c r="I6" s="328">
        <f t="shared" si="2"/>
        <v>1.3140011259517515E-2</v>
      </c>
      <c r="J6" s="326">
        <f t="shared" si="3"/>
        <v>8.2207802663494672E-3</v>
      </c>
      <c r="K6" s="327">
        <f t="shared" si="4"/>
        <v>4.5717010166115169E-3</v>
      </c>
      <c r="L6" s="327">
        <f t="shared" si="5"/>
        <v>2.3305264685887545E-3</v>
      </c>
      <c r="M6" s="327">
        <f t="shared" si="6"/>
        <v>1.1108924888761709E-3</v>
      </c>
      <c r="N6" s="327">
        <f t="shared" si="7"/>
        <v>5.0194967836485823E-4</v>
      </c>
      <c r="O6" s="327">
        <f t="shared" si="8"/>
        <v>2.1711033183434249E-4</v>
      </c>
      <c r="P6" s="327">
        <f t="shared" si="9"/>
        <v>9.0553769770507927E-5</v>
      </c>
      <c r="Q6" s="327">
        <f t="shared" si="10"/>
        <v>3.6624239629101576E-5</v>
      </c>
      <c r="R6" s="327">
        <f t="shared" si="11"/>
        <v>1.442683539985897E-5</v>
      </c>
      <c r="S6" s="327">
        <f t="shared" si="12"/>
        <v>5.5543726558601392E-6</v>
      </c>
      <c r="T6" s="327">
        <f t="shared" si="13"/>
        <v>2.096019719016936E-6</v>
      </c>
      <c r="U6" s="327">
        <f t="shared" si="14"/>
        <v>7.7708564311440001E-7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0.23246148366993646</v>
      </c>
      <c r="C7" s="93">
        <f t="shared" si="17"/>
        <v>0.22988155342889882</v>
      </c>
      <c r="D7" s="93"/>
      <c r="E7" s="324">
        <v>5</v>
      </c>
      <c r="F7" s="328">
        <f t="shared" si="15"/>
        <v>5.1318774048092338E-3</v>
      </c>
      <c r="G7" s="328">
        <f t="shared" si="0"/>
        <v>8.5617453776478374E-3</v>
      </c>
      <c r="H7" s="328">
        <f t="shared" si="1"/>
        <v>8.3323045821537406E-3</v>
      </c>
      <c r="I7" s="328">
        <f t="shared" si="2"/>
        <v>6.1782951811968911E-3</v>
      </c>
      <c r="J7" s="328">
        <f t="shared" si="3"/>
        <v>3.8653244736359814E-3</v>
      </c>
      <c r="K7" s="326">
        <f t="shared" si="4"/>
        <v>2.1495657654284988E-3</v>
      </c>
      <c r="L7" s="327">
        <f t="shared" si="5"/>
        <v>1.095789049655838E-3</v>
      </c>
      <c r="M7" s="327">
        <f t="shared" si="6"/>
        <v>5.223299718164385E-4</v>
      </c>
      <c r="N7" s="327">
        <f t="shared" si="7"/>
        <v>2.3601146283635719E-4</v>
      </c>
      <c r="O7" s="327">
        <f t="shared" si="8"/>
        <v>1.0208299600874389E-4</v>
      </c>
      <c r="P7" s="327">
        <f t="shared" si="9"/>
        <v>4.2577430746652562E-5</v>
      </c>
      <c r="Q7" s="327">
        <f t="shared" si="10"/>
        <v>1.7220332520764295E-5</v>
      </c>
      <c r="R7" s="327">
        <f t="shared" si="11"/>
        <v>6.7833463663365437E-6</v>
      </c>
      <c r="S7" s="327">
        <f t="shared" si="12"/>
        <v>2.6116076414635081E-6</v>
      </c>
      <c r="T7" s="327">
        <f t="shared" si="13"/>
        <v>9.8552644087852173E-7</v>
      </c>
      <c r="U7" s="327">
        <f t="shared" si="14"/>
        <v>3.6537750154159868E-7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0.14573459499705013</v>
      </c>
      <c r="C8" s="93">
        <f t="shared" si="17"/>
        <v>0.17045417384738801</v>
      </c>
      <c r="D8" s="93"/>
      <c r="E8" s="324">
        <v>6</v>
      </c>
      <c r="F8" s="328">
        <f t="shared" si="15"/>
        <v>2.2118752472799976E-3</v>
      </c>
      <c r="G8" s="328">
        <f t="shared" si="0"/>
        <v>3.6901724613659487E-3</v>
      </c>
      <c r="H8" s="328">
        <f t="shared" si="1"/>
        <v>3.5912818651498276E-3</v>
      </c>
      <c r="I8" s="328">
        <f t="shared" si="2"/>
        <v>2.6628886669958713E-3</v>
      </c>
      <c r="J8" s="328">
        <f t="shared" si="3"/>
        <v>1.6659820279278136E-3</v>
      </c>
      <c r="K8" s="328">
        <f t="shared" si="4"/>
        <v>9.2647795999493856E-4</v>
      </c>
      <c r="L8" s="326">
        <f t="shared" si="5"/>
        <v>4.7229278565829615E-4</v>
      </c>
      <c r="M8" s="327">
        <f t="shared" si="6"/>
        <v>2.251278907190079E-4</v>
      </c>
      <c r="N8" s="327">
        <f t="shared" si="7"/>
        <v>1.0172260004357738E-4</v>
      </c>
      <c r="O8" s="327">
        <f t="shared" si="8"/>
        <v>4.3998489096470695E-5</v>
      </c>
      <c r="P8" s="327">
        <f t="shared" si="9"/>
        <v>1.8351172043401509E-5</v>
      </c>
      <c r="Q8" s="327">
        <f t="shared" si="10"/>
        <v>7.4220844046108296E-6</v>
      </c>
      <c r="R8" s="327">
        <f t="shared" si="11"/>
        <v>2.9236699823276961E-6</v>
      </c>
      <c r="S8" s="327">
        <f t="shared" si="12"/>
        <v>1.125621257504525E-6</v>
      </c>
      <c r="T8" s="327">
        <f t="shared" si="13"/>
        <v>4.2476882594201169E-7</v>
      </c>
      <c r="U8" s="327">
        <f t="shared" si="14"/>
        <v>1.5748027238832941E-7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7.7088234115534796E-2</v>
      </c>
      <c r="C9" s="93">
        <f t="shared" si="17"/>
        <v>0.10664118020953366</v>
      </c>
      <c r="D9" s="93"/>
      <c r="E9" s="324">
        <v>7</v>
      </c>
      <c r="F9" s="328">
        <f t="shared" si="15"/>
        <v>8.9142899359262332E-4</v>
      </c>
      <c r="G9" s="328">
        <f t="shared" si="0"/>
        <v>1.4872116894765564E-3</v>
      </c>
      <c r="H9" s="328">
        <f t="shared" si="1"/>
        <v>1.447356844693101E-3</v>
      </c>
      <c r="I9" s="328">
        <f t="shared" si="2"/>
        <v>1.0731962245105948E-3</v>
      </c>
      <c r="J9" s="328">
        <f t="shared" si="3"/>
        <v>6.7142334737248927E-4</v>
      </c>
      <c r="K9" s="328">
        <f t="shared" si="4"/>
        <v>3.7338874173832955E-4</v>
      </c>
      <c r="L9" s="328">
        <f t="shared" si="5"/>
        <v>1.9034323166198706E-4</v>
      </c>
      <c r="M9" s="326">
        <f t="shared" si="6"/>
        <v>9.0730943935497116E-5</v>
      </c>
      <c r="N9" s="327">
        <f t="shared" si="7"/>
        <v>4.0996197725880277E-5</v>
      </c>
      <c r="O9" s="327">
        <f t="shared" si="8"/>
        <v>1.773225180899992E-5</v>
      </c>
      <c r="P9" s="327">
        <f t="shared" si="9"/>
        <v>7.3958813210696703E-6</v>
      </c>
      <c r="Q9" s="327">
        <f t="shared" si="10"/>
        <v>2.9912452066625053E-6</v>
      </c>
      <c r="R9" s="327">
        <f t="shared" si="11"/>
        <v>1.1782961960211406E-6</v>
      </c>
      <c r="S9" s="327">
        <f t="shared" si="12"/>
        <v>4.5364738629705444E-7</v>
      </c>
      <c r="T9" s="327">
        <f t="shared" si="13"/>
        <v>1.7119014622757106E-7</v>
      </c>
      <c r="U9" s="327">
        <f t="shared" si="14"/>
        <v>6.3467630418330691E-8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3.6246077416258973E-2</v>
      </c>
      <c r="C10" s="93">
        <f t="shared" si="17"/>
        <v>5.9304783266402893E-2</v>
      </c>
      <c r="D10" s="93"/>
      <c r="E10" s="324">
        <v>8</v>
      </c>
      <c r="F10" s="328">
        <f t="shared" si="15"/>
        <v>3.4055169125874607E-4</v>
      </c>
      <c r="G10" s="328">
        <f t="shared" si="0"/>
        <v>5.6815793490162456E-4</v>
      </c>
      <c r="H10" s="328">
        <f t="shared" si="1"/>
        <v>5.5293223000149518E-4</v>
      </c>
      <c r="I10" s="328">
        <f t="shared" si="2"/>
        <v>4.0999203743265862E-4</v>
      </c>
      <c r="J10" s="328">
        <f t="shared" si="3"/>
        <v>2.5650316305821574E-4</v>
      </c>
      <c r="K10" s="328">
        <f t="shared" si="4"/>
        <v>1.4264531264962833E-4</v>
      </c>
      <c r="L10" s="328">
        <f t="shared" si="5"/>
        <v>7.2716626818364465E-5</v>
      </c>
      <c r="M10" s="328">
        <f t="shared" si="6"/>
        <v>3.4661848143629532E-5</v>
      </c>
      <c r="N10" s="326">
        <f t="shared" si="7"/>
        <v>1.5661734777617871E-5</v>
      </c>
      <c r="O10" s="327">
        <f t="shared" si="8"/>
        <v>6.7742337155129004E-6</v>
      </c>
      <c r="P10" s="327">
        <f t="shared" si="9"/>
        <v>2.8254408487304194E-6</v>
      </c>
      <c r="Q10" s="327">
        <f t="shared" si="10"/>
        <v>1.1427422951469091E-6</v>
      </c>
      <c r="R10" s="327">
        <f t="shared" si="11"/>
        <v>4.5014327023574948E-7</v>
      </c>
      <c r="S10" s="327">
        <f t="shared" si="12"/>
        <v>1.733064391544489E-7</v>
      </c>
      <c r="T10" s="327">
        <f t="shared" si="13"/>
        <v>6.5399593510724017E-8</v>
      </c>
      <c r="U10" s="327">
        <f t="shared" si="14"/>
        <v>2.4246472836876336E-8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1.5622314237843327E-2</v>
      </c>
      <c r="C11" s="93">
        <f t="shared" si="17"/>
        <v>3.0231934812463262E-2</v>
      </c>
      <c r="D11" s="93"/>
      <c r="E11" s="324">
        <v>9</v>
      </c>
      <c r="F11" s="328">
        <f t="shared" si="15"/>
        <v>1.2454075334810899E-4</v>
      </c>
      <c r="G11" s="328">
        <f t="shared" si="0"/>
        <v>2.0777702489691263E-4</v>
      </c>
      <c r="H11" s="328">
        <f t="shared" si="1"/>
        <v>2.0220893991248839E-4</v>
      </c>
      <c r="I11" s="328">
        <f t="shared" si="2"/>
        <v>1.4993529181974973E-4</v>
      </c>
      <c r="J11" s="328">
        <f t="shared" si="3"/>
        <v>9.3803959819925304E-5</v>
      </c>
      <c r="K11" s="328">
        <f t="shared" si="4"/>
        <v>5.2165809640521069E-5</v>
      </c>
      <c r="L11" s="328">
        <f t="shared" si="5"/>
        <v>2.6592683922428865E-5</v>
      </c>
      <c r="M11" s="328">
        <f t="shared" si="6"/>
        <v>1.26759396328046E-5</v>
      </c>
      <c r="N11" s="328">
        <f t="shared" si="7"/>
        <v>5.7275423907991371E-6</v>
      </c>
      <c r="O11" s="326">
        <f t="shared" si="8"/>
        <v>2.4773571588141948E-6</v>
      </c>
      <c r="P11" s="327">
        <f t="shared" si="9"/>
        <v>1.033272013833729E-6</v>
      </c>
      <c r="Q11" s="327">
        <f t="shared" si="10"/>
        <v>4.1790421240989251E-7</v>
      </c>
      <c r="R11" s="327">
        <f t="shared" si="11"/>
        <v>1.6461871553927242E-7</v>
      </c>
      <c r="S11" s="327">
        <f t="shared" si="12"/>
        <v>6.337867362395301E-8</v>
      </c>
      <c r="T11" s="327">
        <f t="shared" si="13"/>
        <v>2.3916823359121963E-8</v>
      </c>
      <c r="U11" s="327">
        <f t="shared" si="14"/>
        <v>8.867006303735362E-9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6.2960982432231603E-3</v>
      </c>
      <c r="C12" s="93">
        <f t="shared" si="17"/>
        <v>1.4410662037104624E-2</v>
      </c>
      <c r="D12" s="93"/>
      <c r="E12" s="324">
        <v>10</v>
      </c>
      <c r="F12" s="328">
        <f t="shared" si="15"/>
        <v>4.3918314893904309E-5</v>
      </c>
      <c r="G12" s="328">
        <f t="shared" si="0"/>
        <v>7.3270929890996691E-5</v>
      </c>
      <c r="H12" s="328">
        <f t="shared" si="1"/>
        <v>7.1307388615327364E-5</v>
      </c>
      <c r="I12" s="328">
        <f t="shared" si="2"/>
        <v>5.2873498696795766E-5</v>
      </c>
      <c r="J12" s="328">
        <f t="shared" si="3"/>
        <v>3.3079226959158105E-5</v>
      </c>
      <c r="K12" s="328">
        <f t="shared" si="4"/>
        <v>1.8395861538464511E-5</v>
      </c>
      <c r="L12" s="328">
        <f t="shared" si="5"/>
        <v>9.3777003509432413E-6</v>
      </c>
      <c r="M12" s="328">
        <f t="shared" si="6"/>
        <v>4.4700701850868246E-6</v>
      </c>
      <c r="N12" s="328">
        <f t="shared" si="7"/>
        <v>2.0197726729996646E-6</v>
      </c>
      <c r="O12" s="328">
        <f t="shared" si="8"/>
        <v>8.736204726605015E-7</v>
      </c>
      <c r="P12" s="326">
        <f t="shared" si="9"/>
        <v>3.6437523023299906E-7</v>
      </c>
      <c r="Q12" s="327">
        <f t="shared" si="10"/>
        <v>1.4737062610184872E-7</v>
      </c>
      <c r="R12" s="327">
        <f t="shared" si="11"/>
        <v>5.8051492319751575E-8</v>
      </c>
      <c r="S12" s="327">
        <f t="shared" si="12"/>
        <v>2.2349989629455053E-8</v>
      </c>
      <c r="T12" s="327">
        <f t="shared" si="13"/>
        <v>8.4340792175218808E-9</v>
      </c>
      <c r="U12" s="327">
        <f t="shared" si="14"/>
        <v>3.1268798730098347E-9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2.405291863370474E-3</v>
      </c>
      <c r="C13" s="93">
        <f t="shared" si="17"/>
        <v>6.5113656334709769E-3</v>
      </c>
      <c r="D13" s="93"/>
      <c r="E13" s="324">
        <v>11</v>
      </c>
      <c r="F13" s="328">
        <f t="shared" si="15"/>
        <v>1.5018130940475897E-5</v>
      </c>
      <c r="G13" s="328">
        <f t="shared" si="0"/>
        <v>2.5055433522249003E-5</v>
      </c>
      <c r="H13" s="328">
        <f t="shared" si="1"/>
        <v>2.4383988817317394E-5</v>
      </c>
      <c r="I13" s="328">
        <f t="shared" si="2"/>
        <v>1.8080409702143949E-5</v>
      </c>
      <c r="J13" s="328">
        <f t="shared" si="3"/>
        <v>1.1311639872396585E-5</v>
      </c>
      <c r="K13" s="328">
        <f t="shared" si="4"/>
        <v>6.2905750827400218E-6</v>
      </c>
      <c r="L13" s="328">
        <f t="shared" si="5"/>
        <v>3.2067608270316352E-6</v>
      </c>
      <c r="M13" s="328">
        <f t="shared" si="6"/>
        <v>1.5285672848542952E-6</v>
      </c>
      <c r="N13" s="328">
        <f t="shared" si="7"/>
        <v>6.9067336819232345E-7</v>
      </c>
      <c r="O13" s="328">
        <f t="shared" si="8"/>
        <v>2.9873975543895201E-7</v>
      </c>
      <c r="P13" s="328">
        <f t="shared" si="9"/>
        <v>1.2460029334742888E-7</v>
      </c>
      <c r="Q13" s="326">
        <f t="shared" si="10"/>
        <v>5.0394268653615098E-8</v>
      </c>
      <c r="R13" s="327">
        <f t="shared" si="11"/>
        <v>1.9851055648518654E-8</v>
      </c>
      <c r="S13" s="327">
        <f t="shared" si="12"/>
        <v>7.6427128769465149E-9</v>
      </c>
      <c r="T13" s="327">
        <f t="shared" si="13"/>
        <v>2.8840839261952328E-9</v>
      </c>
      <c r="U13" s="327">
        <f t="shared" si="14"/>
        <v>1.0692553091220308E-9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8.7962229633631989E-4</v>
      </c>
      <c r="C14" s="93">
        <f t="shared" si="17"/>
        <v>2.8163874075640615E-3</v>
      </c>
      <c r="D14" s="93"/>
      <c r="E14" s="324">
        <v>12</v>
      </c>
      <c r="F14" s="328">
        <f t="shared" si="15"/>
        <v>5.0018018477712114E-6</v>
      </c>
      <c r="G14" s="328">
        <f t="shared" si="0"/>
        <v>8.3447343870556622E-6</v>
      </c>
      <c r="H14" s="328">
        <f t="shared" si="1"/>
        <v>8.1211091317483149E-6</v>
      </c>
      <c r="I14" s="328">
        <f t="shared" si="2"/>
        <v>6.0216965090449819E-6</v>
      </c>
      <c r="J14" s="328">
        <f t="shared" si="3"/>
        <v>3.7673517057031917E-6</v>
      </c>
      <c r="K14" s="328">
        <f t="shared" si="4"/>
        <v>2.0950816181521145E-6</v>
      </c>
      <c r="L14" s="328">
        <f t="shared" si="5"/>
        <v>1.0680145414619022E-6</v>
      </c>
      <c r="M14" s="328">
        <f t="shared" si="6"/>
        <v>5.0909069178648156E-7</v>
      </c>
      <c r="N14" s="328">
        <f t="shared" si="7"/>
        <v>2.3002937868387365E-7</v>
      </c>
      <c r="O14" s="328">
        <f t="shared" si="8"/>
        <v>9.9495540868544334E-8</v>
      </c>
      <c r="P14" s="328">
        <f t="shared" si="9"/>
        <v>4.149823836056232E-8</v>
      </c>
      <c r="Q14" s="328">
        <f t="shared" si="10"/>
        <v>1.6783855931725115E-8</v>
      </c>
      <c r="R14" s="326">
        <f t="shared" si="11"/>
        <v>6.6114117140480465E-9</v>
      </c>
      <c r="S14" s="327">
        <f t="shared" si="12"/>
        <v>2.5454123113861036E-9</v>
      </c>
      <c r="T14" s="327">
        <f t="shared" si="13"/>
        <v>9.6054671305945114E-10</v>
      </c>
      <c r="U14" s="327">
        <f t="shared" si="14"/>
        <v>3.5611643034031749E-10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3.1019186860237733E-4</v>
      </c>
      <c r="C15" s="93">
        <f t="shared" si="17"/>
        <v>1.1746769245588357E-3</v>
      </c>
      <c r="D15" s="93"/>
      <c r="E15" s="324">
        <v>13</v>
      </c>
      <c r="F15" s="328">
        <f t="shared" si="15"/>
        <v>1.6281655307330581E-6</v>
      </c>
      <c r="G15" s="328">
        <f t="shared" si="0"/>
        <v>2.7163428911485243E-6</v>
      </c>
      <c r="H15" s="328">
        <f t="shared" si="1"/>
        <v>2.6435493372305407E-6</v>
      </c>
      <c r="I15" s="328">
        <f t="shared" si="2"/>
        <v>1.9601573574793657E-6</v>
      </c>
      <c r="J15" s="328">
        <f t="shared" si="3"/>
        <v>1.2263325049766946E-6</v>
      </c>
      <c r="K15" s="328">
        <f t="shared" si="4"/>
        <v>6.8198216933917645E-7</v>
      </c>
      <c r="L15" s="328">
        <f t="shared" si="5"/>
        <v>3.4765560804948576E-7</v>
      </c>
      <c r="M15" s="328">
        <f t="shared" si="6"/>
        <v>1.657170638923141E-7</v>
      </c>
      <c r="N15" s="328">
        <f t="shared" si="7"/>
        <v>7.4878197263234736E-8</v>
      </c>
      <c r="O15" s="328">
        <f t="shared" si="8"/>
        <v>3.2387370598455587E-8</v>
      </c>
      <c r="P15" s="328">
        <f t="shared" si="9"/>
        <v>1.3508332265285383E-8</v>
      </c>
      <c r="Q15" s="328">
        <f t="shared" si="10"/>
        <v>5.4634102934327939E-9</v>
      </c>
      <c r="R15" s="328">
        <f t="shared" si="11"/>
        <v>2.1521189743041127E-9</v>
      </c>
      <c r="S15" s="326">
        <f t="shared" si="12"/>
        <v>8.285719252851105E-10</v>
      </c>
      <c r="T15" s="327">
        <f t="shared" si="13"/>
        <v>3.126731318953025E-10</v>
      </c>
      <c r="U15" s="327">
        <f t="shared" si="14"/>
        <v>1.1592152477335137E-10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1.0607196816624626E-4</v>
      </c>
      <c r="C16" s="93">
        <f t="shared" si="17"/>
        <v>4.7509506540533233E-4</v>
      </c>
      <c r="D16" s="93"/>
      <c r="E16" s="324">
        <v>14</v>
      </c>
      <c r="F16" s="328">
        <f t="shared" si="15"/>
        <v>5.1947785939252471E-7</v>
      </c>
      <c r="G16" s="328">
        <f t="shared" si="0"/>
        <v>8.6666863032938583E-7</v>
      </c>
      <c r="H16" s="328">
        <f t="shared" si="1"/>
        <v>8.4344332623523575E-7</v>
      </c>
      <c r="I16" s="328">
        <f t="shared" si="2"/>
        <v>6.2540222656441596E-7</v>
      </c>
      <c r="J16" s="328">
        <f t="shared" si="3"/>
        <v>3.9127015807903889E-7</v>
      </c>
      <c r="K16" s="328">
        <f t="shared" si="4"/>
        <v>2.1759128957402668E-7</v>
      </c>
      <c r="L16" s="328">
        <f t="shared" si="5"/>
        <v>1.1092200864493252E-7</v>
      </c>
      <c r="M16" s="328">
        <f t="shared" si="6"/>
        <v>5.287321466438024E-8</v>
      </c>
      <c r="N16" s="328">
        <f t="shared" si="7"/>
        <v>2.3890424465602897E-8</v>
      </c>
      <c r="O16" s="328">
        <f t="shared" si="8"/>
        <v>1.0333422267122374E-8</v>
      </c>
      <c r="P16" s="328">
        <f t="shared" si="9"/>
        <v>4.3099300388542163E-9</v>
      </c>
      <c r="Q16" s="328">
        <f t="shared" si="10"/>
        <v>1.7431401357193269E-9</v>
      </c>
      <c r="R16" s="328">
        <f t="shared" si="11"/>
        <v>6.8664895357794656E-10</v>
      </c>
      <c r="S16" s="328">
        <f t="shared" si="12"/>
        <v>2.6436179981408863E-10</v>
      </c>
      <c r="T16" s="326">
        <f t="shared" si="13"/>
        <v>9.9760599386597971E-11</v>
      </c>
      <c r="U16" s="327">
        <f t="shared" si="14"/>
        <v>3.6985591704343174E-11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3.5327363203416543E-5</v>
      </c>
      <c r="C17" s="93">
        <f t="shared" si="17"/>
        <v>1.8714704734625227E-4</v>
      </c>
      <c r="D17" s="93"/>
      <c r="E17" s="324">
        <v>15</v>
      </c>
      <c r="F17" s="328">
        <f t="shared" si="15"/>
        <v>1.6283535287935315E-7</v>
      </c>
      <c r="G17" s="328">
        <f t="shared" si="0"/>
        <v>2.716656536896132E-7</v>
      </c>
      <c r="H17" s="328">
        <f t="shared" si="1"/>
        <v>2.6438545777842702E-7</v>
      </c>
      <c r="I17" s="328">
        <f t="shared" si="2"/>
        <v>1.9603836893691353E-7</v>
      </c>
      <c r="J17" s="328">
        <f t="shared" si="3"/>
        <v>1.2264741049111479E-7</v>
      </c>
      <c r="K17" s="328">
        <f t="shared" si="4"/>
        <v>6.8206091521770848E-8</v>
      </c>
      <c r="L17" s="328">
        <f t="shared" si="5"/>
        <v>3.4769575051583347E-8</v>
      </c>
      <c r="M17" s="328">
        <f t="shared" si="6"/>
        <v>1.6573619860927683E-8</v>
      </c>
      <c r="N17" s="328">
        <f t="shared" si="7"/>
        <v>7.4886843162924607E-9</v>
      </c>
      <c r="O17" s="328">
        <f t="shared" si="8"/>
        <v>3.2391110244542799E-9</v>
      </c>
      <c r="P17" s="328">
        <f t="shared" si="9"/>
        <v>1.350989202086193E-9</v>
      </c>
      <c r="Q17" s="328">
        <f t="shared" si="10"/>
        <v>5.4640411325700609E-10</v>
      </c>
      <c r="R17" s="328">
        <f t="shared" si="11"/>
        <v>2.1523674712692183E-10</v>
      </c>
      <c r="S17" s="328">
        <f t="shared" si="12"/>
        <v>8.2866759732334976E-11</v>
      </c>
      <c r="T17" s="328">
        <f t="shared" si="13"/>
        <v>3.1270923506862787E-11</v>
      </c>
      <c r="U17" s="326">
        <f t="shared" si="14"/>
        <v>1.1593490978944043E-11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1.1499614900802281E-5</v>
      </c>
      <c r="C18" s="93">
        <f t="shared" si="17"/>
        <v>7.205214543552275E-5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3.6690343946893001E-6</v>
      </c>
      <c r="C19" s="93">
        <f t="shared" si="17"/>
        <v>2.7189878495278008E-5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1.1500942717450363E-6</v>
      </c>
      <c r="C20" s="93">
        <f t="shared" si="17"/>
        <v>1.0080470152549544E-5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0.33304039887125214</v>
      </c>
      <c r="C21" s="323">
        <f>SUM(G2:U2,H3:U3,I4:U4,J5:U5,K6:U6,L7:U7,M8:U8,N9:U9,O10:U10,P11:U11,Q12:U12,R13:U13,S14:U14,T15:U15,U16)</f>
        <v>0.48263159801841038</v>
      </c>
    </row>
    <row r="22" spans="1:39">
      <c r="A22" s="1" t="s">
        <v>348</v>
      </c>
      <c r="B22" s="401">
        <f>1-B21-C21</f>
        <v>0.18432800311033748</v>
      </c>
      <c r="C22" s="377"/>
    </row>
    <row r="23" spans="1:39">
      <c r="A23" s="1" t="s">
        <v>349</v>
      </c>
      <c r="B23" s="329">
        <f>B21/(B21+C21)</f>
        <v>0.40830186660962831</v>
      </c>
      <c r="C23" s="330">
        <f>C21/(B21+C21)</f>
        <v>0.59169813339037169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0.18147125163650166</v>
      </c>
      <c r="G2" s="327">
        <f t="shared" ref="G2:G17" si="0">$B5*$C$6</f>
        <v>0.11285549285783365</v>
      </c>
      <c r="H2" s="327">
        <f t="shared" ref="H2:H17" si="1">$B5*$C$7</f>
        <v>4.0940615053026833E-2</v>
      </c>
      <c r="I2" s="327">
        <f t="shared" ref="I2:I17" si="2">$B5*$C$8</f>
        <v>1.1315837750352725E-2</v>
      </c>
      <c r="J2" s="327">
        <f t="shared" ref="J2:J17" si="3">$B5*$C$9</f>
        <v>2.6389602379830899E-3</v>
      </c>
      <c r="K2" s="327">
        <f t="shared" ref="K2:K17" si="4">$B5*$C$10</f>
        <v>5.4704929036797053E-4</v>
      </c>
      <c r="L2" s="327">
        <f t="shared" ref="L2:L17" si="5">$B5*$C$11</f>
        <v>1.0395167951731656E-4</v>
      </c>
      <c r="M2" s="327">
        <f t="shared" ref="M2:M17" si="6">$B5*$C$12</f>
        <v>1.8470486441920654E-5</v>
      </c>
      <c r="N2" s="327">
        <f t="shared" ref="N2:N17" si="7">$B5*$C$13</f>
        <v>3.1109663623343363E-6</v>
      </c>
      <c r="O2" s="327">
        <f t="shared" ref="O2:O17" si="8">$B5*$C$14</f>
        <v>5.0158490515610952E-7</v>
      </c>
      <c r="P2" s="327">
        <f t="shared" ref="P2:P17" si="9">$B5*$C$15</f>
        <v>7.798289146485444E-8</v>
      </c>
      <c r="Q2" s="327">
        <f t="shared" ref="Q2:Q17" si="10">$B5*$C$16</f>
        <v>1.1756830263586442E-8</v>
      </c>
      <c r="R2" s="327">
        <f t="shared" ref="R2:R17" si="11">$B5*$C$17</f>
        <v>1.7263209470677467E-9</v>
      </c>
      <c r="S2" s="327">
        <f t="shared" ref="S2:S17" si="12">$B5*$C$18</f>
        <v>2.4775036887730187E-10</v>
      </c>
      <c r="T2" s="327">
        <f t="shared" ref="T2:T17" si="13">$B5*$C$19</f>
        <v>3.4850056921065523E-11</v>
      </c>
      <c r="U2" s="327">
        <f t="shared" ref="U2:U17" si="14">$B5*$C$20</f>
        <v>4.816214768617384E-12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0.17482207797215715</v>
      </c>
      <c r="G3" s="326">
        <f t="shared" si="0"/>
        <v>0.10872042593004271</v>
      </c>
      <c r="H3" s="327">
        <f t="shared" si="1"/>
        <v>3.9440535801036396E-2</v>
      </c>
      <c r="I3" s="327">
        <f t="shared" si="2"/>
        <v>1.0901221277048439E-2</v>
      </c>
      <c r="J3" s="327">
        <f t="shared" si="3"/>
        <v>2.5422677604836951E-3</v>
      </c>
      <c r="K3" s="327">
        <f t="shared" si="4"/>
        <v>5.2700520238262367E-4</v>
      </c>
      <c r="L3" s="327">
        <f t="shared" si="5"/>
        <v>1.0014285159786502E-4</v>
      </c>
      <c r="M3" s="327">
        <f t="shared" si="6"/>
        <v>1.7793720998856129E-5</v>
      </c>
      <c r="N3" s="327">
        <f t="shared" si="7"/>
        <v>2.9969794061605334E-6</v>
      </c>
      <c r="O3" s="327">
        <f t="shared" si="8"/>
        <v>4.8320664903167826E-7</v>
      </c>
      <c r="P3" s="327">
        <f t="shared" si="9"/>
        <v>7.5125569528065359E-8</v>
      </c>
      <c r="Q3" s="327">
        <f t="shared" si="10"/>
        <v>1.1326055661770208E-8</v>
      </c>
      <c r="R3" s="327">
        <f t="shared" si="11"/>
        <v>1.6630679101600523E-9</v>
      </c>
      <c r="S3" s="327">
        <f t="shared" si="12"/>
        <v>2.3867270388510624E-10</v>
      </c>
      <c r="T3" s="327">
        <f t="shared" si="13"/>
        <v>3.3573137967838625E-11</v>
      </c>
      <c r="U3" s="327">
        <f t="shared" si="14"/>
        <v>4.6397468812108231E-12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Innings'!$G$7</f>
        <v>1.2815108987336001</v>
      </c>
      <c r="C4" s="87">
        <f>'First 5 Innings'!$G$8</f>
        <v>0.77474742001497776</v>
      </c>
      <c r="D4" s="87"/>
      <c r="E4" s="324">
        <v>2</v>
      </c>
      <c r="F4" s="328">
        <f t="shared" si="15"/>
        <v>9.8242977283464747E-2</v>
      </c>
      <c r="G4" s="328">
        <f t="shared" si="0"/>
        <v>6.1096507139074836E-2</v>
      </c>
      <c r="H4" s="326">
        <f t="shared" si="1"/>
        <v>2.2163995003914812E-2</v>
      </c>
      <c r="I4" s="327">
        <f t="shared" si="2"/>
        <v>6.1260479609083415E-3</v>
      </c>
      <c r="J4" s="327">
        <f t="shared" si="3"/>
        <v>1.4286522431192139E-3</v>
      </c>
      <c r="K4" s="327">
        <f t="shared" si="4"/>
        <v>2.9615573002278158E-4</v>
      </c>
      <c r="L4" s="327">
        <f t="shared" si="5"/>
        <v>5.6276255314831154E-5</v>
      </c>
      <c r="M4" s="327">
        <f t="shared" si="6"/>
        <v>9.9993556200455575E-6</v>
      </c>
      <c r="N4" s="327">
        <f t="shared" si="7"/>
        <v>1.6841819015864424E-6</v>
      </c>
      <c r="O4" s="327">
        <f t="shared" si="8"/>
        <v>2.7154270441516438E-7</v>
      </c>
      <c r="P4" s="327">
        <f t="shared" si="9"/>
        <v>4.2217548871193109E-8</v>
      </c>
      <c r="Q4" s="327">
        <f t="shared" si="10"/>
        <v>6.3647878002443239E-9</v>
      </c>
      <c r="R4" s="327">
        <f t="shared" si="11"/>
        <v>9.3457728459636822E-10</v>
      </c>
      <c r="S4" s="327">
        <f t="shared" si="12"/>
        <v>1.341244612691425E-10</v>
      </c>
      <c r="T4" s="327">
        <f t="shared" si="13"/>
        <v>1.8866753381310922E-11</v>
      </c>
      <c r="U4" s="327">
        <f t="shared" si="14"/>
        <v>2.6073511580409048E-12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0.34989533329750844</v>
      </c>
      <c r="C5" s="93">
        <f>_xlfn.NEGBINOM.DIST(A5,$A$2,$A$2/($A$2+$C$4),FALSE)</f>
        <v>0.51864438981299754</v>
      </c>
      <c r="D5" s="93"/>
      <c r="E5" s="324">
        <v>3</v>
      </c>
      <c r="F5" s="328">
        <f t="shared" si="15"/>
        <v>4.2063697031856848E-2</v>
      </c>
      <c r="G5" s="328">
        <f t="shared" si="0"/>
        <v>2.6159070470630673E-2</v>
      </c>
      <c r="H5" s="328">
        <f t="shared" si="1"/>
        <v>9.4897324637287488E-3</v>
      </c>
      <c r="I5" s="326">
        <f t="shared" si="2"/>
        <v>2.62292768964814E-3</v>
      </c>
      <c r="J5" s="327">
        <f t="shared" si="3"/>
        <v>6.1169150996977955E-4</v>
      </c>
      <c r="K5" s="327">
        <f t="shared" si="4"/>
        <v>1.2680198876691999E-4</v>
      </c>
      <c r="L5" s="327">
        <f t="shared" si="5"/>
        <v>2.4095232240573617E-5</v>
      </c>
      <c r="M5" s="327">
        <f t="shared" si="6"/>
        <v>4.2813224613682807E-6</v>
      </c>
      <c r="N5" s="327">
        <f t="shared" si="7"/>
        <v>7.2109904660627802E-7</v>
      </c>
      <c r="O5" s="327">
        <f t="shared" si="8"/>
        <v>1.1626367976179994E-7</v>
      </c>
      <c r="P5" s="327">
        <f t="shared" si="9"/>
        <v>1.8075858796722009E-8</v>
      </c>
      <c r="Q5" s="327">
        <f t="shared" si="10"/>
        <v>2.7251465000806406E-9</v>
      </c>
      <c r="R5" s="327">
        <f t="shared" si="11"/>
        <v>4.0014845680713756E-10</v>
      </c>
      <c r="S5" s="327">
        <f t="shared" si="12"/>
        <v>5.7426707326955094E-11</v>
      </c>
      <c r="T5" s="327">
        <f t="shared" si="13"/>
        <v>8.0779860316773502E-12</v>
      </c>
      <c r="U5" s="327">
        <f t="shared" si="14"/>
        <v>1.116363043956253E-12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0.33707503909411035</v>
      </c>
      <c r="C6" s="93">
        <f t="shared" ref="C6:C20" si="17">NEGBINOMDIST(A6,$A$2,$A$2/($A$2+$C$4))</f>
        <v>0.32254072037558462</v>
      </c>
      <c r="D6" s="93"/>
      <c r="E6" s="324">
        <v>4</v>
      </c>
      <c r="F6" s="328">
        <f t="shared" si="15"/>
        <v>1.5195925365558019E-2</v>
      </c>
      <c r="G6" s="328">
        <f t="shared" si="0"/>
        <v>9.4502221762158018E-3</v>
      </c>
      <c r="H6" s="328">
        <f t="shared" si="1"/>
        <v>3.4282594358912757E-3</v>
      </c>
      <c r="I6" s="328">
        <f t="shared" si="2"/>
        <v>9.4755849398978011E-4</v>
      </c>
      <c r="J6" s="326">
        <f t="shared" si="3"/>
        <v>2.209795901964239E-4</v>
      </c>
      <c r="K6" s="327">
        <f t="shared" si="4"/>
        <v>4.5808468904840418E-5</v>
      </c>
      <c r="L6" s="327">
        <f t="shared" si="5"/>
        <v>8.7046402629859567E-6</v>
      </c>
      <c r="M6" s="327">
        <f t="shared" si="6"/>
        <v>1.5466699595988321E-6</v>
      </c>
      <c r="N6" s="327">
        <f t="shared" si="7"/>
        <v>2.6050414173307692E-7</v>
      </c>
      <c r="O6" s="327">
        <f t="shared" si="8"/>
        <v>4.20014008527928E-8</v>
      </c>
      <c r="P6" s="327">
        <f t="shared" si="9"/>
        <v>6.5300822461070218E-9</v>
      </c>
      <c r="Q6" s="327">
        <f t="shared" si="10"/>
        <v>9.8448604729333327E-10</v>
      </c>
      <c r="R6" s="327">
        <f t="shared" si="11"/>
        <v>1.4455757610129536E-10</v>
      </c>
      <c r="S6" s="327">
        <f t="shared" si="12"/>
        <v>2.0745964337591449E-11</v>
      </c>
      <c r="T6" s="327">
        <f t="shared" si="13"/>
        <v>2.9182521153198418E-12</v>
      </c>
      <c r="U6" s="327">
        <f t="shared" si="14"/>
        <v>4.032971586871836E-13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0.18942261636896765</v>
      </c>
      <c r="C7" s="93">
        <f t="shared" si="17"/>
        <v>0.11700817689447694</v>
      </c>
      <c r="D7" s="93"/>
      <c r="E7" s="324">
        <v>5</v>
      </c>
      <c r="F7" s="328">
        <f t="shared" si="15"/>
        <v>4.8797136831310508E-3</v>
      </c>
      <c r="G7" s="328">
        <f t="shared" si="0"/>
        <v>3.0346541821288653E-3</v>
      </c>
      <c r="H7" s="328">
        <f t="shared" si="1"/>
        <v>1.1008822481162195E-3</v>
      </c>
      <c r="I7" s="328">
        <f t="shared" si="2"/>
        <v>3.0427986696808762E-4</v>
      </c>
      <c r="J7" s="328">
        <f t="shared" si="3"/>
        <v>7.0960938806544641E-5</v>
      </c>
      <c r="K7" s="326">
        <f t="shared" si="4"/>
        <v>1.4710009896789502E-5</v>
      </c>
      <c r="L7" s="327">
        <f t="shared" si="5"/>
        <v>2.7952330099158956E-6</v>
      </c>
      <c r="M7" s="327">
        <f t="shared" si="6"/>
        <v>4.9666646706809632E-7</v>
      </c>
      <c r="N7" s="327">
        <f t="shared" si="7"/>
        <v>8.3653057931462554E-8</v>
      </c>
      <c r="O7" s="327">
        <f t="shared" si="8"/>
        <v>1.3487484672475487E-8</v>
      </c>
      <c r="P7" s="327">
        <f t="shared" si="9"/>
        <v>2.0969392071720965E-9</v>
      </c>
      <c r="Q7" s="327">
        <f t="shared" si="10"/>
        <v>3.161380383400212E-10</v>
      </c>
      <c r="R7" s="327">
        <f t="shared" si="11"/>
        <v>4.6420311046049014E-11</v>
      </c>
      <c r="S7" s="327">
        <f t="shared" si="12"/>
        <v>6.6619415147526506E-12</v>
      </c>
      <c r="T7" s="327">
        <f t="shared" si="13"/>
        <v>9.3710876010409006E-13</v>
      </c>
      <c r="U7" s="327">
        <f t="shared" si="14"/>
        <v>1.2950673396134159E-13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8.1103156339979568E-2</v>
      </c>
      <c r="C8" s="93">
        <f t="shared" si="17"/>
        <v>3.2340636394630369E-2</v>
      </c>
      <c r="D8" s="93"/>
      <c r="E8" s="324">
        <v>6</v>
      </c>
      <c r="F8" s="328">
        <f t="shared" si="15"/>
        <v>1.4363919692378338E-3</v>
      </c>
      <c r="G8" s="328">
        <f t="shared" si="0"/>
        <v>8.9328046268218801E-4</v>
      </c>
      <c r="H8" s="328">
        <f t="shared" si="1"/>
        <v>3.2405557435410753E-4</v>
      </c>
      <c r="I8" s="328">
        <f t="shared" si="2"/>
        <v>8.9567787311913802E-5</v>
      </c>
      <c r="J8" s="328">
        <f t="shared" si="3"/>
        <v>2.0888053941291186E-5</v>
      </c>
      <c r="K8" s="328">
        <f t="shared" si="4"/>
        <v>4.3300368536376767E-6</v>
      </c>
      <c r="L8" s="326">
        <f t="shared" si="5"/>
        <v>8.228044734410417E-7</v>
      </c>
      <c r="M8" s="327">
        <f t="shared" si="6"/>
        <v>1.4619868521232278E-7</v>
      </c>
      <c r="N8" s="327">
        <f t="shared" si="7"/>
        <v>2.4624104694978899E-8</v>
      </c>
      <c r="O8" s="327">
        <f t="shared" si="8"/>
        <v>3.9701744665337303E-9</v>
      </c>
      <c r="P8" s="327">
        <f t="shared" si="9"/>
        <v>6.172547884467872E-10</v>
      </c>
      <c r="Q8" s="327">
        <f t="shared" si="10"/>
        <v>9.3058357299118915E-11</v>
      </c>
      <c r="R8" s="327">
        <f t="shared" si="11"/>
        <v>1.3664277522381919E-11</v>
      </c>
      <c r="S8" s="327">
        <f t="shared" si="12"/>
        <v>1.9610083526832707E-12</v>
      </c>
      <c r="T8" s="327">
        <f t="shared" si="13"/>
        <v>2.7584722889975935E-13</v>
      </c>
      <c r="U8" s="327">
        <f t="shared" si="14"/>
        <v>3.8121587597928708E-14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2.9299315029778037E-2</v>
      </c>
      <c r="C9" s="93">
        <f t="shared" si="17"/>
        <v>7.5421418545735192E-3</v>
      </c>
      <c r="D9" s="93"/>
      <c r="E9" s="324">
        <v>7</v>
      </c>
      <c r="F9" s="328">
        <f t="shared" si="15"/>
        <v>3.9536058203654476E-4</v>
      </c>
      <c r="G9" s="328">
        <f t="shared" si="0"/>
        <v>2.4587152477279498E-4</v>
      </c>
      <c r="H9" s="328">
        <f t="shared" si="1"/>
        <v>8.9194873845478318E-5</v>
      </c>
      <c r="I9" s="328">
        <f t="shared" si="2"/>
        <v>2.4653140146803714E-5</v>
      </c>
      <c r="J9" s="328">
        <f t="shared" si="3"/>
        <v>5.7493451235470093E-6</v>
      </c>
      <c r="K9" s="328">
        <f t="shared" si="4"/>
        <v>1.1918236298705072E-6</v>
      </c>
      <c r="L9" s="328">
        <f t="shared" si="5"/>
        <v>2.2647331820891012E-7</v>
      </c>
      <c r="M9" s="326">
        <f t="shared" si="6"/>
        <v>4.0240546115829026E-8</v>
      </c>
      <c r="N9" s="327">
        <f t="shared" si="7"/>
        <v>6.7776766877229124E-9</v>
      </c>
      <c r="O9" s="327">
        <f t="shared" si="8"/>
        <v>1.0927730880508048E-9</v>
      </c>
      <c r="P9" s="327">
        <f t="shared" si="9"/>
        <v>1.698966700257003E-10</v>
      </c>
      <c r="Q9" s="327">
        <f t="shared" si="10"/>
        <v>2.5613904207962432E-11</v>
      </c>
      <c r="R9" s="327">
        <f t="shared" si="11"/>
        <v>3.7610323853483557E-12</v>
      </c>
      <c r="S9" s="327">
        <f t="shared" si="12"/>
        <v>5.3975893788014544E-13</v>
      </c>
      <c r="T9" s="327">
        <f t="shared" si="13"/>
        <v>7.5925738452050022E-14</v>
      </c>
      <c r="U9" s="327">
        <f t="shared" si="14"/>
        <v>1.0492799586502477E-14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9.4085924363136002E-3</v>
      </c>
      <c r="C10" s="93">
        <f t="shared" si="17"/>
        <v>1.5634655232821479E-3</v>
      </c>
      <c r="D10" s="93"/>
      <c r="E10" s="324">
        <v>8</v>
      </c>
      <c r="F10" s="328">
        <f t="shared" si="15"/>
        <v>1.0315348992332492E-4</v>
      </c>
      <c r="G10" s="328">
        <f t="shared" si="0"/>
        <v>6.4150314941459401E-5</v>
      </c>
      <c r="H10" s="328">
        <f t="shared" si="1"/>
        <v>2.3271825615587854E-5</v>
      </c>
      <c r="I10" s="328">
        <f t="shared" si="2"/>
        <v>6.4322483304027741E-6</v>
      </c>
      <c r="J10" s="328">
        <f t="shared" si="3"/>
        <v>1.500061061253457E-6</v>
      </c>
      <c r="K10" s="328">
        <f t="shared" si="4"/>
        <v>3.1095858408783904E-7</v>
      </c>
      <c r="L10" s="328">
        <f t="shared" si="5"/>
        <v>5.908913080668566E-8</v>
      </c>
      <c r="M10" s="328">
        <f t="shared" si="6"/>
        <v>1.049915686304957E-8</v>
      </c>
      <c r="N10" s="326">
        <f t="shared" si="7"/>
        <v>1.7683629468300288E-9</v>
      </c>
      <c r="O10" s="327">
        <f t="shared" si="8"/>
        <v>2.8511531712665748E-10</v>
      </c>
      <c r="P10" s="327">
        <f t="shared" si="9"/>
        <v>4.432772318683654E-11</v>
      </c>
      <c r="Q10" s="327">
        <f t="shared" si="10"/>
        <v>6.6829211855238435E-12</v>
      </c>
      <c r="R10" s="327">
        <f t="shared" si="11"/>
        <v>9.8129058356017215E-13</v>
      </c>
      <c r="S10" s="327">
        <f t="shared" si="12"/>
        <v>1.4082845050672654E-13</v>
      </c>
      <c r="T10" s="327">
        <f t="shared" si="13"/>
        <v>1.9809776826994355E-14</v>
      </c>
      <c r="U10" s="327">
        <f t="shared" si="14"/>
        <v>2.7376752908404599E-15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2.7695122080771749E-3</v>
      </c>
      <c r="C11" s="93">
        <f t="shared" si="17"/>
        <v>2.9709364379812604E-4</v>
      </c>
      <c r="D11" s="93"/>
      <c r="E11" s="324">
        <v>9</v>
      </c>
      <c r="F11" s="328">
        <f t="shared" si="15"/>
        <v>2.5763605768784462E-5</v>
      </c>
      <c r="G11" s="328">
        <f t="shared" si="0"/>
        <v>1.6022176518929461E-5</v>
      </c>
      <c r="H11" s="328">
        <f t="shared" si="1"/>
        <v>5.8123689380317529E-6</v>
      </c>
      <c r="I11" s="328">
        <f t="shared" si="2"/>
        <v>1.6065177272683551E-6</v>
      </c>
      <c r="J11" s="328">
        <f t="shared" si="3"/>
        <v>3.7465510706390263E-7</v>
      </c>
      <c r="K11" s="328">
        <f t="shared" si="4"/>
        <v>7.7664986194974759E-8</v>
      </c>
      <c r="L11" s="328">
        <f t="shared" si="5"/>
        <v>1.4758095653915E-8</v>
      </c>
      <c r="M11" s="328">
        <f t="shared" si="6"/>
        <v>2.6222684130735617E-9</v>
      </c>
      <c r="N11" s="328">
        <f t="shared" si="7"/>
        <v>4.4166616032205604E-10</v>
      </c>
      <c r="O11" s="326">
        <f t="shared" si="8"/>
        <v>7.1210374312621178E-11</v>
      </c>
      <c r="P11" s="327">
        <f t="shared" si="9"/>
        <v>1.1071287899831159E-11</v>
      </c>
      <c r="Q11" s="327">
        <f t="shared" si="10"/>
        <v>1.6691257555674978E-12</v>
      </c>
      <c r="R11" s="327">
        <f t="shared" si="11"/>
        <v>2.450870422150214E-13</v>
      </c>
      <c r="S11" s="327">
        <f t="shared" si="12"/>
        <v>3.5173300317623694E-14</v>
      </c>
      <c r="T11" s="327">
        <f t="shared" si="13"/>
        <v>4.9476879640005283E-15</v>
      </c>
      <c r="U11" s="327">
        <f t="shared" si="14"/>
        <v>6.8376151857376237E-16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7.6229607376857196E-4</v>
      </c>
      <c r="C12" s="93">
        <f t="shared" si="17"/>
        <v>5.2788604717444457E-5</v>
      </c>
      <c r="D12" s="93"/>
      <c r="E12" s="324">
        <v>10</v>
      </c>
      <c r="F12" s="328">
        <f t="shared" si="15"/>
        <v>6.2049044351887975E-6</v>
      </c>
      <c r="G12" s="328">
        <f t="shared" si="0"/>
        <v>3.8587795138573777E-6</v>
      </c>
      <c r="H12" s="328">
        <f t="shared" si="1"/>
        <v>1.3998503985123039E-6</v>
      </c>
      <c r="I12" s="328">
        <f t="shared" si="2"/>
        <v>3.8691358114222348E-7</v>
      </c>
      <c r="J12" s="328">
        <f t="shared" si="3"/>
        <v>9.0231901401921801E-8</v>
      </c>
      <c r="K12" s="328">
        <f t="shared" si="4"/>
        <v>1.8704828106163496E-8</v>
      </c>
      <c r="L12" s="328">
        <f t="shared" si="5"/>
        <v>3.5543383950110076E-9</v>
      </c>
      <c r="M12" s="328">
        <f t="shared" si="6"/>
        <v>6.3154688255048942E-10</v>
      </c>
      <c r="N12" s="328">
        <f t="shared" si="7"/>
        <v>1.0637083728301553E-10</v>
      </c>
      <c r="O12" s="328">
        <f t="shared" si="8"/>
        <v>1.7150299976224343E-11</v>
      </c>
      <c r="P12" s="326">
        <f t="shared" si="9"/>
        <v>2.6664079558362045E-12</v>
      </c>
      <c r="Q12" s="327">
        <f t="shared" si="10"/>
        <v>4.0199209289861979E-13</v>
      </c>
      <c r="R12" s="327">
        <f t="shared" si="11"/>
        <v>5.9026740623777191E-14</v>
      </c>
      <c r="S12" s="327">
        <f t="shared" si="12"/>
        <v>8.4711344017490672E-15</v>
      </c>
      <c r="T12" s="327">
        <f t="shared" si="13"/>
        <v>1.191600712542868E-15</v>
      </c>
      <c r="U12" s="327">
        <f t="shared" si="14"/>
        <v>1.6467706101722177E-16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1.988905923777908E-4</v>
      </c>
      <c r="C13" s="93">
        <f t="shared" si="17"/>
        <v>8.8911341943767768E-6</v>
      </c>
      <c r="D13" s="93"/>
      <c r="E13" s="324">
        <v>11</v>
      </c>
      <c r="F13" s="328">
        <f t="shared" si="15"/>
        <v>1.4491041080375931E-6</v>
      </c>
      <c r="G13" s="328">
        <f t="shared" si="0"/>
        <v>9.0118603822975569E-7</v>
      </c>
      <c r="H13" s="328">
        <f t="shared" si="1"/>
        <v>3.2692348195053534E-7</v>
      </c>
      <c r="I13" s="328">
        <f t="shared" si="2"/>
        <v>9.036046658656925E-8</v>
      </c>
      <c r="J13" s="328">
        <f t="shared" si="3"/>
        <v>2.1072914234752341E-8</v>
      </c>
      <c r="K13" s="328">
        <f t="shared" si="4"/>
        <v>4.3683578904231458E-9</v>
      </c>
      <c r="L13" s="328">
        <f t="shared" si="5"/>
        <v>8.3008633305558364E-10</v>
      </c>
      <c r="M13" s="328">
        <f t="shared" si="6"/>
        <v>1.474925506881563E-10</v>
      </c>
      <c r="N13" s="328">
        <f t="shared" si="7"/>
        <v>2.4842029219347044E-11</v>
      </c>
      <c r="O13" s="328">
        <f t="shared" si="8"/>
        <v>4.0053107036881447E-12</v>
      </c>
      <c r="P13" s="328">
        <f t="shared" si="9"/>
        <v>6.227175233503492E-13</v>
      </c>
      <c r="Q13" s="326">
        <f t="shared" si="10"/>
        <v>9.3881928287956792E-14</v>
      </c>
      <c r="R13" s="327">
        <f t="shared" si="11"/>
        <v>1.3785207043141576E-14</v>
      </c>
      <c r="S13" s="327">
        <f t="shared" si="12"/>
        <v>1.9783633719960175E-15</v>
      </c>
      <c r="T13" s="327">
        <f t="shared" si="13"/>
        <v>2.782884902938643E-16</v>
      </c>
      <c r="U13" s="327">
        <f t="shared" si="14"/>
        <v>3.8458965502560962E-17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4.9674895313287374E-5</v>
      </c>
      <c r="C14" s="93">
        <f t="shared" si="17"/>
        <v>1.4335284224257508E-6</v>
      </c>
      <c r="D14" s="93"/>
      <c r="E14" s="324">
        <v>12</v>
      </c>
      <c r="F14" s="328">
        <f t="shared" si="15"/>
        <v>3.2961309408280652E-7</v>
      </c>
      <c r="G14" s="328">
        <f t="shared" si="0"/>
        <v>2.0498369769125667E-7</v>
      </c>
      <c r="H14" s="328">
        <f t="shared" si="1"/>
        <v>7.4361986703611651E-8</v>
      </c>
      <c r="I14" s="328">
        <f t="shared" si="2"/>
        <v>2.0553383852247337E-8</v>
      </c>
      <c r="J14" s="328">
        <f t="shared" si="3"/>
        <v>4.7932432347215068E-9</v>
      </c>
      <c r="K14" s="328">
        <f t="shared" si="4"/>
        <v>9.9362630492664458E-10</v>
      </c>
      <c r="L14" s="328">
        <f t="shared" si="5"/>
        <v>1.8881136495073961E-10</v>
      </c>
      <c r="M14" s="328">
        <f t="shared" si="6"/>
        <v>3.3548642721277261E-11</v>
      </c>
      <c r="N14" s="328">
        <f t="shared" si="7"/>
        <v>5.6505658005298017E-12</v>
      </c>
      <c r="O14" s="328">
        <f t="shared" si="8"/>
        <v>9.1104762348198613E-13</v>
      </c>
      <c r="P14" s="328">
        <f t="shared" si="9"/>
        <v>1.4164327357338919E-13</v>
      </c>
      <c r="Q14" s="328">
        <f t="shared" si="10"/>
        <v>2.1354375223847492E-14</v>
      </c>
      <c r="R14" s="326">
        <f t="shared" si="11"/>
        <v>3.1355819922526333E-15</v>
      </c>
      <c r="S14" s="327">
        <f t="shared" si="12"/>
        <v>4.4999836012250459E-16</v>
      </c>
      <c r="T14" s="327">
        <f t="shared" si="13"/>
        <v>6.3299475741334423E-17</v>
      </c>
      <c r="U14" s="327">
        <f t="shared" si="14"/>
        <v>8.7478729403989628E-18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1.1963697201903675E-5</v>
      </c>
      <c r="C15" s="93">
        <f t="shared" si="17"/>
        <v>2.2287491156261655E-7</v>
      </c>
      <c r="D15" s="93"/>
      <c r="E15" s="324">
        <v>13</v>
      </c>
      <c r="F15" s="328">
        <f t="shared" si="15"/>
        <v>7.3277526603004281E-8</v>
      </c>
      <c r="G15" s="328">
        <f t="shared" si="0"/>
        <v>4.5570696766614786E-8</v>
      </c>
      <c r="H15" s="328">
        <f t="shared" si="1"/>
        <v>1.6531692935588356E-8</v>
      </c>
      <c r="I15" s="328">
        <f t="shared" si="2"/>
        <v>4.569300064385321E-9</v>
      </c>
      <c r="J15" s="328">
        <f t="shared" si="3"/>
        <v>1.0656039306458393E-9</v>
      </c>
      <c r="K15" s="328">
        <f t="shared" si="4"/>
        <v>2.2089680082434873E-10</v>
      </c>
      <c r="L15" s="328">
        <f t="shared" si="5"/>
        <v>4.1975364651780297E-11</v>
      </c>
      <c r="M15" s="328">
        <f t="shared" si="6"/>
        <v>7.4583249380423046E-12</v>
      </c>
      <c r="N15" s="328">
        <f t="shared" si="7"/>
        <v>1.2561985345956166E-12</v>
      </c>
      <c r="O15" s="328">
        <f t="shared" si="8"/>
        <v>2.0253842357832289E-13</v>
      </c>
      <c r="P15" s="328">
        <f t="shared" si="9"/>
        <v>3.1489248860978572E-14</v>
      </c>
      <c r="Q15" s="328">
        <f t="shared" si="10"/>
        <v>4.7473714686920381E-15</v>
      </c>
      <c r="R15" s="328">
        <f t="shared" si="11"/>
        <v>6.9708302545611398E-16</v>
      </c>
      <c r="S15" s="326">
        <f t="shared" si="12"/>
        <v>1.0004082785892329E-16</v>
      </c>
      <c r="T15" s="327">
        <f t="shared" si="13"/>
        <v>1.4072344518044465E-17</v>
      </c>
      <c r="U15" s="327">
        <f t="shared" si="14"/>
        <v>1.9447725336686607E-18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2.7940225258391057E-6</v>
      </c>
      <c r="C16" s="93">
        <f t="shared" si="17"/>
        <v>3.3600991910314684E-8</v>
      </c>
      <c r="D16" s="93"/>
      <c r="E16" s="324">
        <v>14</v>
      </c>
      <c r="F16" s="328">
        <f t="shared" si="15"/>
        <v>1.5967376291310305E-8</v>
      </c>
      <c r="G16" s="328">
        <f t="shared" si="0"/>
        <v>9.929981221553727E-9</v>
      </c>
      <c r="H16" s="328">
        <f t="shared" si="1"/>
        <v>3.6023017434121917E-9</v>
      </c>
      <c r="I16" s="328">
        <f t="shared" si="2"/>
        <v>9.9566315756292974E-10</v>
      </c>
      <c r="J16" s="328">
        <f t="shared" si="3"/>
        <v>2.3219805207540749E-10</v>
      </c>
      <c r="K16" s="328">
        <f t="shared" si="4"/>
        <v>4.8134025584924598E-11</v>
      </c>
      <c r="L16" s="328">
        <f t="shared" si="5"/>
        <v>9.1465483816215847E-12</v>
      </c>
      <c r="M16" s="328">
        <f t="shared" si="6"/>
        <v>1.6251896906097614E-12</v>
      </c>
      <c r="N16" s="328">
        <f t="shared" si="7"/>
        <v>2.7372914491437596E-13</v>
      </c>
      <c r="O16" s="328">
        <f t="shared" si="8"/>
        <v>4.4133684263727418E-14</v>
      </c>
      <c r="P16" s="328">
        <f t="shared" si="9"/>
        <v>6.8615946662335239E-15</v>
      </c>
      <c r="Q16" s="328">
        <f t="shared" si="10"/>
        <v>1.0344654104649925E-15</v>
      </c>
      <c r="R16" s="328">
        <f t="shared" si="11"/>
        <v>1.5189632469508698E-16</v>
      </c>
      <c r="S16" s="328">
        <f t="shared" si="12"/>
        <v>2.1799173866386155E-17</v>
      </c>
      <c r="T16" s="326">
        <f t="shared" si="13"/>
        <v>3.066402901914561E-18</v>
      </c>
      <c r="U16" s="327">
        <f t="shared" si="14"/>
        <v>4.2377132915972793E-19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6.3552812014731685E-7</v>
      </c>
      <c r="C17" s="93">
        <f t="shared" si="17"/>
        <v>4.9338210109818563E-9</v>
      </c>
      <c r="D17" s="93"/>
      <c r="E17" s="324">
        <v>15</v>
      </c>
      <c r="F17" s="328">
        <f t="shared" si="15"/>
        <v>3.4182946063075781E-9</v>
      </c>
      <c r="G17" s="328">
        <f t="shared" si="0"/>
        <v>2.1258095651472358E-9</v>
      </c>
      <c r="H17" s="328">
        <f t="shared" si="1"/>
        <v>7.71180461657912E-10</v>
      </c>
      <c r="I17" s="328">
        <f t="shared" si="2"/>
        <v>2.1315148707610508E-10</v>
      </c>
      <c r="J17" s="328">
        <f t="shared" si="3"/>
        <v>4.9708939936265363E-11</v>
      </c>
      <c r="K17" s="328">
        <f t="shared" si="4"/>
        <v>1.0304528247784949E-11</v>
      </c>
      <c r="L17" s="328">
        <f t="shared" si="5"/>
        <v>1.9580923270558604E-12</v>
      </c>
      <c r="M17" s="328">
        <f t="shared" si="6"/>
        <v>3.479204756176099E-13</v>
      </c>
      <c r="N17" s="328">
        <f t="shared" si="7"/>
        <v>5.8599912883572001E-14</v>
      </c>
      <c r="O17" s="328">
        <f t="shared" si="8"/>
        <v>9.4481355059742958E-15</v>
      </c>
      <c r="P17" s="328">
        <f t="shared" si="9"/>
        <v>1.4689296231478838E-15</v>
      </c>
      <c r="Q17" s="328">
        <f t="shared" si="10"/>
        <v>2.2145827019362245E-16</v>
      </c>
      <c r="R17" s="328">
        <f t="shared" si="11"/>
        <v>3.2517952727507992E-17</v>
      </c>
      <c r="S17" s="328">
        <f t="shared" si="12"/>
        <v>4.666765352676111E-18</v>
      </c>
      <c r="T17" s="328">
        <f t="shared" si="13"/>
        <v>6.564552816410323E-19</v>
      </c>
      <c r="U17" s="326">
        <f t="shared" si="14"/>
        <v>9.0720931375734443E-20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1.4128664657767769E-7</v>
      </c>
      <c r="C18" s="93">
        <f t="shared" si="17"/>
        <v>7.0806994349548842E-10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3.0786752165713205E-8</v>
      </c>
      <c r="C19" s="93">
        <f t="shared" si="17"/>
        <v>9.9601376767815505E-11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6.590825377557981E-9</v>
      </c>
      <c r="C20" s="93">
        <f t="shared" si="17"/>
        <v>1.3764729935744128E-11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0.45408141560561438</v>
      </c>
      <c r="C21" s="323">
        <f>SUM(G2:U2,H3:U3,I4:U4,J5:U5,K6:U6,L7:U7,M8:U8,N9:U9,O10:U10,P11:U11,Q12:U12,R13:U13,S14:U14,T15:U15,U16)</f>
        <v>0.23070342789293347</v>
      </c>
    </row>
    <row r="22" spans="1:39">
      <c r="A22" s="1" t="s">
        <v>348</v>
      </c>
      <c r="B22" s="401">
        <f>1-B21-C21</f>
        <v>0.31521515650145221</v>
      </c>
      <c r="C22" s="377"/>
    </row>
    <row r="23" spans="1:39">
      <c r="A23" s="1" t="s">
        <v>349</v>
      </c>
      <c r="B23" s="329">
        <f>B21/(B21+C21)</f>
        <v>0.66310085557052389</v>
      </c>
      <c r="C23" s="330">
        <f>C21/(B21+C21)</f>
        <v>0.33689914442947611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1.5545546378337672E-2</v>
      </c>
      <c r="G2" s="327">
        <f t="shared" ref="G2:G17" si="0">$B5*$C$6</f>
        <v>2.7328687776049954E-2</v>
      </c>
      <c r="H2" s="327">
        <f t="shared" ref="H2:H17" si="1">$B5*$C$7</f>
        <v>2.8025176802463733E-2</v>
      </c>
      <c r="I2" s="327">
        <f t="shared" ref="I2:I17" si="2">$B5*$C$8</f>
        <v>2.189669813000818E-2</v>
      </c>
      <c r="J2" s="327">
        <f t="shared" ref="J2:J17" si="3">$B5*$C$9</f>
        <v>1.4435196067359136E-2</v>
      </c>
      <c r="K2" s="327">
        <f t="shared" ref="K2:K17" si="4">$B5*$C$10</f>
        <v>8.4589064226703731E-3</v>
      </c>
      <c r="L2" s="327">
        <f t="shared" ref="L2:L17" si="5">$B5*$C$11</f>
        <v>4.5437789279622201E-3</v>
      </c>
      <c r="M2" s="327">
        <f t="shared" ref="M2:M17" si="6">$B5*$C$12</f>
        <v>2.2822432800011258E-3</v>
      </c>
      <c r="N2" s="327">
        <f t="shared" ref="N2:N17" si="7">$B5*$C$13</f>
        <v>1.086617862860043E-3</v>
      </c>
      <c r="O2" s="327">
        <f t="shared" ref="O2:O17" si="8">$B5*$C$14</f>
        <v>4.9524933852039305E-4</v>
      </c>
      <c r="P2" s="327">
        <f t="shared" ref="P2:P17" si="9">$B5*$C$15</f>
        <v>2.1765903581522059E-4</v>
      </c>
      <c r="Q2" s="327">
        <f t="shared" ref="Q2:Q17" si="10">$B5*$C$16</f>
        <v>9.2761024445488428E-5</v>
      </c>
      <c r="R2" s="327">
        <f t="shared" ref="R2:R17" si="11">$B5*$C$17</f>
        <v>3.850301596902897E-5</v>
      </c>
      <c r="S2" s="327">
        <f t="shared" ref="S2:S17" si="12">$B5*$C$18</f>
        <v>1.5620158630524731E-5</v>
      </c>
      <c r="T2" s="327">
        <f t="shared" ref="T2:T17" si="13">$B5*$C$19</f>
        <v>6.2111575153337607E-6</v>
      </c>
      <c r="U2" s="327">
        <f t="shared" ref="U2:U17" si="14">$B5*$C$20</f>
        <v>2.4264582184409059E-6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2.7365555678958601E-2</v>
      </c>
      <c r="G3" s="326">
        <f t="shared" si="0"/>
        <v>4.8107973098359604E-2</v>
      </c>
      <c r="H3" s="327">
        <f t="shared" si="1"/>
        <v>4.9334035455271631E-2</v>
      </c>
      <c r="I3" s="327">
        <f t="shared" si="2"/>
        <v>3.8545786508802228E-2</v>
      </c>
      <c r="J3" s="327">
        <f t="shared" si="3"/>
        <v>2.5410953858042654E-2</v>
      </c>
      <c r="K3" s="327">
        <f t="shared" si="4"/>
        <v>1.4890610407573187E-2</v>
      </c>
      <c r="L3" s="327">
        <f t="shared" si="5"/>
        <v>7.9986275309884159E-3</v>
      </c>
      <c r="M3" s="327">
        <f t="shared" si="6"/>
        <v>4.0175400742960814E-3</v>
      </c>
      <c r="N3" s="327">
        <f t="shared" si="7"/>
        <v>1.9128244774518661E-3</v>
      </c>
      <c r="O3" s="327">
        <f t="shared" si="8"/>
        <v>8.7181067930379604E-4</v>
      </c>
      <c r="P3" s="327">
        <f t="shared" si="9"/>
        <v>3.8315542719874436E-4</v>
      </c>
      <c r="Q3" s="327">
        <f t="shared" si="10"/>
        <v>1.63291589598776E-4</v>
      </c>
      <c r="R3" s="327">
        <f t="shared" si="11"/>
        <v>6.7778668029097914E-5</v>
      </c>
      <c r="S3" s="327">
        <f t="shared" si="12"/>
        <v>2.7496899132052191E-5</v>
      </c>
      <c r="T3" s="327">
        <f t="shared" si="13"/>
        <v>1.0933792398155885E-5</v>
      </c>
      <c r="U3" s="327">
        <f t="shared" si="14"/>
        <v>4.2714084062005017E-6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Innings'!$G$9</f>
        <v>2.7819080350664733</v>
      </c>
      <c r="C4" s="87">
        <f>'First 5 Innings'!$G$10</f>
        <v>2.7766069472561337</v>
      </c>
      <c r="D4" s="87"/>
      <c r="E4" s="324">
        <v>2</v>
      </c>
      <c r="F4" s="328">
        <f t="shared" si="15"/>
        <v>2.8100842816692707E-2</v>
      </c>
      <c r="G4" s="328">
        <f t="shared" si="0"/>
        <v>4.9400589782510503E-2</v>
      </c>
      <c r="H4" s="326">
        <f t="shared" si="1"/>
        <v>5.0659595299491107E-2</v>
      </c>
      <c r="I4" s="327">
        <f t="shared" si="2"/>
        <v>3.9581476094874085E-2</v>
      </c>
      <c r="J4" s="327">
        <f t="shared" si="3"/>
        <v>2.6093722655013953E-2</v>
      </c>
      <c r="K4" s="327">
        <f t="shared" si="4"/>
        <v>1.5290707318965957E-2</v>
      </c>
      <c r="L4" s="327">
        <f t="shared" si="5"/>
        <v>8.2135432451825117E-3</v>
      </c>
      <c r="M4" s="327">
        <f t="shared" si="6"/>
        <v>4.1254876554311726E-3</v>
      </c>
      <c r="N4" s="327">
        <f t="shared" si="7"/>
        <v>1.9642202996859731E-3</v>
      </c>
      <c r="O4" s="327">
        <f t="shared" si="8"/>
        <v>8.9523542486904715E-4</v>
      </c>
      <c r="P4" s="327">
        <f t="shared" si="9"/>
        <v>3.9345045868567575E-4</v>
      </c>
      <c r="Q4" s="327">
        <f t="shared" si="10"/>
        <v>1.6767908338624751E-4</v>
      </c>
      <c r="R4" s="327">
        <f t="shared" si="11"/>
        <v>6.9599818068922075E-5</v>
      </c>
      <c r="S4" s="327">
        <f t="shared" si="12"/>
        <v>2.8235715346733183E-5</v>
      </c>
      <c r="T4" s="327">
        <f t="shared" si="13"/>
        <v>1.1227573274061889E-5</v>
      </c>
      <c r="U4" s="327">
        <f t="shared" si="14"/>
        <v>4.3861771943053042E-6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0.12447277834211715</v>
      </c>
      <c r="C5" s="93">
        <f>_xlfn.NEGBINOM.DIST(A5,$A$2,$A$2/($A$2+$C$4),FALSE)</f>
        <v>0.12489113351041521</v>
      </c>
      <c r="D5" s="93"/>
      <c r="E5" s="324">
        <v>3</v>
      </c>
      <c r="F5" s="328">
        <f t="shared" si="15"/>
        <v>2.1985437286754395E-2</v>
      </c>
      <c r="G5" s="328">
        <f t="shared" si="0"/>
        <v>3.8649857432279354E-2</v>
      </c>
      <c r="H5" s="328">
        <f t="shared" si="1"/>
        <v>3.9634873683137575E-2</v>
      </c>
      <c r="I5" s="326">
        <f t="shared" si="2"/>
        <v>3.0967614248355896E-2</v>
      </c>
      <c r="J5" s="327">
        <f t="shared" si="3"/>
        <v>2.0415113765519806E-2</v>
      </c>
      <c r="K5" s="327">
        <f t="shared" si="4"/>
        <v>1.1963089115303905E-2</v>
      </c>
      <c r="L5" s="327">
        <f t="shared" si="5"/>
        <v>6.4260827013962931E-3</v>
      </c>
      <c r="M5" s="327">
        <f t="shared" si="6"/>
        <v>3.2276843337909669E-3</v>
      </c>
      <c r="N5" s="327">
        <f t="shared" si="7"/>
        <v>1.536759680049995E-3</v>
      </c>
      <c r="O5" s="327">
        <f t="shared" si="8"/>
        <v>7.0041110221247889E-4</v>
      </c>
      <c r="P5" s="327">
        <f t="shared" si="9"/>
        <v>3.0782636810239083E-4</v>
      </c>
      <c r="Q5" s="327">
        <f t="shared" si="10"/>
        <v>1.3118816386172301E-4</v>
      </c>
      <c r="R5" s="327">
        <f t="shared" si="11"/>
        <v>5.4453257694279166E-5</v>
      </c>
      <c r="S5" s="327">
        <f t="shared" si="12"/>
        <v>2.2090958376290874E-5</v>
      </c>
      <c r="T5" s="327">
        <f t="shared" si="13"/>
        <v>8.7841887771670492E-6</v>
      </c>
      <c r="U5" s="327">
        <f t="shared" si="14"/>
        <v>3.4316416864446577E-6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0.21911527992238511</v>
      </c>
      <c r="C6" s="93">
        <f t="shared" ref="C6:C20" si="17">NEGBINOMDIST(A6,$A$2,$A$2/($A$2+$C$4))</f>
        <v>0.21955553768500483</v>
      </c>
      <c r="D6" s="93"/>
      <c r="E6" s="324">
        <v>4</v>
      </c>
      <c r="F6" s="328">
        <f t="shared" si="15"/>
        <v>1.4513249330897728E-2</v>
      </c>
      <c r="G6" s="328">
        <f t="shared" si="0"/>
        <v>2.5513934983511493E-2</v>
      </c>
      <c r="H6" s="328">
        <f t="shared" si="1"/>
        <v>2.6164173878341402E-2</v>
      </c>
      <c r="I6" s="328">
        <f t="shared" si="2"/>
        <v>2.0442654876836382E-2</v>
      </c>
      <c r="J6" s="326">
        <f t="shared" si="3"/>
        <v>1.3476631478061956E-2</v>
      </c>
      <c r="K6" s="327">
        <f t="shared" si="4"/>
        <v>7.8971954404908496E-3</v>
      </c>
      <c r="L6" s="327">
        <f t="shared" si="5"/>
        <v>4.2420507379456011E-3</v>
      </c>
      <c r="M6" s="327">
        <f t="shared" si="6"/>
        <v>2.1306916431433971E-3</v>
      </c>
      <c r="N6" s="327">
        <f t="shared" si="7"/>
        <v>1.01446135036274E-3</v>
      </c>
      <c r="O6" s="327">
        <f t="shared" si="8"/>
        <v>4.6236246420547074E-4</v>
      </c>
      <c r="P6" s="327">
        <f t="shared" si="9"/>
        <v>2.0320545698612424E-4</v>
      </c>
      <c r="Q6" s="327">
        <f t="shared" si="10"/>
        <v>8.660125821263238E-5</v>
      </c>
      <c r="R6" s="327">
        <f t="shared" si="11"/>
        <v>3.5946235478010183E-5</v>
      </c>
      <c r="S6" s="327">
        <f t="shared" si="12"/>
        <v>1.4582906980283378E-5</v>
      </c>
      <c r="T6" s="327">
        <f t="shared" si="13"/>
        <v>5.7987075822006238E-6</v>
      </c>
      <c r="U6" s="327">
        <f t="shared" si="14"/>
        <v>2.2653300346079245E-6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0.22500270457029087</v>
      </c>
      <c r="C7" s="93">
        <f t="shared" si="17"/>
        <v>0.22515105050066206</v>
      </c>
      <c r="D7" s="93"/>
      <c r="E7" s="324">
        <v>5</v>
      </c>
      <c r="F7" s="328">
        <f t="shared" si="15"/>
        <v>8.5161182283634059E-3</v>
      </c>
      <c r="G7" s="328">
        <f t="shared" si="0"/>
        <v>1.4971126164544506E-2</v>
      </c>
      <c r="H7" s="328">
        <f t="shared" si="1"/>
        <v>1.5352674856970182E-2</v>
      </c>
      <c r="I7" s="328">
        <f t="shared" si="2"/>
        <v>1.1995388617911919E-2</v>
      </c>
      <c r="J7" s="328">
        <f t="shared" si="3"/>
        <v>7.9078491914918673E-3</v>
      </c>
      <c r="K7" s="326">
        <f t="shared" si="4"/>
        <v>4.6339347247714158E-3</v>
      </c>
      <c r="L7" s="327">
        <f t="shared" si="5"/>
        <v>2.4891604072529486E-3</v>
      </c>
      <c r="M7" s="327">
        <f t="shared" si="6"/>
        <v>1.2502522024868067E-3</v>
      </c>
      <c r="N7" s="327">
        <f t="shared" si="7"/>
        <v>5.9526799277139528E-4</v>
      </c>
      <c r="O7" s="327">
        <f t="shared" si="8"/>
        <v>2.7130612309873912E-4</v>
      </c>
      <c r="P7" s="327">
        <f t="shared" si="9"/>
        <v>1.1923737110050777E-4</v>
      </c>
      <c r="Q7" s="327">
        <f t="shared" si="10"/>
        <v>5.0816087896574821E-5</v>
      </c>
      <c r="R7" s="327">
        <f t="shared" si="11"/>
        <v>2.1092615734480076E-5</v>
      </c>
      <c r="S7" s="327">
        <f t="shared" si="12"/>
        <v>8.5569921060287732E-6</v>
      </c>
      <c r="T7" s="327">
        <f t="shared" si="13"/>
        <v>3.4025791341292443E-6</v>
      </c>
      <c r="U7" s="327">
        <f t="shared" si="14"/>
        <v>1.3292556312605109E-6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0.176036814374184</v>
      </c>
      <c r="C8" s="93">
        <f t="shared" si="17"/>
        <v>0.17591555697282221</v>
      </c>
      <c r="D8" s="93"/>
      <c r="E8" s="324">
        <v>6</v>
      </c>
      <c r="F8" s="328">
        <f t="shared" si="15"/>
        <v>4.5806820391334031E-3</v>
      </c>
      <c r="G8" s="328">
        <f t="shared" si="0"/>
        <v>8.052726240827238E-3</v>
      </c>
      <c r="H8" s="328">
        <f t="shared" si="1"/>
        <v>8.2579551016277088E-3</v>
      </c>
      <c r="I8" s="328">
        <f t="shared" si="2"/>
        <v>6.4521252196206172E-3</v>
      </c>
      <c r="J8" s="328">
        <f t="shared" si="3"/>
        <v>4.2535039777863281E-3</v>
      </c>
      <c r="K8" s="328">
        <f t="shared" si="4"/>
        <v>2.4925184215480595E-3</v>
      </c>
      <c r="L8" s="326">
        <f t="shared" si="5"/>
        <v>1.3388790601861771E-3</v>
      </c>
      <c r="M8" s="327">
        <f t="shared" si="6"/>
        <v>6.7249040639715126E-4</v>
      </c>
      <c r="N8" s="327">
        <f t="shared" si="7"/>
        <v>3.2018501033456595E-4</v>
      </c>
      <c r="O8" s="327">
        <f t="shared" si="8"/>
        <v>1.4593116862166209E-4</v>
      </c>
      <c r="P8" s="327">
        <f t="shared" si="9"/>
        <v>6.4135850342526843E-5</v>
      </c>
      <c r="Q8" s="327">
        <f t="shared" si="10"/>
        <v>2.7333150490044086E-5</v>
      </c>
      <c r="R8" s="327">
        <f t="shared" si="11"/>
        <v>1.1345376316111018E-5</v>
      </c>
      <c r="S8" s="327">
        <f t="shared" si="12"/>
        <v>4.6026674357978014E-6</v>
      </c>
      <c r="T8" s="327">
        <f t="shared" si="13"/>
        <v>1.8301921965485908E-6</v>
      </c>
      <c r="U8" s="327">
        <f t="shared" si="14"/>
        <v>7.1498507092733218E-7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0.11620720320940482</v>
      </c>
      <c r="C9" s="93">
        <f t="shared" si="17"/>
        <v>0.11597070668482685</v>
      </c>
      <c r="D9" s="93"/>
      <c r="E9" s="324">
        <v>7</v>
      </c>
      <c r="F9" s="328">
        <f t="shared" si="15"/>
        <v>2.303882803266349E-3</v>
      </c>
      <c r="G9" s="328">
        <f t="shared" si="0"/>
        <v>4.0501692427364839E-3</v>
      </c>
      <c r="H9" s="328">
        <f t="shared" si="1"/>
        <v>4.153390387337386E-3</v>
      </c>
      <c r="I9" s="328">
        <f t="shared" si="2"/>
        <v>3.245136905598731E-3</v>
      </c>
      <c r="J9" s="328">
        <f t="shared" si="3"/>
        <v>2.139326542276413E-3</v>
      </c>
      <c r="K9" s="328">
        <f t="shared" si="4"/>
        <v>1.2536277958545118E-3</v>
      </c>
      <c r="L9" s="328">
        <f t="shared" si="5"/>
        <v>6.7339763294286821E-4</v>
      </c>
      <c r="M9" s="326">
        <f t="shared" si="6"/>
        <v>3.3823327387139649E-4</v>
      </c>
      <c r="N9" s="327">
        <f t="shared" si="7"/>
        <v>1.6103906205919955E-4</v>
      </c>
      <c r="O9" s="327">
        <f t="shared" si="8"/>
        <v>7.3396997865325471E-5</v>
      </c>
      <c r="P9" s="327">
        <f t="shared" si="9"/>
        <v>3.2257528772934882E-5</v>
      </c>
      <c r="Q9" s="327">
        <f t="shared" si="10"/>
        <v>1.3747379720993949E-5</v>
      </c>
      <c r="R9" s="327">
        <f t="shared" si="11"/>
        <v>5.7062282795377112E-6</v>
      </c>
      <c r="S9" s="327">
        <f t="shared" si="12"/>
        <v>2.3149404966110021E-6</v>
      </c>
      <c r="T9" s="327">
        <f t="shared" si="13"/>
        <v>9.2050666085923587E-7</v>
      </c>
      <c r="U9" s="327">
        <f t="shared" si="14"/>
        <v>3.5960623230973816E-7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6.8188333222655953E-2</v>
      </c>
      <c r="C10" s="93">
        <f t="shared" si="17"/>
        <v>6.7957882320428459E-2</v>
      </c>
      <c r="D10" s="93"/>
      <c r="E10" s="324">
        <v>8</v>
      </c>
      <c r="F10" s="328">
        <f t="shared" si="15"/>
        <v>1.0984006431144903E-3</v>
      </c>
      <c r="G10" s="328">
        <f t="shared" si="0"/>
        <v>1.9309612861544384E-3</v>
      </c>
      <c r="H10" s="328">
        <f t="shared" si="1"/>
        <v>1.980173065265729E-3</v>
      </c>
      <c r="I10" s="328">
        <f t="shared" si="2"/>
        <v>1.5471535527113922E-3</v>
      </c>
      <c r="J10" s="328">
        <f t="shared" si="3"/>
        <v>1.0199466945700576E-3</v>
      </c>
      <c r="K10" s="328">
        <f t="shared" si="4"/>
        <v>5.9768039209310653E-4</v>
      </c>
      <c r="L10" s="328">
        <f t="shared" si="5"/>
        <v>3.2104948743380622E-4</v>
      </c>
      <c r="M10" s="328">
        <f t="shared" si="6"/>
        <v>1.6125631261118927E-4</v>
      </c>
      <c r="N10" s="326">
        <f t="shared" si="7"/>
        <v>7.6777086526102079E-5</v>
      </c>
      <c r="O10" s="327">
        <f t="shared" si="8"/>
        <v>3.4992799782891593E-5</v>
      </c>
      <c r="P10" s="327">
        <f t="shared" si="9"/>
        <v>1.5379120109426694E-5</v>
      </c>
      <c r="Q10" s="327">
        <f t="shared" si="10"/>
        <v>6.5542095740592881E-6</v>
      </c>
      <c r="R10" s="327">
        <f t="shared" si="11"/>
        <v>2.7205050548214495E-6</v>
      </c>
      <c r="S10" s="327">
        <f t="shared" si="12"/>
        <v>1.1036725160864617E-6</v>
      </c>
      <c r="T10" s="327">
        <f t="shared" si="13"/>
        <v>4.3886134609168588E-7</v>
      </c>
      <c r="U10" s="327">
        <f t="shared" si="14"/>
        <v>1.7144609798597064E-7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3.6677399831200989E-2</v>
      </c>
      <c r="C11" s="93">
        <f t="shared" si="17"/>
        <v>3.6504197853393358E-2</v>
      </c>
      <c r="D11" s="93"/>
      <c r="E11" s="324">
        <v>9</v>
      </c>
      <c r="F11" s="328">
        <f t="shared" si="15"/>
        <v>5.0129495607172743E-4</v>
      </c>
      <c r="G11" s="328">
        <f t="shared" si="0"/>
        <v>8.8126419006302346E-4</v>
      </c>
      <c r="H11" s="328">
        <f t="shared" si="1"/>
        <v>9.0372376963669871E-4</v>
      </c>
      <c r="I11" s="328">
        <f t="shared" si="2"/>
        <v>7.0609961593206454E-4</v>
      </c>
      <c r="J11" s="328">
        <f t="shared" si="3"/>
        <v>4.654896523004917E-4</v>
      </c>
      <c r="K11" s="328">
        <f t="shared" si="4"/>
        <v>2.7277311587300002E-4</v>
      </c>
      <c r="L11" s="328">
        <f t="shared" si="5"/>
        <v>1.4652257326037003E-4</v>
      </c>
      <c r="M11" s="328">
        <f t="shared" si="6"/>
        <v>7.3595164618170132E-5</v>
      </c>
      <c r="N11" s="328">
        <f t="shared" si="7"/>
        <v>3.504000699442946E-5</v>
      </c>
      <c r="O11" s="326">
        <f t="shared" si="8"/>
        <v>1.597023284714424E-5</v>
      </c>
      <c r="P11" s="327">
        <f t="shared" si="9"/>
        <v>7.0188190329321276E-6</v>
      </c>
      <c r="Q11" s="327">
        <f t="shared" si="10"/>
        <v>2.9912511624144017E-6</v>
      </c>
      <c r="R11" s="327">
        <f t="shared" si="11"/>
        <v>1.2416011138546645E-6</v>
      </c>
      <c r="S11" s="327">
        <f t="shared" si="12"/>
        <v>5.0370096643458248E-7</v>
      </c>
      <c r="T11" s="327">
        <f t="shared" si="13"/>
        <v>2.0029028623545656E-7</v>
      </c>
      <c r="U11" s="327">
        <f t="shared" si="14"/>
        <v>7.8245642605280092E-8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1.8447128619216338E-2</v>
      </c>
      <c r="C12" s="93">
        <f t="shared" si="17"/>
        <v>1.8335280295008055E-2</v>
      </c>
      <c r="D12" s="93"/>
      <c r="E12" s="324">
        <v>10</v>
      </c>
      <c r="F12" s="328">
        <f t="shared" si="15"/>
        <v>2.2061326598140626E-4</v>
      </c>
      <c r="G12" s="328">
        <f t="shared" si="0"/>
        <v>3.8783268973175967E-4</v>
      </c>
      <c r="H12" s="328">
        <f t="shared" si="1"/>
        <v>3.9771685302186229E-4</v>
      </c>
      <c r="I12" s="328">
        <f t="shared" si="2"/>
        <v>3.1074508229582187E-4</v>
      </c>
      <c r="J12" s="328">
        <f t="shared" si="3"/>
        <v>2.0485582635678247E-4</v>
      </c>
      <c r="K12" s="328">
        <f t="shared" si="4"/>
        <v>1.2004383294863368E-4</v>
      </c>
      <c r="L12" s="328">
        <f t="shared" si="5"/>
        <v>6.4482642475151744E-5</v>
      </c>
      <c r="M12" s="328">
        <f t="shared" si="6"/>
        <v>3.2388256514854343E-5</v>
      </c>
      <c r="N12" s="328">
        <f t="shared" si="7"/>
        <v>1.5420642656429041E-5</v>
      </c>
      <c r="O12" s="328">
        <f t="shared" si="8"/>
        <v>7.0282878058479857E-6</v>
      </c>
      <c r="P12" s="326">
        <f t="shared" si="9"/>
        <v>3.0888892286521511E-6</v>
      </c>
      <c r="Q12" s="327">
        <f t="shared" si="10"/>
        <v>1.3164099904019309E-6</v>
      </c>
      <c r="R12" s="327">
        <f t="shared" si="11"/>
        <v>5.4641219397076206E-7</v>
      </c>
      <c r="S12" s="327">
        <f t="shared" si="12"/>
        <v>2.2167211925272984E-7</v>
      </c>
      <c r="T12" s="327">
        <f t="shared" si="13"/>
        <v>8.8145100315815564E-8</v>
      </c>
      <c r="U12" s="327">
        <f t="shared" si="14"/>
        <v>3.4434870239338267E-8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8.7948648734370721E-3</v>
      </c>
      <c r="C13" s="93">
        <f t="shared" si="17"/>
        <v>8.7297630641250835E-3</v>
      </c>
      <c r="D13" s="93"/>
      <c r="E13" s="324">
        <v>11</v>
      </c>
      <c r="F13" s="328">
        <f t="shared" si="15"/>
        <v>9.4146884208800704E-5</v>
      </c>
      <c r="G13" s="328">
        <f t="shared" si="0"/>
        <v>1.6550790438704226E-4</v>
      </c>
      <c r="H13" s="328">
        <f t="shared" si="1"/>
        <v>1.6972597881984906E-4</v>
      </c>
      <c r="I13" s="328">
        <f t="shared" si="2"/>
        <v>1.3261070748041379E-4</v>
      </c>
      <c r="J13" s="328">
        <f t="shared" si="3"/>
        <v>8.7422384495843019E-5</v>
      </c>
      <c r="K13" s="328">
        <f t="shared" si="4"/>
        <v>5.1228799819989818E-5</v>
      </c>
      <c r="L13" s="328">
        <f t="shared" si="5"/>
        <v>2.7518018227866993E-5</v>
      </c>
      <c r="M13" s="328">
        <f t="shared" si="6"/>
        <v>1.3821713858702968E-5</v>
      </c>
      <c r="N13" s="328">
        <f t="shared" si="7"/>
        <v>6.5807713427463556E-6</v>
      </c>
      <c r="O13" s="328">
        <f t="shared" si="8"/>
        <v>2.9993273310185483E-6</v>
      </c>
      <c r="P13" s="328">
        <f t="shared" si="9"/>
        <v>1.3181858998825384E-6</v>
      </c>
      <c r="Q13" s="326">
        <f t="shared" si="10"/>
        <v>5.6177899541238201E-7</v>
      </c>
      <c r="R13" s="327">
        <f t="shared" si="11"/>
        <v>2.3318183214049246E-7</v>
      </c>
      <c r="S13" s="327">
        <f t="shared" si="12"/>
        <v>9.4598750672433098E-8</v>
      </c>
      <c r="T13" s="327">
        <f t="shared" si="13"/>
        <v>3.7615990661711311E-8</v>
      </c>
      <c r="U13" s="327">
        <f t="shared" si="14"/>
        <v>1.469510787008291E-8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4.0138554433883991E-3</v>
      </c>
      <c r="C14" s="93">
        <f t="shared" si="17"/>
        <v>3.9787762843951748E-3</v>
      </c>
      <c r="D14" s="93"/>
      <c r="E14" s="324">
        <v>12</v>
      </c>
      <c r="F14" s="328">
        <f t="shared" si="15"/>
        <v>3.9130973918098173E-5</v>
      </c>
      <c r="G14" s="328">
        <f t="shared" si="0"/>
        <v>6.8791288678707267E-5</v>
      </c>
      <c r="H14" s="328">
        <f t="shared" si="1"/>
        <v>7.0544478516075567E-5</v>
      </c>
      <c r="I14" s="328">
        <f t="shared" si="2"/>
        <v>5.5117980582001476E-5</v>
      </c>
      <c r="J14" s="328">
        <f t="shared" si="3"/>
        <v>3.6336019787737183E-5</v>
      </c>
      <c r="K14" s="328">
        <f t="shared" si="4"/>
        <v>2.129260937797561E-5</v>
      </c>
      <c r="L14" s="328">
        <f t="shared" si="5"/>
        <v>1.1437519813871388E-5</v>
      </c>
      <c r="M14" s="328">
        <f t="shared" si="6"/>
        <v>5.7448223491793839E-6</v>
      </c>
      <c r="N14" s="328">
        <f t="shared" si="7"/>
        <v>2.7352152324325538E-6</v>
      </c>
      <c r="O14" s="328">
        <f t="shared" si="8"/>
        <v>1.2466328604314509E-6</v>
      </c>
      <c r="P14" s="328">
        <f t="shared" si="9"/>
        <v>5.4788746861881362E-7</v>
      </c>
      <c r="Q14" s="328">
        <f t="shared" si="10"/>
        <v>2.3349640725722904E-7</v>
      </c>
      <c r="R14" s="326">
        <f t="shared" si="11"/>
        <v>9.6919109626901493E-8</v>
      </c>
      <c r="S14" s="327">
        <f t="shared" si="12"/>
        <v>3.931878655737413E-8</v>
      </c>
      <c r="T14" s="327">
        <f t="shared" si="13"/>
        <v>1.5634615652519428E-8</v>
      </c>
      <c r="U14" s="327">
        <f t="shared" si="14"/>
        <v>6.1078376371174721E-9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1.7664445808157259E-3</v>
      </c>
      <c r="C15" s="93">
        <f t="shared" si="17"/>
        <v>1.7486476859782003E-3</v>
      </c>
      <c r="D15" s="93"/>
      <c r="E15" s="324">
        <v>13</v>
      </c>
      <c r="F15" s="328">
        <f t="shared" si="15"/>
        <v>1.5896328902471181E-5</v>
      </c>
      <c r="G15" s="328">
        <f t="shared" si="0"/>
        <v>2.7945354816630644E-5</v>
      </c>
      <c r="H15" s="328">
        <f t="shared" si="1"/>
        <v>2.8657559995617687E-5</v>
      </c>
      <c r="I15" s="328">
        <f t="shared" si="2"/>
        <v>2.2390793278116773E-5</v>
      </c>
      <c r="J15" s="328">
        <f t="shared" si="3"/>
        <v>1.4760923731709766E-5</v>
      </c>
      <c r="K15" s="328">
        <f t="shared" si="4"/>
        <v>8.6497801606618688E-6</v>
      </c>
      <c r="L15" s="328">
        <f t="shared" si="5"/>
        <v>4.6463085015561247E-6</v>
      </c>
      <c r="M15" s="328">
        <f t="shared" si="6"/>
        <v>2.3337416988383763E-6</v>
      </c>
      <c r="N15" s="328">
        <f t="shared" si="7"/>
        <v>1.111137204118691E-6</v>
      </c>
      <c r="O15" s="328">
        <f t="shared" si="8"/>
        <v>5.0642455287527191E-7</v>
      </c>
      <c r="P15" s="328">
        <f t="shared" si="9"/>
        <v>2.2257047373612392E-7</v>
      </c>
      <c r="Q15" s="328">
        <f t="shared" si="10"/>
        <v>9.4854160672693723E-8</v>
      </c>
      <c r="R15" s="328">
        <f t="shared" si="11"/>
        <v>3.9371829763003386E-8</v>
      </c>
      <c r="S15" s="326">
        <f t="shared" si="12"/>
        <v>1.5972624767026469E-8</v>
      </c>
      <c r="T15" s="327">
        <f t="shared" si="13"/>
        <v>6.3513111939497562E-9</v>
      </c>
      <c r="U15" s="327">
        <f t="shared" si="14"/>
        <v>2.4812108220390183E-9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7.5383160967907616E-4</v>
      </c>
      <c r="C16" s="93">
        <f t="shared" si="17"/>
        <v>7.4523141269115074E-4</v>
      </c>
      <c r="D16" s="93"/>
      <c r="E16" s="324">
        <v>14</v>
      </c>
      <c r="F16" s="328">
        <f t="shared" si="15"/>
        <v>6.3295004536736859E-6</v>
      </c>
      <c r="G16" s="328">
        <f t="shared" si="0"/>
        <v>1.112710595478675E-5</v>
      </c>
      <c r="H16" s="328">
        <f t="shared" si="1"/>
        <v>1.141068734210986E-5</v>
      </c>
      <c r="I16" s="328">
        <f t="shared" si="2"/>
        <v>8.9154255099692991E-6</v>
      </c>
      <c r="J16" s="328">
        <f t="shared" si="3"/>
        <v>5.8774119502506965E-6</v>
      </c>
      <c r="K16" s="328">
        <f t="shared" si="4"/>
        <v>3.4441151656453155E-6</v>
      </c>
      <c r="L16" s="328">
        <f t="shared" si="5"/>
        <v>1.8500379520919212E-6</v>
      </c>
      <c r="M16" s="328">
        <f t="shared" si="6"/>
        <v>9.2923461965223902E-7</v>
      </c>
      <c r="N16" s="328">
        <f t="shared" si="7"/>
        <v>4.4242563680659964E-7</v>
      </c>
      <c r="O16" s="328">
        <f t="shared" si="8"/>
        <v>2.0164494939943184E-7</v>
      </c>
      <c r="P16" s="328">
        <f t="shared" si="9"/>
        <v>8.8621714052995178E-8</v>
      </c>
      <c r="Q16" s="328">
        <f t="shared" si="10"/>
        <v>3.7768434252597716E-8</v>
      </c>
      <c r="R16" s="328">
        <f t="shared" si="11"/>
        <v>1.5676828019590913E-8</v>
      </c>
      <c r="S16" s="328">
        <f t="shared" si="12"/>
        <v>6.3598794620773845E-9</v>
      </c>
      <c r="T16" s="326">
        <f t="shared" si="13"/>
        <v>2.5289252210476293E-9</v>
      </c>
      <c r="U16" s="327">
        <f t="shared" si="14"/>
        <v>9.8795294939541782E-10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3.1332067231846264E-4</v>
      </c>
      <c r="C17" s="93">
        <f t="shared" si="17"/>
        <v>3.0932880652187488E-4</v>
      </c>
      <c r="D17" s="93"/>
      <c r="E17" s="324">
        <v>15</v>
      </c>
      <c r="F17" s="328">
        <f t="shared" si="15"/>
        <v>2.4760260072709134E-6</v>
      </c>
      <c r="G17" s="328">
        <f t="shared" si="0"/>
        <v>4.3527927569260616E-6</v>
      </c>
      <c r="H17" s="328">
        <f t="shared" si="1"/>
        <v>4.4637264546687407E-6</v>
      </c>
      <c r="I17" s="328">
        <f t="shared" si="2"/>
        <v>3.4876094235459211E-6</v>
      </c>
      <c r="J17" s="328">
        <f t="shared" si="3"/>
        <v>2.2991743109551619E-6</v>
      </c>
      <c r="K17" s="328">
        <f t="shared" si="4"/>
        <v>1.3472972763947625E-6</v>
      </c>
      <c r="L17" s="328">
        <f t="shared" si="5"/>
        <v>7.2371305087104026E-7</v>
      </c>
      <c r="M17" s="328">
        <f t="shared" si="6"/>
        <v>3.6350563554822614E-7</v>
      </c>
      <c r="N17" s="328">
        <f t="shared" si="7"/>
        <v>1.7307169673725593E-7</v>
      </c>
      <c r="O17" s="328">
        <f t="shared" si="8"/>
        <v>7.8881128550679867E-8</v>
      </c>
      <c r="P17" s="328">
        <f t="shared" si="9"/>
        <v>3.4667770452055776E-8</v>
      </c>
      <c r="Q17" s="328">
        <f t="shared" si="10"/>
        <v>1.4774566515601782E-8</v>
      </c>
      <c r="R17" s="328">
        <f t="shared" si="11"/>
        <v>6.1325904267044106E-9</v>
      </c>
      <c r="S17" s="328">
        <f t="shared" si="12"/>
        <v>2.4879099174520083E-9</v>
      </c>
      <c r="T17" s="328">
        <f t="shared" si="13"/>
        <v>9.8928575226232067E-10</v>
      </c>
      <c r="U17" s="326">
        <f t="shared" si="14"/>
        <v>3.8647555436120852E-10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1.2728148472722058E-4</v>
      </c>
      <c r="C18" s="93">
        <f t="shared" si="17"/>
        <v>1.2549055977197085E-4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5.0680142583106925E-5</v>
      </c>
      <c r="C19" s="93">
        <f t="shared" si="17"/>
        <v>4.9899725852203678E-5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1.9825474696844086E-5</v>
      </c>
      <c r="C20" s="93">
        <f t="shared" si="17"/>
        <v>1.9493886540972942E-5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0.41809011659467687</v>
      </c>
      <c r="C21" s="323">
        <f>SUM(G2:U2,H3:U3,I4:U4,J5:U5,K6:U6,L7:U7,M8:U8,N9:U9,O10:U10,P11:U11,Q12:U12,R13:U13,S14:U14,T15:U15,U16)</f>
        <v>0.41672068581801658</v>
      </c>
    </row>
    <row r="22" spans="1:39">
      <c r="A22" s="1" t="s">
        <v>348</v>
      </c>
      <c r="B22" s="401">
        <f>1-B21-C21</f>
        <v>0.16518919758730655</v>
      </c>
      <c r="C22" s="377"/>
    </row>
    <row r="23" spans="1:39">
      <c r="A23" s="1" t="s">
        <v>349</v>
      </c>
      <c r="B23" s="329">
        <f>B21/(B21+C21)</f>
        <v>0.50082020427425145</v>
      </c>
      <c r="C23" s="330">
        <f>C21/(B21+C21)</f>
        <v>0.49917979572574855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9.1326436488027449E-2</v>
      </c>
      <c r="G2" s="327">
        <f t="shared" ref="G2:G17" si="0">$B5*$C$6</f>
        <v>7.9989626962778934E-2</v>
      </c>
      <c r="H2" s="327">
        <f t="shared" ref="H2:H17" si="1">$B5*$C$7</f>
        <v>4.0868399003486884E-2</v>
      </c>
      <c r="I2" s="327">
        <f t="shared" ref="I2:I17" si="2">$B5*$C$8</f>
        <v>1.590897744431553E-2</v>
      </c>
      <c r="J2" s="327">
        <f t="shared" ref="J2:J17" si="3">$B5*$C$9</f>
        <v>5.2252935461500677E-3</v>
      </c>
      <c r="K2" s="327">
        <f t="shared" ref="K2:K17" si="4">$B5*$C$10</f>
        <v>1.5255505327943554E-3</v>
      </c>
      <c r="L2" s="327">
        <f t="shared" ref="L2:L17" si="5">$B5*$C$11</f>
        <v>4.0827608508333719E-4</v>
      </c>
      <c r="M2" s="327">
        <f t="shared" ref="M2:M17" si="6">$B5*$C$12</f>
        <v>1.0216992081061168E-4</v>
      </c>
      <c r="N2" s="327">
        <f t="shared" ref="N2:N17" si="7">$B5*$C$13</f>
        <v>2.4236077418073095E-5</v>
      </c>
      <c r="O2" s="327">
        <f t="shared" ref="O2:O17" si="8">$B5*$C$14</f>
        <v>5.5034340482512227E-6</v>
      </c>
      <c r="P2" s="327">
        <f t="shared" ref="P2:P17" si="9">$B5*$C$15</f>
        <v>1.2050662805385533E-6</v>
      </c>
      <c r="Q2" s="327">
        <f t="shared" ref="Q2:Q17" si="10">$B5*$C$16</f>
        <v>2.5587281140250927E-7</v>
      </c>
      <c r="R2" s="327">
        <f t="shared" ref="R2:R17" si="11">$B5*$C$17</f>
        <v>5.2914869003347966E-8</v>
      </c>
      <c r="S2" s="327">
        <f t="shared" ref="S2:S17" si="12">$B5*$C$18</f>
        <v>1.069529547428299E-8</v>
      </c>
      <c r="T2" s="327">
        <f t="shared" ref="T2:T17" si="13">$B5*$C$19</f>
        <v>2.1188697530067524E-9</v>
      </c>
      <c r="U2" s="327">
        <f t="shared" ref="U2:U17" si="14">$B5*$C$20</f>
        <v>4.1240973380374839E-10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0.11738785967459685</v>
      </c>
      <c r="G3" s="326">
        <f t="shared" si="0"/>
        <v>0.10281591471666597</v>
      </c>
      <c r="H3" s="327">
        <f t="shared" si="1"/>
        <v>5.2530834135586582E-2</v>
      </c>
      <c r="I3" s="327">
        <f t="shared" si="2"/>
        <v>2.0448852310628179E-2</v>
      </c>
      <c r="J3" s="327">
        <f t="shared" si="3"/>
        <v>6.7164125651005034E-3</v>
      </c>
      <c r="K3" s="327">
        <f t="shared" si="4"/>
        <v>1.9608901732812828E-3</v>
      </c>
      <c r="L3" s="327">
        <f t="shared" si="5"/>
        <v>5.2478403436380166E-4</v>
      </c>
      <c r="M3" s="327">
        <f t="shared" si="6"/>
        <v>1.3132570138826188E-4</v>
      </c>
      <c r="N3" s="327">
        <f t="shared" si="7"/>
        <v>3.1152220150278191E-5</v>
      </c>
      <c r="O3" s="327">
        <f t="shared" si="8"/>
        <v>7.0739247979877753E-6</v>
      </c>
      <c r="P3" s="327">
        <f t="shared" si="9"/>
        <v>1.5489507406433507E-6</v>
      </c>
      <c r="Q3" s="327">
        <f t="shared" si="10"/>
        <v>3.2889010931024329E-7</v>
      </c>
      <c r="R3" s="327">
        <f t="shared" si="11"/>
        <v>6.8014952254038709E-8</v>
      </c>
      <c r="S3" s="327">
        <f t="shared" si="12"/>
        <v>1.3747364866010877E-8</v>
      </c>
      <c r="T3" s="327">
        <f t="shared" si="13"/>
        <v>2.7235222877366053E-9</v>
      </c>
      <c r="U3" s="327">
        <f t="shared" si="14"/>
        <v>5.3009728422436449E-10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Innings'!$G$11</f>
        <v>1.826642062696648</v>
      </c>
      <c r="C4" s="87">
        <f>'First 5 Innings'!$G$12</f>
        <v>1.145226521098774</v>
      </c>
      <c r="D4" s="87"/>
      <c r="E4" s="324">
        <v>2</v>
      </c>
      <c r="F4" s="328">
        <f t="shared" si="15"/>
        <v>8.8017017947048082E-2</v>
      </c>
      <c r="G4" s="328">
        <f t="shared" si="0"/>
        <v>7.7091023176882309E-2</v>
      </c>
      <c r="H4" s="326">
        <f t="shared" si="1"/>
        <v>3.9387440777113814E-2</v>
      </c>
      <c r="I4" s="327">
        <f t="shared" si="2"/>
        <v>1.5332479915813553E-2</v>
      </c>
      <c r="J4" s="327">
        <f t="shared" si="3"/>
        <v>5.0359432987443688E-3</v>
      </c>
      <c r="K4" s="327">
        <f t="shared" si="4"/>
        <v>1.4702687829245631E-3</v>
      </c>
      <c r="L4" s="327">
        <f t="shared" si="5"/>
        <v>3.9348128417166032E-4</v>
      </c>
      <c r="M4" s="327">
        <f t="shared" si="6"/>
        <v>9.8467564261253069E-5</v>
      </c>
      <c r="N4" s="327">
        <f t="shared" si="7"/>
        <v>2.3357828719751253E-5</v>
      </c>
      <c r="O4" s="327">
        <f t="shared" si="8"/>
        <v>5.3040047550615403E-6</v>
      </c>
      <c r="P4" s="327">
        <f t="shared" si="9"/>
        <v>1.1613979973416482E-6</v>
      </c>
      <c r="Q4" s="327">
        <f t="shared" si="10"/>
        <v>2.4660068540316629E-7</v>
      </c>
      <c r="R4" s="327">
        <f t="shared" si="11"/>
        <v>5.0997379880730864E-8</v>
      </c>
      <c r="S4" s="327">
        <f t="shared" si="12"/>
        <v>1.0307727421647048E-8</v>
      </c>
      <c r="T4" s="327">
        <f t="shared" si="13"/>
        <v>2.0420877486257954E-9</v>
      </c>
      <c r="U4" s="327">
        <f t="shared" si="14"/>
        <v>3.9746514084670888E-10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0.23538599667280424</v>
      </c>
      <c r="C5" s="93">
        <f>_xlfn.NEGBINOM.DIST(A5,$A$2,$A$2/($A$2+$C$4),FALSE)</f>
        <v>0.38798585208522313</v>
      </c>
      <c r="D5" s="93"/>
      <c r="E5" s="324">
        <v>3</v>
      </c>
      <c r="F5" s="328">
        <f t="shared" si="15"/>
        <v>5.0281798636326397E-2</v>
      </c>
      <c r="G5" s="328">
        <f t="shared" si="0"/>
        <v>4.404006627877774E-2</v>
      </c>
      <c r="H5" s="328">
        <f t="shared" si="1"/>
        <v>2.2501005057300846E-2</v>
      </c>
      <c r="I5" s="326">
        <f t="shared" si="2"/>
        <v>8.7590409866676461E-3</v>
      </c>
      <c r="J5" s="327">
        <f t="shared" si="3"/>
        <v>2.8769014538047532E-3</v>
      </c>
      <c r="K5" s="327">
        <f t="shared" si="4"/>
        <v>8.3992573946058081E-4</v>
      </c>
      <c r="L5" s="327">
        <f t="shared" si="5"/>
        <v>2.2478546943939152E-4</v>
      </c>
      <c r="M5" s="327">
        <f t="shared" si="6"/>
        <v>5.6251919843188774E-5</v>
      </c>
      <c r="N5" s="327">
        <f t="shared" si="7"/>
        <v>1.3343710882989802E-5</v>
      </c>
      <c r="O5" s="327">
        <f t="shared" si="8"/>
        <v>3.0300378867705834E-6</v>
      </c>
      <c r="P5" s="327">
        <f t="shared" si="9"/>
        <v>6.6347601408284279E-7</v>
      </c>
      <c r="Q5" s="327">
        <f t="shared" si="10"/>
        <v>1.4087646112348139E-7</v>
      </c>
      <c r="R5" s="327">
        <f t="shared" si="11"/>
        <v>2.9133456755894922E-8</v>
      </c>
      <c r="S5" s="327">
        <f t="shared" si="12"/>
        <v>5.8885325440723953E-9</v>
      </c>
      <c r="T5" s="327">
        <f t="shared" si="13"/>
        <v>1.1665908181061596E-9</v>
      </c>
      <c r="U5" s="327">
        <f t="shared" si="14"/>
        <v>2.2706134158097315E-10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0.3025570624384829</v>
      </c>
      <c r="C6" s="93">
        <f t="shared" ref="C6:C20" si="17">NEGBINOMDIST(A6,$A$2,$A$2/($A$2+$C$4))</f>
        <v>0.33982321843031149</v>
      </c>
      <c r="D6" s="93"/>
      <c r="E6" s="324">
        <v>4</v>
      </c>
      <c r="F6" s="328">
        <f t="shared" si="15"/>
        <v>2.4236435319913683E-2</v>
      </c>
      <c r="G6" s="328">
        <f t="shared" si="0"/>
        <v>2.1227844802655434E-2</v>
      </c>
      <c r="H6" s="328">
        <f t="shared" si="1"/>
        <v>1.084575668521005E-2</v>
      </c>
      <c r="I6" s="328">
        <f t="shared" si="2"/>
        <v>4.2219637342979727E-3</v>
      </c>
      <c r="J6" s="326">
        <f t="shared" si="3"/>
        <v>1.3867013093785924E-3</v>
      </c>
      <c r="K6" s="327">
        <f t="shared" si="4"/>
        <v>4.0485436897756753E-4</v>
      </c>
      <c r="L6" s="327">
        <f t="shared" si="5"/>
        <v>1.0834931602841084E-4</v>
      </c>
      <c r="M6" s="327">
        <f t="shared" si="6"/>
        <v>2.7114105976222099E-5</v>
      </c>
      <c r="N6" s="327">
        <f t="shared" si="7"/>
        <v>6.4318300958622706E-6</v>
      </c>
      <c r="O6" s="327">
        <f t="shared" si="8"/>
        <v>1.4605149229198007E-6</v>
      </c>
      <c r="P6" s="327">
        <f t="shared" si="9"/>
        <v>3.198034664180778E-7</v>
      </c>
      <c r="Q6" s="327">
        <f t="shared" si="10"/>
        <v>6.790415877547542E-8</v>
      </c>
      <c r="R6" s="327">
        <f t="shared" si="11"/>
        <v>1.4042678652303215E-8</v>
      </c>
      <c r="S6" s="327">
        <f t="shared" si="12"/>
        <v>2.838343933673657E-9</v>
      </c>
      <c r="T6" s="327">
        <f t="shared" si="13"/>
        <v>5.6231088932066162E-10</v>
      </c>
      <c r="U6" s="327">
        <f t="shared" si="14"/>
        <v>1.094463139372324E-10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0.22685625641760432</v>
      </c>
      <c r="C7" s="93">
        <f t="shared" si="17"/>
        <v>0.1736228984780924</v>
      </c>
      <c r="D7" s="93"/>
      <c r="E7" s="324">
        <v>5</v>
      </c>
      <c r="F7" s="328">
        <f t="shared" si="15"/>
        <v>1.0384226728330547E-2</v>
      </c>
      <c r="G7" s="328">
        <f t="shared" si="0"/>
        <v>9.0951804782722599E-3</v>
      </c>
      <c r="H7" s="328">
        <f t="shared" si="1"/>
        <v>4.6469208434703514E-3</v>
      </c>
      <c r="I7" s="328">
        <f t="shared" si="2"/>
        <v>1.8089223137412846E-3</v>
      </c>
      <c r="J7" s="328">
        <f t="shared" si="3"/>
        <v>5.9413938605190186E-4</v>
      </c>
      <c r="K7" s="326">
        <f t="shared" si="4"/>
        <v>1.7346195939812927E-4</v>
      </c>
      <c r="L7" s="327">
        <f t="shared" si="5"/>
        <v>4.6422827806451706E-5</v>
      </c>
      <c r="M7" s="327">
        <f t="shared" si="6"/>
        <v>1.1617179683256956E-5</v>
      </c>
      <c r="N7" s="327">
        <f t="shared" si="7"/>
        <v>2.7557510463866219E-6</v>
      </c>
      <c r="O7" s="327">
        <f t="shared" si="8"/>
        <v>6.2576521256193692E-7</v>
      </c>
      <c r="P7" s="327">
        <f t="shared" si="9"/>
        <v>1.3702145798077665E-7</v>
      </c>
      <c r="Q7" s="327">
        <f t="shared" si="10"/>
        <v>2.9093889889893443E-8</v>
      </c>
      <c r="R7" s="327">
        <f t="shared" si="11"/>
        <v>6.0166586824255451E-9</v>
      </c>
      <c r="S7" s="327">
        <f t="shared" si="12"/>
        <v>1.2161032161372246E-9</v>
      </c>
      <c r="T7" s="327">
        <f t="shared" si="13"/>
        <v>2.4092502422240409E-10</v>
      </c>
      <c r="U7" s="327">
        <f t="shared" si="14"/>
        <v>4.6892842264244008E-11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0.12959699011210785</v>
      </c>
      <c r="C8" s="93">
        <f t="shared" si="17"/>
        <v>6.7586762463315228E-2</v>
      </c>
      <c r="D8" s="93"/>
      <c r="E8" s="324">
        <v>6</v>
      </c>
      <c r="F8" s="328">
        <f t="shared" si="15"/>
        <v>4.0784112726089386E-3</v>
      </c>
      <c r="G8" s="328">
        <f t="shared" si="0"/>
        <v>3.5721375851509225E-3</v>
      </c>
      <c r="H8" s="328">
        <f t="shared" si="1"/>
        <v>1.8250809469736804E-3</v>
      </c>
      <c r="I8" s="328">
        <f t="shared" si="2"/>
        <v>7.1045532312085508E-4</v>
      </c>
      <c r="J8" s="328">
        <f t="shared" si="3"/>
        <v>2.3334860004203657E-4</v>
      </c>
      <c r="K8" s="328">
        <f t="shared" si="4"/>
        <v>6.8127288539269009E-5</v>
      </c>
      <c r="L8" s="326">
        <f t="shared" si="5"/>
        <v>1.8232593450187003E-5</v>
      </c>
      <c r="M8" s="327">
        <f t="shared" si="6"/>
        <v>4.5626542847775289E-6</v>
      </c>
      <c r="N8" s="327">
        <f t="shared" si="7"/>
        <v>1.0823228754649856E-6</v>
      </c>
      <c r="O8" s="327">
        <f t="shared" si="8"/>
        <v>2.4576966236266235E-7</v>
      </c>
      <c r="P8" s="327">
        <f t="shared" si="9"/>
        <v>5.3815259762529627E-8</v>
      </c>
      <c r="Q8" s="327">
        <f t="shared" si="10"/>
        <v>1.142664269523908E-8</v>
      </c>
      <c r="R8" s="327">
        <f t="shared" si="11"/>
        <v>2.3630463043433361E-9</v>
      </c>
      <c r="S8" s="327">
        <f t="shared" si="12"/>
        <v>4.7762526715818487E-10</v>
      </c>
      <c r="T8" s="327">
        <f t="shared" si="13"/>
        <v>9.4623447691246996E-11</v>
      </c>
      <c r="U8" s="327">
        <f t="shared" si="14"/>
        <v>1.8417191910245615E-11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6.2467317273697968E-2</v>
      </c>
      <c r="C9" s="93">
        <f t="shared" si="17"/>
        <v>2.2198829242223064E-2</v>
      </c>
      <c r="D9" s="93"/>
      <c r="E9" s="324">
        <v>7</v>
      </c>
      <c r="F9" s="328">
        <f t="shared" si="15"/>
        <v>1.4977855844060953E-3</v>
      </c>
      <c r="G9" s="328">
        <f t="shared" si="0"/>
        <v>1.3118579326433883E-3</v>
      </c>
      <c r="H9" s="328">
        <f t="shared" si="1"/>
        <v>6.7025607522969285E-4</v>
      </c>
      <c r="I9" s="328">
        <f t="shared" si="2"/>
        <v>2.6091280898561409E-4</v>
      </c>
      <c r="J9" s="328">
        <f t="shared" si="3"/>
        <v>8.5696646542644686E-5</v>
      </c>
      <c r="K9" s="328">
        <f t="shared" si="4"/>
        <v>2.5019563712003277E-5</v>
      </c>
      <c r="L9" s="328">
        <f t="shared" si="5"/>
        <v>6.6958709680492739E-6</v>
      </c>
      <c r="M9" s="326">
        <f t="shared" si="6"/>
        <v>1.675622529847729E-6</v>
      </c>
      <c r="N9" s="327">
        <f t="shared" si="7"/>
        <v>3.9748016867053421E-7</v>
      </c>
      <c r="O9" s="327">
        <f t="shared" si="8"/>
        <v>9.0258248314341947E-8</v>
      </c>
      <c r="P9" s="327">
        <f t="shared" si="9"/>
        <v>1.9763509588826848E-8</v>
      </c>
      <c r="Q9" s="327">
        <f t="shared" si="10"/>
        <v>4.196403835491595E-9</v>
      </c>
      <c r="R9" s="327">
        <f t="shared" si="11"/>
        <v>8.6782240763704339E-10</v>
      </c>
      <c r="S9" s="327">
        <f t="shared" si="12"/>
        <v>1.7540659636319959E-10</v>
      </c>
      <c r="T9" s="327">
        <f t="shared" si="13"/>
        <v>3.4750206986381931E-11</v>
      </c>
      <c r="U9" s="327">
        <f t="shared" si="14"/>
        <v>6.7636642566360055E-12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2.6764446880010451E-2</v>
      </c>
      <c r="C10" s="93">
        <f t="shared" si="17"/>
        <v>6.4810590024814872E-3</v>
      </c>
      <c r="D10" s="93"/>
      <c r="E10" s="324">
        <v>8</v>
      </c>
      <c r="F10" s="328">
        <f t="shared" si="15"/>
        <v>5.2140889227515199E-4</v>
      </c>
      <c r="G10" s="328">
        <f t="shared" si="0"/>
        <v>4.5668378611961785E-4</v>
      </c>
      <c r="H10" s="328">
        <f t="shared" si="1"/>
        <v>2.3332944405709481E-4</v>
      </c>
      <c r="I10" s="328">
        <f t="shared" si="2"/>
        <v>9.0828927805131123E-5</v>
      </c>
      <c r="J10" s="328">
        <f t="shared" si="3"/>
        <v>2.983270369985126E-5</v>
      </c>
      <c r="K10" s="328">
        <f t="shared" si="4"/>
        <v>8.7098067547872771E-6</v>
      </c>
      <c r="L10" s="328">
        <f t="shared" si="5"/>
        <v>2.3309655938852509E-6</v>
      </c>
      <c r="M10" s="328">
        <f t="shared" si="6"/>
        <v>5.8331746296358374E-7</v>
      </c>
      <c r="N10" s="326">
        <f t="shared" si="7"/>
        <v>1.3837073650967395E-7</v>
      </c>
      <c r="O10" s="327">
        <f t="shared" si="8"/>
        <v>3.1420687822240945E-8</v>
      </c>
      <c r="P10" s="327">
        <f t="shared" si="9"/>
        <v>6.8800699842932838E-9</v>
      </c>
      <c r="Q10" s="327">
        <f t="shared" si="10"/>
        <v>1.4608514717882521E-9</v>
      </c>
      <c r="R10" s="327">
        <f t="shared" si="11"/>
        <v>3.0210620596739719E-10</v>
      </c>
      <c r="S10" s="327">
        <f t="shared" si="12"/>
        <v>6.1062517932936254E-11</v>
      </c>
      <c r="T10" s="327">
        <f t="shared" si="13"/>
        <v>1.2097236827316813E-11</v>
      </c>
      <c r="U10" s="327">
        <f t="shared" si="14"/>
        <v>2.3545657833073661E-12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1.0511752556670789E-2</v>
      </c>
      <c r="C11" s="93">
        <f t="shared" si="17"/>
        <v>1.7344960654174213E-3</v>
      </c>
      <c r="D11" s="93"/>
      <c r="E11" s="324">
        <v>9</v>
      </c>
      <c r="F11" s="328">
        <f t="shared" si="15"/>
        <v>1.7375582849443275E-4</v>
      </c>
      <c r="G11" s="328">
        <f t="shared" si="0"/>
        <v>1.5218664428782712E-4</v>
      </c>
      <c r="H11" s="328">
        <f t="shared" si="1"/>
        <v>7.7755388266165885E-5</v>
      </c>
      <c r="I11" s="328">
        <f t="shared" si="2"/>
        <v>3.026809829264141E-5</v>
      </c>
      <c r="J11" s="328">
        <f t="shared" si="3"/>
        <v>9.9415376768471967E-6</v>
      </c>
      <c r="K11" s="328">
        <f t="shared" si="4"/>
        <v>2.9024815478326103E-6</v>
      </c>
      <c r="L11" s="328">
        <f t="shared" si="5"/>
        <v>7.76777810961876E-7</v>
      </c>
      <c r="M11" s="328">
        <f t="shared" si="6"/>
        <v>1.943864221614047E-7</v>
      </c>
      <c r="N11" s="328">
        <f t="shared" si="7"/>
        <v>4.6111070060032068E-8</v>
      </c>
      <c r="O11" s="326">
        <f t="shared" si="8"/>
        <v>1.0470722163168189E-8</v>
      </c>
      <c r="P11" s="327">
        <f t="shared" si="9"/>
        <v>2.2927347000244635E-9</v>
      </c>
      <c r="Q11" s="327">
        <f t="shared" si="10"/>
        <v>4.8681842896904429E-10</v>
      </c>
      <c r="R11" s="327">
        <f t="shared" si="11"/>
        <v>1.0067475811953352E-10</v>
      </c>
      <c r="S11" s="327">
        <f t="shared" si="12"/>
        <v>2.0348652565354646E-11</v>
      </c>
      <c r="T11" s="327">
        <f t="shared" si="13"/>
        <v>4.0313186801474237E-12</v>
      </c>
      <c r="U11" s="327">
        <f t="shared" si="14"/>
        <v>7.8464240730155866E-13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3.8604128896872736E-3</v>
      </c>
      <c r="C12" s="93">
        <f t="shared" si="17"/>
        <v>4.340526720144354E-4</v>
      </c>
      <c r="D12" s="93"/>
      <c r="E12" s="324">
        <v>10</v>
      </c>
      <c r="F12" s="328">
        <f t="shared" si="15"/>
        <v>5.5834941111552574E-5</v>
      </c>
      <c r="G12" s="328">
        <f t="shared" si="0"/>
        <v>4.8903869271055191E-5</v>
      </c>
      <c r="H12" s="328">
        <f t="shared" si="1"/>
        <v>2.4986025289427237E-5</v>
      </c>
      <c r="I12" s="328">
        <f t="shared" si="2"/>
        <v>9.7263930676286214E-6</v>
      </c>
      <c r="J12" s="328">
        <f t="shared" si="3"/>
        <v>3.1946276309391816E-6</v>
      </c>
      <c r="K12" s="328">
        <f t="shared" si="4"/>
        <v>9.3268748280173097E-7</v>
      </c>
      <c r="L12" s="328">
        <f t="shared" si="5"/>
        <v>2.4961086892809881E-7</v>
      </c>
      <c r="M12" s="328">
        <f t="shared" si="6"/>
        <v>6.246440495442249E-8</v>
      </c>
      <c r="N12" s="328">
        <f t="shared" si="7"/>
        <v>1.4817395788683187E-8</v>
      </c>
      <c r="O12" s="328">
        <f t="shared" si="8"/>
        <v>3.3646765144034079E-9</v>
      </c>
      <c r="P12" s="326">
        <f t="shared" si="9"/>
        <v>7.3675057734469467E-10</v>
      </c>
      <c r="Q12" s="327">
        <f t="shared" si="10"/>
        <v>1.5643491530055951E-10</v>
      </c>
      <c r="R12" s="327">
        <f t="shared" si="11"/>
        <v>3.2350967675332165E-11</v>
      </c>
      <c r="S12" s="327">
        <f t="shared" si="12"/>
        <v>6.5388644946803809E-12</v>
      </c>
      <c r="T12" s="327">
        <f t="shared" si="13"/>
        <v>1.2954295867844527E-12</v>
      </c>
      <c r="U12" s="327">
        <f t="shared" si="14"/>
        <v>2.5213808932293227E-13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1.3438863542906245E-3</v>
      </c>
      <c r="C13" s="93">
        <f t="shared" si="17"/>
        <v>1.0296312338308804E-4</v>
      </c>
      <c r="D13" s="93"/>
      <c r="E13" s="324">
        <v>11</v>
      </c>
      <c r="F13" s="328">
        <f t="shared" si="15"/>
        <v>1.7398378784582291E-5</v>
      </c>
      <c r="G13" s="328">
        <f t="shared" si="0"/>
        <v>1.5238630589931206E-5</v>
      </c>
      <c r="H13" s="328">
        <f t="shared" si="1"/>
        <v>7.7857399623309016E-6</v>
      </c>
      <c r="I13" s="328">
        <f t="shared" si="2"/>
        <v>3.0307808592516768E-6</v>
      </c>
      <c r="J13" s="328">
        <f t="shared" si="3"/>
        <v>9.9545804996421023E-7</v>
      </c>
      <c r="K13" s="328">
        <f t="shared" si="4"/>
        <v>2.9062894650506911E-7</v>
      </c>
      <c r="L13" s="328">
        <f t="shared" si="5"/>
        <v>7.7779690636428911E-8</v>
      </c>
      <c r="M13" s="328">
        <f t="shared" si="6"/>
        <v>1.9464144786672308E-8</v>
      </c>
      <c r="N13" s="328">
        <f t="shared" si="7"/>
        <v>4.6171565582477976E-9</v>
      </c>
      <c r="O13" s="328">
        <f t="shared" si="8"/>
        <v>1.0484459250744386E-9</v>
      </c>
      <c r="P13" s="328">
        <f t="shared" si="9"/>
        <v>2.2957426584892586E-10</v>
      </c>
      <c r="Q13" s="326">
        <f t="shared" si="10"/>
        <v>4.8745711150576352E-11</v>
      </c>
      <c r="R13" s="327">
        <f t="shared" si="11"/>
        <v>1.0080683859568875E-11</v>
      </c>
      <c r="S13" s="327">
        <f t="shared" si="12"/>
        <v>2.0375349026018184E-12</v>
      </c>
      <c r="T13" s="327">
        <f t="shared" si="13"/>
        <v>4.0366075777892255E-13</v>
      </c>
      <c r="U13" s="327">
        <f t="shared" si="14"/>
        <v>7.8567182067889145E-14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4.4784063016881955E-4</v>
      </c>
      <c r="C14" s="93">
        <f t="shared" si="17"/>
        <v>2.3380464964112591E-5</v>
      </c>
      <c r="D14" s="93"/>
      <c r="E14" s="324">
        <v>12</v>
      </c>
      <c r="F14" s="328">
        <f t="shared" si="15"/>
        <v>5.2802183116985556E-6</v>
      </c>
      <c r="G14" s="328">
        <f t="shared" si="0"/>
        <v>4.6247582767578141E-6</v>
      </c>
      <c r="H14" s="328">
        <f t="shared" si="1"/>
        <v>2.3628872108275485E-6</v>
      </c>
      <c r="I14" s="328">
        <f t="shared" si="2"/>
        <v>9.1980895403585135E-7</v>
      </c>
      <c r="J14" s="328">
        <f t="shared" si="3"/>
        <v>3.021106672655393E-7</v>
      </c>
      <c r="K14" s="328">
        <f t="shared" si="4"/>
        <v>8.8202717290280499E-8</v>
      </c>
      <c r="L14" s="328">
        <f t="shared" si="5"/>
        <v>2.3605288277817014E-8</v>
      </c>
      <c r="M14" s="328">
        <f t="shared" si="6"/>
        <v>5.9071557756412279E-9</v>
      </c>
      <c r="N14" s="328">
        <f t="shared" si="7"/>
        <v>1.4012566865392808E-9</v>
      </c>
      <c r="O14" s="328">
        <f t="shared" si="8"/>
        <v>3.1819190977205145E-10</v>
      </c>
      <c r="P14" s="328">
        <f t="shared" si="9"/>
        <v>6.9673287232052513E-11</v>
      </c>
      <c r="Q14" s="328">
        <f t="shared" si="10"/>
        <v>1.4793791986074479E-11</v>
      </c>
      <c r="R14" s="326">
        <f t="shared" si="11"/>
        <v>3.0593776678151323E-12</v>
      </c>
      <c r="S14" s="327">
        <f t="shared" si="12"/>
        <v>6.1836963297849901E-13</v>
      </c>
      <c r="T14" s="327">
        <f t="shared" si="13"/>
        <v>1.225066399190684E-13</v>
      </c>
      <c r="U14" s="327">
        <f t="shared" si="14"/>
        <v>2.3844283343287525E-14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1.4390973488200321E-4</v>
      </c>
      <c r="C15" s="93">
        <f t="shared" si="17"/>
        <v>5.1195325872067171E-6</v>
      </c>
      <c r="D15" s="93"/>
      <c r="E15" s="324">
        <v>13</v>
      </c>
      <c r="F15" s="328">
        <f t="shared" si="15"/>
        <v>1.5662333005914838E-6</v>
      </c>
      <c r="G15" s="328">
        <f t="shared" si="0"/>
        <v>1.371808889832451E-6</v>
      </c>
      <c r="H15" s="328">
        <f t="shared" si="1"/>
        <v>7.0088629232251242E-7</v>
      </c>
      <c r="I15" s="328">
        <f t="shared" si="2"/>
        <v>2.7283633534647247E-7</v>
      </c>
      <c r="J15" s="328">
        <f t="shared" si="3"/>
        <v>8.9612921209499876E-8</v>
      </c>
      <c r="K15" s="328">
        <f t="shared" si="4"/>
        <v>2.6162939649034011E-8</v>
      </c>
      <c r="L15" s="328">
        <f t="shared" si="5"/>
        <v>7.0018674206835482E-9</v>
      </c>
      <c r="M15" s="328">
        <f t="shared" si="6"/>
        <v>1.7521972656116187E-9</v>
      </c>
      <c r="N15" s="328">
        <f t="shared" si="7"/>
        <v>4.1564472443721896E-10</v>
      </c>
      <c r="O15" s="328">
        <f t="shared" si="8"/>
        <v>9.4382984877659909E-11</v>
      </c>
      <c r="P15" s="328">
        <f t="shared" si="9"/>
        <v>2.066668766000559E-11</v>
      </c>
      <c r="Q15" s="328">
        <f t="shared" si="10"/>
        <v>4.3881764508255169E-12</v>
      </c>
      <c r="R15" s="328">
        <f t="shared" si="11"/>
        <v>9.0748126300038592E-13</v>
      </c>
      <c r="S15" s="326">
        <f t="shared" si="12"/>
        <v>1.8342255074940367E-13</v>
      </c>
      <c r="T15" s="327">
        <f t="shared" si="13"/>
        <v>3.6338266272004266E-14</v>
      </c>
      <c r="U15" s="327">
        <f t="shared" si="14"/>
        <v>7.0727588134480538E-15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4.4842817569442317E-5</v>
      </c>
      <c r="C16" s="93">
        <f t="shared" si="17"/>
        <v>1.0870349766735805E-6</v>
      </c>
      <c r="D16" s="93"/>
      <c r="E16" s="324">
        <v>14</v>
      </c>
      <c r="F16" s="328">
        <f t="shared" si="15"/>
        <v>4.5536268649470019E-7</v>
      </c>
      <c r="G16" s="328">
        <f t="shared" si="0"/>
        <v>3.9883622778005807E-7</v>
      </c>
      <c r="H16" s="328">
        <f t="shared" si="1"/>
        <v>2.0377389810238363E-7</v>
      </c>
      <c r="I16" s="328">
        <f t="shared" si="2"/>
        <v>7.932374224824612E-8</v>
      </c>
      <c r="J16" s="328">
        <f t="shared" si="3"/>
        <v>2.6053832804592615E-8</v>
      </c>
      <c r="K16" s="328">
        <f t="shared" si="4"/>
        <v>7.6065465347235872E-9</v>
      </c>
      <c r="L16" s="328">
        <f t="shared" si="5"/>
        <v>2.0357051264061945E-9</v>
      </c>
      <c r="M16" s="328">
        <f t="shared" si="6"/>
        <v>5.0942937673222454E-10</v>
      </c>
      <c r="N16" s="328">
        <f t="shared" si="7"/>
        <v>1.2084349009538008E-10</v>
      </c>
      <c r="O16" s="328">
        <f t="shared" si="8"/>
        <v>2.7440668984019923E-11</v>
      </c>
      <c r="P16" s="328">
        <f t="shared" si="9"/>
        <v>6.0085802097637927E-12</v>
      </c>
      <c r="Q16" s="328">
        <f t="shared" si="10"/>
        <v>1.2758072610932655E-12</v>
      </c>
      <c r="R16" s="328">
        <f t="shared" si="11"/>
        <v>2.6383879445508082E-13</v>
      </c>
      <c r="S16" s="328">
        <f t="shared" si="12"/>
        <v>5.3327805915897976E-14</v>
      </c>
      <c r="T16" s="326">
        <f t="shared" si="13"/>
        <v>1.0564895118709744E-14</v>
      </c>
      <c r="U16" s="327">
        <f t="shared" si="14"/>
        <v>2.0563159096441742E-15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1.3609306327331564E-5</v>
      </c>
      <c r="C17" s="93">
        <f t="shared" si="17"/>
        <v>2.248004118821975E-7</v>
      </c>
      <c r="D17" s="93"/>
      <c r="E17" s="324">
        <v>15</v>
      </c>
      <c r="F17" s="328">
        <f t="shared" si="15"/>
        <v>1.3006834043501559E-7</v>
      </c>
      <c r="G17" s="328">
        <f t="shared" si="0"/>
        <v>1.1392230367412367E-7</v>
      </c>
      <c r="H17" s="328">
        <f t="shared" si="1"/>
        <v>5.8205324099297912E-8</v>
      </c>
      <c r="I17" s="328">
        <f t="shared" si="2"/>
        <v>2.2657779869375369E-8</v>
      </c>
      <c r="J17" s="328">
        <f t="shared" si="3"/>
        <v>7.441933420041367E-9</v>
      </c>
      <c r="K17" s="328">
        <f t="shared" si="4"/>
        <v>2.1727096083107162E-9</v>
      </c>
      <c r="L17" s="328">
        <f t="shared" si="5"/>
        <v>5.8147229726911105E-10</v>
      </c>
      <c r="M17" s="328">
        <f t="shared" si="6"/>
        <v>1.4551177680030656E-10</v>
      </c>
      <c r="N17" s="328">
        <f t="shared" si="7"/>
        <v>3.4517347765305455E-11</v>
      </c>
      <c r="O17" s="328">
        <f t="shared" si="8"/>
        <v>7.8380648679250473E-12</v>
      </c>
      <c r="P17" s="328">
        <f t="shared" si="9"/>
        <v>1.7162716213546193E-12</v>
      </c>
      <c r="Q17" s="328">
        <f t="shared" si="10"/>
        <v>3.6441750298588644E-13</v>
      </c>
      <c r="R17" s="328">
        <f t="shared" si="11"/>
        <v>7.5362068862765636E-14</v>
      </c>
      <c r="S17" s="328">
        <f t="shared" si="12"/>
        <v>1.5232383812374983E-14</v>
      </c>
      <c r="T17" s="328">
        <f t="shared" si="13"/>
        <v>3.0177228299898627E-15</v>
      </c>
      <c r="U17" s="326">
        <f t="shared" si="14"/>
        <v>5.8735949543079234E-16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4.0368309621956328E-6</v>
      </c>
      <c r="C18" s="93">
        <f t="shared" si="17"/>
        <v>4.5437263156949262E-8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1.1736579672876253E-6</v>
      </c>
      <c r="C19" s="93">
        <f t="shared" si="17"/>
        <v>9.0016814209728215E-9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3.3523990562018069E-7</v>
      </c>
      <c r="C20" s="93">
        <f t="shared" si="17"/>
        <v>1.7520572150985434E-9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0.50272538824793089</v>
      </c>
      <c r="C21" s="323">
        <f>SUM(G2:U2,H3:U3,I4:U4,J5:U5,K6:U6,L7:U7,M8:U8,N9:U9,O10:U10,P11:U11,Q12:U12,R13:U13,S14:U14,T15:U15,U16)</f>
        <v>0.25340542706817093</v>
      </c>
    </row>
    <row r="22" spans="1:39">
      <c r="A22" s="1" t="s">
        <v>348</v>
      </c>
      <c r="B22" s="401">
        <f>1-B21-C21</f>
        <v>0.24386918468389818</v>
      </c>
      <c r="C22" s="377"/>
    </row>
    <row r="23" spans="1:39">
      <c r="A23" s="1" t="s">
        <v>349</v>
      </c>
      <c r="B23" s="329">
        <f>B21/(B21+C21)</f>
        <v>0.66486562650903946</v>
      </c>
      <c r="C23" s="330">
        <f>C21/(B21+C21)</f>
        <v>0.33513437349096048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2.1995243208632078E-2</v>
      </c>
      <c r="G2" s="327">
        <f t="shared" ref="G2:G17" si="0">$B5*$C$6</f>
        <v>4.6003334907276504E-2</v>
      </c>
      <c r="H2" s="327">
        <f t="shared" ref="H2:H17" si="1">$B5*$C$7</f>
        <v>5.612633156489142E-2</v>
      </c>
      <c r="I2" s="327">
        <f t="shared" ref="I2:I17" si="2">$B5*$C$8</f>
        <v>5.2172865107553715E-2</v>
      </c>
      <c r="J2" s="327">
        <f t="shared" ref="J2:J17" si="3">$B5*$C$9</f>
        <v>4.092008264893307E-2</v>
      </c>
      <c r="K2" s="327">
        <f t="shared" ref="K2:K17" si="4">$B5*$C$10</f>
        <v>2.8528293575063042E-2</v>
      </c>
      <c r="L2" s="327">
        <f t="shared" ref="L2:L17" si="5">$B5*$C$11</f>
        <v>1.8231673174109633E-2</v>
      </c>
      <c r="M2" s="327">
        <f t="shared" ref="M2:M17" si="6">$B5*$C$12</f>
        <v>1.0894794180113807E-2</v>
      </c>
      <c r="N2" s="327">
        <f t="shared" ref="N2:N17" si="7">$B5*$C$13</f>
        <v>6.171371529227635E-3</v>
      </c>
      <c r="O2" s="327">
        <f t="shared" ref="O2:O17" si="8">$B5*$C$14</f>
        <v>3.3463897090428253E-3</v>
      </c>
      <c r="P2" s="327">
        <f t="shared" ref="P2:P17" si="9">$B5*$C$15</f>
        <v>1.7497543111383354E-3</v>
      </c>
      <c r="Q2" s="327">
        <f t="shared" ref="Q2:Q17" si="10">$B5*$C$16</f>
        <v>8.8718393052127109E-4</v>
      </c>
      <c r="R2" s="327">
        <f t="shared" ref="R2:R17" si="11">$B5*$C$17</f>
        <v>4.3811753888286598E-4</v>
      </c>
      <c r="S2" s="327">
        <f t="shared" ref="S2:S17" si="12">$B5*$C$18</f>
        <v>2.1146041944130307E-4</v>
      </c>
      <c r="T2" s="327">
        <f t="shared" ref="T2:T17" si="13">$B5*$C$19</f>
        <v>1.0003775841086269E-4</v>
      </c>
      <c r="U2" s="327">
        <f t="shared" ref="U2:U17" si="14">$B5*$C$20</f>
        <v>4.649561382073987E-5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2.4734609421934999E-2</v>
      </c>
      <c r="G3" s="326">
        <f t="shared" si="0"/>
        <v>5.1732754679947861E-2</v>
      </c>
      <c r="H3" s="327">
        <f t="shared" si="1"/>
        <v>6.3116505526921579E-2</v>
      </c>
      <c r="I3" s="327">
        <f t="shared" si="2"/>
        <v>5.8670660224943182E-2</v>
      </c>
      <c r="J3" s="327">
        <f t="shared" si="3"/>
        <v>4.6016416014779113E-2</v>
      </c>
      <c r="K3" s="327">
        <f t="shared" si="4"/>
        <v>3.2081309234014456E-2</v>
      </c>
      <c r="L3" s="327">
        <f t="shared" si="5"/>
        <v>2.0502310922072192E-2</v>
      </c>
      <c r="M3" s="327">
        <f t="shared" si="6"/>
        <v>1.225167079178866E-2</v>
      </c>
      <c r="N3" s="327">
        <f t="shared" si="7"/>
        <v>6.9399761996352394E-3</v>
      </c>
      <c r="O3" s="327">
        <f t="shared" si="8"/>
        <v>3.7631610453969918E-3</v>
      </c>
      <c r="P3" s="327">
        <f t="shared" si="9"/>
        <v>1.9676749677115884E-3</v>
      </c>
      <c r="Q3" s="327">
        <f t="shared" si="10"/>
        <v>9.9767698855217617E-4</v>
      </c>
      <c r="R3" s="327">
        <f t="shared" si="11"/>
        <v>4.9268226326837057E-4</v>
      </c>
      <c r="S3" s="327">
        <f t="shared" si="12"/>
        <v>2.3779645596401061E-4</v>
      </c>
      <c r="T3" s="327">
        <f t="shared" si="13"/>
        <v>1.1249681843788389E-4</v>
      </c>
      <c r="U3" s="327">
        <f t="shared" si="14"/>
        <v>5.2286343768992006E-5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Innings'!$G$13</f>
        <v>1.545381866307149</v>
      </c>
      <c r="C4" s="87">
        <f>'First 5 Innings'!$G$14</f>
        <v>3.585309627595878</v>
      </c>
      <c r="D4" s="87"/>
      <c r="E4" s="324">
        <v>2</v>
      </c>
      <c r="F4" s="328">
        <f t="shared" si="15"/>
        <v>1.6225501889081985E-2</v>
      </c>
      <c r="G4" s="328">
        <f t="shared" si="0"/>
        <v>3.3935846508355468E-2</v>
      </c>
      <c r="H4" s="326">
        <f t="shared" si="1"/>
        <v>4.1403402099049774E-2</v>
      </c>
      <c r="I4" s="327">
        <f t="shared" si="2"/>
        <v>3.848699981772466E-2</v>
      </c>
      <c r="J4" s="327">
        <f t="shared" si="3"/>
        <v>3.0186021223947476E-2</v>
      </c>
      <c r="K4" s="327">
        <f t="shared" si="4"/>
        <v>2.1044817595506759E-2</v>
      </c>
      <c r="L4" s="327">
        <f t="shared" si="5"/>
        <v>1.3449182840203687E-2</v>
      </c>
      <c r="M4" s="327">
        <f t="shared" si="6"/>
        <v>8.0368969723972339E-3</v>
      </c>
      <c r="N4" s="327">
        <f t="shared" si="7"/>
        <v>4.5525116251686707E-3</v>
      </c>
      <c r="O4" s="327">
        <f t="shared" si="8"/>
        <v>2.4685725013656574E-3</v>
      </c>
      <c r="P4" s="327">
        <f t="shared" si="9"/>
        <v>1.29076280773574E-3</v>
      </c>
      <c r="Q4" s="327">
        <f t="shared" si="10"/>
        <v>6.544598940823131E-4</v>
      </c>
      <c r="R4" s="327">
        <f t="shared" si="11"/>
        <v>3.2319155952747445E-4</v>
      </c>
      <c r="S4" s="327">
        <f t="shared" si="12"/>
        <v>1.559906113592965E-4</v>
      </c>
      <c r="T4" s="327">
        <f t="shared" si="13"/>
        <v>7.3796085029783463E-5</v>
      </c>
      <c r="U4" s="327">
        <f t="shared" si="14"/>
        <v>3.4298991955968445E-5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0.2878618905343342</v>
      </c>
      <c r="C5" s="93">
        <f>_xlfn.NEGBINOM.DIST(A5,$A$2,$A$2/($A$2+$C$4),FALSE)</f>
        <v>7.6409013946945631E-2</v>
      </c>
      <c r="D5" s="93"/>
      <c r="E5" s="324">
        <v>3</v>
      </c>
      <c r="F5" s="328">
        <f t="shared" si="15"/>
        <v>8.1094595084249474E-3</v>
      </c>
      <c r="G5" s="328">
        <f t="shared" si="0"/>
        <v>1.6961039173081831E-2</v>
      </c>
      <c r="H5" s="328">
        <f t="shared" si="1"/>
        <v>2.0693302131948869E-2</v>
      </c>
      <c r="I5" s="326">
        <f t="shared" si="2"/>
        <v>1.923569260021547E-2</v>
      </c>
      <c r="J5" s="327">
        <f t="shared" si="3"/>
        <v>1.5086887204443088E-2</v>
      </c>
      <c r="K5" s="327">
        <f t="shared" si="4"/>
        <v>1.0518139735806146E-2</v>
      </c>
      <c r="L5" s="327">
        <f t="shared" si="5"/>
        <v>6.7218631762278385E-3</v>
      </c>
      <c r="M5" s="327">
        <f t="shared" si="6"/>
        <v>4.0168181555538885E-3</v>
      </c>
      <c r="N5" s="327">
        <f t="shared" si="7"/>
        <v>2.2753323094912275E-3</v>
      </c>
      <c r="O5" s="327">
        <f t="shared" si="8"/>
        <v>1.2337854865929648E-3</v>
      </c>
      <c r="P5" s="327">
        <f t="shared" si="9"/>
        <v>6.4511956522943096E-4</v>
      </c>
      <c r="Q5" s="327">
        <f t="shared" si="10"/>
        <v>3.2709718609812925E-4</v>
      </c>
      <c r="R5" s="327">
        <f t="shared" si="11"/>
        <v>1.6153021850229203E-4</v>
      </c>
      <c r="S5" s="327">
        <f t="shared" si="12"/>
        <v>7.7963662089483715E-5</v>
      </c>
      <c r="T5" s="327">
        <f t="shared" si="13"/>
        <v>3.688307255580201E-5</v>
      </c>
      <c r="U5" s="327">
        <f t="shared" si="14"/>
        <v>1.7142538230751532E-5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0.32371323937133123</v>
      </c>
      <c r="C6" s="93">
        <f t="shared" ref="C6:C20" si="17">NEGBINOMDIST(A6,$A$2,$A$2/($A$2+$C$4))</f>
        <v>0.15981043833862246</v>
      </c>
      <c r="D6" s="93"/>
      <c r="E6" s="324">
        <v>4</v>
      </c>
      <c r="F6" s="328">
        <f t="shared" si="15"/>
        <v>3.419790218865966E-3</v>
      </c>
      <c r="G6" s="328">
        <f t="shared" si="0"/>
        <v>7.1525353577076255E-3</v>
      </c>
      <c r="H6" s="328">
        <f t="shared" si="1"/>
        <v>8.7264449811183011E-3</v>
      </c>
      <c r="I6" s="328">
        <f t="shared" si="2"/>
        <v>8.1117654436757593E-3</v>
      </c>
      <c r="J6" s="326">
        <f t="shared" si="3"/>
        <v>6.3621982749019678E-3</v>
      </c>
      <c r="K6" s="327">
        <f t="shared" si="4"/>
        <v>4.4355399212248512E-3</v>
      </c>
      <c r="L6" s="327">
        <f t="shared" si="5"/>
        <v>2.8346355165517036E-3</v>
      </c>
      <c r="M6" s="327">
        <f t="shared" si="6"/>
        <v>1.6939076426801729E-3</v>
      </c>
      <c r="N6" s="327">
        <f t="shared" si="7"/>
        <v>9.5951637326555886E-4</v>
      </c>
      <c r="O6" s="327">
        <f t="shared" si="8"/>
        <v>5.2029207801654028E-4</v>
      </c>
      <c r="P6" s="327">
        <f t="shared" si="9"/>
        <v>2.7204939822175208E-4</v>
      </c>
      <c r="Q6" s="327">
        <f t="shared" si="10"/>
        <v>1.379381395856088E-4</v>
      </c>
      <c r="R6" s="327">
        <f t="shared" si="11"/>
        <v>6.8117913494916739E-5</v>
      </c>
      <c r="S6" s="327">
        <f t="shared" si="12"/>
        <v>3.2877575720502193E-5</v>
      </c>
      <c r="T6" s="327">
        <f t="shared" si="13"/>
        <v>1.5553733345239106E-5</v>
      </c>
      <c r="U6" s="327">
        <f t="shared" si="14"/>
        <v>7.2290742073692328E-6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0.21235062528549464</v>
      </c>
      <c r="C7" s="93">
        <f t="shared" si="17"/>
        <v>0.19497659610554477</v>
      </c>
      <c r="D7" s="93"/>
      <c r="E7" s="324">
        <v>5</v>
      </c>
      <c r="F7" s="328">
        <f t="shared" si="15"/>
        <v>1.2819010390302163E-3</v>
      </c>
      <c r="G7" s="328">
        <f t="shared" si="0"/>
        <v>2.681112559526016E-3</v>
      </c>
      <c r="H7" s="328">
        <f t="shared" si="1"/>
        <v>3.2710892108595755E-3</v>
      </c>
      <c r="I7" s="328">
        <f t="shared" si="2"/>
        <v>3.0406779027707708E-3</v>
      </c>
      <c r="J7" s="328">
        <f t="shared" si="3"/>
        <v>2.3848563967814348E-3</v>
      </c>
      <c r="K7" s="326">
        <f t="shared" si="4"/>
        <v>1.6626526394252468E-3</v>
      </c>
      <c r="L7" s="327">
        <f t="shared" si="5"/>
        <v>1.0625570521529122E-3</v>
      </c>
      <c r="M7" s="327">
        <f t="shared" si="6"/>
        <v>6.3495765184479701E-4</v>
      </c>
      <c r="N7" s="327">
        <f t="shared" si="7"/>
        <v>3.5967265742502355E-4</v>
      </c>
      <c r="O7" s="327">
        <f t="shared" si="8"/>
        <v>1.9503037108216668E-4</v>
      </c>
      <c r="P7" s="327">
        <f t="shared" si="9"/>
        <v>1.0197713424762487E-4</v>
      </c>
      <c r="Q7" s="327">
        <f t="shared" si="10"/>
        <v>5.1705816187556411E-5</v>
      </c>
      <c r="R7" s="327">
        <f t="shared" si="11"/>
        <v>2.5533853978522816E-5</v>
      </c>
      <c r="S7" s="327">
        <f t="shared" si="12"/>
        <v>1.2324088841590498E-5</v>
      </c>
      <c r="T7" s="327">
        <f t="shared" si="13"/>
        <v>5.8302836314540591E-6</v>
      </c>
      <c r="U7" s="327">
        <f t="shared" si="14"/>
        <v>2.7098029833906497E-6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0.10613223610051724</v>
      </c>
      <c r="C8" s="93">
        <f t="shared" si="17"/>
        <v>0.18124269597031251</v>
      </c>
      <c r="D8" s="93"/>
      <c r="E8" s="324">
        <v>6</v>
      </c>
      <c r="F8" s="328">
        <f t="shared" si="15"/>
        <v>4.4047470399437728E-4</v>
      </c>
      <c r="G8" s="328">
        <f t="shared" si="0"/>
        <v>9.212585254835667E-4</v>
      </c>
      <c r="H8" s="328">
        <f t="shared" si="1"/>
        <v>1.1239807192781361E-3</v>
      </c>
      <c r="I8" s="328">
        <f t="shared" si="2"/>
        <v>1.0448089660481418E-3</v>
      </c>
      <c r="J8" s="328">
        <f t="shared" si="3"/>
        <v>8.1946178640755329E-4</v>
      </c>
      <c r="K8" s="328">
        <f t="shared" si="4"/>
        <v>5.7130496574864156E-4</v>
      </c>
      <c r="L8" s="326">
        <f t="shared" si="5"/>
        <v>3.6510579894549869E-4</v>
      </c>
      <c r="M8" s="327">
        <f t="shared" si="6"/>
        <v>2.1817813952072884E-4</v>
      </c>
      <c r="N8" s="327">
        <f t="shared" si="7"/>
        <v>1.23587314847651E-4</v>
      </c>
      <c r="O8" s="327">
        <f t="shared" si="8"/>
        <v>6.7014490476831573E-5</v>
      </c>
      <c r="P8" s="327">
        <f t="shared" si="9"/>
        <v>3.5040417828118048E-5</v>
      </c>
      <c r="Q8" s="327">
        <f t="shared" si="10"/>
        <v>1.7766663249786746E-5</v>
      </c>
      <c r="R8" s="327">
        <f t="shared" si="11"/>
        <v>8.7737012691198702E-6</v>
      </c>
      <c r="S8" s="327">
        <f t="shared" si="12"/>
        <v>4.2346867809754738E-6</v>
      </c>
      <c r="T8" s="327">
        <f t="shared" si="13"/>
        <v>2.0033468876121692E-6</v>
      </c>
      <c r="U8" s="327">
        <f t="shared" si="14"/>
        <v>9.3111685742532724E-7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4.4756371561612968E-2</v>
      </c>
      <c r="C9" s="93">
        <f t="shared" si="17"/>
        <v>0.14215178873791354</v>
      </c>
      <c r="D9" s="93"/>
      <c r="E9" s="324">
        <v>7</v>
      </c>
      <c r="F9" s="328">
        <f t="shared" si="15"/>
        <v>1.4152371375679451E-4</v>
      </c>
      <c r="G9" s="328">
        <f t="shared" si="0"/>
        <v>2.9599867296399199E-4</v>
      </c>
      <c r="H9" s="328">
        <f t="shared" si="1"/>
        <v>3.6113294166673754E-4</v>
      </c>
      <c r="I9" s="328">
        <f t="shared" si="2"/>
        <v>3.3569520269980633E-4</v>
      </c>
      <c r="J9" s="328">
        <f t="shared" si="3"/>
        <v>2.632915675803586E-4</v>
      </c>
      <c r="K9" s="328">
        <f t="shared" si="4"/>
        <v>1.8355923667634302E-4</v>
      </c>
      <c r="L9" s="328">
        <f t="shared" si="5"/>
        <v>1.1730782292907362E-4</v>
      </c>
      <c r="M9" s="326">
        <f t="shared" si="6"/>
        <v>7.0100235690074401E-5</v>
      </c>
      <c r="N9" s="327">
        <f t="shared" si="7"/>
        <v>3.970837737527163E-5</v>
      </c>
      <c r="O9" s="327">
        <f t="shared" si="8"/>
        <v>2.1531632763005635E-5</v>
      </c>
      <c r="P9" s="327">
        <f t="shared" si="9"/>
        <v>1.1258421919930186E-5</v>
      </c>
      <c r="Q9" s="327">
        <f t="shared" si="10"/>
        <v>5.7083962855861902E-6</v>
      </c>
      <c r="R9" s="327">
        <f t="shared" si="11"/>
        <v>2.8189741107457455E-6</v>
      </c>
      <c r="S9" s="327">
        <f t="shared" si="12"/>
        <v>1.3605970885631261E-6</v>
      </c>
      <c r="T9" s="327">
        <f t="shared" si="13"/>
        <v>6.4367167718582308E-7</v>
      </c>
      <c r="U9" s="327">
        <f t="shared" si="14"/>
        <v>2.9916613691865986E-7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1.677683002060857E-2</v>
      </c>
      <c r="C10" s="93">
        <f t="shared" si="17"/>
        <v>9.9104099963035513E-2</v>
      </c>
      <c r="D10" s="93"/>
      <c r="E10" s="324">
        <v>8</v>
      </c>
      <c r="F10" s="328">
        <f t="shared" si="15"/>
        <v>4.3103012051155413E-5</v>
      </c>
      <c r="G10" s="328">
        <f t="shared" si="0"/>
        <v>9.0150505729506608E-5</v>
      </c>
      <c r="H10" s="328">
        <f t="shared" si="1"/>
        <v>1.0998805163833032E-4</v>
      </c>
      <c r="I10" s="328">
        <f t="shared" si="2"/>
        <v>1.0224063503838158E-4</v>
      </c>
      <c r="J10" s="328">
        <f t="shared" si="3"/>
        <v>8.0189102653751914E-5</v>
      </c>
      <c r="K10" s="328">
        <f t="shared" si="4"/>
        <v>5.5905514210557171E-5</v>
      </c>
      <c r="L10" s="328">
        <f t="shared" si="5"/>
        <v>3.572772626710351E-5</v>
      </c>
      <c r="M10" s="328">
        <f t="shared" si="6"/>
        <v>2.1350000106205162E-5</v>
      </c>
      <c r="N10" s="326">
        <f t="shared" si="7"/>
        <v>1.2093737671973641E-5</v>
      </c>
      <c r="O10" s="327">
        <f t="shared" si="8"/>
        <v>6.5577577200932364E-6</v>
      </c>
      <c r="P10" s="327">
        <f t="shared" si="9"/>
        <v>3.4289087164973106E-6</v>
      </c>
      <c r="Q10" s="327">
        <f t="shared" si="10"/>
        <v>1.7385713486378859E-6</v>
      </c>
      <c r="R10" s="327">
        <f t="shared" si="11"/>
        <v>8.5855770628076466E-7</v>
      </c>
      <c r="S10" s="327">
        <f t="shared" si="12"/>
        <v>4.14388734921732E-7</v>
      </c>
      <c r="T10" s="327">
        <f t="shared" si="13"/>
        <v>1.9603914653063546E-7</v>
      </c>
      <c r="U10" s="327">
        <f t="shared" si="14"/>
        <v>9.1115200856460877E-8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5.7646955672038848E-3</v>
      </c>
      <c r="C11" s="93">
        <f t="shared" si="17"/>
        <v>6.3334792737821902E-2</v>
      </c>
      <c r="D11" s="93"/>
      <c r="E11" s="324">
        <v>9</v>
      </c>
      <c r="F11" s="328">
        <f t="shared" si="15"/>
        <v>1.2566611360552167E-5</v>
      </c>
      <c r="G11" s="328">
        <f t="shared" si="0"/>
        <v>2.6283229768615974E-5</v>
      </c>
      <c r="H11" s="328">
        <f t="shared" si="1"/>
        <v>3.2066833232045319E-5</v>
      </c>
      <c r="I11" s="328">
        <f t="shared" si="2"/>
        <v>2.9808086828329977E-5</v>
      </c>
      <c r="J11" s="328">
        <f t="shared" si="3"/>
        <v>2.3378999296038999E-5</v>
      </c>
      <c r="K11" s="328">
        <f t="shared" si="4"/>
        <v>1.6299159538134091E-5</v>
      </c>
      <c r="L11" s="328">
        <f t="shared" si="5"/>
        <v>1.0416359076299073E-5</v>
      </c>
      <c r="M11" s="328">
        <f t="shared" si="6"/>
        <v>6.2245569651607636E-6</v>
      </c>
      <c r="N11" s="328">
        <f t="shared" si="7"/>
        <v>3.5259090719644457E-6</v>
      </c>
      <c r="O11" s="326">
        <f t="shared" si="8"/>
        <v>1.9119033390814577E-6</v>
      </c>
      <c r="P11" s="327">
        <f t="shared" si="9"/>
        <v>9.9969262426235476E-7</v>
      </c>
      <c r="Q11" s="327">
        <f t="shared" si="10"/>
        <v>5.0687758050397566E-7</v>
      </c>
      <c r="R11" s="327">
        <f t="shared" si="11"/>
        <v>2.5031106904159507E-7</v>
      </c>
      <c r="S11" s="327">
        <f t="shared" si="12"/>
        <v>1.2081434535878769E-7</v>
      </c>
      <c r="T11" s="327">
        <f t="shared" si="13"/>
        <v>5.7154886600060634E-8</v>
      </c>
      <c r="U11" s="327">
        <f t="shared" si="14"/>
        <v>2.6564485025846375E-8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1.8521861027425517E-3</v>
      </c>
      <c r="C12" s="93">
        <f t="shared" si="17"/>
        <v>3.7847296006743726E-2</v>
      </c>
      <c r="D12" s="93"/>
      <c r="E12" s="324">
        <v>10</v>
      </c>
      <c r="F12" s="328">
        <f t="shared" si="15"/>
        <v>3.532925514987292E-6</v>
      </c>
      <c r="G12" s="328">
        <f t="shared" si="0"/>
        <v>7.3891592889793056E-6</v>
      </c>
      <c r="H12" s="328">
        <f t="shared" si="1"/>
        <v>9.0151378171814045E-6</v>
      </c>
      <c r="I12" s="328">
        <f t="shared" si="2"/>
        <v>8.3801231284466469E-6</v>
      </c>
      <c r="J12" s="328">
        <f t="shared" si="3"/>
        <v>6.5726758597090009E-6</v>
      </c>
      <c r="K12" s="328">
        <f t="shared" si="4"/>
        <v>4.5822787824793712E-6</v>
      </c>
      <c r="L12" s="328">
        <f t="shared" si="5"/>
        <v>2.9284124174832029E-6</v>
      </c>
      <c r="M12" s="328">
        <f t="shared" si="6"/>
        <v>1.7499463849689757E-6</v>
      </c>
      <c r="N12" s="328">
        <f t="shared" si="7"/>
        <v>9.9125959787149909E-7</v>
      </c>
      <c r="O12" s="328">
        <f t="shared" si="8"/>
        <v>5.3750465380298753E-7</v>
      </c>
      <c r="P12" s="326">
        <f t="shared" si="9"/>
        <v>2.8104947929621426E-7</v>
      </c>
      <c r="Q12" s="327">
        <f t="shared" si="10"/>
        <v>1.4250148156557902E-7</v>
      </c>
      <c r="R12" s="327">
        <f t="shared" si="11"/>
        <v>7.0371426085221122E-8</v>
      </c>
      <c r="S12" s="327">
        <f t="shared" si="12"/>
        <v>3.396524894804999E-8</v>
      </c>
      <c r="T12" s="327">
        <f t="shared" si="13"/>
        <v>1.6068290120709764E-8</v>
      </c>
      <c r="U12" s="327">
        <f t="shared" si="14"/>
        <v>7.4682302370642262E-9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5.6410899479849143E-4</v>
      </c>
      <c r="C13" s="93">
        <f t="shared" si="17"/>
        <v>2.1438654202444892E-2</v>
      </c>
      <c r="D13" s="93"/>
      <c r="E13" s="324">
        <v>11</v>
      </c>
      <c r="F13" s="328">
        <f t="shared" si="15"/>
        <v>9.6313422724941807E-7</v>
      </c>
      <c r="G13" s="328">
        <f t="shared" si="0"/>
        <v>2.0144076606267036E-6</v>
      </c>
      <c r="H13" s="328">
        <f t="shared" si="1"/>
        <v>2.4576764379164246E-6</v>
      </c>
      <c r="I13" s="328">
        <f t="shared" si="2"/>
        <v>2.284560877191454E-6</v>
      </c>
      <c r="J13" s="328">
        <f t="shared" si="3"/>
        <v>1.7918207044691979E-6</v>
      </c>
      <c r="K13" s="328">
        <f t="shared" si="4"/>
        <v>1.2492053725679943E-6</v>
      </c>
      <c r="L13" s="328">
        <f t="shared" si="5"/>
        <v>7.9833390735678458E-7</v>
      </c>
      <c r="M13" s="328">
        <f t="shared" si="6"/>
        <v>4.7706447590392227E-7</v>
      </c>
      <c r="N13" s="328">
        <f t="shared" si="7"/>
        <v>2.7023384522245418E-7</v>
      </c>
      <c r="O13" s="328">
        <f t="shared" si="8"/>
        <v>1.4653270418166982E-7</v>
      </c>
      <c r="P13" s="328">
        <f t="shared" si="9"/>
        <v>7.6618760263272712E-8</v>
      </c>
      <c r="Q13" s="326">
        <f t="shared" si="10"/>
        <v>3.8848272839982257E-8</v>
      </c>
      <c r="R13" s="327">
        <f t="shared" si="11"/>
        <v>1.918442061557949E-8</v>
      </c>
      <c r="S13" s="327">
        <f t="shared" si="12"/>
        <v>9.2594915064412007E-9</v>
      </c>
      <c r="T13" s="327">
        <f t="shared" si="13"/>
        <v>4.3804830084805587E-9</v>
      </c>
      <c r="U13" s="327">
        <f t="shared" si="14"/>
        <v>2.0359637155615111E-9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1.6446503771502347E-4</v>
      </c>
      <c r="C14" s="93">
        <f t="shared" si="17"/>
        <v>1.1624983435046574E-2</v>
      </c>
      <c r="D14" s="93"/>
      <c r="E14" s="324">
        <v>12</v>
      </c>
      <c r="F14" s="328">
        <f t="shared" si="15"/>
        <v>2.557287349215217E-7</v>
      </c>
      <c r="G14" s="328">
        <f t="shared" si="0"/>
        <v>5.3485994796329175E-7</v>
      </c>
      <c r="H14" s="328">
        <f t="shared" si="1"/>
        <v>6.5255544713607189E-7</v>
      </c>
      <c r="I14" s="328">
        <f t="shared" si="2"/>
        <v>6.0659028248206768E-7</v>
      </c>
      <c r="J14" s="328">
        <f t="shared" si="3"/>
        <v>4.7575927528680259E-7</v>
      </c>
      <c r="K14" s="328">
        <f t="shared" si="4"/>
        <v>3.3168555383636366E-7</v>
      </c>
      <c r="L14" s="328">
        <f t="shared" si="5"/>
        <v>2.1197141000413883E-7</v>
      </c>
      <c r="M14" s="328">
        <f t="shared" si="6"/>
        <v>1.2666883955242857E-7</v>
      </c>
      <c r="N14" s="328">
        <f t="shared" si="7"/>
        <v>7.1751742816861114E-8</v>
      </c>
      <c r="O14" s="328">
        <f t="shared" si="8"/>
        <v>3.8906958142298371E-8</v>
      </c>
      <c r="P14" s="328">
        <f t="shared" si="9"/>
        <v>2.0343601212614811E-8</v>
      </c>
      <c r="Q14" s="328">
        <f t="shared" si="10"/>
        <v>1.0314885907052347E-8</v>
      </c>
      <c r="R14" s="326">
        <f t="shared" si="11"/>
        <v>5.093794276458643E-9</v>
      </c>
      <c r="S14" s="327">
        <f t="shared" si="12"/>
        <v>2.4585545627645687E-9</v>
      </c>
      <c r="T14" s="327">
        <f t="shared" si="13"/>
        <v>1.1630937271361845E-9</v>
      </c>
      <c r="U14" s="327">
        <f t="shared" si="14"/>
        <v>5.4058345202162029E-10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4.6237025352013679E-5</v>
      </c>
      <c r="C15" s="93">
        <f t="shared" si="17"/>
        <v>6.0784507038789031E-3</v>
      </c>
      <c r="D15" s="93"/>
      <c r="E15" s="324">
        <v>13</v>
      </c>
      <c r="F15" s="328">
        <f t="shared" si="15"/>
        <v>6.6364178237414569E-8</v>
      </c>
      <c r="G15" s="328">
        <f t="shared" si="0"/>
        <v>1.3880153487476907E-7</v>
      </c>
      <c r="H15" s="328">
        <f t="shared" si="1"/>
        <v>1.6934470041790147E-7</v>
      </c>
      <c r="I15" s="328">
        <f t="shared" si="2"/>
        <v>1.5741627797938839E-7</v>
      </c>
      <c r="J15" s="328">
        <f t="shared" si="3"/>
        <v>1.2346431601800954E-7</v>
      </c>
      <c r="K15" s="328">
        <f t="shared" si="4"/>
        <v>8.6075736542970345E-8</v>
      </c>
      <c r="L15" s="328">
        <f t="shared" si="5"/>
        <v>5.5008712411875575E-8</v>
      </c>
      <c r="M15" s="328">
        <f t="shared" si="6"/>
        <v>3.2871837604653863E-8</v>
      </c>
      <c r="N15" s="328">
        <f t="shared" si="7"/>
        <v>1.8620298773247325E-8</v>
      </c>
      <c r="O15" s="328">
        <f t="shared" si="8"/>
        <v>1.0096746873688217E-8</v>
      </c>
      <c r="P15" s="328">
        <f t="shared" si="9"/>
        <v>5.2793690833342139E-9</v>
      </c>
      <c r="Q15" s="328">
        <f t="shared" si="10"/>
        <v>2.6768166160298314E-9</v>
      </c>
      <c r="R15" s="328">
        <f t="shared" si="11"/>
        <v>1.3218908362854227E-9</v>
      </c>
      <c r="S15" s="326">
        <f t="shared" si="12"/>
        <v>6.3801963146529994E-10</v>
      </c>
      <c r="T15" s="327">
        <f t="shared" si="13"/>
        <v>3.0183451788541493E-10</v>
      </c>
      <c r="U15" s="327">
        <f t="shared" si="14"/>
        <v>1.402868417316072E-10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1.2604981761944571E-5</v>
      </c>
      <c r="C16" s="93">
        <f t="shared" si="17"/>
        <v>3.0819777111672025E-3</v>
      </c>
      <c r="D16" s="93"/>
      <c r="E16" s="324">
        <v>14</v>
      </c>
      <c r="F16" s="328">
        <f t="shared" si="15"/>
        <v>1.6880461835521923E-8</v>
      </c>
      <c r="G16" s="328">
        <f t="shared" si="0"/>
        <v>3.5305703685251951E-8</v>
      </c>
      <c r="H16" s="328">
        <f t="shared" si="1"/>
        <v>4.3074695240340641E-8</v>
      </c>
      <c r="I16" s="328">
        <f t="shared" si="2"/>
        <v>4.0040569224179365E-8</v>
      </c>
      <c r="J16" s="328">
        <f t="shared" si="3"/>
        <v>3.1404512644380823E-8</v>
      </c>
      <c r="K16" s="328">
        <f t="shared" si="4"/>
        <v>2.1894314436924414E-8</v>
      </c>
      <c r="L16" s="328">
        <f t="shared" si="5"/>
        <v>1.3992073663113023E-8</v>
      </c>
      <c r="M16" s="328">
        <f t="shared" si="6"/>
        <v>8.3613150179263281E-9</v>
      </c>
      <c r="N16" s="328">
        <f t="shared" si="7"/>
        <v>4.7362786846143956E-9</v>
      </c>
      <c r="O16" s="328">
        <f t="shared" si="8"/>
        <v>2.5682191023971791E-9</v>
      </c>
      <c r="P16" s="328">
        <f t="shared" si="9"/>
        <v>1.3428658456078768E-9</v>
      </c>
      <c r="Q16" s="328">
        <f t="shared" si="10"/>
        <v>6.8087787610255925E-10</v>
      </c>
      <c r="R16" s="328">
        <f t="shared" si="11"/>
        <v>3.3623753665440641E-10</v>
      </c>
      <c r="S16" s="328">
        <f t="shared" si="12"/>
        <v>1.6228734123301249E-10</v>
      </c>
      <c r="T16" s="326">
        <f t="shared" si="13"/>
        <v>7.6774943879820461E-11</v>
      </c>
      <c r="U16" s="327">
        <f t="shared" si="14"/>
        <v>3.5683507891931026E-11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3.3468398780683936E-6</v>
      </c>
      <c r="C17" s="93">
        <f t="shared" si="17"/>
        <v>1.5219713108589146E-3</v>
      </c>
      <c r="D17" s="93"/>
      <c r="E17" s="324">
        <v>15</v>
      </c>
      <c r="F17" s="328">
        <f t="shared" si="15"/>
        <v>4.2184033096317114E-9</v>
      </c>
      <c r="G17" s="328">
        <f t="shared" si="0"/>
        <v>8.8228449390726348E-9</v>
      </c>
      <c r="H17" s="328">
        <f t="shared" si="1"/>
        <v>1.0764304835597656E-8</v>
      </c>
      <c r="I17" s="328">
        <f t="shared" si="2"/>
        <v>1.000608107648931E-8</v>
      </c>
      <c r="J17" s="328">
        <f t="shared" si="3"/>
        <v>7.8479428683433862E-9</v>
      </c>
      <c r="K17" s="328">
        <f t="shared" si="4"/>
        <v>5.4713579156043087E-9</v>
      </c>
      <c r="L17" s="328">
        <f t="shared" si="5"/>
        <v>3.4965992295827331E-9</v>
      </c>
      <c r="M17" s="328">
        <f t="shared" si="6"/>
        <v>2.0894806841286407E-9</v>
      </c>
      <c r="N17" s="328">
        <f t="shared" si="7"/>
        <v>1.1835892805060659E-9</v>
      </c>
      <c r="O17" s="328">
        <f t="shared" si="8"/>
        <v>6.4179428661210416E-10</v>
      </c>
      <c r="P17" s="328">
        <f t="shared" si="9"/>
        <v>3.3558025738272151E-10</v>
      </c>
      <c r="Q17" s="328">
        <f t="shared" si="10"/>
        <v>1.7015040903454293E-10</v>
      </c>
      <c r="R17" s="328">
        <f t="shared" si="11"/>
        <v>8.4025280307237946E-11</v>
      </c>
      <c r="S17" s="328">
        <f t="shared" si="12"/>
        <v>4.0555374849286761E-11</v>
      </c>
      <c r="T17" s="328">
        <f t="shared" si="13"/>
        <v>1.9185948851109142E-11</v>
      </c>
      <c r="U17" s="326">
        <f t="shared" si="14"/>
        <v>8.917257670867334E-12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8.6853860309589036E-7</v>
      </c>
      <c r="C18" s="93">
        <f t="shared" si="17"/>
        <v>7.3458983767801496E-4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2.2092238812612895E-7</v>
      </c>
      <c r="C19" s="93">
        <f t="shared" si="17"/>
        <v>3.4751997989442398E-4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5.520818934479049E-8</v>
      </c>
      <c r="C20" s="93">
        <f t="shared" si="17"/>
        <v>1.6152056020487434E-4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0.1681116443250518</v>
      </c>
      <c r="C21" s="323">
        <f>SUM(G2:U2,H3:U3,I4:U4,J5:U5,K6:U6,L7:U7,M8:U8,N9:U9,O10:U10,P11:U11,Q12:U12,R13:U13,S14:U14,T15:U15,U16)</f>
        <v>0.68891324642490848</v>
      </c>
    </row>
    <row r="22" spans="1:39">
      <c r="A22" s="1" t="s">
        <v>348</v>
      </c>
      <c r="B22" s="401">
        <f>1-B21-C21</f>
        <v>0.14297510925003976</v>
      </c>
      <c r="C22" s="377"/>
    </row>
    <row r="23" spans="1:39">
      <c r="A23" s="1" t="s">
        <v>349</v>
      </c>
      <c r="B23" s="329">
        <f>B21/(B21+C21)</f>
        <v>0.19615724833609169</v>
      </c>
      <c r="C23" s="330">
        <f>C21/(B21+C21)</f>
        <v>0.80384275166390839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2.3991675652557172E-2</v>
      </c>
      <c r="G2" s="327">
        <f t="shared" ref="G2:G17" si="0">$B5*$C$6</f>
        <v>3.4441668369569398E-2</v>
      </c>
      <c r="H2" s="327">
        <f t="shared" ref="H2:H17" si="1">$B5*$C$7</f>
        <v>2.8841946962517712E-2</v>
      </c>
      <c r="I2" s="327">
        <f t="shared" ref="I2:I17" si="2">$B5*$C$8</f>
        <v>1.8402026636265428E-2</v>
      </c>
      <c r="J2" s="327">
        <f t="shared" ref="J2:J17" si="3">$B5*$C$9</f>
        <v>9.9065063427533507E-3</v>
      </c>
      <c r="K2" s="327">
        <f t="shared" ref="K2:K17" si="4">$B5*$C$10</f>
        <v>4.7404859793773258E-3</v>
      </c>
      <c r="L2" s="327">
        <f t="shared" ref="L2:L17" si="5">$B5*$C$11</f>
        <v>2.0793933466112589E-3</v>
      </c>
      <c r="M2" s="327">
        <f t="shared" ref="M2:M17" si="6">$B5*$C$12</f>
        <v>8.5288839454185068E-4</v>
      </c>
      <c r="N2" s="327">
        <f t="shared" ref="N2:N17" si="7">$B5*$C$13</f>
        <v>3.3160259387469824E-4</v>
      </c>
      <c r="O2" s="327">
        <f t="shared" ref="O2:O17" si="8">$B5*$C$14</f>
        <v>1.2341722980615079E-4</v>
      </c>
      <c r="P2" s="327">
        <f t="shared" ref="P2:P17" si="9">$B5*$C$15</f>
        <v>4.4293439124804415E-5</v>
      </c>
      <c r="Q2" s="327">
        <f t="shared" ref="Q2:Q17" si="10">$B5*$C$16</f>
        <v>1.5414840960236708E-5</v>
      </c>
      <c r="R2" s="327">
        <f t="shared" ref="R2:R17" si="11">$B5*$C$17</f>
        <v>5.2249131093205882E-6</v>
      </c>
      <c r="S2" s="327">
        <f t="shared" ref="S2:S17" si="12">$B5*$C$18</f>
        <v>1.7309342608639467E-6</v>
      </c>
      <c r="T2" s="327">
        <f t="shared" ref="T2:T17" si="13">$B5*$C$19</f>
        <v>5.6205457629867563E-7</v>
      </c>
      <c r="U2" s="327">
        <f t="shared" ref="U2:U17" si="14">$B5*$C$20</f>
        <v>1.7930383301662215E-7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4.2328370639048297E-2</v>
      </c>
      <c r="G3" s="326">
        <f t="shared" si="0"/>
        <v>6.07652306277712E-2</v>
      </c>
      <c r="H3" s="327">
        <f t="shared" si="1"/>
        <v>5.0885675459317055E-2</v>
      </c>
      <c r="I3" s="327">
        <f t="shared" si="2"/>
        <v>3.2466586129696176E-2</v>
      </c>
      <c r="J3" s="327">
        <f t="shared" si="3"/>
        <v>1.7477990211552916E-2</v>
      </c>
      <c r="K3" s="327">
        <f t="shared" si="4"/>
        <v>8.3636112145800915E-3</v>
      </c>
      <c r="L3" s="327">
        <f t="shared" si="5"/>
        <v>3.668661312131026E-3</v>
      </c>
      <c r="M3" s="327">
        <f t="shared" si="6"/>
        <v>1.5047459210737711E-3</v>
      </c>
      <c r="N3" s="327">
        <f t="shared" si="7"/>
        <v>5.8504448383128976E-4</v>
      </c>
      <c r="O3" s="327">
        <f t="shared" si="8"/>
        <v>2.1774428439818205E-4</v>
      </c>
      <c r="P3" s="327">
        <f t="shared" si="9"/>
        <v>7.8146651167860782E-5</v>
      </c>
      <c r="Q3" s="327">
        <f t="shared" si="10"/>
        <v>2.7196312210787031E-5</v>
      </c>
      <c r="R3" s="327">
        <f t="shared" si="11"/>
        <v>9.2182831183186388E-6</v>
      </c>
      <c r="S3" s="327">
        <f t="shared" si="12"/>
        <v>3.053877019959919E-6</v>
      </c>
      <c r="T3" s="327">
        <f t="shared" si="13"/>
        <v>9.9162954557564728E-7</v>
      </c>
      <c r="U3" s="327">
        <f t="shared" si="14"/>
        <v>3.163446860003153E-7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Innings'!$G$15</f>
        <v>2.7907438072104722</v>
      </c>
      <c r="C4" s="87">
        <f>'First 5 Innings'!$G$16</f>
        <v>2.1072283818818565</v>
      </c>
      <c r="D4" s="87"/>
      <c r="E4" s="324">
        <v>2</v>
      </c>
      <c r="F4" s="328">
        <f t="shared" si="15"/>
        <v>4.3563153974476347E-2</v>
      </c>
      <c r="G4" s="328">
        <f t="shared" si="0"/>
        <v>6.2537845378110704E-2</v>
      </c>
      <c r="H4" s="326">
        <f t="shared" si="1"/>
        <v>5.2370088469327912E-2</v>
      </c>
      <c r="I4" s="327">
        <f t="shared" si="2"/>
        <v>3.3413686122111326E-2</v>
      </c>
      <c r="J4" s="327">
        <f t="shared" si="3"/>
        <v>1.7987849927960025E-2</v>
      </c>
      <c r="K4" s="327">
        <f t="shared" si="4"/>
        <v>8.6075905503269698E-3</v>
      </c>
      <c r="L4" s="327">
        <f t="shared" si="5"/>
        <v>3.7756817757859636E-3</v>
      </c>
      <c r="M4" s="327">
        <f t="shared" si="6"/>
        <v>1.5486416619053629E-3</v>
      </c>
      <c r="N4" s="327">
        <f t="shared" si="7"/>
        <v>6.0211112656316382E-4</v>
      </c>
      <c r="O4" s="327">
        <f t="shared" si="8"/>
        <v>2.2409621833044521E-4</v>
      </c>
      <c r="P4" s="327">
        <f t="shared" si="9"/>
        <v>8.0426308549535835E-5</v>
      </c>
      <c r="Q4" s="327">
        <f t="shared" si="10"/>
        <v>2.7989670249284241E-5</v>
      </c>
      <c r="R4" s="327">
        <f t="shared" si="11"/>
        <v>9.4871945411754654E-6</v>
      </c>
      <c r="S4" s="327">
        <f t="shared" si="12"/>
        <v>3.1429632851707639E-6</v>
      </c>
      <c r="T4" s="327">
        <f t="shared" si="13"/>
        <v>1.0205568966479643E-6</v>
      </c>
      <c r="U4" s="327">
        <f t="shared" si="14"/>
        <v>3.2557294450937449E-7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0.12377909835953903</v>
      </c>
      <c r="C5" s="93">
        <f>_xlfn.NEGBINOM.DIST(A5,$A$2,$A$2/($A$2+$C$4),FALSE)</f>
        <v>0.19382655044770938</v>
      </c>
      <c r="D5" s="93"/>
      <c r="E5" s="324">
        <v>3</v>
      </c>
      <c r="F5" s="328">
        <f t="shared" si="15"/>
        <v>3.4159205964998489E-2</v>
      </c>
      <c r="G5" s="328">
        <f t="shared" si="0"/>
        <v>4.9037843819337248E-2</v>
      </c>
      <c r="H5" s="328">
        <f t="shared" si="1"/>
        <v>4.1064993583272071E-2</v>
      </c>
      <c r="I5" s="326">
        <f t="shared" si="2"/>
        <v>2.6200696739353397E-2</v>
      </c>
      <c r="J5" s="327">
        <f t="shared" si="3"/>
        <v>1.4104825167541274E-2</v>
      </c>
      <c r="K5" s="327">
        <f t="shared" si="4"/>
        <v>6.749475913595808E-3</v>
      </c>
      <c r="L5" s="327">
        <f t="shared" si="5"/>
        <v>2.9606279543701085E-3</v>
      </c>
      <c r="M5" s="327">
        <f t="shared" si="6"/>
        <v>1.2143374542164043E-3</v>
      </c>
      <c r="N5" s="327">
        <f t="shared" si="7"/>
        <v>4.7213381285797078E-4</v>
      </c>
      <c r="O5" s="327">
        <f t="shared" si="8"/>
        <v>1.7572072220509979E-4</v>
      </c>
      <c r="P5" s="327">
        <f t="shared" si="9"/>
        <v>6.3064736780944636E-5</v>
      </c>
      <c r="Q5" s="327">
        <f t="shared" si="10"/>
        <v>2.1947559432860918E-5</v>
      </c>
      <c r="R5" s="327">
        <f t="shared" si="11"/>
        <v>7.4392003974711658E-6</v>
      </c>
      <c r="S5" s="327">
        <f t="shared" si="12"/>
        <v>2.4644939680326929E-6</v>
      </c>
      <c r="T5" s="327">
        <f t="shared" si="13"/>
        <v>8.0024998309403371E-7</v>
      </c>
      <c r="U5" s="327">
        <f t="shared" si="14"/>
        <v>2.5529173747710561E-7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0.21838272693434568</v>
      </c>
      <c r="C6" s="93">
        <f t="shared" ref="C6:C20" si="17">NEGBINOMDIST(A6,$A$2,$A$2/($A$2+$C$4))</f>
        <v>0.27825108460175785</v>
      </c>
      <c r="D6" s="93"/>
      <c r="E6" s="324">
        <v>4</v>
      </c>
      <c r="F6" s="328">
        <f t="shared" si="15"/>
        <v>2.2600081457856608E-2</v>
      </c>
      <c r="G6" s="328">
        <f t="shared" si="0"/>
        <v>3.2443941055604719E-2</v>
      </c>
      <c r="H6" s="328">
        <f t="shared" si="1"/>
        <v>2.7169021463767762E-2</v>
      </c>
      <c r="I6" s="328">
        <f t="shared" si="2"/>
        <v>1.7334650025785839E-2</v>
      </c>
      <c r="J6" s="326">
        <f t="shared" si="3"/>
        <v>9.3318971776419294E-3</v>
      </c>
      <c r="K6" s="327">
        <f t="shared" si="4"/>
        <v>4.4655225768832699E-3</v>
      </c>
      <c r="L6" s="327">
        <f t="shared" si="5"/>
        <v>1.9587818582121655E-3</v>
      </c>
      <c r="M6" s="327">
        <f t="shared" si="6"/>
        <v>8.0341813011513814E-4</v>
      </c>
      <c r="N6" s="327">
        <f t="shared" si="7"/>
        <v>3.1236857907446502E-4</v>
      </c>
      <c r="O6" s="327">
        <f t="shared" si="8"/>
        <v>1.1625863434114585E-4</v>
      </c>
      <c r="P6" s="327">
        <f t="shared" si="9"/>
        <v>4.1724277485490947E-5</v>
      </c>
      <c r="Q6" s="327">
        <f t="shared" si="10"/>
        <v>1.4520730707032635E-5</v>
      </c>
      <c r="R6" s="327">
        <f t="shared" si="11"/>
        <v>4.9218513784084984E-6</v>
      </c>
      <c r="S6" s="327">
        <f t="shared" si="12"/>
        <v>1.6305345178985218E-6</v>
      </c>
      <c r="T6" s="327">
        <f t="shared" si="13"/>
        <v>5.2945360682871874E-7</v>
      </c>
      <c r="U6" s="327">
        <f t="shared" si="14"/>
        <v>1.6890363518438381E-7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0.22475328521222812</v>
      </c>
      <c r="C7" s="93">
        <f t="shared" si="17"/>
        <v>0.23301144817472336</v>
      </c>
      <c r="D7" s="93"/>
      <c r="E7" s="324">
        <v>5</v>
      </c>
      <c r="F7" s="328">
        <f t="shared" si="15"/>
        <v>1.3291063093084043E-2</v>
      </c>
      <c r="G7" s="328">
        <f t="shared" si="0"/>
        <v>1.9080217403749059E-2</v>
      </c>
      <c r="H7" s="328">
        <f t="shared" si="1"/>
        <v>1.5978047651096349E-2</v>
      </c>
      <c r="I7" s="328">
        <f t="shared" si="2"/>
        <v>1.0194473308376353E-2</v>
      </c>
      <c r="J7" s="328">
        <f t="shared" si="3"/>
        <v>5.4880702265386831E-3</v>
      </c>
      <c r="K7" s="326">
        <f t="shared" si="4"/>
        <v>2.6261649730609281E-3</v>
      </c>
      <c r="L7" s="327">
        <f t="shared" si="5"/>
        <v>1.1519557268691095E-3</v>
      </c>
      <c r="M7" s="327">
        <f t="shared" si="6"/>
        <v>4.7248860927338594E-4</v>
      </c>
      <c r="N7" s="327">
        <f t="shared" si="7"/>
        <v>1.8370334197766536E-4</v>
      </c>
      <c r="O7" s="327">
        <f t="shared" si="8"/>
        <v>6.8371472334087044E-5</v>
      </c>
      <c r="P7" s="327">
        <f t="shared" si="9"/>
        <v>2.453796485676918E-5</v>
      </c>
      <c r="Q7" s="327">
        <f t="shared" si="10"/>
        <v>8.5396129365613955E-6</v>
      </c>
      <c r="R7" s="327">
        <f t="shared" si="11"/>
        <v>2.8945310364122081E-6</v>
      </c>
      <c r="S7" s="327">
        <f t="shared" si="12"/>
        <v>9.5891411689168112E-7</v>
      </c>
      <c r="T7" s="327">
        <f t="shared" si="13"/>
        <v>3.1137061635568118E-7</v>
      </c>
      <c r="U7" s="327">
        <f t="shared" si="14"/>
        <v>9.9331892943531107E-8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0.17623594851219299</v>
      </c>
      <c r="C8" s="93">
        <f t="shared" si="17"/>
        <v>0.14866828794319842</v>
      </c>
      <c r="D8" s="93"/>
      <c r="E8" s="324">
        <v>6</v>
      </c>
      <c r="F8" s="328">
        <f t="shared" si="15"/>
        <v>7.1650771967764698E-3</v>
      </c>
      <c r="G8" s="328">
        <f t="shared" si="0"/>
        <v>1.0285951520332268E-2</v>
      </c>
      <c r="H8" s="328">
        <f t="shared" si="1"/>
        <v>8.6136032965978167E-3</v>
      </c>
      <c r="I8" s="328">
        <f t="shared" si="2"/>
        <v>5.4957370771192907E-3</v>
      </c>
      <c r="J8" s="328">
        <f t="shared" si="3"/>
        <v>2.9585629500879793E-3</v>
      </c>
      <c r="K8" s="328">
        <f t="shared" si="4"/>
        <v>1.4157388789496558E-3</v>
      </c>
      <c r="L8" s="326">
        <f t="shared" si="5"/>
        <v>6.2100763892850551E-4</v>
      </c>
      <c r="M8" s="327">
        <f t="shared" si="6"/>
        <v>2.5471381305856226E-4</v>
      </c>
      <c r="N8" s="327">
        <f t="shared" si="7"/>
        <v>9.9032606899647098E-5</v>
      </c>
      <c r="O8" s="327">
        <f t="shared" si="8"/>
        <v>3.6858366700998605E-5</v>
      </c>
      <c r="P8" s="327">
        <f t="shared" si="9"/>
        <v>1.3228167771020866E-5</v>
      </c>
      <c r="Q8" s="327">
        <f t="shared" si="10"/>
        <v>4.6036186490523717E-6</v>
      </c>
      <c r="R8" s="327">
        <f t="shared" si="11"/>
        <v>1.5604122995361161E-6</v>
      </c>
      <c r="S8" s="327">
        <f t="shared" si="12"/>
        <v>5.1694086654232882E-7</v>
      </c>
      <c r="T8" s="327">
        <f t="shared" si="13"/>
        <v>1.6785673857475071E-7</v>
      </c>
      <c r="U8" s="327">
        <f t="shared" si="14"/>
        <v>5.3548815174361602E-8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0.11659951335693645</v>
      </c>
      <c r="C9" s="93">
        <f t="shared" si="17"/>
        <v>8.0033757508703868E-2</v>
      </c>
      <c r="D9" s="93"/>
      <c r="E9" s="324">
        <v>7</v>
      </c>
      <c r="F9" s="328">
        <f t="shared" si="15"/>
        <v>3.6118008790653367E-3</v>
      </c>
      <c r="G9" s="328">
        <f t="shared" si="0"/>
        <v>5.1849837374918269E-3</v>
      </c>
      <c r="H9" s="328">
        <f t="shared" si="1"/>
        <v>4.3419797308769511E-3</v>
      </c>
      <c r="I9" s="328">
        <f t="shared" si="2"/>
        <v>2.7703132096304011E-3</v>
      </c>
      <c r="J9" s="328">
        <f t="shared" si="3"/>
        <v>1.4913642896555751E-3</v>
      </c>
      <c r="K9" s="328">
        <f t="shared" si="4"/>
        <v>7.1365133788339611E-4</v>
      </c>
      <c r="L9" s="328">
        <f t="shared" si="5"/>
        <v>3.1304002379728153E-4</v>
      </c>
      <c r="M9" s="326">
        <f t="shared" si="6"/>
        <v>1.2839716148890776E-4</v>
      </c>
      <c r="N9" s="327">
        <f t="shared" si="7"/>
        <v>4.9920754073270612E-5</v>
      </c>
      <c r="O9" s="327">
        <f t="shared" si="8"/>
        <v>1.8579713462329695E-5</v>
      </c>
      <c r="P9" s="327">
        <f t="shared" si="9"/>
        <v>6.6681079172868879E-6</v>
      </c>
      <c r="Q9" s="327">
        <f t="shared" si="10"/>
        <v>2.3206105708127602E-6</v>
      </c>
      <c r="R9" s="327">
        <f t="shared" si="11"/>
        <v>7.865788965545924E-7</v>
      </c>
      <c r="S9" s="327">
        <f t="shared" si="12"/>
        <v>2.6058162737484156E-7</v>
      </c>
      <c r="T9" s="327">
        <f t="shared" si="13"/>
        <v>8.461389867705549E-8</v>
      </c>
      <c r="U9" s="327">
        <f t="shared" si="14"/>
        <v>2.6993101736109633E-8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6.8571942607365918E-2</v>
      </c>
      <c r="C10" s="93">
        <f t="shared" si="17"/>
        <v>3.8297952095334521E-2</v>
      </c>
      <c r="D10" s="93"/>
      <c r="E10" s="324">
        <v>8</v>
      </c>
      <c r="F10" s="328">
        <f t="shared" si="15"/>
        <v>1.7258255099843157E-3</v>
      </c>
      <c r="G10" s="328">
        <f t="shared" si="0"/>
        <v>2.4775389072204004E-3</v>
      </c>
      <c r="H10" s="328">
        <f t="shared" si="1"/>
        <v>2.0747266071105908E-3</v>
      </c>
      <c r="I10" s="328">
        <f t="shared" si="2"/>
        <v>1.3237377607217158E-3</v>
      </c>
      <c r="J10" s="328">
        <f t="shared" si="3"/>
        <v>7.1261806006129766E-4</v>
      </c>
      <c r="K10" s="328">
        <f t="shared" si="4"/>
        <v>3.4100376111329954E-4</v>
      </c>
      <c r="L10" s="328">
        <f t="shared" si="5"/>
        <v>1.495798015463279E-4</v>
      </c>
      <c r="M10" s="328">
        <f t="shared" si="6"/>
        <v>6.1351969315782495E-5</v>
      </c>
      <c r="N10" s="326">
        <f t="shared" si="7"/>
        <v>2.3853615894683252E-5</v>
      </c>
      <c r="O10" s="327">
        <f t="shared" si="8"/>
        <v>8.8779377754029129E-6</v>
      </c>
      <c r="P10" s="327">
        <f t="shared" si="9"/>
        <v>3.1862195985621832E-6</v>
      </c>
      <c r="Q10" s="327">
        <f t="shared" si="10"/>
        <v>1.1088565111829568E-6</v>
      </c>
      <c r="R10" s="327">
        <f t="shared" si="11"/>
        <v>3.7585071014228327E-7</v>
      </c>
      <c r="S10" s="327">
        <f t="shared" si="12"/>
        <v>1.2451362492417E-7</v>
      </c>
      <c r="T10" s="327">
        <f t="shared" si="13"/>
        <v>4.043102865456966E-8</v>
      </c>
      <c r="U10" s="327">
        <f t="shared" si="14"/>
        <v>1.289810405656563E-8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3.6966438190362716E-2</v>
      </c>
      <c r="C11" s="93">
        <f t="shared" si="17"/>
        <v>1.6799228417153925E-2</v>
      </c>
      <c r="D11" s="93"/>
      <c r="E11" s="324">
        <v>9</v>
      </c>
      <c r="F11" s="328">
        <f t="shared" si="15"/>
        <v>7.8940910252619156E-4</v>
      </c>
      <c r="G11" s="328">
        <f t="shared" si="0"/>
        <v>1.1332500034956325E-3</v>
      </c>
      <c r="H11" s="328">
        <f t="shared" si="1"/>
        <v>9.4899980295300331E-4</v>
      </c>
      <c r="I11" s="328">
        <f t="shared" si="2"/>
        <v>6.0549031847423372E-4</v>
      </c>
      <c r="J11" s="328">
        <f t="shared" si="3"/>
        <v>3.2595831964614842E-4</v>
      </c>
      <c r="K11" s="328">
        <f t="shared" si="4"/>
        <v>1.559783833656231E-4</v>
      </c>
      <c r="L11" s="328">
        <f t="shared" si="5"/>
        <v>6.8419232542115836E-5</v>
      </c>
      <c r="M11" s="328">
        <f t="shared" si="6"/>
        <v>2.8062977836169807E-5</v>
      </c>
      <c r="N11" s="328">
        <f t="shared" si="7"/>
        <v>1.0910872163198894E-5</v>
      </c>
      <c r="O11" s="326">
        <f t="shared" si="8"/>
        <v>4.0608536906073886E-6</v>
      </c>
      <c r="P11" s="327">
        <f t="shared" si="9"/>
        <v>1.4574073330131699E-6</v>
      </c>
      <c r="Q11" s="327">
        <f t="shared" si="10"/>
        <v>5.0720157875706502E-7</v>
      </c>
      <c r="R11" s="327">
        <f t="shared" si="11"/>
        <v>1.7191771129860514E-7</v>
      </c>
      <c r="S11" s="327">
        <f t="shared" si="12"/>
        <v>5.6953723499292322E-8</v>
      </c>
      <c r="T11" s="327">
        <f t="shared" si="13"/>
        <v>1.8493539387249311E-8</v>
      </c>
      <c r="U11" s="327">
        <f t="shared" si="14"/>
        <v>5.8997162161981473E-9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1.8634190572564154E-2</v>
      </c>
      <c r="C12" s="93">
        <f t="shared" si="17"/>
        <v>6.8904072322814982E-3</v>
      </c>
      <c r="D12" s="93"/>
      <c r="E12" s="324">
        <v>10</v>
      </c>
      <c r="F12" s="328">
        <f t="shared" si="15"/>
        <v>3.4818744594446063E-4</v>
      </c>
      <c r="G12" s="328">
        <f t="shared" si="0"/>
        <v>4.998465600041692E-4</v>
      </c>
      <c r="H12" s="328">
        <f t="shared" si="1"/>
        <v>4.185786768034378E-4</v>
      </c>
      <c r="I12" s="328">
        <f t="shared" si="2"/>
        <v>2.6706574177949344E-4</v>
      </c>
      <c r="J12" s="328">
        <f t="shared" si="3"/>
        <v>1.4377158109622244E-4</v>
      </c>
      <c r="K12" s="328">
        <f t="shared" si="4"/>
        <v>6.8797933483190783E-5</v>
      </c>
      <c r="L12" s="328">
        <f t="shared" si="5"/>
        <v>3.0177911245366002E-5</v>
      </c>
      <c r="M12" s="328">
        <f t="shared" si="6"/>
        <v>1.2377836215852066E-5</v>
      </c>
      <c r="N12" s="328">
        <f t="shared" si="7"/>
        <v>4.8124967135208434E-6</v>
      </c>
      <c r="O12" s="328">
        <f t="shared" si="8"/>
        <v>1.7911350025759439E-6</v>
      </c>
      <c r="P12" s="326">
        <f t="shared" si="9"/>
        <v>6.428237720577171E-7</v>
      </c>
      <c r="Q12" s="327">
        <f t="shared" si="10"/>
        <v>2.2371318207666764E-7</v>
      </c>
      <c r="R12" s="327">
        <f t="shared" si="11"/>
        <v>7.5828348847411982E-8</v>
      </c>
      <c r="S12" s="327">
        <f t="shared" si="12"/>
        <v>2.5120778894980692E-8</v>
      </c>
      <c r="T12" s="327">
        <f t="shared" si="13"/>
        <v>8.1570103829731024E-9</v>
      </c>
      <c r="U12" s="327">
        <f t="shared" si="14"/>
        <v>2.6022085564271717E-9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8.9039685533170015E-3</v>
      </c>
      <c r="C13" s="93">
        <f t="shared" si="17"/>
        <v>2.6789869878636363E-3</v>
      </c>
      <c r="D13" s="93"/>
      <c r="E13" s="324">
        <v>11</v>
      </c>
      <c r="F13" s="328">
        <f t="shared" si="15"/>
        <v>1.4892243386249398E-4</v>
      </c>
      <c r="G13" s="328">
        <f t="shared" si="0"/>
        <v>2.1378819696299354E-4</v>
      </c>
      <c r="H13" s="328">
        <f t="shared" si="1"/>
        <v>1.7902930171254187E-4</v>
      </c>
      <c r="I13" s="328">
        <f t="shared" si="2"/>
        <v>1.1422606050373955E-4</v>
      </c>
      <c r="J13" s="328">
        <f t="shared" si="3"/>
        <v>6.1492204921493958E-5</v>
      </c>
      <c r="K13" s="328">
        <f t="shared" si="4"/>
        <v>2.9425402375538281E-5</v>
      </c>
      <c r="L13" s="328">
        <f t="shared" si="5"/>
        <v>1.2907323465829656E-5</v>
      </c>
      <c r="M13" s="328">
        <f t="shared" si="6"/>
        <v>5.2940952256792245E-6</v>
      </c>
      <c r="N13" s="328">
        <f t="shared" si="7"/>
        <v>2.0583416544176507E-6</v>
      </c>
      <c r="O13" s="328">
        <f t="shared" si="8"/>
        <v>7.6608214071699102E-7</v>
      </c>
      <c r="P13" s="328">
        <f t="shared" si="9"/>
        <v>2.749406441689294E-7</v>
      </c>
      <c r="Q13" s="326">
        <f t="shared" si="10"/>
        <v>9.5683839121801164E-8</v>
      </c>
      <c r="R13" s="327">
        <f t="shared" si="11"/>
        <v>3.2432364801378009E-8</v>
      </c>
      <c r="S13" s="327">
        <f t="shared" si="12"/>
        <v>1.0744349278344836E-8</v>
      </c>
      <c r="T13" s="327">
        <f t="shared" si="13"/>
        <v>3.4888157325113759E-9</v>
      </c>
      <c r="U13" s="327">
        <f t="shared" si="14"/>
        <v>1.1129845034756248E-9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4.0727604175113188E-3</v>
      </c>
      <c r="C14" s="93">
        <f t="shared" si="17"/>
        <v>9.9707649709697248E-4</v>
      </c>
      <c r="D14" s="93"/>
      <c r="E14" s="324">
        <v>12</v>
      </c>
      <c r="F14" s="328">
        <f t="shared" si="15"/>
        <v>6.2036533213130686E-5</v>
      </c>
      <c r="G14" s="328">
        <f t="shared" si="0"/>
        <v>8.905762709811764E-5</v>
      </c>
      <c r="H14" s="328">
        <f t="shared" si="1"/>
        <v>7.4578133957095026E-5</v>
      </c>
      <c r="I14" s="328">
        <f t="shared" si="2"/>
        <v>4.7583084780821369E-5</v>
      </c>
      <c r="J14" s="328">
        <f t="shared" si="3"/>
        <v>2.5615772681255141E-5</v>
      </c>
      <c r="K14" s="328">
        <f t="shared" si="4"/>
        <v>1.2257723060484802E-5</v>
      </c>
      <c r="L14" s="328">
        <f t="shared" si="5"/>
        <v>5.3767963638030816E-6</v>
      </c>
      <c r="M14" s="328">
        <f t="shared" si="6"/>
        <v>2.2053582242993412E-6</v>
      </c>
      <c r="N14" s="328">
        <f t="shared" si="7"/>
        <v>8.5744220730473974E-7</v>
      </c>
      <c r="O14" s="328">
        <f t="shared" si="8"/>
        <v>3.1912639979049544E-7</v>
      </c>
      <c r="P14" s="328">
        <f t="shared" si="9"/>
        <v>1.1453186710186429E-7</v>
      </c>
      <c r="Q14" s="328">
        <f t="shared" si="10"/>
        <v>3.9858962210625152E-8</v>
      </c>
      <c r="R14" s="326">
        <f t="shared" si="11"/>
        <v>1.3510331680711111E-8</v>
      </c>
      <c r="S14" s="327">
        <f t="shared" si="12"/>
        <v>4.475767441962177E-9</v>
      </c>
      <c r="T14" s="327">
        <f t="shared" si="13"/>
        <v>1.4533339769633165E-9</v>
      </c>
      <c r="U14" s="327">
        <f t="shared" si="14"/>
        <v>4.6363531890244289E-10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1.7963867444382694E-3</v>
      </c>
      <c r="C15" s="93">
        <f t="shared" si="17"/>
        <v>3.578426383115671E-4</v>
      </c>
      <c r="D15" s="93"/>
      <c r="E15" s="324">
        <v>13</v>
      </c>
      <c r="F15" s="328">
        <f t="shared" si="15"/>
        <v>2.5257850736052818E-5</v>
      </c>
      <c r="G15" s="328">
        <f t="shared" si="0"/>
        <v>3.6259348091282408E-5</v>
      </c>
      <c r="H15" s="328">
        <f t="shared" si="1"/>
        <v>3.0364098025757453E-5</v>
      </c>
      <c r="I15" s="328">
        <f t="shared" si="2"/>
        <v>1.937320463775608E-5</v>
      </c>
      <c r="J15" s="328">
        <f t="shared" si="3"/>
        <v>1.0429328161343122E-5</v>
      </c>
      <c r="K15" s="328">
        <f t="shared" si="4"/>
        <v>4.9906679724015713E-6</v>
      </c>
      <c r="L15" s="328">
        <f t="shared" si="5"/>
        <v>2.1891345786283386E-6</v>
      </c>
      <c r="M15" s="328">
        <f t="shared" si="6"/>
        <v>8.9790009150751845E-7</v>
      </c>
      <c r="N15" s="328">
        <f t="shared" si="7"/>
        <v>3.4910311980990597E-7</v>
      </c>
      <c r="O15" s="328">
        <f t="shared" si="8"/>
        <v>1.2993064818999544E-7</v>
      </c>
      <c r="P15" s="328">
        <f t="shared" si="9"/>
        <v>4.6631051961621036E-8</v>
      </c>
      <c r="Q15" s="328">
        <f t="shared" si="10"/>
        <v>1.6228368444625633E-8</v>
      </c>
      <c r="R15" s="328">
        <f t="shared" si="11"/>
        <v>5.500661034903533E-9</v>
      </c>
      <c r="S15" s="326">
        <f t="shared" si="12"/>
        <v>1.8222853554691824E-9</v>
      </c>
      <c r="T15" s="327">
        <f t="shared" si="13"/>
        <v>5.9171734393442569E-10</v>
      </c>
      <c r="U15" s="327">
        <f t="shared" si="14"/>
        <v>1.8876670043066677E-10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7.6832835088127074E-4</v>
      </c>
      <c r="C16" s="93">
        <f t="shared" si="17"/>
        <v>1.2453508843198618E-4</v>
      </c>
      <c r="D16" s="93"/>
      <c r="E16" s="324">
        <v>14</v>
      </c>
      <c r="F16" s="328">
        <f t="shared" si="15"/>
        <v>1.0079562384917282E-5</v>
      </c>
      <c r="G16" s="328">
        <f t="shared" si="0"/>
        <v>1.446989155735377E-5</v>
      </c>
      <c r="H16" s="328">
        <f t="shared" si="1"/>
        <v>1.211729467842263E-5</v>
      </c>
      <c r="I16" s="328">
        <f t="shared" si="2"/>
        <v>7.7311971941975175E-6</v>
      </c>
      <c r="J16" s="328">
        <f t="shared" si="3"/>
        <v>4.1619956081607917E-6</v>
      </c>
      <c r="K16" s="328">
        <f t="shared" si="4"/>
        <v>1.9916084585307641E-6</v>
      </c>
      <c r="L16" s="328">
        <f t="shared" si="5"/>
        <v>8.7361029981730916E-7</v>
      </c>
      <c r="M16" s="328">
        <f t="shared" si="6"/>
        <v>3.5832185732471909E-7</v>
      </c>
      <c r="N16" s="328">
        <f t="shared" si="7"/>
        <v>1.3931536422734843E-7</v>
      </c>
      <c r="O16" s="328">
        <f t="shared" si="8"/>
        <v>5.1850970529112566E-8</v>
      </c>
      <c r="P16" s="328">
        <f t="shared" si="9"/>
        <v>1.8608891240717314E-8</v>
      </c>
      <c r="Q16" s="328">
        <f t="shared" si="10"/>
        <v>6.4761983849061979E-9</v>
      </c>
      <c r="R16" s="328">
        <f t="shared" si="11"/>
        <v>2.1951296109471898E-9</v>
      </c>
      <c r="S16" s="328">
        <f t="shared" si="12"/>
        <v>7.2721306003106228E-10</v>
      </c>
      <c r="T16" s="326">
        <f t="shared" si="13"/>
        <v>2.3613457632447255E-10</v>
      </c>
      <c r="U16" s="327">
        <f t="shared" si="14"/>
        <v>7.5330468655831517E-11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3.200621022756474E-4</v>
      </c>
      <c r="C17" s="93">
        <f t="shared" si="17"/>
        <v>4.2211594514478303E-5</v>
      </c>
      <c r="D17" s="93"/>
      <c r="E17" s="324">
        <v>15</v>
      </c>
      <c r="F17" s="328">
        <f t="shared" si="15"/>
        <v>3.9518471016259706E-6</v>
      </c>
      <c r="G17" s="328">
        <f t="shared" si="0"/>
        <v>5.6731430222940055E-6</v>
      </c>
      <c r="H17" s="328">
        <f t="shared" si="1"/>
        <v>4.7507713158387521E-6</v>
      </c>
      <c r="I17" s="328">
        <f t="shared" si="2"/>
        <v>3.0311344934682916E-6</v>
      </c>
      <c r="J17" s="328">
        <f t="shared" si="3"/>
        <v>1.6317742430665277E-6</v>
      </c>
      <c r="K17" s="328">
        <f t="shared" si="4"/>
        <v>7.8084065695111582E-7</v>
      </c>
      <c r="L17" s="328">
        <f t="shared" si="5"/>
        <v>3.425123233970599E-7</v>
      </c>
      <c r="M17" s="328">
        <f t="shared" si="6"/>
        <v>1.404855825325145E-7</v>
      </c>
      <c r="N17" s="328">
        <f t="shared" si="7"/>
        <v>5.4620726308281236E-8</v>
      </c>
      <c r="O17" s="328">
        <f t="shared" si="8"/>
        <v>2.0328968637426484E-8</v>
      </c>
      <c r="P17" s="328">
        <f t="shared" si="9"/>
        <v>7.2959013601764743E-9</v>
      </c>
      <c r="Q17" s="328">
        <f t="shared" si="10"/>
        <v>2.5390929526109955E-9</v>
      </c>
      <c r="R17" s="328">
        <f t="shared" si="11"/>
        <v>8.6063424774231274E-10</v>
      </c>
      <c r="S17" s="328">
        <f t="shared" si="12"/>
        <v>2.8511503910612394E-10</v>
      </c>
      <c r="T17" s="328">
        <f t="shared" si="13"/>
        <v>9.2580184080005705E-11</v>
      </c>
      <c r="U17" s="326">
        <f t="shared" si="14"/>
        <v>2.9534466165627763E-11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1.3031161457349928E-4</v>
      </c>
      <c r="C18" s="93">
        <f t="shared" si="17"/>
        <v>1.3984059375163096E-5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5.2003001454831911E-5</v>
      </c>
      <c r="C19" s="93">
        <f t="shared" si="17"/>
        <v>4.5407874491546651E-6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2.0388574694735135E-5</v>
      </c>
      <c r="C20" s="93">
        <f t="shared" si="17"/>
        <v>1.4485792463587139E-6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0.50665197836772358</v>
      </c>
      <c r="C21" s="323">
        <f>SUM(G2:U2,H3:U3,I4:U4,J5:U5,K6:U6,L7:U7,M8:U8,N9:U9,O10:U10,P11:U11,Q12:U12,R13:U13,S14:U14,T15:U15,U16)</f>
        <v>0.3172708903828107</v>
      </c>
    </row>
    <row r="22" spans="1:39">
      <c r="A22" s="1" t="s">
        <v>348</v>
      </c>
      <c r="B22" s="401">
        <f>1-B21-C21</f>
        <v>0.17607713124946572</v>
      </c>
      <c r="C22" s="377"/>
    </row>
    <row r="23" spans="1:39">
      <c r="A23" s="1" t="s">
        <v>349</v>
      </c>
      <c r="B23" s="329">
        <f>B21/(B21+C21)</f>
        <v>0.6149264665223495</v>
      </c>
      <c r="C23" s="330">
        <f>C21/(B21+C21)</f>
        <v>0.38507353347765055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4.786555272435615E-2</v>
      </c>
      <c r="G2" s="327">
        <f t="shared" ref="G2:G17" si="0">$B5*$C$6</f>
        <v>4.642018241707576E-2</v>
      </c>
      <c r="H2" s="327">
        <f t="shared" ref="H2:H17" si="1">$B5*$C$7</f>
        <v>2.6260766687311227E-2</v>
      </c>
      <c r="I2" s="327">
        <f t="shared" ref="I2:I17" si="2">$B5*$C$8</f>
        <v>1.1319015317362333E-2</v>
      </c>
      <c r="J2" s="327">
        <f t="shared" ref="J2:J17" si="3">$B5*$C$9</f>
        <v>4.1164579162971211E-3</v>
      </c>
      <c r="K2" s="327">
        <f t="shared" ref="K2:K17" si="4">$B5*$C$10</f>
        <v>1.3307184848022177E-3</v>
      </c>
      <c r="L2" s="327">
        <f t="shared" ref="L2:L17" si="5">$B5*$C$11</f>
        <v>3.9433029034136507E-4</v>
      </c>
      <c r="M2" s="327">
        <f t="shared" ref="M2:M17" si="6">$B5*$C$12</f>
        <v>1.0926368886163382E-4</v>
      </c>
      <c r="N2" s="327">
        <f t="shared" ref="N2:N17" si="7">$B5*$C$13</f>
        <v>2.8698667864926125E-5</v>
      </c>
      <c r="O2" s="327">
        <f t="shared" ref="O2:O17" si="8">$B5*$C$14</f>
        <v>7.2157217619610079E-6</v>
      </c>
      <c r="P2" s="327">
        <f t="shared" ref="P2:P17" si="9">$B5*$C$15</f>
        <v>1.7494581248753286E-6</v>
      </c>
      <c r="Q2" s="327">
        <f t="shared" ref="Q2:Q17" si="10">$B5*$C$16</f>
        <v>4.1130440737628918E-7</v>
      </c>
      <c r="R2" s="327">
        <f t="shared" ref="R2:R17" si="11">$B5*$C$17</f>
        <v>9.418105536557659E-8</v>
      </c>
      <c r="S2" s="327">
        <f t="shared" ref="S2:S17" si="12">$B5*$C$18</f>
        <v>2.1077797102675885E-8</v>
      </c>
      <c r="T2" s="327">
        <f t="shared" ref="T2:T17" si="13">$B5*$C$19</f>
        <v>4.6236324068072093E-9</v>
      </c>
      <c r="U2" s="327">
        <f t="shared" ref="U2:U17" si="14">$B5*$C$20</f>
        <v>9.9644779335004993E-10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8.0776783941215916E-2</v>
      </c>
      <c r="G3" s="326">
        <f t="shared" si="0"/>
        <v>7.8337610916335579E-2</v>
      </c>
      <c r="H3" s="327">
        <f t="shared" si="1"/>
        <v>4.4317053833000587E-2</v>
      </c>
      <c r="I3" s="327">
        <f t="shared" si="2"/>
        <v>1.9101704726636252E-2</v>
      </c>
      <c r="J3" s="327">
        <f t="shared" si="3"/>
        <v>6.946837815133851E-3</v>
      </c>
      <c r="K3" s="327">
        <f t="shared" si="4"/>
        <v>2.2456892987836449E-3</v>
      </c>
      <c r="L3" s="327">
        <f t="shared" si="5"/>
        <v>6.6546254772846861E-4</v>
      </c>
      <c r="M3" s="327">
        <f t="shared" si="6"/>
        <v>1.8439083820096335E-4</v>
      </c>
      <c r="N3" s="327">
        <f t="shared" si="7"/>
        <v>4.8431198671738231E-5</v>
      </c>
      <c r="O3" s="327">
        <f t="shared" si="8"/>
        <v>1.2177082778138845E-5</v>
      </c>
      <c r="P3" s="327">
        <f t="shared" si="9"/>
        <v>2.9523444925216835E-6</v>
      </c>
      <c r="Q3" s="327">
        <f t="shared" si="10"/>
        <v>6.9410766945554504E-7</v>
      </c>
      <c r="R3" s="327">
        <f t="shared" si="11"/>
        <v>1.5893773972340994E-7</v>
      </c>
      <c r="S3" s="327">
        <f t="shared" si="12"/>
        <v>3.557039594474961E-8</v>
      </c>
      <c r="T3" s="327">
        <f t="shared" si="13"/>
        <v>7.8027335879530225E-9</v>
      </c>
      <c r="U3" s="327">
        <f t="shared" si="14"/>
        <v>1.6815819212546456E-9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Innings'!$G$17</f>
        <v>2.6219045834201022</v>
      </c>
      <c r="C4" s="87">
        <f>'First 5 Innings'!$G$18</f>
        <v>1.2917355733137645</v>
      </c>
      <c r="D4" s="87"/>
      <c r="E4" s="324">
        <v>2</v>
      </c>
      <c r="F4" s="328">
        <f t="shared" si="15"/>
        <v>7.9518253328974997E-2</v>
      </c>
      <c r="G4" s="328">
        <f t="shared" si="0"/>
        <v>7.7117083474938883E-2</v>
      </c>
      <c r="H4" s="326">
        <f t="shared" si="1"/>
        <v>4.3626578597767793E-2</v>
      </c>
      <c r="I4" s="327">
        <f t="shared" si="2"/>
        <v>1.8804093470387757E-2</v>
      </c>
      <c r="J4" s="327">
        <f t="shared" si="3"/>
        <v>6.8386036465764447E-3</v>
      </c>
      <c r="K4" s="327">
        <f t="shared" si="4"/>
        <v>2.2107006722228524E-3</v>
      </c>
      <c r="L4" s="327">
        <f t="shared" si="5"/>
        <v>6.5509440793937287E-4</v>
      </c>
      <c r="M4" s="327">
        <f t="shared" si="6"/>
        <v>1.8151796429871005E-4</v>
      </c>
      <c r="N4" s="327">
        <f t="shared" si="7"/>
        <v>4.7676623617595682E-5</v>
      </c>
      <c r="O4" s="327">
        <f t="shared" si="8"/>
        <v>1.1987359559457199E-5</v>
      </c>
      <c r="P4" s="327">
        <f t="shared" si="9"/>
        <v>2.906345930305795E-6</v>
      </c>
      <c r="Q4" s="327">
        <f t="shared" si="10"/>
        <v>6.8329322862763689E-7</v>
      </c>
      <c r="R4" s="327">
        <f t="shared" si="11"/>
        <v>1.5646143401869338E-7</v>
      </c>
      <c r="S4" s="327">
        <f t="shared" si="12"/>
        <v>3.5016196705787891E-8</v>
      </c>
      <c r="T4" s="327">
        <f t="shared" si="13"/>
        <v>7.6811642631982073E-9</v>
      </c>
      <c r="U4" s="327">
        <f t="shared" si="14"/>
        <v>1.6553822853985067E-9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0.13785448382457546</v>
      </c>
      <c r="C5" s="93">
        <f>_xlfn.NEGBINOM.DIST(A5,$A$2,$A$2/($A$2+$C$4),FALSE)</f>
        <v>0.34721796053631959</v>
      </c>
      <c r="D5" s="93"/>
      <c r="E5" s="324">
        <v>3</v>
      </c>
      <c r="F5" s="328">
        <f t="shared" si="15"/>
        <v>5.9641395097054489E-2</v>
      </c>
      <c r="G5" s="328">
        <f t="shared" si="0"/>
        <v>5.7840436022070361E-2</v>
      </c>
      <c r="H5" s="328">
        <f t="shared" si="1"/>
        <v>3.2721418063820409E-2</v>
      </c>
      <c r="I5" s="326">
        <f t="shared" si="2"/>
        <v>1.4103709791883516E-2</v>
      </c>
      <c r="J5" s="327">
        <f t="shared" si="3"/>
        <v>5.1291853747120119E-3</v>
      </c>
      <c r="K5" s="327">
        <f t="shared" si="4"/>
        <v>1.6581007091276692E-3</v>
      </c>
      <c r="L5" s="327">
        <f t="shared" si="5"/>
        <v>4.9134309135467978E-4</v>
      </c>
      <c r="M5" s="327">
        <f t="shared" si="6"/>
        <v>1.3614464821258348E-4</v>
      </c>
      <c r="N5" s="327">
        <f t="shared" si="7"/>
        <v>3.5759089605586996E-5</v>
      </c>
      <c r="O5" s="327">
        <f t="shared" si="8"/>
        <v>8.9909274628838929E-6</v>
      </c>
      <c r="P5" s="327">
        <f t="shared" si="9"/>
        <v>2.1798583175735188E-6</v>
      </c>
      <c r="Q5" s="327">
        <f t="shared" si="10"/>
        <v>5.12493166155517E-7</v>
      </c>
      <c r="R5" s="327">
        <f t="shared" si="11"/>
        <v>1.1735139811427872E-7</v>
      </c>
      <c r="S5" s="327">
        <f t="shared" si="12"/>
        <v>2.6263338731625446E-8</v>
      </c>
      <c r="T5" s="327">
        <f t="shared" si="13"/>
        <v>5.7611344999180315E-9</v>
      </c>
      <c r="U5" s="327">
        <f t="shared" si="14"/>
        <v>1.2415930278506532E-9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0.23263999309380923</v>
      </c>
      <c r="C6" s="93">
        <f t="shared" ref="C6:C20" si="17">NEGBINOMDIST(A6,$A$2,$A$2/($A$2+$C$4))</f>
        <v>0.33673320685126956</v>
      </c>
      <c r="D6" s="93"/>
      <c r="E6" s="324">
        <v>4</v>
      </c>
      <c r="F6" s="328">
        <f t="shared" si="15"/>
        <v>3.7743532233798095E-2</v>
      </c>
      <c r="G6" s="328">
        <f t="shared" si="0"/>
        <v>3.660381112586962E-2</v>
      </c>
      <c r="H6" s="328">
        <f t="shared" si="1"/>
        <v>2.0707461577946607E-2</v>
      </c>
      <c r="I6" s="328">
        <f t="shared" si="2"/>
        <v>8.9254086742913772E-3</v>
      </c>
      <c r="J6" s="326">
        <f t="shared" si="3"/>
        <v>3.2459598439730261E-3</v>
      </c>
      <c r="K6" s="327">
        <f t="shared" si="4"/>
        <v>1.0493144477925606E-3</v>
      </c>
      <c r="L6" s="327">
        <f t="shared" si="5"/>
        <v>3.1094215311732771E-4</v>
      </c>
      <c r="M6" s="327">
        <f t="shared" si="6"/>
        <v>8.6157942984209742E-5</v>
      </c>
      <c r="N6" s="327">
        <f t="shared" si="7"/>
        <v>2.2629825291367197E-5</v>
      </c>
      <c r="O6" s="327">
        <f t="shared" si="8"/>
        <v>5.6898293535031369E-6</v>
      </c>
      <c r="P6" s="327">
        <f t="shared" si="9"/>
        <v>1.3795041605006375E-6</v>
      </c>
      <c r="Q6" s="327">
        <f t="shared" si="10"/>
        <v>3.2432679190207786E-7</v>
      </c>
      <c r="R6" s="327">
        <f t="shared" si="11"/>
        <v>7.4264799979943794E-8</v>
      </c>
      <c r="S6" s="327">
        <f t="shared" si="12"/>
        <v>1.6620522882993711E-8</v>
      </c>
      <c r="T6" s="327">
        <f t="shared" si="13"/>
        <v>3.6458832887301369E-9</v>
      </c>
      <c r="U6" s="327">
        <f t="shared" si="14"/>
        <v>7.8573122563081167E-10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0.22901538044330877</v>
      </c>
      <c r="C7" s="93">
        <f t="shared" si="17"/>
        <v>0.19049628244757674</v>
      </c>
      <c r="D7" s="93"/>
      <c r="E7" s="324">
        <v>5</v>
      </c>
      <c r="F7" s="328">
        <f t="shared" si="15"/>
        <v>2.1231699868344354E-2</v>
      </c>
      <c r="G7" s="328">
        <f t="shared" si="0"/>
        <v>2.059057766634002E-2</v>
      </c>
      <c r="H7" s="328">
        <f t="shared" si="1"/>
        <v>1.1648475466865248E-2</v>
      </c>
      <c r="I7" s="328">
        <f t="shared" si="2"/>
        <v>5.0207701017759886E-3</v>
      </c>
      <c r="J7" s="328">
        <f t="shared" si="3"/>
        <v>1.8259352295125159E-3</v>
      </c>
      <c r="K7" s="326">
        <f t="shared" si="4"/>
        <v>5.9026614904630643E-4</v>
      </c>
      <c r="L7" s="327">
        <f t="shared" si="5"/>
        <v>1.7491289449301077E-4</v>
      </c>
      <c r="M7" s="327">
        <f t="shared" si="6"/>
        <v>4.8466041158612244E-5</v>
      </c>
      <c r="N7" s="327">
        <f t="shared" si="7"/>
        <v>1.2729854102768152E-5</v>
      </c>
      <c r="O7" s="327">
        <f t="shared" si="8"/>
        <v>3.2006741814031309E-6</v>
      </c>
      <c r="P7" s="327">
        <f t="shared" si="9"/>
        <v>7.7600628689050839E-7</v>
      </c>
      <c r="Q7" s="327">
        <f t="shared" si="10"/>
        <v>1.824420953045221E-7</v>
      </c>
      <c r="R7" s="327">
        <f t="shared" si="11"/>
        <v>4.177584477758148E-8</v>
      </c>
      <c r="S7" s="327">
        <f t="shared" si="12"/>
        <v>9.3494681769788805E-9</v>
      </c>
      <c r="T7" s="327">
        <f t="shared" si="13"/>
        <v>2.0509023708176929E-9</v>
      </c>
      <c r="U7" s="327">
        <f t="shared" si="14"/>
        <v>4.4199386152950474E-10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0.17176932611703391</v>
      </c>
      <c r="C8" s="93">
        <f t="shared" si="17"/>
        <v>8.2108430595309229E-2</v>
      </c>
      <c r="D8" s="93"/>
      <c r="E8" s="324">
        <v>6</v>
      </c>
      <c r="F8" s="328">
        <f t="shared" si="15"/>
        <v>1.0948091807222934E-2</v>
      </c>
      <c r="G8" s="328">
        <f t="shared" si="0"/>
        <v>1.061749817738091E-2</v>
      </c>
      <c r="H8" s="328">
        <f t="shared" si="1"/>
        <v>6.0065175947388435E-3</v>
      </c>
      <c r="I8" s="328">
        <f t="shared" si="2"/>
        <v>2.5889520084615789E-3</v>
      </c>
      <c r="J8" s="328">
        <f t="shared" si="3"/>
        <v>9.4154055731311345E-4</v>
      </c>
      <c r="K8" s="328">
        <f t="shared" si="4"/>
        <v>3.0436978812468614E-4</v>
      </c>
      <c r="L8" s="326">
        <f t="shared" si="5"/>
        <v>9.0193552049580157E-5</v>
      </c>
      <c r="M8" s="327">
        <f t="shared" si="6"/>
        <v>2.4991435986162004E-5</v>
      </c>
      <c r="N8" s="327">
        <f t="shared" si="7"/>
        <v>6.5641287449362912E-6</v>
      </c>
      <c r="O8" s="327">
        <f t="shared" si="8"/>
        <v>1.6504224814921569E-6</v>
      </c>
      <c r="P8" s="327">
        <f t="shared" si="9"/>
        <v>4.0014639075255381E-7</v>
      </c>
      <c r="Q8" s="327">
        <f t="shared" si="10"/>
        <v>9.4075972309407959E-8</v>
      </c>
      <c r="R8" s="327">
        <f t="shared" si="11"/>
        <v>2.1541647008262937E-8</v>
      </c>
      <c r="S8" s="327">
        <f t="shared" si="12"/>
        <v>4.8210381921839005E-9</v>
      </c>
      <c r="T8" s="327">
        <f t="shared" si="13"/>
        <v>1.0575445010335951E-9</v>
      </c>
      <c r="U8" s="327">
        <f t="shared" si="14"/>
        <v>2.2791342211222312E-10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0.10870270701290539</v>
      </c>
      <c r="C9" s="93">
        <f t="shared" si="17"/>
        <v>2.9860892457698036E-2</v>
      </c>
      <c r="D9" s="93"/>
      <c r="E9" s="324">
        <v>7</v>
      </c>
      <c r="F9" s="328">
        <f t="shared" si="15"/>
        <v>5.2787836891706576E-3</v>
      </c>
      <c r="G9" s="328">
        <f t="shared" si="0"/>
        <v>5.119383102138453E-3</v>
      </c>
      <c r="H9" s="328">
        <f t="shared" si="1"/>
        <v>2.8961309117727175E-3</v>
      </c>
      <c r="I9" s="328">
        <f t="shared" si="2"/>
        <v>1.2483013364298057E-3</v>
      </c>
      <c r="J9" s="328">
        <f t="shared" si="3"/>
        <v>4.539776450685281E-4</v>
      </c>
      <c r="K9" s="328">
        <f t="shared" si="4"/>
        <v>1.4675637556938557E-4</v>
      </c>
      <c r="L9" s="328">
        <f t="shared" si="5"/>
        <v>4.3488149333345597E-5</v>
      </c>
      <c r="M9" s="326">
        <f t="shared" si="6"/>
        <v>1.2049988890819157E-5</v>
      </c>
      <c r="N9" s="327">
        <f t="shared" si="7"/>
        <v>3.1649913393606571E-6</v>
      </c>
      <c r="O9" s="327">
        <f t="shared" si="8"/>
        <v>7.957755039826689E-7</v>
      </c>
      <c r="P9" s="327">
        <f t="shared" si="9"/>
        <v>1.9293647495644141E-7</v>
      </c>
      <c r="Q9" s="327">
        <f t="shared" si="10"/>
        <v>4.5360115435106238E-8</v>
      </c>
      <c r="R9" s="327">
        <f t="shared" si="11"/>
        <v>1.0386622332676128E-8</v>
      </c>
      <c r="S9" s="327">
        <f t="shared" si="12"/>
        <v>2.3245345601668416E-9</v>
      </c>
      <c r="T9" s="327">
        <f t="shared" si="13"/>
        <v>5.0991065483623475E-10</v>
      </c>
      <c r="U9" s="327">
        <f t="shared" si="14"/>
        <v>1.098918127810482E-10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6.1148046130878313E-2</v>
      </c>
      <c r="C10" s="93">
        <f t="shared" si="17"/>
        <v>9.6530663920631147E-3</v>
      </c>
      <c r="D10" s="93"/>
      <c r="E10" s="324">
        <v>8</v>
      </c>
      <c r="F10" s="328">
        <f t="shared" si="15"/>
        <v>2.4126785375996732E-3</v>
      </c>
      <c r="G10" s="328">
        <f t="shared" si="0"/>
        <v>2.3398241836691735E-3</v>
      </c>
      <c r="H10" s="328">
        <f t="shared" si="1"/>
        <v>1.323682367824167E-3</v>
      </c>
      <c r="I10" s="328">
        <f t="shared" si="2"/>
        <v>5.7053859756362802E-4</v>
      </c>
      <c r="J10" s="328">
        <f t="shared" si="3"/>
        <v>2.074913815949449E-4</v>
      </c>
      <c r="K10" s="328">
        <f t="shared" si="4"/>
        <v>6.70752920447479E-5</v>
      </c>
      <c r="L10" s="328">
        <f t="shared" si="5"/>
        <v>1.9876344763234038E-5</v>
      </c>
      <c r="M10" s="328">
        <f t="shared" si="6"/>
        <v>5.5074712826055295E-6</v>
      </c>
      <c r="N10" s="326">
        <f t="shared" si="7"/>
        <v>1.446565558620948E-6</v>
      </c>
      <c r="O10" s="327">
        <f t="shared" si="8"/>
        <v>3.6371076980200891E-7</v>
      </c>
      <c r="P10" s="327">
        <f t="shared" si="9"/>
        <v>8.8181997910332279E-8</v>
      </c>
      <c r="Q10" s="327">
        <f t="shared" si="10"/>
        <v>2.0731930576704183E-8</v>
      </c>
      <c r="R10" s="327">
        <f t="shared" si="11"/>
        <v>4.7472263035915806E-9</v>
      </c>
      <c r="S10" s="327">
        <f t="shared" si="12"/>
        <v>1.0624331235107601E-9</v>
      </c>
      <c r="T10" s="327">
        <f t="shared" si="13"/>
        <v>2.3305567446164127E-10</v>
      </c>
      <c r="U10" s="327">
        <f t="shared" si="14"/>
        <v>5.0226270627204125E-11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3.1530891404097587E-2</v>
      </c>
      <c r="C11" s="93">
        <f t="shared" si="17"/>
        <v>2.8604821504621047E-3</v>
      </c>
      <c r="D11" s="93"/>
      <c r="E11" s="324">
        <v>9</v>
      </c>
      <c r="F11" s="328">
        <f t="shared" si="15"/>
        <v>1.0555947378469493E-3</v>
      </c>
      <c r="G11" s="328">
        <f t="shared" si="0"/>
        <v>1.0237195122668413E-3</v>
      </c>
      <c r="H11" s="328">
        <f t="shared" si="1"/>
        <v>5.7913730332516638E-4</v>
      </c>
      <c r="I11" s="328">
        <f t="shared" si="2"/>
        <v>2.4962195830942249E-4</v>
      </c>
      <c r="J11" s="328">
        <f t="shared" si="3"/>
        <v>9.0781596945825477E-5</v>
      </c>
      <c r="K11" s="328">
        <f t="shared" si="4"/>
        <v>2.9346771324299617E-5</v>
      </c>
      <c r="L11" s="328">
        <f t="shared" si="5"/>
        <v>8.69629526384214E-6</v>
      </c>
      <c r="M11" s="328">
        <f t="shared" si="6"/>
        <v>2.4096279774368453E-6</v>
      </c>
      <c r="N11" s="328">
        <f t="shared" si="7"/>
        <v>6.3290113781592927E-7</v>
      </c>
      <c r="O11" s="326">
        <f t="shared" si="8"/>
        <v>1.5913067933336421E-7</v>
      </c>
      <c r="P11" s="327">
        <f t="shared" si="9"/>
        <v>3.8581373985937367E-8</v>
      </c>
      <c r="Q11" s="327">
        <f t="shared" si="10"/>
        <v>9.0706310356412775E-9</v>
      </c>
      <c r="R11" s="327">
        <f t="shared" si="11"/>
        <v>2.077005712673761E-9</v>
      </c>
      <c r="S11" s="327">
        <f t="shared" si="12"/>
        <v>4.6483557465886596E-10</v>
      </c>
      <c r="T11" s="327">
        <f t="shared" si="13"/>
        <v>1.0196648237764534E-10</v>
      </c>
      <c r="U11" s="327">
        <f t="shared" si="14"/>
        <v>2.1974990098971341E-11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1.5203083622220883E-2</v>
      </c>
      <c r="C12" s="93">
        <f t="shared" si="17"/>
        <v>7.9260163202725853E-4</v>
      </c>
      <c r="D12" s="93"/>
      <c r="E12" s="324">
        <v>10</v>
      </c>
      <c r="F12" s="328">
        <f t="shared" si="15"/>
        <v>4.4534922932771041E-4</v>
      </c>
      <c r="G12" s="328">
        <f t="shared" si="0"/>
        <v>4.3190125858876737E-4</v>
      </c>
      <c r="H12" s="328">
        <f t="shared" si="1"/>
        <v>2.4433463190320193E-4</v>
      </c>
      <c r="I12" s="328">
        <f t="shared" si="2"/>
        <v>1.0531404029459416E-4</v>
      </c>
      <c r="J12" s="328">
        <f t="shared" si="3"/>
        <v>3.8300223359794814E-5</v>
      </c>
      <c r="K12" s="328">
        <f t="shared" si="4"/>
        <v>1.2381230716620285E-5</v>
      </c>
      <c r="L12" s="328">
        <f t="shared" si="5"/>
        <v>3.6689159721065657E-6</v>
      </c>
      <c r="M12" s="328">
        <f t="shared" si="6"/>
        <v>1.0166079123384009E-6</v>
      </c>
      <c r="N12" s="328">
        <f t="shared" si="7"/>
        <v>2.6701727837508635E-7</v>
      </c>
      <c r="O12" s="328">
        <f t="shared" si="8"/>
        <v>6.7136300383664886E-8</v>
      </c>
      <c r="P12" s="326">
        <f t="shared" si="9"/>
        <v>1.6277255422935451E-8</v>
      </c>
      <c r="Q12" s="327">
        <f t="shared" si="10"/>
        <v>3.826846038924226E-9</v>
      </c>
      <c r="R12" s="327">
        <f t="shared" si="11"/>
        <v>8.7627652950902276E-10</v>
      </c>
      <c r="S12" s="327">
        <f t="shared" si="12"/>
        <v>1.9611140290512166E-10</v>
      </c>
      <c r="T12" s="327">
        <f t="shared" si="13"/>
        <v>4.3019060929352615E-11</v>
      </c>
      <c r="U12" s="327">
        <f t="shared" si="14"/>
        <v>9.2711194497067538E-12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6.9485994730024998E-3</v>
      </c>
      <c r="C13" s="93">
        <f t="shared" si="17"/>
        <v>2.0818088080070112E-4</v>
      </c>
      <c r="D13" s="93"/>
      <c r="E13" s="324">
        <v>11</v>
      </c>
      <c r="F13" s="328">
        <f t="shared" si="15"/>
        <v>1.8219658481281661E-4</v>
      </c>
      <c r="G13" s="328">
        <f t="shared" si="0"/>
        <v>1.7669489270256679E-4</v>
      </c>
      <c r="H13" s="328">
        <f t="shared" si="1"/>
        <v>9.9959610464492931E-5</v>
      </c>
      <c r="I13" s="328">
        <f t="shared" si="2"/>
        <v>4.3084970649842569E-5</v>
      </c>
      <c r="J13" s="328">
        <f t="shared" si="3"/>
        <v>1.5668983876444044E-5</v>
      </c>
      <c r="K13" s="328">
        <f t="shared" si="4"/>
        <v>5.0652786707481049E-6</v>
      </c>
      <c r="L13" s="328">
        <f t="shared" si="5"/>
        <v>1.5009882493613162E-6</v>
      </c>
      <c r="M13" s="328">
        <f t="shared" si="6"/>
        <v>4.1590391882198103E-7</v>
      </c>
      <c r="N13" s="328">
        <f t="shared" si="7"/>
        <v>1.09239295820483E-7</v>
      </c>
      <c r="O13" s="328">
        <f t="shared" si="8"/>
        <v>2.7466095911597964E-8</v>
      </c>
      <c r="P13" s="328">
        <f t="shared" si="9"/>
        <v>6.6591792527891764E-9</v>
      </c>
      <c r="Q13" s="326">
        <f t="shared" si="10"/>
        <v>1.5655989344564151E-9</v>
      </c>
      <c r="R13" s="327">
        <f t="shared" si="11"/>
        <v>3.5849302191267379E-10</v>
      </c>
      <c r="S13" s="327">
        <f t="shared" si="12"/>
        <v>8.0231031063199401E-11</v>
      </c>
      <c r="T13" s="327">
        <f t="shared" si="13"/>
        <v>1.7599504988510889E-11</v>
      </c>
      <c r="U13" s="327">
        <f t="shared" si="14"/>
        <v>3.7929027151976424E-12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3.0401501587546255E-3</v>
      </c>
      <c r="C14" s="93">
        <f t="shared" si="17"/>
        <v>5.2343032752879188E-5</v>
      </c>
      <c r="D14" s="93"/>
      <c r="E14" s="324">
        <v>12</v>
      </c>
      <c r="F14" s="328">
        <f t="shared" si="15"/>
        <v>7.2597244488315955E-5</v>
      </c>
      <c r="G14" s="328">
        <f t="shared" si="0"/>
        <v>7.0405064609436305E-5</v>
      </c>
      <c r="H14" s="328">
        <f t="shared" si="1"/>
        <v>3.9829463803084081E-5</v>
      </c>
      <c r="I14" s="328">
        <f t="shared" si="2"/>
        <v>1.7167446641505377E-5</v>
      </c>
      <c r="J14" s="328">
        <f t="shared" si="3"/>
        <v>6.2433939391912782E-6</v>
      </c>
      <c r="K14" s="328">
        <f t="shared" si="4"/>
        <v>2.0182885120461634E-6</v>
      </c>
      <c r="L14" s="328">
        <f t="shared" si="5"/>
        <v>5.9807713204351726E-7</v>
      </c>
      <c r="M14" s="328">
        <f t="shared" si="6"/>
        <v>1.6571923403168041E-7</v>
      </c>
      <c r="N14" s="328">
        <f t="shared" si="7"/>
        <v>4.3527006143164581E-8</v>
      </c>
      <c r="O14" s="328">
        <f t="shared" si="8"/>
        <v>1.0944018967657112E-8</v>
      </c>
      <c r="P14" s="328">
        <f t="shared" si="9"/>
        <v>2.6533870807892857E-9</v>
      </c>
      <c r="Q14" s="328">
        <f t="shared" si="10"/>
        <v>6.2382161955531908E-10</v>
      </c>
      <c r="R14" s="326">
        <f t="shared" si="11"/>
        <v>1.4284354224250429E-10</v>
      </c>
      <c r="S14" s="327">
        <f t="shared" si="12"/>
        <v>3.1968501405384359E-11</v>
      </c>
      <c r="T14" s="327">
        <f t="shared" si="13"/>
        <v>7.0126208339026074E-12</v>
      </c>
      <c r="U14" s="327">
        <f t="shared" si="14"/>
        <v>1.511303222387464E-12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1.2826215229183864E-3</v>
      </c>
      <c r="C15" s="93">
        <f t="shared" si="17"/>
        <v>1.2690614598372975E-5</v>
      </c>
      <c r="D15" s="93"/>
      <c r="E15" s="324">
        <v>13</v>
      </c>
      <c r="F15" s="328">
        <f t="shared" si="15"/>
        <v>2.8272324646801991E-5</v>
      </c>
      <c r="G15" s="328">
        <f t="shared" si="0"/>
        <v>2.7418600491612497E-5</v>
      </c>
      <c r="H15" s="328">
        <f t="shared" si="1"/>
        <v>1.5511215874454791E-5</v>
      </c>
      <c r="I15" s="328">
        <f t="shared" si="2"/>
        <v>6.6857031313827147E-6</v>
      </c>
      <c r="J15" s="328">
        <f t="shared" si="3"/>
        <v>2.4314319584829517E-6</v>
      </c>
      <c r="K15" s="328">
        <f t="shared" si="4"/>
        <v>7.8600377253524774E-7</v>
      </c>
      <c r="L15" s="328">
        <f t="shared" si="5"/>
        <v>2.3291560113805668E-7</v>
      </c>
      <c r="M15" s="328">
        <f t="shared" si="6"/>
        <v>6.4537821205005774E-8</v>
      </c>
      <c r="N15" s="328">
        <f t="shared" si="7"/>
        <v>1.6951189501151826E-8</v>
      </c>
      <c r="O15" s="328">
        <f t="shared" si="8"/>
        <v>4.2620468500585938E-9</v>
      </c>
      <c r="P15" s="328">
        <f t="shared" si="9"/>
        <v>1.0333370293934292E-9</v>
      </c>
      <c r="Q15" s="328">
        <f t="shared" si="10"/>
        <v>2.4294155341667714E-10</v>
      </c>
      <c r="R15" s="328">
        <f t="shared" si="11"/>
        <v>5.5629094856750775E-11</v>
      </c>
      <c r="S15" s="326">
        <f t="shared" si="12"/>
        <v>1.2449836857791989E-11</v>
      </c>
      <c r="T15" s="327">
        <f t="shared" si="13"/>
        <v>2.7310002499190031E-12</v>
      </c>
      <c r="U15" s="327">
        <f t="shared" si="14"/>
        <v>5.8856304594278604E-13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5.2473260464807822E-4</v>
      </c>
      <c r="C16" s="93">
        <f t="shared" si="17"/>
        <v>2.9836128355439499E-6</v>
      </c>
      <c r="D16" s="93"/>
      <c r="E16" s="324">
        <v>14</v>
      </c>
      <c r="F16" s="328">
        <f t="shared" si="15"/>
        <v>1.0791934825034438E-5</v>
      </c>
      <c r="G16" s="328">
        <f t="shared" si="0"/>
        <v>1.0466056583451472E-5</v>
      </c>
      <c r="H16" s="328">
        <f t="shared" si="1"/>
        <v>5.9208442484085076E-6</v>
      </c>
      <c r="I16" s="328">
        <f t="shared" si="2"/>
        <v>2.5520247575953153E-6</v>
      </c>
      <c r="J16" s="328">
        <f t="shared" si="3"/>
        <v>9.2811099035048615E-7</v>
      </c>
      <c r="K16" s="328">
        <f t="shared" si="4"/>
        <v>3.0002844093653545E-7</v>
      </c>
      <c r="L16" s="328">
        <f t="shared" si="5"/>
        <v>8.8907085590499908E-8</v>
      </c>
      <c r="M16" s="328">
        <f t="shared" si="6"/>
        <v>2.4634973207727743E-8</v>
      </c>
      <c r="N16" s="328">
        <f t="shared" si="7"/>
        <v>6.4705019692793903E-9</v>
      </c>
      <c r="O16" s="328">
        <f t="shared" si="8"/>
        <v>1.6268818500667031E-9</v>
      </c>
      <c r="P16" s="328">
        <f t="shared" si="9"/>
        <v>3.9443894383725541E-10</v>
      </c>
      <c r="Q16" s="328">
        <f t="shared" si="10"/>
        <v>9.2734129348007716E-11</v>
      </c>
      <c r="R16" s="328">
        <f t="shared" si="11"/>
        <v>2.1234389940327053E-11</v>
      </c>
      <c r="S16" s="328">
        <f t="shared" si="12"/>
        <v>4.7522738094619507E-12</v>
      </c>
      <c r="T16" s="326">
        <f t="shared" si="13"/>
        <v>1.0424603237432208E-12</v>
      </c>
      <c r="U16" s="327">
        <f t="shared" si="14"/>
        <v>2.2466260244209416E-13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2.090826303345047E-4</v>
      </c>
      <c r="C17" s="93">
        <f t="shared" si="17"/>
        <v>6.8319181757936285E-7</v>
      </c>
      <c r="D17" s="93"/>
      <c r="E17" s="324">
        <v>15</v>
      </c>
      <c r="F17" s="328">
        <f t="shared" si="15"/>
        <v>4.0471591226904264E-6</v>
      </c>
      <c r="G17" s="328">
        <f t="shared" si="0"/>
        <v>3.9249492391346663E-6</v>
      </c>
      <c r="H17" s="328">
        <f t="shared" si="1"/>
        <v>2.2204173025942239E-6</v>
      </c>
      <c r="I17" s="328">
        <f t="shared" si="2"/>
        <v>9.5705269226371061E-7</v>
      </c>
      <c r="J17" s="328">
        <f t="shared" si="3"/>
        <v>3.4805740790361292E-7</v>
      </c>
      <c r="K17" s="328">
        <f t="shared" si="4"/>
        <v>1.1251576862622598E-7</v>
      </c>
      <c r="L17" s="328">
        <f t="shared" si="5"/>
        <v>3.334166934410319E-8</v>
      </c>
      <c r="M17" s="328">
        <f t="shared" si="6"/>
        <v>9.2385339766515347E-9</v>
      </c>
      <c r="N17" s="328">
        <f t="shared" si="7"/>
        <v>2.4265482972161939E-9</v>
      </c>
      <c r="O17" s="328">
        <f t="shared" si="8"/>
        <v>6.1010836590332407E-10</v>
      </c>
      <c r="P17" s="328">
        <f t="shared" si="9"/>
        <v>1.4792131307096095E-10</v>
      </c>
      <c r="Q17" s="328">
        <f t="shared" si="10"/>
        <v>3.4776875848520128E-11</v>
      </c>
      <c r="R17" s="328">
        <f t="shared" si="11"/>
        <v>7.9632574098209707E-12</v>
      </c>
      <c r="S17" s="328">
        <f t="shared" si="12"/>
        <v>1.7821835114191718E-12</v>
      </c>
      <c r="T17" s="328">
        <f t="shared" si="13"/>
        <v>3.909403529284869E-13</v>
      </c>
      <c r="U17" s="326">
        <f t="shared" si="14"/>
        <v>8.4252297270336085E-14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8.1425294368793624E-5</v>
      </c>
      <c r="C18" s="93">
        <f t="shared" si="17"/>
        <v>1.5289888669488691E-7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3.1081153775470042E-5</v>
      </c>
      <c r="C19" s="93">
        <f t="shared" si="17"/>
        <v>3.3539949362045699E-8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1.1655961334601201E-5</v>
      </c>
      <c r="C20" s="93">
        <f t="shared" si="17"/>
        <v>7.2282581291883391E-9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0.61063402360456454</v>
      </c>
      <c r="C21" s="323">
        <f>SUM(G2:U2,H3:U3,I4:U4,J5:U5,K6:U6,L7:U7,M8:U8,N9:U9,O10:U10,P11:U11,Q12:U12,R13:U13,S14:U14,T15:U15,U16)</f>
        <v>0.20148568964622465</v>
      </c>
    </row>
    <row r="22" spans="1:39">
      <c r="A22" s="1" t="s">
        <v>348</v>
      </c>
      <c r="B22" s="401">
        <f>1-B21-C21</f>
        <v>0.18788028674921081</v>
      </c>
      <c r="C22" s="377"/>
    </row>
    <row r="23" spans="1:39">
      <c r="A23" s="1" t="s">
        <v>349</v>
      </c>
      <c r="B23" s="329">
        <f>B21/(B21+C21)</f>
        <v>0.75190149141964713</v>
      </c>
      <c r="C23" s="330">
        <f>C21/(B21+C21)</f>
        <v>0.2480985085803529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4.6435797929825787E-2</v>
      </c>
      <c r="G2" s="327">
        <f t="shared" ref="G2:G17" si="0">$B5*$C$6</f>
        <v>6.1173615693617622E-2</v>
      </c>
      <c r="H2" s="327">
        <f t="shared" ref="H2:H17" si="1">$B5*$C$7</f>
        <v>4.7010209018050753E-2</v>
      </c>
      <c r="I2" s="327">
        <f t="shared" ref="I2:I17" si="2">$B5*$C$8</f>
        <v>2.752459274337142E-2</v>
      </c>
      <c r="J2" s="327">
        <f t="shared" ref="J2:J17" si="3">$B5*$C$9</f>
        <v>1.3597635878500039E-2</v>
      </c>
      <c r="K2" s="327">
        <f t="shared" ref="K2:K17" si="4">$B5*$C$10</f>
        <v>5.9710868816493451E-3</v>
      </c>
      <c r="L2" s="327">
        <f t="shared" ref="L2:L17" si="5">$B5*$C$11</f>
        <v>2.4035591403206817E-3</v>
      </c>
      <c r="M2" s="327">
        <f t="shared" ref="M2:M17" si="6">$B5*$C$12</f>
        <v>9.0468628393156622E-4</v>
      </c>
      <c r="N2" s="327">
        <f t="shared" ref="N2:N17" si="7">$B5*$C$13</f>
        <v>3.2278352397700473E-4</v>
      </c>
      <c r="O2" s="327">
        <f t="shared" ref="O2:O17" si="8">$B5*$C$14</f>
        <v>1.1024448481726124E-4</v>
      </c>
      <c r="P2" s="327">
        <f t="shared" ref="P2:P17" si="9">$B5*$C$15</f>
        <v>3.6308484225595078E-5</v>
      </c>
      <c r="Q2" s="327">
        <f t="shared" ref="Q2:Q17" si="10">$B5*$C$16</f>
        <v>1.1595658153799521E-5</v>
      </c>
      <c r="R2" s="327">
        <f t="shared" ref="R2:R17" si="11">$B5*$C$17</f>
        <v>3.6068083494549198E-6</v>
      </c>
      <c r="S2" s="327">
        <f t="shared" ref="S2:S17" si="12">$B5*$C$18</f>
        <v>1.0965090148612126E-6</v>
      </c>
      <c r="T2" s="327">
        <f t="shared" ref="T2:T17" si="13">$B5*$C$19</f>
        <v>3.267365802258102E-7</v>
      </c>
      <c r="U2" s="327">
        <f t="shared" ref="U2:U17" si="14">$B5*$C$20</f>
        <v>9.5652534767758015E-8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6.4584436019314087E-2</v>
      </c>
      <c r="G3" s="326">
        <f t="shared" si="0"/>
        <v>8.5082278004679449E-2</v>
      </c>
      <c r="H3" s="327">
        <f t="shared" si="1"/>
        <v>6.5383345865383982E-2</v>
      </c>
      <c r="I3" s="327">
        <f t="shared" si="2"/>
        <v>3.828210945526047E-2</v>
      </c>
      <c r="J3" s="327">
        <f t="shared" si="3"/>
        <v>1.8912039494530769E-2</v>
      </c>
      <c r="K3" s="327">
        <f t="shared" si="4"/>
        <v>8.3047841507198714E-3</v>
      </c>
      <c r="L3" s="327">
        <f t="shared" si="5"/>
        <v>3.3429491564087579E-3</v>
      </c>
      <c r="M3" s="327">
        <f t="shared" si="6"/>
        <v>1.2582674580164895E-3</v>
      </c>
      <c r="N3" s="327">
        <f t="shared" si="7"/>
        <v>4.4893794834505619E-4</v>
      </c>
      <c r="O3" s="327">
        <f t="shared" si="8"/>
        <v>1.53331657763749E-4</v>
      </c>
      <c r="P3" s="327">
        <f t="shared" si="9"/>
        <v>5.0499034817275032E-5</v>
      </c>
      <c r="Q3" s="327">
        <f t="shared" si="10"/>
        <v>1.6127622987498703E-5</v>
      </c>
      <c r="R3" s="327">
        <f t="shared" si="11"/>
        <v>5.0164677568656368E-6</v>
      </c>
      <c r="S3" s="327">
        <f t="shared" si="12"/>
        <v>1.5250608253125112E-6</v>
      </c>
      <c r="T3" s="327">
        <f t="shared" si="13"/>
        <v>4.5443598907577757E-7</v>
      </c>
      <c r="U3" s="327">
        <f t="shared" si="14"/>
        <v>1.330366933960999E-7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Innings'!$G$19</f>
        <v>2.0217493368403221</v>
      </c>
      <c r="C4" s="87">
        <f>'First 5 Innings'!$G$20</f>
        <v>1.8849384483789042</v>
      </c>
      <c r="D4" s="87"/>
      <c r="E4" s="324">
        <v>2</v>
      </c>
      <c r="F4" s="328">
        <f t="shared" si="15"/>
        <v>5.2398592847940434E-2</v>
      </c>
      <c r="G4" s="328">
        <f t="shared" si="0"/>
        <v>6.9028885572512341E-2</v>
      </c>
      <c r="H4" s="326">
        <f t="shared" si="1"/>
        <v>5.3046763743694769E-2</v>
      </c>
      <c r="I4" s="327">
        <f t="shared" si="2"/>
        <v>3.1059010348973366E-2</v>
      </c>
      <c r="J4" s="327">
        <f t="shared" si="3"/>
        <v>1.5343700719190882E-2</v>
      </c>
      <c r="K4" s="327">
        <f t="shared" si="4"/>
        <v>6.737830818457009E-3</v>
      </c>
      <c r="L4" s="327">
        <f t="shared" si="5"/>
        <v>2.7121988292294571E-3</v>
      </c>
      <c r="M4" s="327">
        <f t="shared" si="6"/>
        <v>1.0208565451698317E-3</v>
      </c>
      <c r="N4" s="327">
        <f t="shared" si="7"/>
        <v>3.6423197629669644E-4</v>
      </c>
      <c r="O4" s="327">
        <f t="shared" si="8"/>
        <v>1.2440091763687058E-4</v>
      </c>
      <c r="P4" s="327">
        <f t="shared" si="9"/>
        <v>4.0970836438256557E-5</v>
      </c>
      <c r="Q4" s="327">
        <f t="shared" si="10"/>
        <v>1.3084650151227009E-5</v>
      </c>
      <c r="R4" s="327">
        <f t="shared" si="11"/>
        <v>4.069956598339204E-6</v>
      </c>
      <c r="S4" s="327">
        <f t="shared" si="12"/>
        <v>1.2373111260117957E-6</v>
      </c>
      <c r="T4" s="327">
        <f t="shared" si="13"/>
        <v>3.6869264229406316E-7</v>
      </c>
      <c r="U4" s="327">
        <f t="shared" si="14"/>
        <v>1.0793522341843869E-7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0.20550727986032388</v>
      </c>
      <c r="C5" s="93">
        <f>_xlfn.NEGBINOM.DIST(A5,$A$2,$A$2/($A$2+$C$4),FALSE)</f>
        <v>0.22595694887979917</v>
      </c>
      <c r="D5" s="93"/>
      <c r="E5" s="324">
        <v>3</v>
      </c>
      <c r="F5" s="328">
        <f t="shared" si="15"/>
        <v>3.2390083304111694E-2</v>
      </c>
      <c r="G5" s="328">
        <f t="shared" si="0"/>
        <v>4.267006483498631E-2</v>
      </c>
      <c r="H5" s="328">
        <f t="shared" si="1"/>
        <v>3.2790748821403516E-2</v>
      </c>
      <c r="I5" s="326">
        <f t="shared" si="2"/>
        <v>1.919906390360359E-2</v>
      </c>
      <c r="J5" s="327">
        <f t="shared" si="3"/>
        <v>9.4846773067014806E-3</v>
      </c>
      <c r="K5" s="327">
        <f t="shared" si="4"/>
        <v>4.1649763788916636E-3</v>
      </c>
      <c r="L5" s="327">
        <f t="shared" si="5"/>
        <v>1.6765401748667238E-3</v>
      </c>
      <c r="M5" s="327">
        <f t="shared" si="6"/>
        <v>6.3104039140047597E-4</v>
      </c>
      <c r="N5" s="327">
        <f t="shared" si="7"/>
        <v>2.251492533111973E-4</v>
      </c>
      <c r="O5" s="327">
        <f t="shared" si="8"/>
        <v>7.6898173526515851E-5</v>
      </c>
      <c r="P5" s="327">
        <f t="shared" si="9"/>
        <v>2.5326038985919549E-5</v>
      </c>
      <c r="Q5" s="327">
        <f t="shared" si="10"/>
        <v>8.0882498053582526E-6</v>
      </c>
      <c r="R5" s="327">
        <f t="shared" si="11"/>
        <v>2.5158353707490337E-6</v>
      </c>
      <c r="S5" s="327">
        <f t="shared" si="12"/>
        <v>7.6484134909744133E-7</v>
      </c>
      <c r="T5" s="327">
        <f t="shared" si="13"/>
        <v>2.2790660490011896E-7</v>
      </c>
      <c r="U5" s="327">
        <f t="shared" si="14"/>
        <v>6.6719938226519577E-8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0.28582628832393486</v>
      </c>
      <c r="C6" s="93">
        <f t="shared" ref="C6:C20" si="17">NEGBINOMDIST(A6,$A$2,$A$2/($A$2+$C$4))</f>
        <v>0.29767128315451985</v>
      </c>
      <c r="D6" s="93"/>
      <c r="E6" s="324">
        <v>4</v>
      </c>
      <c r="F6" s="328">
        <f t="shared" si="15"/>
        <v>1.6893447696128334E-2</v>
      </c>
      <c r="G6" s="328">
        <f t="shared" si="0"/>
        <v>2.2255098936060473E-2</v>
      </c>
      <c r="H6" s="328">
        <f t="shared" si="1"/>
        <v>1.71024197415677E-2</v>
      </c>
      <c r="I6" s="328">
        <f t="shared" si="2"/>
        <v>1.0013508728116802E-2</v>
      </c>
      <c r="J6" s="326">
        <f t="shared" si="3"/>
        <v>4.9468505064041287E-3</v>
      </c>
      <c r="K6" s="327">
        <f t="shared" si="4"/>
        <v>2.1722948333227814E-3</v>
      </c>
      <c r="L6" s="327">
        <f t="shared" si="5"/>
        <v>8.7442021956681741E-4</v>
      </c>
      <c r="M6" s="327">
        <f t="shared" si="6"/>
        <v>3.2912690424958017E-4</v>
      </c>
      <c r="N6" s="327">
        <f t="shared" si="7"/>
        <v>1.1742937179023024E-4</v>
      </c>
      <c r="O6" s="327">
        <f t="shared" si="8"/>
        <v>4.0107191457364591E-5</v>
      </c>
      <c r="P6" s="327">
        <f t="shared" si="9"/>
        <v>1.3209108199620691E-5</v>
      </c>
      <c r="Q6" s="327">
        <f t="shared" si="10"/>
        <v>4.2185265087816102E-6</v>
      </c>
      <c r="R6" s="327">
        <f t="shared" si="11"/>
        <v>1.3121649873133614E-6</v>
      </c>
      <c r="S6" s="327">
        <f t="shared" si="12"/>
        <v>3.9891244506844639E-7</v>
      </c>
      <c r="T6" s="327">
        <f t="shared" si="13"/>
        <v>1.1886750254185356E-7</v>
      </c>
      <c r="U6" s="327">
        <f t="shared" si="14"/>
        <v>3.4798607219869077E-8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0.23189635506989684</v>
      </c>
      <c r="C7" s="93">
        <f t="shared" si="17"/>
        <v>0.22875203764071983</v>
      </c>
      <c r="D7" s="93"/>
      <c r="E7" s="324">
        <v>5</v>
      </c>
      <c r="F7" s="328">
        <f t="shared" si="15"/>
        <v>7.8319876798861043E-3</v>
      </c>
      <c r="G7" s="328">
        <f t="shared" si="0"/>
        <v>1.0317708014203559E-2</v>
      </c>
      <c r="H7" s="328">
        <f t="shared" si="1"/>
        <v>7.9288694126597396E-3</v>
      </c>
      <c r="I7" s="328">
        <f t="shared" si="2"/>
        <v>4.642372498599944E-3</v>
      </c>
      <c r="J7" s="328">
        <f t="shared" si="3"/>
        <v>2.2934141637218791E-3</v>
      </c>
      <c r="K7" s="326">
        <f t="shared" si="4"/>
        <v>1.0070997156822769E-3</v>
      </c>
      <c r="L7" s="327">
        <f t="shared" si="5"/>
        <v>4.0539080653501851E-4</v>
      </c>
      <c r="M7" s="327">
        <f t="shared" si="6"/>
        <v>1.5258684346550113E-4</v>
      </c>
      <c r="N7" s="327">
        <f t="shared" si="7"/>
        <v>5.444154500970382E-5</v>
      </c>
      <c r="O7" s="327">
        <f t="shared" si="8"/>
        <v>1.8594133951763024E-5</v>
      </c>
      <c r="P7" s="327">
        <f t="shared" si="9"/>
        <v>6.1238874706091755E-6</v>
      </c>
      <c r="Q7" s="327">
        <f t="shared" si="10"/>
        <v>1.9557551684149432E-6</v>
      </c>
      <c r="R7" s="327">
        <f t="shared" si="11"/>
        <v>6.0833408309965156E-7</v>
      </c>
      <c r="S7" s="327">
        <f t="shared" si="12"/>
        <v>1.8494018576476492E-7</v>
      </c>
      <c r="T7" s="327">
        <f t="shared" si="13"/>
        <v>5.5108278203033005E-8</v>
      </c>
      <c r="U7" s="327">
        <f t="shared" si="14"/>
        <v>1.6133016061941688E-8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0.14334625894307873</v>
      </c>
      <c r="C8" s="93">
        <f t="shared" si="17"/>
        <v>0.13393487939735724</v>
      </c>
      <c r="D8" s="93"/>
      <c r="E8" s="324">
        <v>6</v>
      </c>
      <c r="F8" s="328">
        <f t="shared" si="15"/>
        <v>3.3284124577651268E-3</v>
      </c>
      <c r="G8" s="328">
        <f t="shared" si="0"/>
        <v>4.3847857394175085E-3</v>
      </c>
      <c r="H8" s="328">
        <f t="shared" si="1"/>
        <v>3.3695849390653434E-3</v>
      </c>
      <c r="I8" s="328">
        <f t="shared" si="2"/>
        <v>1.9729002508021023E-3</v>
      </c>
      <c r="J8" s="328">
        <f t="shared" si="3"/>
        <v>9.7464763548477638E-4</v>
      </c>
      <c r="K8" s="328">
        <f t="shared" si="4"/>
        <v>4.2799393677510919E-4</v>
      </c>
      <c r="L8" s="326">
        <f t="shared" si="5"/>
        <v>1.722816564433398E-4</v>
      </c>
      <c r="M8" s="327">
        <f t="shared" si="6"/>
        <v>6.4845856689220045E-5</v>
      </c>
      <c r="N8" s="327">
        <f t="shared" si="7"/>
        <v>2.3136389386265504E-5</v>
      </c>
      <c r="O8" s="327">
        <f t="shared" si="8"/>
        <v>7.9020741114472189E-6</v>
      </c>
      <c r="P8" s="327">
        <f t="shared" si="9"/>
        <v>2.6025096284911121E-6</v>
      </c>
      <c r="Q8" s="327">
        <f t="shared" si="10"/>
        <v>8.3115042221127386E-7</v>
      </c>
      <c r="R8" s="327">
        <f t="shared" si="11"/>
        <v>2.5852782504650864E-7</v>
      </c>
      <c r="S8" s="327">
        <f t="shared" si="12"/>
        <v>7.8595274073489344E-8</v>
      </c>
      <c r="T8" s="327">
        <f t="shared" si="13"/>
        <v>2.3419735473795948E-8</v>
      </c>
      <c r="U8" s="327">
        <f t="shared" si="14"/>
        <v>6.8561562960314162E-9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7.476401048907344E-2</v>
      </c>
      <c r="C9" s="93">
        <f t="shared" si="17"/>
        <v>6.6166200475924142E-2</v>
      </c>
      <c r="D9" s="93"/>
      <c r="E9" s="324">
        <v>7</v>
      </c>
      <c r="F9" s="328">
        <f t="shared" si="15"/>
        <v>1.3226473109590067E-3</v>
      </c>
      <c r="G9" s="328">
        <f t="shared" si="0"/>
        <v>1.7424298042875604E-3</v>
      </c>
      <c r="H9" s="328">
        <f t="shared" si="1"/>
        <v>1.3390084658243527E-3</v>
      </c>
      <c r="I9" s="328">
        <f t="shared" si="2"/>
        <v>7.8399274267404808E-4</v>
      </c>
      <c r="J9" s="328">
        <f t="shared" si="3"/>
        <v>3.873062880770715E-4</v>
      </c>
      <c r="K9" s="328">
        <f t="shared" si="4"/>
        <v>1.7007658659061052E-4</v>
      </c>
      <c r="L9" s="328">
        <f t="shared" si="5"/>
        <v>6.8461427937134168E-5</v>
      </c>
      <c r="M9" s="326">
        <f t="shared" si="6"/>
        <v>2.5768500468364231E-5</v>
      </c>
      <c r="N9" s="327">
        <f t="shared" si="7"/>
        <v>9.1939576585985701E-6</v>
      </c>
      <c r="O9" s="327">
        <f t="shared" si="8"/>
        <v>3.1401327831594059E-6</v>
      </c>
      <c r="P9" s="327">
        <f t="shared" si="9"/>
        <v>1.0341874408738305E-6</v>
      </c>
      <c r="Q9" s="327">
        <f t="shared" si="10"/>
        <v>3.30283246108965E-7</v>
      </c>
      <c r="R9" s="327">
        <f t="shared" si="11"/>
        <v>1.0273400215412087E-7</v>
      </c>
      <c r="S9" s="327">
        <f t="shared" si="12"/>
        <v>3.1232255384955189E-8</v>
      </c>
      <c r="T9" s="327">
        <f t="shared" si="13"/>
        <v>9.3065539625417831E-9</v>
      </c>
      <c r="U9" s="327">
        <f t="shared" si="14"/>
        <v>2.7245050917005464E-9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3.4661415454199797E-2</v>
      </c>
      <c r="C10" s="93">
        <f t="shared" si="17"/>
        <v>2.9055354563145813E-2</v>
      </c>
      <c r="D10" s="93"/>
      <c r="E10" s="324">
        <v>8</v>
      </c>
      <c r="F10" s="328">
        <f t="shared" si="15"/>
        <v>4.9821996521140044E-4</v>
      </c>
      <c r="G10" s="328">
        <f t="shared" si="0"/>
        <v>6.5634527759786247E-4</v>
      </c>
      <c r="H10" s="328">
        <f t="shared" si="1"/>
        <v>5.0438294905470532E-4</v>
      </c>
      <c r="I10" s="328">
        <f t="shared" si="2"/>
        <v>2.9531745442996682E-4</v>
      </c>
      <c r="J10" s="328">
        <f t="shared" si="3"/>
        <v>1.4589204829819956E-4</v>
      </c>
      <c r="K10" s="328">
        <f t="shared" si="4"/>
        <v>6.4065114223843102E-5</v>
      </c>
      <c r="L10" s="328">
        <f t="shared" si="5"/>
        <v>2.5788318596006223E-5</v>
      </c>
      <c r="M10" s="328">
        <f t="shared" si="6"/>
        <v>9.7065796002637373E-6</v>
      </c>
      <c r="N10" s="326">
        <f t="shared" si="7"/>
        <v>3.4632159509709511E-6</v>
      </c>
      <c r="O10" s="327">
        <f t="shared" si="8"/>
        <v>1.1828375055255722E-6</v>
      </c>
      <c r="P10" s="327">
        <f t="shared" si="9"/>
        <v>3.895617724732943E-7</v>
      </c>
      <c r="Q10" s="327">
        <f t="shared" si="10"/>
        <v>1.244123856926036E-7</v>
      </c>
      <c r="R10" s="327">
        <f t="shared" si="11"/>
        <v>3.8698245976202192E-8</v>
      </c>
      <c r="S10" s="327">
        <f t="shared" si="12"/>
        <v>1.1764688184398556E-8</v>
      </c>
      <c r="T10" s="327">
        <f t="shared" si="13"/>
        <v>3.5056291673807324E-9</v>
      </c>
      <c r="U10" s="327">
        <f t="shared" si="14"/>
        <v>1.0262772401670123E-9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1.4730294749800858E-2</v>
      </c>
      <c r="C11" s="93">
        <f t="shared" si="17"/>
        <v>1.1695737211617501E-2</v>
      </c>
      <c r="D11" s="93"/>
      <c r="E11" s="324">
        <v>9</v>
      </c>
      <c r="F11" s="328">
        <f t="shared" si="15"/>
        <v>1.7965129898079901E-4</v>
      </c>
      <c r="G11" s="328">
        <f t="shared" si="0"/>
        <v>2.3666912194162507E-4</v>
      </c>
      <c r="H11" s="328">
        <f t="shared" si="1"/>
        <v>1.8187358658538669E-4</v>
      </c>
      <c r="I11" s="328">
        <f t="shared" si="2"/>
        <v>1.0648743126449173E-4</v>
      </c>
      <c r="J11" s="328">
        <f t="shared" si="3"/>
        <v>5.2606675400131646E-5</v>
      </c>
      <c r="K11" s="328">
        <f t="shared" si="4"/>
        <v>2.3101003157878501E-5</v>
      </c>
      <c r="L11" s="328">
        <f t="shared" si="5"/>
        <v>9.2989146517591252E-6</v>
      </c>
      <c r="M11" s="328">
        <f t="shared" si="6"/>
        <v>3.500059723837023E-6</v>
      </c>
      <c r="N11" s="328">
        <f t="shared" si="7"/>
        <v>1.2487882615843389E-6</v>
      </c>
      <c r="O11" s="326">
        <f t="shared" si="8"/>
        <v>4.2651501181955164E-7</v>
      </c>
      <c r="P11" s="327">
        <f t="shared" si="9"/>
        <v>1.4047064217587957E-7</v>
      </c>
      <c r="Q11" s="327">
        <f t="shared" si="10"/>
        <v>4.4861403114370763E-8</v>
      </c>
      <c r="R11" s="327">
        <f t="shared" si="11"/>
        <v>1.3954057732217354E-8</v>
      </c>
      <c r="S11" s="327">
        <f t="shared" si="12"/>
        <v>4.2421855044176296E-9</v>
      </c>
      <c r="T11" s="327">
        <f t="shared" si="13"/>
        <v>1.2640818867981296E-9</v>
      </c>
      <c r="U11" s="327">
        <f t="shared" si="14"/>
        <v>3.7006152339198615E-10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5.8535367799757588E-3</v>
      </c>
      <c r="C12" s="93">
        <f t="shared" si="17"/>
        <v>4.4022103963735487E-3</v>
      </c>
      <c r="D12" s="93"/>
      <c r="E12" s="324">
        <v>10</v>
      </c>
      <c r="F12" s="328">
        <f t="shared" si="15"/>
        <v>6.2466234791238909E-5</v>
      </c>
      <c r="G12" s="328">
        <f t="shared" si="0"/>
        <v>8.2291800966170507E-5</v>
      </c>
      <c r="H12" s="328">
        <f t="shared" si="1"/>
        <v>6.3238942475900132E-5</v>
      </c>
      <c r="I12" s="328">
        <f t="shared" si="2"/>
        <v>3.7026556008340363E-5</v>
      </c>
      <c r="J12" s="328">
        <f t="shared" si="3"/>
        <v>1.8291773874022117E-5</v>
      </c>
      <c r="K12" s="328">
        <f t="shared" si="4"/>
        <v>8.0324088685126624E-6</v>
      </c>
      <c r="L12" s="328">
        <f t="shared" si="5"/>
        <v>3.2333091340606441E-6</v>
      </c>
      <c r="M12" s="328">
        <f t="shared" si="6"/>
        <v>1.2169995637823353E-6</v>
      </c>
      <c r="N12" s="328">
        <f t="shared" si="7"/>
        <v>4.3421395333750257E-7</v>
      </c>
      <c r="O12" s="328">
        <f t="shared" si="8"/>
        <v>1.4830277889143295E-7</v>
      </c>
      <c r="P12" s="326">
        <f t="shared" si="9"/>
        <v>4.8842798049416992E-8</v>
      </c>
      <c r="Q12" s="327">
        <f t="shared" si="10"/>
        <v>1.5598678973683404E-8</v>
      </c>
      <c r="R12" s="327">
        <f t="shared" si="11"/>
        <v>4.8519406847392402E-9</v>
      </c>
      <c r="S12" s="327">
        <f t="shared" si="12"/>
        <v>1.475042803755425E-9</v>
      </c>
      <c r="T12" s="327">
        <f t="shared" si="13"/>
        <v>4.3953167265728305E-10</v>
      </c>
      <c r="U12" s="327">
        <f t="shared" si="14"/>
        <v>1.2867343647694981E-10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2.2049331418279826E-3</v>
      </c>
      <c r="C13" s="93">
        <f t="shared" si="17"/>
        <v>1.5706671033570655E-3</v>
      </c>
      <c r="D13" s="93"/>
      <c r="E13" s="324">
        <v>11</v>
      </c>
      <c r="F13" s="328">
        <f t="shared" si="15"/>
        <v>2.1061841257531075E-5</v>
      </c>
      <c r="G13" s="328">
        <f t="shared" si="0"/>
        <v>2.7746459419848283E-5</v>
      </c>
      <c r="H13" s="328">
        <f t="shared" si="1"/>
        <v>2.1322376355367505E-5</v>
      </c>
      <c r="I13" s="328">
        <f t="shared" si="2"/>
        <v>1.248430368129254E-5</v>
      </c>
      <c r="J13" s="328">
        <f t="shared" si="3"/>
        <v>6.1674669353905371E-6</v>
      </c>
      <c r="K13" s="328">
        <f t="shared" si="4"/>
        <v>2.7083002692508395E-6</v>
      </c>
      <c r="L13" s="328">
        <f t="shared" si="5"/>
        <v>1.0901800620078626E-6</v>
      </c>
      <c r="M13" s="328">
        <f t="shared" si="6"/>
        <v>4.1033770817995761E-7</v>
      </c>
      <c r="N13" s="328">
        <f t="shared" si="7"/>
        <v>1.4640461983282764E-7</v>
      </c>
      <c r="O13" s="328">
        <f t="shared" si="8"/>
        <v>5.0003487444070761E-8</v>
      </c>
      <c r="P13" s="328">
        <f t="shared" si="9"/>
        <v>1.6468405091621597E-8</v>
      </c>
      <c r="Q13" s="326">
        <f t="shared" si="10"/>
        <v>5.2594317789262037E-9</v>
      </c>
      <c r="R13" s="327">
        <f t="shared" si="11"/>
        <v>1.6359366757809946E-9</v>
      </c>
      <c r="S13" s="327">
        <f t="shared" si="12"/>
        <v>4.97342564100207E-10</v>
      </c>
      <c r="T13" s="327">
        <f t="shared" si="13"/>
        <v>1.4819760384314342E-10</v>
      </c>
      <c r="U13" s="327">
        <f t="shared" si="14"/>
        <v>4.3385030363933909E-11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7.9506870610280254E-4</v>
      </c>
      <c r="C14" s="93">
        <f t="shared" si="17"/>
        <v>5.364505086739047E-4</v>
      </c>
      <c r="D14" s="93"/>
      <c r="E14" s="324">
        <v>12</v>
      </c>
      <c r="F14" s="328">
        <f t="shared" si="15"/>
        <v>6.9165213036082074E-6</v>
      </c>
      <c r="G14" s="328">
        <f t="shared" si="0"/>
        <v>9.1116904419959226E-6</v>
      </c>
      <c r="H14" s="328">
        <f t="shared" si="1"/>
        <v>7.0020787120270459E-6</v>
      </c>
      <c r="I14" s="328">
        <f t="shared" si="2"/>
        <v>4.099734269030198E-6</v>
      </c>
      <c r="J14" s="328">
        <f t="shared" si="3"/>
        <v>2.0253412760232859E-6</v>
      </c>
      <c r="K14" s="328">
        <f t="shared" si="4"/>
        <v>8.8938171548241413E-7</v>
      </c>
      <c r="L14" s="328">
        <f t="shared" si="5"/>
        <v>3.5800543416165637E-7</v>
      </c>
      <c r="M14" s="328">
        <f t="shared" si="6"/>
        <v>1.3475125301714173E-7</v>
      </c>
      <c r="N14" s="328">
        <f t="shared" si="7"/>
        <v>4.8077974742988542E-8</v>
      </c>
      <c r="O14" s="328">
        <f t="shared" si="8"/>
        <v>1.6420700447448082E-8</v>
      </c>
      <c r="P14" s="328">
        <f t="shared" si="9"/>
        <v>5.4080777297626825E-9</v>
      </c>
      <c r="Q14" s="328">
        <f t="shared" si="10"/>
        <v>1.7271506084877457E-9</v>
      </c>
      <c r="R14" s="326">
        <f t="shared" si="11"/>
        <v>5.3722705109399424E-10</v>
      </c>
      <c r="S14" s="327">
        <f t="shared" si="12"/>
        <v>1.6332287370935415E-10</v>
      </c>
      <c r="T14" s="327">
        <f t="shared" si="13"/>
        <v>4.8666774741656448E-11</v>
      </c>
      <c r="U14" s="327">
        <f t="shared" si="14"/>
        <v>1.4247258019881841E-11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2.7645193078115364E-4</v>
      </c>
      <c r="C15" s="93">
        <f t="shared" si="17"/>
        <v>1.7667736272054542E-4</v>
      </c>
      <c r="D15" s="93"/>
      <c r="E15" s="324">
        <v>13</v>
      </c>
      <c r="F15" s="328">
        <f t="shared" si="15"/>
        <v>2.2199366446558712E-6</v>
      </c>
      <c r="G15" s="328">
        <f t="shared" si="0"/>
        <v>2.9245012946602498E-6</v>
      </c>
      <c r="H15" s="328">
        <f t="shared" si="1"/>
        <v>2.2473972737544447E-6</v>
      </c>
      <c r="I15" s="328">
        <f t="shared" si="2"/>
        <v>1.3158566189080781E-6</v>
      </c>
      <c r="J15" s="328">
        <f t="shared" si="3"/>
        <v>6.5005645456952985E-7</v>
      </c>
      <c r="K15" s="328">
        <f t="shared" si="4"/>
        <v>2.8545723704433969E-7</v>
      </c>
      <c r="L15" s="328">
        <f t="shared" si="5"/>
        <v>1.1490594005208823E-7</v>
      </c>
      <c r="M15" s="328">
        <f t="shared" si="6"/>
        <v>4.324995635161178E-8</v>
      </c>
      <c r="N15" s="328">
        <f t="shared" si="7"/>
        <v>1.5431176056252557E-8</v>
      </c>
      <c r="O15" s="328">
        <f t="shared" si="8"/>
        <v>5.270411678655615E-9</v>
      </c>
      <c r="P15" s="328">
        <f t="shared" si="9"/>
        <v>1.7357844214525068E-9</v>
      </c>
      <c r="Q15" s="328">
        <f t="shared" si="10"/>
        <v>5.5434874820980121E-10</v>
      </c>
      <c r="R15" s="328">
        <f t="shared" si="11"/>
        <v>1.7242916848991843E-10</v>
      </c>
      <c r="S15" s="326">
        <f t="shared" si="12"/>
        <v>5.2420344902104878E-11</v>
      </c>
      <c r="T15" s="327">
        <f t="shared" si="13"/>
        <v>1.5620158152314974E-11</v>
      </c>
      <c r="U15" s="327">
        <f t="shared" si="14"/>
        <v>4.5728204650657634E-12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9.3211743927092955E-5</v>
      </c>
      <c r="C16" s="93">
        <f t="shared" si="17"/>
        <v>5.642456151276337E-5</v>
      </c>
      <c r="D16" s="93"/>
      <c r="E16" s="324">
        <v>14</v>
      </c>
      <c r="F16" s="328">
        <f t="shared" si="15"/>
        <v>6.9837688068781791E-7</v>
      </c>
      <c r="G16" s="328">
        <f t="shared" si="0"/>
        <v>9.2002809929240959E-7</v>
      </c>
      <c r="H16" s="328">
        <f t="shared" si="1"/>
        <v>7.0701580673003389E-7</v>
      </c>
      <c r="I16" s="328">
        <f t="shared" si="2"/>
        <v>4.1395948986098107E-7</v>
      </c>
      <c r="J16" s="328">
        <f t="shared" si="3"/>
        <v>2.0450331323920553E-7</v>
      </c>
      <c r="K16" s="328">
        <f t="shared" si="4"/>
        <v>8.9802893815329016E-8</v>
      </c>
      <c r="L16" s="328">
        <f t="shared" si="5"/>
        <v>3.6148622610136957E-8</v>
      </c>
      <c r="M16" s="328">
        <f t="shared" si="6"/>
        <v>1.3606140373166001E-8</v>
      </c>
      <c r="N16" s="328">
        <f t="shared" si="7"/>
        <v>4.8545424147367032E-9</v>
      </c>
      <c r="O16" s="328">
        <f t="shared" si="8"/>
        <v>1.658035456525712E-9</v>
      </c>
      <c r="P16" s="328">
        <f t="shared" si="9"/>
        <v>5.4606590360078834E-10</v>
      </c>
      <c r="Q16" s="328">
        <f t="shared" si="10"/>
        <v>1.743943236037584E-10</v>
      </c>
      <c r="R16" s="328">
        <f t="shared" si="11"/>
        <v>5.4245036730879636E-11</v>
      </c>
      <c r="S16" s="328">
        <f t="shared" si="12"/>
        <v>1.6491081871837211E-11</v>
      </c>
      <c r="T16" s="326">
        <f t="shared" si="13"/>
        <v>4.913994889234854E-12</v>
      </c>
      <c r="U16" s="327">
        <f t="shared" si="14"/>
        <v>1.4385780333082891E-12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3.0609907497412454E-5</v>
      </c>
      <c r="C17" s="93">
        <f t="shared" si="17"/>
        <v>1.7550757091945071E-5</v>
      </c>
      <c r="D17" s="93"/>
      <c r="E17" s="324">
        <v>15</v>
      </c>
      <c r="F17" s="328">
        <f t="shared" si="15"/>
        <v>2.1585012224267389E-7</v>
      </c>
      <c r="G17" s="328">
        <f t="shared" si="0"/>
        <v>2.8435674660847283E-7</v>
      </c>
      <c r="H17" s="328">
        <f t="shared" si="1"/>
        <v>2.1852018949979904E-7</v>
      </c>
      <c r="I17" s="328">
        <f t="shared" si="2"/>
        <v>1.2794410720183841E-7</v>
      </c>
      <c r="J17" s="328">
        <f t="shared" si="3"/>
        <v>6.3206653001227182E-8</v>
      </c>
      <c r="K17" s="328">
        <f t="shared" si="4"/>
        <v>2.7755737831260588E-8</v>
      </c>
      <c r="L17" s="328">
        <f t="shared" si="5"/>
        <v>1.11725986713902E-8</v>
      </c>
      <c r="M17" s="328">
        <f t="shared" si="6"/>
        <v>4.2053039612456507E-9</v>
      </c>
      <c r="N17" s="328">
        <f t="shared" si="7"/>
        <v>1.5004127465118143E-9</v>
      </c>
      <c r="O17" s="328">
        <f t="shared" si="8"/>
        <v>5.1245561797705334E-10</v>
      </c>
      <c r="P17" s="328">
        <f t="shared" si="9"/>
        <v>1.687747623155853E-10</v>
      </c>
      <c r="Q17" s="328">
        <f t="shared" si="10"/>
        <v>5.3900747732693814E-11</v>
      </c>
      <c r="R17" s="328">
        <f t="shared" si="11"/>
        <v>1.67657294123009E-11</v>
      </c>
      <c r="S17" s="328">
        <f t="shared" si="12"/>
        <v>5.0969643130858254E-12</v>
      </c>
      <c r="T17" s="328">
        <f t="shared" si="13"/>
        <v>1.5187879594418538E-12</v>
      </c>
      <c r="U17" s="326">
        <f t="shared" si="14"/>
        <v>4.4462703868346433E-13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9.8246000207623453E-6</v>
      </c>
      <c r="C18" s="93">
        <f t="shared" si="17"/>
        <v>5.3356212763191238E-6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3.0907519514229629E-6</v>
      </c>
      <c r="C19" s="93">
        <f t="shared" si="17"/>
        <v>1.5899027053829025E-6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9.5527100765331307E-7</v>
      </c>
      <c r="C20" s="93">
        <f t="shared" si="17"/>
        <v>4.6544596781568856E-7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0.41682210480775217</v>
      </c>
      <c r="C21" s="323">
        <f>SUM(G2:U2,H3:U3,I4:U4,J5:U5,K6:U6,L7:U7,M8:U8,N9:U9,O10:U10,P11:U11,Q12:U12,R13:U13,S14:U14,T15:U15,U16)</f>
        <v>0.37325744550948831</v>
      </c>
    </row>
    <row r="22" spans="1:39">
      <c r="A22" s="1" t="s">
        <v>348</v>
      </c>
      <c r="B22" s="401">
        <f>1-B21-C21</f>
        <v>0.20992044968275952</v>
      </c>
      <c r="C22" s="377"/>
    </row>
    <row r="23" spans="1:39">
      <c r="A23" s="1" t="s">
        <v>349</v>
      </c>
      <c r="B23" s="329">
        <f>B21/(B21+C21)</f>
        <v>0.52756979299158635</v>
      </c>
      <c r="C23" s="330">
        <f>C21/(B21+C21)</f>
        <v>0.47243020700841371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2.3737935288800787E-2</v>
      </c>
      <c r="G2" s="327">
        <f t="shared" ref="G2:G17" si="0">$B5*$C$6</f>
        <v>4.04296736383013E-2</v>
      </c>
      <c r="H2" s="327">
        <f t="shared" ref="H2:H17" si="1">$B5*$C$7</f>
        <v>4.0167455714142E-2</v>
      </c>
      <c r="I2" s="327">
        <f t="shared" ref="I2:I17" si="2">$B5*$C$8</f>
        <v>3.0405286459018698E-2</v>
      </c>
      <c r="J2" s="327">
        <f t="shared" ref="J2:J17" si="3">$B5*$C$9</f>
        <v>1.9419482888805781E-2</v>
      </c>
      <c r="K2" s="327">
        <f t="shared" ref="K2:K17" si="4">$B5*$C$10</f>
        <v>1.1024875666551113E-2</v>
      </c>
      <c r="L2" s="327">
        <f t="shared" ref="L2:L17" si="5">$B5*$C$11</f>
        <v>5.7374799222157258E-3</v>
      </c>
      <c r="M2" s="327">
        <f t="shared" ref="M2:M17" si="6">$B5*$C$12</f>
        <v>2.7919679490637996E-3</v>
      </c>
      <c r="N2" s="327">
        <f t="shared" ref="N2:N17" si="7">$B5*$C$13</f>
        <v>1.2878635074752023E-3</v>
      </c>
      <c r="O2" s="327">
        <f t="shared" ref="O2:O17" si="8">$B5*$C$14</f>
        <v>5.6867142645074796E-4</v>
      </c>
      <c r="P2" s="327">
        <f t="shared" ref="P2:P17" si="9">$B5*$C$15</f>
        <v>2.4213563541979535E-4</v>
      </c>
      <c r="Q2" s="327">
        <f t="shared" ref="Q2:Q17" si="10">$B5*$C$16</f>
        <v>9.9975146898700375E-5</v>
      </c>
      <c r="R2" s="327">
        <f t="shared" ref="R2:R17" si="11">$B5*$C$17</f>
        <v>4.0203676509751906E-5</v>
      </c>
      <c r="S2" s="327">
        <f t="shared" ref="S2:S17" si="12">$B5*$C$18</f>
        <v>1.5801596447340688E-5</v>
      </c>
      <c r="T2" s="327">
        <f t="shared" ref="T2:T17" si="13">$B5*$C$19</f>
        <v>6.0874103049844603E-6</v>
      </c>
      <c r="U2" s="327">
        <f t="shared" ref="U2:U17" si="14">$B5*$C$20</f>
        <v>2.3039728410215053E-6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3.5807905472442662E-2</v>
      </c>
      <c r="G3" s="326">
        <f t="shared" si="0"/>
        <v>6.0986851396675791E-2</v>
      </c>
      <c r="H3" s="327">
        <f t="shared" si="1"/>
        <v>6.0591304162797108E-2</v>
      </c>
      <c r="I3" s="327">
        <f t="shared" si="2"/>
        <v>4.5865388465387659E-2</v>
      </c>
      <c r="J3" s="327">
        <f t="shared" si="3"/>
        <v>2.9293660090738433E-2</v>
      </c>
      <c r="K3" s="327">
        <f t="shared" si="4"/>
        <v>1.6630667364720044E-2</v>
      </c>
      <c r="L3" s="327">
        <f t="shared" si="5"/>
        <v>8.6548023745631041E-3</v>
      </c>
      <c r="M3" s="327">
        <f t="shared" si="6"/>
        <v>4.2115930971187987E-3</v>
      </c>
      <c r="N3" s="327">
        <f t="shared" si="7"/>
        <v>1.9427003307586404E-3</v>
      </c>
      <c r="O3" s="327">
        <f t="shared" si="8"/>
        <v>8.5782240264318371E-4</v>
      </c>
      <c r="P3" s="327">
        <f t="shared" si="9"/>
        <v>3.6525375265945831E-4</v>
      </c>
      <c r="Q3" s="327">
        <f t="shared" si="10"/>
        <v>1.5080926652585394E-4</v>
      </c>
      <c r="R3" s="327">
        <f t="shared" si="11"/>
        <v>6.0645942058197726E-5</v>
      </c>
      <c r="S3" s="327">
        <f t="shared" si="12"/>
        <v>2.3836195735482002E-5</v>
      </c>
      <c r="T3" s="327">
        <f t="shared" si="13"/>
        <v>9.1826610074084849E-6</v>
      </c>
      <c r="U3" s="327">
        <f t="shared" si="14"/>
        <v>3.4754683041576797E-6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Innings'!$G$21</f>
        <v>2.2501747104752448</v>
      </c>
      <c r="C4" s="87">
        <f>'First 5 Innings'!$G$22</f>
        <v>2.6557283258573658</v>
      </c>
      <c r="D4" s="87"/>
      <c r="E4" s="324">
        <v>2</v>
      </c>
      <c r="F4" s="328">
        <f t="shared" si="15"/>
        <v>3.1508787344906565E-2</v>
      </c>
      <c r="G4" s="328">
        <f t="shared" si="0"/>
        <v>5.3664734257415109E-2</v>
      </c>
      <c r="H4" s="326">
        <f t="shared" si="1"/>
        <v>5.3316676656371083E-2</v>
      </c>
      <c r="I4" s="327">
        <f t="shared" si="2"/>
        <v>4.035876303235917E-2</v>
      </c>
      <c r="J4" s="327">
        <f t="shared" si="3"/>
        <v>2.577664608345745E-2</v>
      </c>
      <c r="K4" s="327">
        <f t="shared" si="4"/>
        <v>1.463397968926485E-2</v>
      </c>
      <c r="L4" s="327">
        <f t="shared" si="5"/>
        <v>7.615701726596931E-3</v>
      </c>
      <c r="M4" s="327">
        <f t="shared" si="6"/>
        <v>3.7059467603465022E-3</v>
      </c>
      <c r="N4" s="327">
        <f t="shared" si="7"/>
        <v>1.7094585899156201E-3</v>
      </c>
      <c r="O4" s="327">
        <f t="shared" si="8"/>
        <v>7.5483174198451926E-4</v>
      </c>
      <c r="P4" s="327">
        <f t="shared" si="9"/>
        <v>3.2140117294302331E-4</v>
      </c>
      <c r="Q4" s="327">
        <f t="shared" si="10"/>
        <v>1.3270301755743326E-4</v>
      </c>
      <c r="R4" s="327">
        <f t="shared" si="11"/>
        <v>5.3364754694012138E-5</v>
      </c>
      <c r="S4" s="327">
        <f t="shared" si="12"/>
        <v>2.0974408098761042E-5</v>
      </c>
      <c r="T4" s="327">
        <f t="shared" si="13"/>
        <v>8.0801853424648887E-6</v>
      </c>
      <c r="U4" s="327">
        <f t="shared" si="14"/>
        <v>3.0582015416663585E-6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0.17597855137870386</v>
      </c>
      <c r="C5" s="93">
        <f>_xlfn.NEGBINOM.DIST(A5,$A$2,$A$2/($A$2+$C$4),FALSE)</f>
        <v>0.1348910711153487</v>
      </c>
      <c r="D5" s="93"/>
      <c r="E5" s="324">
        <v>3</v>
      </c>
      <c r="F5" s="328">
        <f t="shared" si="15"/>
        <v>2.1124437227136236E-2</v>
      </c>
      <c r="G5" s="328">
        <f t="shared" si="0"/>
        <v>3.5978449367870285E-2</v>
      </c>
      <c r="H5" s="328">
        <f t="shared" si="1"/>
        <v>3.574510110015694E-2</v>
      </c>
      <c r="I5" s="326">
        <f t="shared" si="2"/>
        <v>2.7057726687782366E-2</v>
      </c>
      <c r="J5" s="327">
        <f t="shared" si="3"/>
        <v>1.7281437592491983E-2</v>
      </c>
      <c r="K5" s="327">
        <f t="shared" si="4"/>
        <v>9.8110594338386668E-3</v>
      </c>
      <c r="L5" s="327">
        <f t="shared" si="5"/>
        <v>5.1057951327376592E-3</v>
      </c>
      <c r="M5" s="327">
        <f t="shared" si="6"/>
        <v>2.4845779956271029E-3</v>
      </c>
      <c r="N5" s="327">
        <f t="shared" si="7"/>
        <v>1.1460723727566363E-3</v>
      </c>
      <c r="O5" s="327">
        <f t="shared" si="8"/>
        <v>5.0606186699785722E-4</v>
      </c>
      <c r="P5" s="327">
        <f t="shared" si="9"/>
        <v>2.1547699783693424E-4</v>
      </c>
      <c r="Q5" s="327">
        <f t="shared" si="10"/>
        <v>8.8968087967266995E-5</v>
      </c>
      <c r="R5" s="327">
        <f t="shared" si="11"/>
        <v>3.5777334060347859E-5</v>
      </c>
      <c r="S5" s="327">
        <f t="shared" si="12"/>
        <v>1.4061873039053619E-5</v>
      </c>
      <c r="T5" s="327">
        <f t="shared" si="13"/>
        <v>5.417198896996523E-6</v>
      </c>
      <c r="U5" s="327">
        <f t="shared" si="14"/>
        <v>2.05031014960039E-6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0.26545793710706345</v>
      </c>
      <c r="C6" s="93">
        <f t="shared" ref="C6:C20" si="17">NEGBINOMDIST(A6,$A$2,$A$2/($A$2+$C$4))</f>
        <v>0.22974205277606302</v>
      </c>
      <c r="D6" s="93"/>
      <c r="E6" s="324">
        <v>4</v>
      </c>
      <c r="F6" s="328">
        <f t="shared" si="15"/>
        <v>1.1949573154505445E-2</v>
      </c>
      <c r="G6" s="328">
        <f t="shared" si="0"/>
        <v>2.0352121483016655E-2</v>
      </c>
      <c r="H6" s="328">
        <f t="shared" si="1"/>
        <v>2.0220122122961006E-2</v>
      </c>
      <c r="I6" s="328">
        <f t="shared" si="2"/>
        <v>1.5305888671671949E-2</v>
      </c>
      <c r="J6" s="326">
        <f t="shared" si="3"/>
        <v>9.7756830397937502E-3</v>
      </c>
      <c r="K6" s="327">
        <f t="shared" si="4"/>
        <v>5.5498743548658049E-3</v>
      </c>
      <c r="L6" s="327">
        <f t="shared" si="5"/>
        <v>2.8882223840827823E-3</v>
      </c>
      <c r="M6" s="327">
        <f t="shared" si="6"/>
        <v>1.4054644958153752E-3</v>
      </c>
      <c r="N6" s="327">
        <f t="shared" si="7"/>
        <v>6.4830487607123112E-4</v>
      </c>
      <c r="O6" s="327">
        <f t="shared" si="8"/>
        <v>2.8626671732718628E-4</v>
      </c>
      <c r="P6" s="327">
        <f t="shared" si="9"/>
        <v>1.2189002343967871E-4</v>
      </c>
      <c r="Q6" s="327">
        <f t="shared" si="10"/>
        <v>5.0327053173073212E-5</v>
      </c>
      <c r="R6" s="327">
        <f t="shared" si="11"/>
        <v>2.0238355513590356E-5</v>
      </c>
      <c r="S6" s="327">
        <f t="shared" si="12"/>
        <v>7.9544547749506474E-6</v>
      </c>
      <c r="T6" s="327">
        <f t="shared" si="13"/>
        <v>3.0643758134777923E-6</v>
      </c>
      <c r="U6" s="327">
        <f t="shared" si="14"/>
        <v>1.1598098855197897E-6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0.23358690152265615</v>
      </c>
      <c r="C7" s="93">
        <f t="shared" si="17"/>
        <v>0.22825199661805426</v>
      </c>
      <c r="D7" s="93"/>
      <c r="E7" s="324">
        <v>5</v>
      </c>
      <c r="F7" s="328">
        <f t="shared" si="15"/>
        <v>6.0085145112914297E-3</v>
      </c>
      <c r="G7" s="328">
        <f t="shared" si="0"/>
        <v>1.0233505053706887E-2</v>
      </c>
      <c r="H7" s="328">
        <f t="shared" si="1"/>
        <v>1.0167132802571163E-2</v>
      </c>
      <c r="I7" s="328">
        <f t="shared" si="2"/>
        <v>7.6961455445190901E-3</v>
      </c>
      <c r="J7" s="328">
        <f t="shared" si="3"/>
        <v>4.9154336010939475E-3</v>
      </c>
      <c r="K7" s="326">
        <f t="shared" si="4"/>
        <v>2.7906018203238034E-3</v>
      </c>
      <c r="L7" s="327">
        <f t="shared" si="5"/>
        <v>1.4522632634836026E-3</v>
      </c>
      <c r="M7" s="327">
        <f t="shared" si="6"/>
        <v>7.0669920247549436E-4</v>
      </c>
      <c r="N7" s="327">
        <f t="shared" si="7"/>
        <v>3.2598229286092019E-4</v>
      </c>
      <c r="O7" s="327">
        <f t="shared" si="8"/>
        <v>1.4394135279314479E-4</v>
      </c>
      <c r="P7" s="327">
        <f t="shared" si="9"/>
        <v>6.1289049001957659E-5</v>
      </c>
      <c r="Q7" s="327">
        <f t="shared" si="10"/>
        <v>2.5305575805185385E-5</v>
      </c>
      <c r="R7" s="327">
        <f t="shared" si="11"/>
        <v>1.0176300962033427E-5</v>
      </c>
      <c r="S7" s="327">
        <f t="shared" si="12"/>
        <v>3.999679011687713E-6</v>
      </c>
      <c r="T7" s="327">
        <f t="shared" si="13"/>
        <v>1.5408371751245054E-6</v>
      </c>
      <c r="U7" s="327">
        <f t="shared" si="14"/>
        <v>5.8317853176683801E-7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0.15660367326368255</v>
      </c>
      <c r="C8" s="93">
        <f t="shared" si="17"/>
        <v>0.17277836543606309</v>
      </c>
      <c r="D8" s="93"/>
      <c r="E8" s="324">
        <v>6</v>
      </c>
      <c r="F8" s="328">
        <f t="shared" si="15"/>
        <v>2.7694483854615449E-3</v>
      </c>
      <c r="G8" s="328">
        <f t="shared" si="0"/>
        <v>4.7168337523927593E-3</v>
      </c>
      <c r="H8" s="328">
        <f t="shared" si="1"/>
        <v>4.6862414115734358E-3</v>
      </c>
      <c r="I8" s="328">
        <f t="shared" si="2"/>
        <v>3.5473123702191665E-3</v>
      </c>
      <c r="J8" s="328">
        <f t="shared" si="3"/>
        <v>2.2656248270368521E-3</v>
      </c>
      <c r="K8" s="328">
        <f t="shared" si="4"/>
        <v>1.2862459916237617E-3</v>
      </c>
      <c r="L8" s="326">
        <f t="shared" si="5"/>
        <v>6.6937812045914883E-4</v>
      </c>
      <c r="M8" s="327">
        <f t="shared" si="6"/>
        <v>3.2573225239362186E-4</v>
      </c>
      <c r="N8" s="327">
        <f t="shared" si="7"/>
        <v>1.5025196876135831E-4</v>
      </c>
      <c r="O8" s="327">
        <f t="shared" si="8"/>
        <v>6.634554120573221E-5</v>
      </c>
      <c r="P8" s="327">
        <f t="shared" si="9"/>
        <v>2.8249388011956895E-5</v>
      </c>
      <c r="Q8" s="327">
        <f t="shared" si="10"/>
        <v>1.1663862328225007E-5</v>
      </c>
      <c r="R8" s="327">
        <f t="shared" si="11"/>
        <v>4.6904672055484206E-6</v>
      </c>
      <c r="S8" s="327">
        <f t="shared" si="12"/>
        <v>1.8435346308088003E-6</v>
      </c>
      <c r="T8" s="327">
        <f t="shared" si="13"/>
        <v>7.1020366496385663E-7</v>
      </c>
      <c r="U8" s="327">
        <f t="shared" si="14"/>
        <v>2.6879902515045585E-7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8.8586835701579297E-2</v>
      </c>
      <c r="C9" s="93">
        <f t="shared" si="17"/>
        <v>0.11035141917389281</v>
      </c>
      <c r="D9" s="93"/>
      <c r="E9" s="324">
        <v>7</v>
      </c>
      <c r="F9" s="328">
        <f t="shared" si="15"/>
        <v>1.1936065902340351E-3</v>
      </c>
      <c r="G9" s="328">
        <f t="shared" si="0"/>
        <v>2.0329116373678327E-3</v>
      </c>
      <c r="H9" s="328">
        <f t="shared" si="1"/>
        <v>2.0197266219675386E-3</v>
      </c>
      <c r="I9" s="328">
        <f t="shared" si="2"/>
        <v>1.5288587593614512E-3</v>
      </c>
      <c r="J9" s="328">
        <f t="shared" si="3"/>
        <v>9.7646330538070326E-4</v>
      </c>
      <c r="K9" s="328">
        <f t="shared" si="4"/>
        <v>5.5436010301682201E-4</v>
      </c>
      <c r="L9" s="328">
        <f t="shared" si="5"/>
        <v>2.8849576693062577E-4</v>
      </c>
      <c r="M9" s="326">
        <f t="shared" si="6"/>
        <v>1.4038758228888525E-4</v>
      </c>
      <c r="N9" s="327">
        <f t="shared" si="7"/>
        <v>6.4757206182525511E-5</v>
      </c>
      <c r="O9" s="327">
        <f t="shared" si="8"/>
        <v>2.8594313449394052E-5</v>
      </c>
      <c r="P9" s="327">
        <f t="shared" si="9"/>
        <v>1.2175224451973559E-5</v>
      </c>
      <c r="Q9" s="327">
        <f t="shared" si="10"/>
        <v>5.0270165768883507E-6</v>
      </c>
      <c r="R9" s="327">
        <f t="shared" si="11"/>
        <v>2.0215479000112064E-6</v>
      </c>
      <c r="S9" s="327">
        <f t="shared" si="12"/>
        <v>7.9454634222812349E-7</v>
      </c>
      <c r="T9" s="327">
        <f t="shared" si="13"/>
        <v>3.0609119829035883E-7</v>
      </c>
      <c r="U9" s="327">
        <f t="shared" si="14"/>
        <v>1.1584988893540916E-7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4.4543456150284398E-2</v>
      </c>
      <c r="C10" s="93">
        <f t="shared" si="17"/>
        <v>6.264897386742152E-2</v>
      </c>
      <c r="D10" s="93"/>
      <c r="E10" s="324">
        <v>8</v>
      </c>
      <c r="F10" s="328">
        <f t="shared" si="15"/>
        <v>4.8763997430618065E-4</v>
      </c>
      <c r="G10" s="328">
        <f t="shared" si="0"/>
        <v>8.3053242728696052E-4</v>
      </c>
      <c r="H10" s="328">
        <f t="shared" si="1"/>
        <v>8.2514577759548594E-4</v>
      </c>
      <c r="I10" s="328">
        <f t="shared" si="2"/>
        <v>6.2460500154126817E-4</v>
      </c>
      <c r="J10" s="328">
        <f t="shared" si="3"/>
        <v>3.9892754031578477E-4</v>
      </c>
      <c r="K10" s="328">
        <f t="shared" si="4"/>
        <v>2.2648010542442669E-4</v>
      </c>
      <c r="L10" s="328">
        <f t="shared" si="5"/>
        <v>1.1786301242347209E-4</v>
      </c>
      <c r="M10" s="328">
        <f t="shared" si="6"/>
        <v>5.7354406033260826E-5</v>
      </c>
      <c r="N10" s="326">
        <f t="shared" si="7"/>
        <v>2.6456122659975529E-5</v>
      </c>
      <c r="O10" s="327">
        <f t="shared" si="8"/>
        <v>1.1682015154617561E-5</v>
      </c>
      <c r="P10" s="327">
        <f t="shared" si="9"/>
        <v>4.9741063659578601E-6</v>
      </c>
      <c r="Q10" s="327">
        <f t="shared" si="10"/>
        <v>2.0537539373923273E-6</v>
      </c>
      <c r="R10" s="327">
        <f t="shared" si="11"/>
        <v>8.2588984853618395E-7</v>
      </c>
      <c r="S10" s="327">
        <f t="shared" si="12"/>
        <v>3.2460658401125499E-7</v>
      </c>
      <c r="T10" s="327">
        <f t="shared" si="13"/>
        <v>1.2505150800180502E-7</v>
      </c>
      <c r="U10" s="327">
        <f t="shared" si="14"/>
        <v>4.7329695836179993E-8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2.0530998549884157E-2</v>
      </c>
      <c r="C11" s="93">
        <f t="shared" si="17"/>
        <v>3.2603291010554654E-2</v>
      </c>
      <c r="D11" s="93"/>
      <c r="E11" s="324">
        <v>9</v>
      </c>
      <c r="F11" s="328">
        <f t="shared" si="15"/>
        <v>1.907082813581341E-4</v>
      </c>
      <c r="G11" s="328">
        <f t="shared" si="0"/>
        <v>3.248080964762043E-4</v>
      </c>
      <c r="H11" s="328">
        <f t="shared" si="1"/>
        <v>3.2270146297799481E-4</v>
      </c>
      <c r="I11" s="328">
        <f t="shared" si="2"/>
        <v>2.4427313724866668E-4</v>
      </c>
      <c r="J11" s="328">
        <f t="shared" si="3"/>
        <v>1.5601425151475076E-4</v>
      </c>
      <c r="K11" s="328">
        <f t="shared" si="4"/>
        <v>8.8572787185371647E-5</v>
      </c>
      <c r="L11" s="328">
        <f t="shared" si="5"/>
        <v>4.6094360018277684E-5</v>
      </c>
      <c r="M11" s="328">
        <f t="shared" si="6"/>
        <v>2.2430401073009687E-5</v>
      </c>
      <c r="N11" s="328">
        <f t="shared" si="7"/>
        <v>1.0346571137984682E-5</v>
      </c>
      <c r="O11" s="326">
        <f t="shared" si="8"/>
        <v>4.5686513623223997E-6</v>
      </c>
      <c r="P11" s="327">
        <f t="shared" si="9"/>
        <v>1.945294328452175E-6</v>
      </c>
      <c r="Q11" s="327">
        <f t="shared" si="10"/>
        <v>8.0319068240839129E-7</v>
      </c>
      <c r="R11" s="327">
        <f t="shared" si="11"/>
        <v>3.2299245735455494E-7</v>
      </c>
      <c r="S11" s="327">
        <f t="shared" si="12"/>
        <v>1.269485009763618E-7</v>
      </c>
      <c r="T11" s="327">
        <f t="shared" si="13"/>
        <v>4.8905666944550409E-8</v>
      </c>
      <c r="U11" s="327">
        <f t="shared" si="14"/>
        <v>1.8509895467375589E-8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8.8486701185236522E-3</v>
      </c>
      <c r="C12" s="93">
        <f t="shared" si="17"/>
        <v>1.5865387725891186E-2</v>
      </c>
      <c r="D12" s="93"/>
      <c r="E12" s="324">
        <v>10</v>
      </c>
      <c r="F12" s="328">
        <f t="shared" si="15"/>
        <v>7.191931426009306E-5</v>
      </c>
      <c r="G12" s="328">
        <f t="shared" si="0"/>
        <v>1.2249061969588356E-4</v>
      </c>
      <c r="H12" s="328">
        <f t="shared" si="1"/>
        <v>1.2169617261938743E-4</v>
      </c>
      <c r="I12" s="328">
        <f t="shared" si="2"/>
        <v>9.2119526210267502E-5</v>
      </c>
      <c r="J12" s="328">
        <f t="shared" si="3"/>
        <v>5.8835609569945845E-5</v>
      </c>
      <c r="K12" s="328">
        <f t="shared" si="4"/>
        <v>3.340229417995009E-5</v>
      </c>
      <c r="L12" s="328">
        <f t="shared" si="5"/>
        <v>1.7382961768434954E-5</v>
      </c>
      <c r="M12" s="328">
        <f t="shared" si="6"/>
        <v>8.4588831290461774E-6</v>
      </c>
      <c r="N12" s="328">
        <f t="shared" si="7"/>
        <v>3.9018667458375206E-6</v>
      </c>
      <c r="O12" s="328">
        <f t="shared" si="8"/>
        <v>1.722915600369929E-6</v>
      </c>
      <c r="P12" s="326">
        <f t="shared" si="9"/>
        <v>7.3360335031073079E-7</v>
      </c>
      <c r="Q12" s="327">
        <f t="shared" si="10"/>
        <v>3.0289677347796988E-7</v>
      </c>
      <c r="R12" s="327">
        <f t="shared" si="11"/>
        <v>1.2180591151413658E-7</v>
      </c>
      <c r="S12" s="327">
        <f t="shared" si="12"/>
        <v>4.7874424076116709E-8</v>
      </c>
      <c r="T12" s="327">
        <f t="shared" si="13"/>
        <v>1.8443153097685588E-8</v>
      </c>
      <c r="U12" s="327">
        <f t="shared" si="14"/>
        <v>6.9803942417148624E-9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3.6150648836436889E-3</v>
      </c>
      <c r="C13" s="93">
        <f t="shared" si="17"/>
        <v>7.3182981527318888E-3</v>
      </c>
      <c r="D13" s="93"/>
      <c r="E13" s="324">
        <v>11</v>
      </c>
      <c r="F13" s="328">
        <f t="shared" si="15"/>
        <v>2.6300109805312523E-5</v>
      </c>
      <c r="G13" s="328">
        <f t="shared" si="0"/>
        <v>4.4793485328183745E-5</v>
      </c>
      <c r="H13" s="328">
        <f t="shared" si="1"/>
        <v>4.4502964686248881E-5</v>
      </c>
      <c r="I13" s="328">
        <f t="shared" si="2"/>
        <v>3.3687107273876628E-5</v>
      </c>
      <c r="J13" s="328">
        <f t="shared" si="3"/>
        <v>2.1515541521378096E-5</v>
      </c>
      <c r="K13" s="328">
        <f t="shared" si="4"/>
        <v>1.2214855129249978E-5</v>
      </c>
      <c r="L13" s="328">
        <f t="shared" si="5"/>
        <v>6.356759765506659E-6</v>
      </c>
      <c r="M13" s="328">
        <f t="shared" si="6"/>
        <v>3.0933214173826604E-6</v>
      </c>
      <c r="N13" s="328">
        <f t="shared" si="7"/>
        <v>1.4268701657819653E-6</v>
      </c>
      <c r="O13" s="328">
        <f t="shared" si="8"/>
        <v>6.3005146727543969E-7</v>
      </c>
      <c r="P13" s="328">
        <f t="shared" si="9"/>
        <v>2.6827075404170297E-7</v>
      </c>
      <c r="Q13" s="326">
        <f t="shared" si="10"/>
        <v>1.1076605059575514E-7</v>
      </c>
      <c r="R13" s="327">
        <f t="shared" si="11"/>
        <v>4.4543095004669022E-8</v>
      </c>
      <c r="S13" s="327">
        <f t="shared" si="12"/>
        <v>1.7507155386861413E-8</v>
      </c>
      <c r="T13" s="327">
        <f t="shared" si="13"/>
        <v>6.744460185912417E-9</v>
      </c>
      <c r="U13" s="327">
        <f t="shared" si="14"/>
        <v>2.5526541365167153E-9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1.4137946995398584E-3</v>
      </c>
      <c r="C14" s="93">
        <f t="shared" si="17"/>
        <v>3.2314814617775403E-3</v>
      </c>
      <c r="D14" s="93"/>
      <c r="E14" s="324">
        <v>12</v>
      </c>
      <c r="F14" s="328">
        <f t="shared" si="15"/>
        <v>9.367203676438952E-6</v>
      </c>
      <c r="G14" s="328">
        <f t="shared" si="0"/>
        <v>1.5953914396278359E-5</v>
      </c>
      <c r="H14" s="328">
        <f t="shared" si="1"/>
        <v>1.5850440834937411E-5</v>
      </c>
      <c r="I14" s="328">
        <f t="shared" si="2"/>
        <v>1.1998200670656891E-5</v>
      </c>
      <c r="J14" s="328">
        <f t="shared" si="3"/>
        <v>7.6631033532383747E-6</v>
      </c>
      <c r="K14" s="328">
        <f t="shared" si="4"/>
        <v>4.3505155195499372E-6</v>
      </c>
      <c r="L14" s="328">
        <f t="shared" si="5"/>
        <v>2.2640614007499433E-6</v>
      </c>
      <c r="M14" s="328">
        <f t="shared" si="6"/>
        <v>1.1017357709837855E-6</v>
      </c>
      <c r="N14" s="328">
        <f t="shared" si="7"/>
        <v>5.082025725996796E-7</v>
      </c>
      <c r="O14" s="328">
        <f t="shared" si="8"/>
        <v>2.2440288136805079E-7</v>
      </c>
      <c r="P14" s="328">
        <f t="shared" si="9"/>
        <v>9.5548908812269843E-8</v>
      </c>
      <c r="Q14" s="328">
        <f t="shared" si="10"/>
        <v>3.9451095985751203E-8</v>
      </c>
      <c r="R14" s="326">
        <f t="shared" si="11"/>
        <v>1.5864733888047246E-8</v>
      </c>
      <c r="S14" s="327">
        <f t="shared" si="12"/>
        <v>6.2354526850937426E-9</v>
      </c>
      <c r="T14" s="327">
        <f t="shared" si="13"/>
        <v>2.4021470905157009E-9</v>
      </c>
      <c r="U14" s="327">
        <f t="shared" si="14"/>
        <v>9.0916849356372256E-10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5.3316586239124061E-4</v>
      </c>
      <c r="C15" s="93">
        <f t="shared" si="17"/>
        <v>1.3759383375007003E-3</v>
      </c>
      <c r="D15" s="93"/>
      <c r="E15" s="324">
        <v>13</v>
      </c>
      <c r="F15" s="328">
        <f t="shared" si="15"/>
        <v>3.2607975997353403E-6</v>
      </c>
      <c r="G15" s="328">
        <f t="shared" si="0"/>
        <v>5.553683635663668E-6</v>
      </c>
      <c r="H15" s="328">
        <f t="shared" si="1"/>
        <v>5.5176636715301568E-6</v>
      </c>
      <c r="I15" s="328">
        <f t="shared" si="2"/>
        <v>4.1766684380342475E-6</v>
      </c>
      <c r="J15" s="328">
        <f t="shared" si="3"/>
        <v>2.6675868150080551E-6</v>
      </c>
      <c r="K15" s="328">
        <f t="shared" si="4"/>
        <v>1.514448820990386E-6</v>
      </c>
      <c r="L15" s="328">
        <f t="shared" si="5"/>
        <v>7.8813765945841407E-7</v>
      </c>
      <c r="M15" s="328">
        <f t="shared" si="6"/>
        <v>3.8352292548123987E-7</v>
      </c>
      <c r="N15" s="328">
        <f t="shared" si="7"/>
        <v>1.7690933027115972E-7</v>
      </c>
      <c r="O15" s="328">
        <f t="shared" si="8"/>
        <v>7.8116415764412049E-8</v>
      </c>
      <c r="P15" s="328">
        <f t="shared" si="9"/>
        <v>3.3261329984320959E-8</v>
      </c>
      <c r="Q15" s="328">
        <f t="shared" si="10"/>
        <v>1.3733238172330502E-8</v>
      </c>
      <c r="R15" s="328">
        <f t="shared" si="11"/>
        <v>5.5226391962313726E-9</v>
      </c>
      <c r="S15" s="326">
        <f t="shared" si="12"/>
        <v>2.1706103391302159E-9</v>
      </c>
      <c r="T15" s="327">
        <f t="shared" si="13"/>
        <v>8.3620637892893558E-10</v>
      </c>
      <c r="U15" s="327">
        <f t="shared" si="14"/>
        <v>3.1648873494919173E-10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1.9497294808210579E-4</v>
      </c>
      <c r="C16" s="93">
        <f t="shared" si="17"/>
        <v>5.6810984131557593E-4</v>
      </c>
      <c r="D16" s="93"/>
      <c r="E16" s="324">
        <v>14</v>
      </c>
      <c r="F16" s="328">
        <f t="shared" si="15"/>
        <v>1.1125873924480886E-6</v>
      </c>
      <c r="G16" s="328">
        <f t="shared" si="0"/>
        <v>1.8949223941977176E-6</v>
      </c>
      <c r="H16" s="328">
        <f t="shared" si="1"/>
        <v>1.8826323465190055E-6</v>
      </c>
      <c r="I16" s="328">
        <f t="shared" si="2"/>
        <v>1.4250834357121449E-6</v>
      </c>
      <c r="J16" s="328">
        <f t="shared" si="3"/>
        <v>9.1018328119463865E-7</v>
      </c>
      <c r="K16" s="328">
        <f t="shared" si="4"/>
        <v>5.1673144781464929E-7</v>
      </c>
      <c r="L16" s="328">
        <f t="shared" si="5"/>
        <v>2.6891335527790721E-7</v>
      </c>
      <c r="M16" s="328">
        <f t="shared" si="6"/>
        <v>1.3085840459397672E-7</v>
      </c>
      <c r="N16" s="328">
        <f t="shared" si="7"/>
        <v>6.0361639888996067E-8</v>
      </c>
      <c r="O16" s="328">
        <f t="shared" si="8"/>
        <v>2.6653398950542668E-8</v>
      </c>
      <c r="P16" s="328">
        <f t="shared" si="9"/>
        <v>1.1348798956308926E-8</v>
      </c>
      <c r="Q16" s="328">
        <f t="shared" si="10"/>
        <v>4.6857945581356807E-9</v>
      </c>
      <c r="R16" s="328">
        <f t="shared" si="11"/>
        <v>1.8843300005082734E-9</v>
      </c>
      <c r="S16" s="328">
        <f t="shared" si="12"/>
        <v>7.4061441207812439E-10</v>
      </c>
      <c r="T16" s="326">
        <f t="shared" si="13"/>
        <v>2.8531445029170596E-10</v>
      </c>
      <c r="U16" s="327">
        <f t="shared" si="14"/>
        <v>1.0798627194306543E-10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6.9442725889757554E-5</v>
      </c>
      <c r="C17" s="93">
        <f t="shared" si="17"/>
        <v>2.284578216764272E-4</v>
      </c>
      <c r="D17" s="93"/>
      <c r="E17" s="324">
        <v>15</v>
      </c>
      <c r="F17" s="328">
        <f t="shared" si="15"/>
        <v>3.7295599913450821E-7</v>
      </c>
      <c r="G17" s="328">
        <f t="shared" si="0"/>
        <v>6.3520643826038908E-7</v>
      </c>
      <c r="H17" s="328">
        <f t="shared" si="1"/>
        <v>6.3108662974688514E-7</v>
      </c>
      <c r="I17" s="328">
        <f t="shared" si="2"/>
        <v>4.7770936487657468E-7</v>
      </c>
      <c r="J17" s="328">
        <f t="shared" si="3"/>
        <v>3.0510710200170633E-7</v>
      </c>
      <c r="K17" s="328">
        <f t="shared" si="4"/>
        <v>1.7321613988442298E-7</v>
      </c>
      <c r="L17" s="328">
        <f t="shared" si="5"/>
        <v>9.0143794347340984E-8</v>
      </c>
      <c r="M17" s="328">
        <f t="shared" si="6"/>
        <v>4.3865702021939306E-8</v>
      </c>
      <c r="N17" s="328">
        <f t="shared" si="7"/>
        <v>2.0234128003790309E-8</v>
      </c>
      <c r="O17" s="328">
        <f t="shared" si="8"/>
        <v>8.9346195214899502E-9</v>
      </c>
      <c r="P17" s="328">
        <f t="shared" si="9"/>
        <v>3.8042878091703208E-9</v>
      </c>
      <c r="Q17" s="328">
        <f t="shared" si="10"/>
        <v>1.5707486917708121E-9</v>
      </c>
      <c r="R17" s="328">
        <f t="shared" si="11"/>
        <v>6.3165570885388365E-10</v>
      </c>
      <c r="S17" s="328">
        <f t="shared" si="12"/>
        <v>2.482650710451054E-10</v>
      </c>
      <c r="T17" s="328">
        <f t="shared" si="13"/>
        <v>9.5641687653782272E-11</v>
      </c>
      <c r="U17" s="326">
        <f t="shared" si="14"/>
        <v>3.6198619738732839E-11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2.4173561472774958E-5</v>
      </c>
      <c r="C18" s="93">
        <f t="shared" si="17"/>
        <v>8.9792740783141409E-5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8.2480432785405613E-6</v>
      </c>
      <c r="C19" s="93">
        <f t="shared" si="17"/>
        <v>3.4591774152546702E-5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2.7648679490103856E-6</v>
      </c>
      <c r="C20" s="93">
        <f t="shared" si="17"/>
        <v>1.3092350306165333E-5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0.35434979756359464</v>
      </c>
      <c r="C21" s="323">
        <f>SUM(G2:U2,H3:U3,I4:U4,J5:U5,K6:U6,L7:U7,M8:U8,N9:U9,O10:U10,P11:U11,Q12:U12,R13:U13,S14:U14,T15:U15,U16)</f>
        <v>0.46713404594214397</v>
      </c>
    </row>
    <row r="22" spans="1:39">
      <c r="A22" s="1" t="s">
        <v>348</v>
      </c>
      <c r="B22" s="401">
        <f>1-B21-C21</f>
        <v>0.17851615649426139</v>
      </c>
      <c r="C22" s="377"/>
    </row>
    <row r="23" spans="1:39">
      <c r="A23" s="1" t="s">
        <v>349</v>
      </c>
      <c r="B23" s="329">
        <f>B21/(B21+C21)</f>
        <v>0.43135333745747528</v>
      </c>
      <c r="C23" s="330">
        <f>C21/(B21+C21)</f>
        <v>0.56864666254252483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7.0875143401724461E-2</v>
      </c>
      <c r="G2" s="327">
        <f t="shared" ref="G2:G17" si="0">$B5*$C$6</f>
        <v>7.9047972948755985E-2</v>
      </c>
      <c r="H2" s="327">
        <f t="shared" ref="H2:H17" si="1">$B5*$C$7</f>
        <v>5.1428554605326054E-2</v>
      </c>
      <c r="I2" s="327">
        <f t="shared" ref="I2:I17" si="2">$B5*$C$8</f>
        <v>2.5492861566073211E-2</v>
      </c>
      <c r="J2" s="327">
        <f t="shared" ref="J2:J17" si="3">$B5*$C$9</f>
        <v>1.0662195524808146E-2</v>
      </c>
      <c r="K2" s="327">
        <f t="shared" ref="K2:K17" si="4">$B5*$C$10</f>
        <v>3.9638952998523967E-3</v>
      </c>
      <c r="L2" s="327">
        <f t="shared" ref="L2:L17" si="5">$B5*$C$11</f>
        <v>1.3508562802408181E-3</v>
      </c>
      <c r="M2" s="327">
        <f t="shared" ref="M2:M17" si="6">$B5*$C$12</f>
        <v>4.3046504266114452E-4</v>
      </c>
      <c r="N2" s="327">
        <f t="shared" ref="N2:N17" si="7">$B5*$C$13</f>
        <v>1.3002797254565496E-4</v>
      </c>
      <c r="O2" s="327">
        <f t="shared" ref="O2:O17" si="8">$B5*$C$14</f>
        <v>3.7598269263760731E-5</v>
      </c>
      <c r="P2" s="327">
        <f t="shared" ref="P2:P17" si="9">$B5*$C$15</f>
        <v>1.0483460170358859E-5</v>
      </c>
      <c r="Q2" s="327">
        <f t="shared" ref="Q2:Q17" si="10">$B5*$C$16</f>
        <v>2.8345066726667007E-6</v>
      </c>
      <c r="R2" s="327">
        <f t="shared" ref="R2:R17" si="11">$B5*$C$17</f>
        <v>7.4643276669934092E-7</v>
      </c>
      <c r="S2" s="327">
        <f t="shared" ref="S2:S17" si="12">$B5*$C$18</f>
        <v>1.9211681812710799E-7</v>
      </c>
      <c r="T2" s="327">
        <f t="shared" ref="T2:T17" si="13">$B5*$C$19</f>
        <v>4.8465922901788929E-8</v>
      </c>
      <c r="U2" s="327">
        <f t="shared" ref="U2:U17" si="14">$B5*$C$20</f>
        <v>1.2012150377247096E-8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8.9222931902551511E-2</v>
      </c>
      <c r="G3" s="326">
        <f t="shared" si="0"/>
        <v>9.9511501055671733E-2</v>
      </c>
      <c r="H3" s="327">
        <f t="shared" si="1"/>
        <v>6.4742111340631348E-2</v>
      </c>
      <c r="I3" s="327">
        <f t="shared" si="2"/>
        <v>3.2092320979425076E-2</v>
      </c>
      <c r="J3" s="327">
        <f t="shared" si="3"/>
        <v>1.3422369247982366E-2</v>
      </c>
      <c r="K3" s="327">
        <f t="shared" si="4"/>
        <v>4.9900478987809594E-3</v>
      </c>
      <c r="L3" s="327">
        <f t="shared" si="5"/>
        <v>1.7005589282395441E-3</v>
      </c>
      <c r="M3" s="327">
        <f t="shared" si="6"/>
        <v>5.4190159404812906E-4</v>
      </c>
      <c r="N3" s="327">
        <f t="shared" si="7"/>
        <v>1.636889378002378E-4</v>
      </c>
      <c r="O3" s="327">
        <f t="shared" si="8"/>
        <v>4.7331513661427003E-5</v>
      </c>
      <c r="P3" s="327">
        <f t="shared" si="9"/>
        <v>1.3197363814579333E-5</v>
      </c>
      <c r="Q3" s="327">
        <f t="shared" si="10"/>
        <v>3.5682890177618389E-6</v>
      </c>
      <c r="R3" s="327">
        <f t="shared" si="11"/>
        <v>9.3966539913100183E-7</v>
      </c>
      <c r="S3" s="327">
        <f t="shared" si="12"/>
        <v>2.4185102080051332E-7</v>
      </c>
      <c r="T3" s="327">
        <f t="shared" si="13"/>
        <v>6.1012528950388146E-8</v>
      </c>
      <c r="U3" s="327">
        <f t="shared" si="14"/>
        <v>1.5121793391479035E-8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Innings'!$G$23</f>
        <v>1.778999877783157</v>
      </c>
      <c r="C4" s="87">
        <f>'First 5 Innings'!$G$24</f>
        <v>1.5298006976196104</v>
      </c>
      <c r="D4" s="87"/>
      <c r="E4" s="324">
        <v>2</v>
      </c>
      <c r="F4" s="328">
        <f t="shared" si="15"/>
        <v>6.5520291936904382E-2</v>
      </c>
      <c r="G4" s="328">
        <f t="shared" si="0"/>
        <v>7.3075637184488521E-2</v>
      </c>
      <c r="H4" s="326">
        <f t="shared" si="1"/>
        <v>4.7542957233043213E-2</v>
      </c>
      <c r="I4" s="327">
        <f t="shared" si="2"/>
        <v>2.3566791571042748E-2</v>
      </c>
      <c r="J4" s="327">
        <f t="shared" si="3"/>
        <v>9.8566313935216348E-3</v>
      </c>
      <c r="K4" s="327">
        <f t="shared" si="4"/>
        <v>3.6644099015302025E-3</v>
      </c>
      <c r="L4" s="327">
        <f t="shared" si="5"/>
        <v>1.2487946210494102E-3</v>
      </c>
      <c r="M4" s="327">
        <f t="shared" si="6"/>
        <v>3.979419851601168E-4</v>
      </c>
      <c r="N4" s="327">
        <f t="shared" si="7"/>
        <v>1.2020392922334199E-4</v>
      </c>
      <c r="O4" s="327">
        <f t="shared" si="8"/>
        <v>3.4757595685146845E-5</v>
      </c>
      <c r="P4" s="327">
        <f t="shared" si="9"/>
        <v>9.6914000861705388E-6</v>
      </c>
      <c r="Q4" s="327">
        <f t="shared" si="10"/>
        <v>2.6203503199643189E-6</v>
      </c>
      <c r="R4" s="327">
        <f t="shared" si="11"/>
        <v>6.9003730275658397E-7</v>
      </c>
      <c r="S4" s="327">
        <f t="shared" si="12"/>
        <v>1.7760175719617677E-7</v>
      </c>
      <c r="T4" s="327">
        <f t="shared" si="13"/>
        <v>4.4804162151994279E-8</v>
      </c>
      <c r="U4" s="327">
        <f t="shared" si="14"/>
        <v>1.1104592692620588E-8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0.24343389176003299</v>
      </c>
      <c r="C5" s="93">
        <f>_xlfn.NEGBINOM.DIST(A5,$A$2,$A$2/($A$2+$C$4),FALSE)</f>
        <v>0.29114739484011631</v>
      </c>
      <c r="D5" s="93"/>
      <c r="E5" s="324">
        <v>3</v>
      </c>
      <c r="F5" s="328">
        <f t="shared" si="15"/>
        <v>3.6658597484980592E-2</v>
      </c>
      <c r="G5" s="328">
        <f t="shared" si="0"/>
        <v>4.0885812475993863E-2</v>
      </c>
      <c r="H5" s="328">
        <f t="shared" si="1"/>
        <v>2.6600280324302266E-2</v>
      </c>
      <c r="I5" s="326">
        <f t="shared" si="2"/>
        <v>1.3185617778492873E-2</v>
      </c>
      <c r="J5" s="327">
        <f t="shared" si="3"/>
        <v>5.5147843840636689E-3</v>
      </c>
      <c r="K5" s="327">
        <f t="shared" si="4"/>
        <v>2.0502370125202438E-3</v>
      </c>
      <c r="L5" s="327">
        <f t="shared" si="5"/>
        <v>6.9870047890726954E-4</v>
      </c>
      <c r="M5" s="327">
        <f t="shared" si="6"/>
        <v>2.2264850514413134E-4</v>
      </c>
      <c r="N5" s="327">
        <f t="shared" si="7"/>
        <v>6.7254087661194008E-5</v>
      </c>
      <c r="O5" s="327">
        <f t="shared" si="8"/>
        <v>1.9446871680524697E-5</v>
      </c>
      <c r="P5" s="327">
        <f t="shared" si="9"/>
        <v>5.422337482362835E-6</v>
      </c>
      <c r="Q5" s="327">
        <f t="shared" si="10"/>
        <v>1.4660857699125588E-6</v>
      </c>
      <c r="R5" s="327">
        <f t="shared" si="11"/>
        <v>3.8607580924295935E-7</v>
      </c>
      <c r="S5" s="327">
        <f t="shared" si="12"/>
        <v>9.9368167283955266E-8</v>
      </c>
      <c r="T5" s="327">
        <f t="shared" si="13"/>
        <v>2.5067924721144961E-8</v>
      </c>
      <c r="U5" s="327">
        <f t="shared" si="14"/>
        <v>6.2130186194141086E-9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0.30645279155442318</v>
      </c>
      <c r="C6" s="93">
        <f t="shared" ref="C6:C20" si="17">NEGBINOMDIST(A6,$A$2,$A$2/($A$2+$C$4))</f>
        <v>0.32472049137134196</v>
      </c>
      <c r="D6" s="93"/>
      <c r="E6" s="324">
        <v>4</v>
      </c>
      <c r="F6" s="328">
        <f t="shared" si="15"/>
        <v>1.730571920242787E-2</v>
      </c>
      <c r="G6" s="328">
        <f t="shared" si="0"/>
        <v>1.9301294610699876E-2</v>
      </c>
      <c r="H6" s="328">
        <f t="shared" si="1"/>
        <v>1.2557408454779177E-2</v>
      </c>
      <c r="I6" s="328">
        <f t="shared" si="2"/>
        <v>6.224640723874633E-3</v>
      </c>
      <c r="J6" s="326">
        <f t="shared" si="3"/>
        <v>2.6034086560906109E-3</v>
      </c>
      <c r="K6" s="327">
        <f t="shared" si="4"/>
        <v>9.6787189012445974E-4</v>
      </c>
      <c r="L6" s="327">
        <f t="shared" si="5"/>
        <v>3.298411593494569E-4</v>
      </c>
      <c r="M6" s="327">
        <f t="shared" si="6"/>
        <v>1.0510747205872526E-4</v>
      </c>
      <c r="N6" s="327">
        <f t="shared" si="7"/>
        <v>3.174917853191045E-5</v>
      </c>
      <c r="O6" s="327">
        <f t="shared" si="8"/>
        <v>9.1804412541066738E-6</v>
      </c>
      <c r="P6" s="327">
        <f t="shared" si="9"/>
        <v>2.5597665030424874E-6</v>
      </c>
      <c r="Q6" s="327">
        <f t="shared" si="10"/>
        <v>6.9210691083250113E-7</v>
      </c>
      <c r="R6" s="327">
        <f t="shared" si="11"/>
        <v>1.8225791503196943E-7</v>
      </c>
      <c r="S6" s="327">
        <f t="shared" si="12"/>
        <v>4.6909530605489277E-8</v>
      </c>
      <c r="T6" s="327">
        <f t="shared" si="13"/>
        <v>1.1834017010320009E-8</v>
      </c>
      <c r="U6" s="327">
        <f t="shared" si="14"/>
        <v>2.9330297120911129E-9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0.22504165621294625</v>
      </c>
      <c r="C7" s="93">
        <f t="shared" si="17"/>
        <v>0.21126291919952619</v>
      </c>
      <c r="D7" s="93"/>
      <c r="E7" s="324">
        <v>5</v>
      </c>
      <c r="F7" s="328">
        <f t="shared" si="15"/>
        <v>7.2619112607224274E-3</v>
      </c>
      <c r="G7" s="328">
        <f t="shared" si="0"/>
        <v>8.0993044577019647E-3</v>
      </c>
      <c r="H7" s="328">
        <f t="shared" si="1"/>
        <v>5.2694016814082189E-3</v>
      </c>
      <c r="I7" s="328">
        <f t="shared" si="2"/>
        <v>2.6120144466642548E-3</v>
      </c>
      <c r="J7" s="328">
        <f t="shared" si="3"/>
        <v>1.0924551828666162E-3</v>
      </c>
      <c r="K7" s="326">
        <f t="shared" si="4"/>
        <v>4.0614317703972986E-4</v>
      </c>
      <c r="L7" s="327">
        <f t="shared" si="5"/>
        <v>1.3840957439050099E-4</v>
      </c>
      <c r="M7" s="327">
        <f t="shared" si="6"/>
        <v>4.4105715919754549E-5</v>
      </c>
      <c r="N7" s="327">
        <f t="shared" si="7"/>
        <v>1.3322746914050321E-5</v>
      </c>
      <c r="O7" s="327">
        <f t="shared" si="8"/>
        <v>3.8523420461049082E-6</v>
      </c>
      <c r="P7" s="327">
        <f t="shared" si="9"/>
        <v>1.0741418473181071E-6</v>
      </c>
      <c r="Q7" s="327">
        <f t="shared" si="10"/>
        <v>2.9042531608239883E-7</v>
      </c>
      <c r="R7" s="327">
        <f t="shared" si="11"/>
        <v>7.6479965382817877E-8</v>
      </c>
      <c r="S7" s="327">
        <f t="shared" si="12"/>
        <v>1.9684408637083096E-8</v>
      </c>
      <c r="T7" s="327">
        <f t="shared" si="13"/>
        <v>4.9658485949989993E-9</v>
      </c>
      <c r="U7" s="327">
        <f t="shared" si="14"/>
        <v>1.2307723964040604E-9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0.12591078654545981</v>
      </c>
      <c r="C8" s="93">
        <f t="shared" si="17"/>
        <v>0.10472190779089632</v>
      </c>
      <c r="D8" s="93"/>
      <c r="E8" s="324">
        <v>6</v>
      </c>
      <c r="F8" s="328">
        <f t="shared" si="15"/>
        <v>2.7933391073363396E-3</v>
      </c>
      <c r="G8" s="328">
        <f t="shared" si="0"/>
        <v>3.1154475828270804E-3</v>
      </c>
      <c r="H8" s="328">
        <f t="shared" si="1"/>
        <v>2.0269079668535014E-3</v>
      </c>
      <c r="I8" s="328">
        <f t="shared" si="2"/>
        <v>1.0047275215628166E-3</v>
      </c>
      <c r="J8" s="328">
        <f t="shared" si="3"/>
        <v>4.2021964683303131E-4</v>
      </c>
      <c r="K8" s="328">
        <f t="shared" si="4"/>
        <v>1.5622548649679347E-4</v>
      </c>
      <c r="L8" s="326">
        <f t="shared" si="5"/>
        <v>5.3240099347661627E-5</v>
      </c>
      <c r="M8" s="327">
        <f t="shared" si="6"/>
        <v>1.6965536580167601E-5</v>
      </c>
      <c r="N8" s="327">
        <f t="shared" si="7"/>
        <v>5.1246770493390862E-6</v>
      </c>
      <c r="O8" s="327">
        <f t="shared" si="8"/>
        <v>1.4818272085509373E-6</v>
      </c>
      <c r="P8" s="327">
        <f t="shared" si="9"/>
        <v>4.1317530898080388E-7</v>
      </c>
      <c r="Q8" s="327">
        <f t="shared" si="10"/>
        <v>1.1171389515062417E-7</v>
      </c>
      <c r="R8" s="327">
        <f t="shared" si="11"/>
        <v>2.9418491986681469E-8</v>
      </c>
      <c r="S8" s="327">
        <f t="shared" si="12"/>
        <v>7.5717296007392147E-9</v>
      </c>
      <c r="T8" s="327">
        <f t="shared" si="13"/>
        <v>1.9101443936044433E-9</v>
      </c>
      <c r="U8" s="327">
        <f t="shared" si="14"/>
        <v>4.7342421900698227E-10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5.9439718538204026E-2</v>
      </c>
      <c r="C9" s="93">
        <f t="shared" si="17"/>
        <v>4.3799141720654473E-2</v>
      </c>
      <c r="D9" s="93"/>
      <c r="E9" s="324">
        <v>7</v>
      </c>
      <c r="F9" s="328">
        <f t="shared" si="15"/>
        <v>1.0047040592091653E-3</v>
      </c>
      <c r="G9" s="328">
        <f t="shared" si="0"/>
        <v>1.120559557018675E-3</v>
      </c>
      <c r="H9" s="328">
        <f t="shared" si="1"/>
        <v>7.2903524552126841E-4</v>
      </c>
      <c r="I9" s="328">
        <f t="shared" si="2"/>
        <v>3.6137890192498558E-4</v>
      </c>
      <c r="J9" s="328">
        <f t="shared" si="3"/>
        <v>1.5114397812415428E-4</v>
      </c>
      <c r="K9" s="328">
        <f t="shared" si="4"/>
        <v>5.6190950831218132E-5</v>
      </c>
      <c r="L9" s="328">
        <f t="shared" si="5"/>
        <v>1.9149319818280907E-5</v>
      </c>
      <c r="M9" s="326">
        <f t="shared" si="6"/>
        <v>6.1021389862722374E-6</v>
      </c>
      <c r="N9" s="327">
        <f t="shared" si="7"/>
        <v>1.8432362258074649E-6</v>
      </c>
      <c r="O9" s="327">
        <f t="shared" si="8"/>
        <v>5.32981408368064E-7</v>
      </c>
      <c r="P9" s="327">
        <f t="shared" si="9"/>
        <v>1.4861028115339064E-7</v>
      </c>
      <c r="Q9" s="327">
        <f t="shared" si="10"/>
        <v>4.0181087800302185E-8</v>
      </c>
      <c r="R9" s="327">
        <f t="shared" si="11"/>
        <v>1.0581199481725616E-8</v>
      </c>
      <c r="S9" s="327">
        <f t="shared" si="12"/>
        <v>2.7233884511612565E-9</v>
      </c>
      <c r="T9" s="327">
        <f t="shared" si="13"/>
        <v>6.8703789700637152E-10</v>
      </c>
      <c r="U9" s="327">
        <f t="shared" si="14"/>
        <v>1.7028051958138855E-10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2.4942387908743983E-2</v>
      </c>
      <c r="C10" s="93">
        <f t="shared" si="17"/>
        <v>1.6283251568601793E-2</v>
      </c>
      <c r="D10" s="93"/>
      <c r="E10" s="324">
        <v>8</v>
      </c>
      <c r="F10" s="328">
        <f t="shared" si="15"/>
        <v>3.4254908473817063E-4</v>
      </c>
      <c r="G10" s="328">
        <f t="shared" si="0"/>
        <v>3.8204946733617765E-4</v>
      </c>
      <c r="H10" s="328">
        <f t="shared" si="1"/>
        <v>2.4856110991703246E-4</v>
      </c>
      <c r="I10" s="328">
        <f t="shared" si="2"/>
        <v>1.2321042297323655E-4</v>
      </c>
      <c r="J10" s="328">
        <f t="shared" si="3"/>
        <v>5.1531822625329385E-5</v>
      </c>
      <c r="K10" s="328">
        <f t="shared" si="4"/>
        <v>1.9158038231628291E-5</v>
      </c>
      <c r="L10" s="328">
        <f t="shared" si="5"/>
        <v>6.5288697870633607E-6</v>
      </c>
      <c r="M10" s="328">
        <f t="shared" si="6"/>
        <v>2.0804953513754003E-6</v>
      </c>
      <c r="N10" s="326">
        <f t="shared" si="7"/>
        <v>6.2844265066827883E-7</v>
      </c>
      <c r="O10" s="327">
        <f t="shared" si="8"/>
        <v>1.8171748381573176E-7</v>
      </c>
      <c r="P10" s="327">
        <f t="shared" si="9"/>
        <v>5.0667970657793675E-8</v>
      </c>
      <c r="Q10" s="327">
        <f t="shared" si="10"/>
        <v>1.3699551349092457E-8</v>
      </c>
      <c r="R10" s="327">
        <f t="shared" si="11"/>
        <v>3.6076097878514978E-9</v>
      </c>
      <c r="S10" s="327">
        <f t="shared" si="12"/>
        <v>9.2852637827113338E-10</v>
      </c>
      <c r="T10" s="327">
        <f t="shared" si="13"/>
        <v>2.3424231308990336E-10</v>
      </c>
      <c r="U10" s="327">
        <f t="shared" si="14"/>
        <v>5.8056335690788147E-11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9.5942438669949382E-3</v>
      </c>
      <c r="C11" s="93">
        <f t="shared" si="17"/>
        <v>5.5491709493451962E-3</v>
      </c>
      <c r="D11" s="93"/>
      <c r="E11" s="324">
        <v>9</v>
      </c>
      <c r="F11" s="328">
        <f t="shared" si="15"/>
        <v>1.1179943967906456E-4</v>
      </c>
      <c r="G11" s="328">
        <f t="shared" si="0"/>
        <v>1.2469137499087935E-4</v>
      </c>
      <c r="H11" s="328">
        <f t="shared" si="1"/>
        <v>8.1124119295111486E-5</v>
      </c>
      <c r="I11" s="328">
        <f t="shared" si="2"/>
        <v>4.0212795376631291E-5</v>
      </c>
      <c r="J11" s="328">
        <f t="shared" si="3"/>
        <v>1.6818695923699216E-5</v>
      </c>
      <c r="K11" s="328">
        <f t="shared" si="4"/>
        <v>6.252703729403572E-6</v>
      </c>
      <c r="L11" s="328">
        <f t="shared" si="5"/>
        <v>2.1308595364929346E-6</v>
      </c>
      <c r="M11" s="328">
        <f t="shared" si="6"/>
        <v>6.7902156187763895E-7</v>
      </c>
      <c r="N11" s="328">
        <f t="shared" si="7"/>
        <v>2.0510793735981798E-7</v>
      </c>
      <c r="O11" s="326">
        <f t="shared" si="8"/>
        <v>5.9308034309935108E-8</v>
      </c>
      <c r="P11" s="327">
        <f t="shared" si="9"/>
        <v>1.6536756282815427E-8</v>
      </c>
      <c r="Q11" s="327">
        <f t="shared" si="10"/>
        <v>4.4711903575915215E-9</v>
      </c>
      <c r="R11" s="327">
        <f t="shared" si="11"/>
        <v>1.1774334564951272E-9</v>
      </c>
      <c r="S11" s="327">
        <f t="shared" si="12"/>
        <v>3.0304774831697672E-10</v>
      </c>
      <c r="T11" s="327">
        <f t="shared" si="13"/>
        <v>7.6450822726898471E-11</v>
      </c>
      <c r="U11" s="327">
        <f t="shared" si="14"/>
        <v>1.8948133535405503E-11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3.4508433769805799E-3</v>
      </c>
      <c r="C12" s="93">
        <f t="shared" si="17"/>
        <v>1.7683036636717744E-3</v>
      </c>
      <c r="D12" s="93"/>
      <c r="E12" s="324">
        <v>10</v>
      </c>
      <c r="F12" s="328">
        <f t="shared" si="15"/>
        <v>3.5185374288025387E-5</v>
      </c>
      <c r="G12" s="328">
        <f t="shared" si="0"/>
        <v>3.9242707406557609E-5</v>
      </c>
      <c r="H12" s="328">
        <f t="shared" si="1"/>
        <v>2.5531277342523459E-5</v>
      </c>
      <c r="I12" s="328">
        <f t="shared" si="2"/>
        <v>1.2655718674048969E-5</v>
      </c>
      <c r="J12" s="328">
        <f t="shared" si="3"/>
        <v>5.2931581125147471E-6</v>
      </c>
      <c r="K12" s="328">
        <f t="shared" si="4"/>
        <v>1.9678427876091987E-6</v>
      </c>
      <c r="L12" s="328">
        <f t="shared" si="5"/>
        <v>6.7062134266449227E-7</v>
      </c>
      <c r="M12" s="328">
        <f t="shared" si="6"/>
        <v>2.1370078305301412E-7</v>
      </c>
      <c r="N12" s="328">
        <f t="shared" si="7"/>
        <v>6.455130335328031E-8</v>
      </c>
      <c r="O12" s="328">
        <f t="shared" si="8"/>
        <v>1.8665347442460263E-8</v>
      </c>
      <c r="P12" s="326">
        <f t="shared" si="9"/>
        <v>5.2044264353292017E-9</v>
      </c>
      <c r="Q12" s="327">
        <f t="shared" si="10"/>
        <v>1.4071672156540103E-9</v>
      </c>
      <c r="R12" s="327">
        <f t="shared" si="11"/>
        <v>3.705603264645193E-10</v>
      </c>
      <c r="S12" s="327">
        <f t="shared" si="12"/>
        <v>9.5374793310997716E-11</v>
      </c>
      <c r="T12" s="327">
        <f t="shared" si="13"/>
        <v>2.4060503523052249E-11</v>
      </c>
      <c r="U12" s="327">
        <f t="shared" si="14"/>
        <v>5.9633319488592506E-12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1.1765486856795734E-3</v>
      </c>
      <c r="C13" s="93">
        <f t="shared" si="17"/>
        <v>5.3414079529168906E-4</v>
      </c>
      <c r="D13" s="93"/>
      <c r="E13" s="324">
        <v>11</v>
      </c>
      <c r="F13" s="328">
        <f t="shared" si="15"/>
        <v>1.0737934783972705E-5</v>
      </c>
      <c r="G13" s="328">
        <f t="shared" si="0"/>
        <v>1.1976158884333601E-5</v>
      </c>
      <c r="H13" s="328">
        <f t="shared" si="1"/>
        <v>7.7916803957046234E-6</v>
      </c>
      <c r="I13" s="328">
        <f t="shared" si="2"/>
        <v>3.8622946186050052E-6</v>
      </c>
      <c r="J13" s="328">
        <f t="shared" si="3"/>
        <v>1.6153753587547572E-6</v>
      </c>
      <c r="K13" s="328">
        <f t="shared" si="4"/>
        <v>6.0054974392158109E-7</v>
      </c>
      <c r="L13" s="328">
        <f t="shared" si="5"/>
        <v>2.0466140798514321E-7</v>
      </c>
      <c r="M13" s="328">
        <f t="shared" si="6"/>
        <v>6.5217583104924385E-8</v>
      </c>
      <c r="N13" s="328">
        <f t="shared" si="7"/>
        <v>1.9699880977644199E-8</v>
      </c>
      <c r="O13" s="328">
        <f t="shared" si="8"/>
        <v>5.696323759885121E-9</v>
      </c>
      <c r="P13" s="328">
        <f t="shared" si="9"/>
        <v>1.588296068505025E-9</v>
      </c>
      <c r="Q13" s="326">
        <f t="shared" si="10"/>
        <v>4.2944178078502401E-10</v>
      </c>
      <c r="R13" s="327">
        <f t="shared" si="11"/>
        <v>1.1308825611833357E-10</v>
      </c>
      <c r="S13" s="327">
        <f t="shared" si="12"/>
        <v>2.9106648183558209E-11</v>
      </c>
      <c r="T13" s="327">
        <f t="shared" si="13"/>
        <v>7.342827039017973E-12</v>
      </c>
      <c r="U13" s="327">
        <f t="shared" si="14"/>
        <v>1.8199001959693263E-12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3.8399601597142666E-4</v>
      </c>
      <c r="C14" s="93">
        <f t="shared" si="17"/>
        <v>1.5444960844163616E-4</v>
      </c>
      <c r="D14" s="93"/>
      <c r="E14" s="324">
        <v>12</v>
      </c>
      <c r="F14" s="328">
        <f t="shared" si="15"/>
        <v>3.1916828246506537E-6</v>
      </c>
      <c r="G14" s="328">
        <f t="shared" si="0"/>
        <v>3.5597255324615731E-6</v>
      </c>
      <c r="H14" s="328">
        <f t="shared" si="1"/>
        <v>2.3159548828007544E-6</v>
      </c>
      <c r="I14" s="328">
        <f t="shared" si="2"/>
        <v>1.1480065437109641E-6</v>
      </c>
      <c r="J14" s="328">
        <f t="shared" si="3"/>
        <v>4.8014500847936534E-7</v>
      </c>
      <c r="K14" s="328">
        <f t="shared" si="4"/>
        <v>1.7850399928706915E-7</v>
      </c>
      <c r="L14" s="328">
        <f t="shared" si="5"/>
        <v>6.0832395975246606E-8</v>
      </c>
      <c r="M14" s="328">
        <f t="shared" si="6"/>
        <v>1.9384904457782831E-8</v>
      </c>
      <c r="N14" s="328">
        <f t="shared" si="7"/>
        <v>5.8554808749496818E-9</v>
      </c>
      <c r="O14" s="328">
        <f t="shared" si="8"/>
        <v>1.6931429622026833E-9</v>
      </c>
      <c r="P14" s="328">
        <f t="shared" si="9"/>
        <v>4.7209611385180601E-10</v>
      </c>
      <c r="Q14" s="328">
        <f t="shared" si="10"/>
        <v>1.27644838927943E-10</v>
      </c>
      <c r="R14" s="326">
        <f t="shared" si="11"/>
        <v>3.3613711759668752E-11</v>
      </c>
      <c r="S14" s="327">
        <f t="shared" si="12"/>
        <v>8.651494999696957E-12</v>
      </c>
      <c r="T14" s="327">
        <f t="shared" si="13"/>
        <v>2.1825402571632579E-12</v>
      </c>
      <c r="U14" s="327">
        <f t="shared" si="14"/>
        <v>5.4093681093345916E-13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1.2085072685382414E-4</v>
      </c>
      <c r="C15" s="93">
        <f t="shared" si="17"/>
        <v>4.3064916288209444E-5</v>
      </c>
      <c r="D15" s="93"/>
      <c r="E15" s="324">
        <v>13</v>
      </c>
      <c r="F15" s="328">
        <f t="shared" si="15"/>
        <v>9.2721440175951044E-7</v>
      </c>
      <c r="G15" s="328">
        <f t="shared" si="0"/>
        <v>1.0341343301775868E-6</v>
      </c>
      <c r="H15" s="328">
        <f t="shared" si="1"/>
        <v>6.7280705481540485E-7</v>
      </c>
      <c r="I15" s="328">
        <f t="shared" si="2"/>
        <v>3.3350688621745306E-7</v>
      </c>
      <c r="J15" s="328">
        <f t="shared" si="3"/>
        <v>1.394867194686674E-7</v>
      </c>
      <c r="K15" s="328">
        <f t="shared" si="4"/>
        <v>5.1857119896854407E-8</v>
      </c>
      <c r="L15" s="328">
        <f t="shared" si="5"/>
        <v>1.7672393135730744E-8</v>
      </c>
      <c r="M15" s="328">
        <f t="shared" si="6"/>
        <v>5.6315002390488838E-9</v>
      </c>
      <c r="N15" s="328">
        <f t="shared" si="7"/>
        <v>1.7010732252428584E-9</v>
      </c>
      <c r="O15" s="328">
        <f t="shared" si="8"/>
        <v>4.9187423219721732E-10</v>
      </c>
      <c r="P15" s="328">
        <f t="shared" si="9"/>
        <v>1.3714843855952521E-10</v>
      </c>
      <c r="Q15" s="328">
        <f t="shared" si="10"/>
        <v>3.7082047141453102E-11</v>
      </c>
      <c r="R15" s="328">
        <f t="shared" si="11"/>
        <v>9.7651049156393815E-12</v>
      </c>
      <c r="S15" s="326">
        <f t="shared" si="12"/>
        <v>2.5133420835284396E-12</v>
      </c>
      <c r="T15" s="327">
        <f t="shared" si="13"/>
        <v>6.3404882942376357E-13</v>
      </c>
      <c r="U15" s="327">
        <f t="shared" si="14"/>
        <v>1.5714731979806405E-13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3.6881438660543214E-5</v>
      </c>
      <c r="C16" s="93">
        <f t="shared" si="17"/>
        <v>1.164384569532676E-5</v>
      </c>
      <c r="D16" s="93"/>
      <c r="E16" s="324">
        <v>14</v>
      </c>
      <c r="F16" s="328">
        <f t="shared" si="15"/>
        <v>2.640201193917591E-7</v>
      </c>
      <c r="G16" s="328">
        <f t="shared" si="0"/>
        <v>2.9446508682618485E-7</v>
      </c>
      <c r="H16" s="328">
        <f t="shared" si="1"/>
        <v>1.9157877466408648E-7</v>
      </c>
      <c r="I16" s="328">
        <f t="shared" si="2"/>
        <v>9.496458181626018E-8</v>
      </c>
      <c r="J16" s="328">
        <f t="shared" si="3"/>
        <v>3.9718214317851152E-8</v>
      </c>
      <c r="K16" s="328">
        <f t="shared" si="4"/>
        <v>1.4766081027752795E-8</v>
      </c>
      <c r="L16" s="328">
        <f t="shared" si="5"/>
        <v>5.0321342472459904E-9</v>
      </c>
      <c r="M16" s="328">
        <f t="shared" si="6"/>
        <v>1.603544296385985E-9</v>
      </c>
      <c r="N16" s="328">
        <f t="shared" si="7"/>
        <v>4.8437292946538032E-10</v>
      </c>
      <c r="O16" s="328">
        <f t="shared" si="8"/>
        <v>1.4005896938615701E-10</v>
      </c>
      <c r="P16" s="328">
        <f t="shared" si="9"/>
        <v>3.9052399374045605E-11</v>
      </c>
      <c r="Q16" s="328">
        <f t="shared" si="10"/>
        <v>1.0558945692602176E-11</v>
      </c>
      <c r="R16" s="328">
        <f t="shared" si="11"/>
        <v>2.7805695865031019E-12</v>
      </c>
      <c r="S16" s="328">
        <f t="shared" si="12"/>
        <v>7.1566282372911264E-13</v>
      </c>
      <c r="T16" s="326">
        <f t="shared" si="13"/>
        <v>1.805425447738955E-13</v>
      </c>
      <c r="U16" s="327">
        <f t="shared" si="14"/>
        <v>4.4746990616676164E-14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1.0962429618864931E-5</v>
      </c>
      <c r="C17" s="93">
        <f t="shared" si="17"/>
        <v>3.0662647723479E-6</v>
      </c>
      <c r="D17" s="93"/>
      <c r="E17" s="324">
        <v>15</v>
      </c>
      <c r="F17" s="328">
        <f t="shared" si="15"/>
        <v>7.3859616605794428E-8</v>
      </c>
      <c r="G17" s="328">
        <f t="shared" si="0"/>
        <v>8.2376594885567037E-8</v>
      </c>
      <c r="H17" s="328">
        <f t="shared" si="1"/>
        <v>5.3594153654257363E-8</v>
      </c>
      <c r="I17" s="328">
        <f t="shared" si="2"/>
        <v>2.6566337520933279E-8</v>
      </c>
      <c r="J17" s="328">
        <f t="shared" si="3"/>
        <v>1.111116868116539E-8</v>
      </c>
      <c r="K17" s="328">
        <f t="shared" si="4"/>
        <v>4.1308105078978236E-9</v>
      </c>
      <c r="L17" s="328">
        <f t="shared" si="5"/>
        <v>1.4077393308764552E-9</v>
      </c>
      <c r="M17" s="328">
        <f t="shared" si="6"/>
        <v>4.4859144528200694E-10</v>
      </c>
      <c r="N17" s="328">
        <f t="shared" si="7"/>
        <v>1.3550330538050338E-10</v>
      </c>
      <c r="O17" s="328">
        <f t="shared" si="8"/>
        <v>3.9181490429199264E-11</v>
      </c>
      <c r="P17" s="328">
        <f t="shared" si="9"/>
        <v>1.0924906980378428E-11</v>
      </c>
      <c r="Q17" s="328">
        <f t="shared" si="10"/>
        <v>2.9538645858264984E-12</v>
      </c>
      <c r="R17" s="328">
        <f t="shared" si="11"/>
        <v>7.7786421761334054E-13</v>
      </c>
      <c r="S17" s="328">
        <f t="shared" si="12"/>
        <v>2.0020664296882512E-13</v>
      </c>
      <c r="T17" s="328">
        <f t="shared" si="13"/>
        <v>5.0506768835476172E-14</v>
      </c>
      <c r="U17" s="326">
        <f t="shared" si="14"/>
        <v>1.2517968626121081E-14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3.1846907037196418E-6</v>
      </c>
      <c r="C18" s="93">
        <f t="shared" si="17"/>
        <v>7.8919503253264648E-7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9.0682631571113943E-7</v>
      </c>
      <c r="C19" s="93">
        <f t="shared" si="17"/>
        <v>1.9909274978672493E-7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2.536846213113274E-7</v>
      </c>
      <c r="C20" s="93">
        <f t="shared" si="17"/>
        <v>4.9344609702449215E-8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0.42637934614086537</v>
      </c>
      <c r="C21" s="323">
        <f>SUM(G2:U2,H3:U3,I4:U4,J5:U5,K6:U6,L7:U7,M8:U8,N9:U9,O10:U10,P11:U11,Q12:U12,R13:U13,S14:U14,T15:U15,U16)</f>
        <v>0.33943573532711219</v>
      </c>
    </row>
    <row r="22" spans="1:39">
      <c r="A22" s="1" t="s">
        <v>348</v>
      </c>
      <c r="B22" s="401">
        <f>1-B21-C21</f>
        <v>0.23418491853202245</v>
      </c>
      <c r="C22" s="377"/>
    </row>
    <row r="23" spans="1:39">
      <c r="A23" s="1" t="s">
        <v>349</v>
      </c>
      <c r="B23" s="329">
        <f>B21/(B21+C21)</f>
        <v>0.55676540781038975</v>
      </c>
      <c r="C23" s="330">
        <f>C21/(B21+C21)</f>
        <v>0.4432345921896102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2.1432061432887426E-2</v>
      </c>
      <c r="G2" s="327">
        <f t="shared" ref="G2:G17" si="0">$B5*$C$6</f>
        <v>2.9342605551627293E-2</v>
      </c>
      <c r="H2" s="327">
        <f t="shared" ref="H2:H17" si="1">$B5*$C$7</f>
        <v>2.3434203637625956E-2</v>
      </c>
      <c r="I2" s="327">
        <f t="shared" ref="I2:I17" si="2">$B5*$C$8</f>
        <v>1.425943807305477E-2</v>
      </c>
      <c r="J2" s="327">
        <f t="shared" ref="J2:J17" si="3">$B5*$C$9</f>
        <v>7.3209663255395406E-3</v>
      </c>
      <c r="K2" s="327">
        <f t="shared" ref="K2:K17" si="4">$B5*$C$10</f>
        <v>3.3410416106375738E-3</v>
      </c>
      <c r="L2" s="327">
        <f t="shared" ref="L2:L17" si="5">$B5*$C$11</f>
        <v>1.3976769370797472E-3</v>
      </c>
      <c r="M2" s="327">
        <f t="shared" ref="M2:M17" si="6">$B5*$C$12</f>
        <v>5.4673072972286877E-4</v>
      </c>
      <c r="N2" s="327">
        <f t="shared" ref="N2:N17" si="7">$B5*$C$13</f>
        <v>2.0272640997539762E-4</v>
      </c>
      <c r="O2" s="327">
        <f t="shared" ref="O2:O17" si="8">$B5*$C$14</f>
        <v>7.1958041667879113E-5</v>
      </c>
      <c r="P2" s="327">
        <f t="shared" ref="P2:P17" si="9">$B5*$C$15</f>
        <v>2.4629413735350587E-5</v>
      </c>
      <c r="Q2" s="327">
        <f t="shared" ref="Q2:Q17" si="10">$B5*$C$16</f>
        <v>8.1745687635747677E-6</v>
      </c>
      <c r="R2" s="327">
        <f t="shared" ref="R2:R17" si="11">$B5*$C$17</f>
        <v>2.642506148051921E-6</v>
      </c>
      <c r="S2" s="327">
        <f t="shared" ref="S2:S17" si="12">$B5*$C$18</f>
        <v>8.3488880733669834E-7</v>
      </c>
      <c r="T2" s="327">
        <f t="shared" ref="T2:T17" si="13">$B5*$C$19</f>
        <v>2.5854591705281034E-7</v>
      </c>
      <c r="U2" s="327">
        <f t="shared" ref="U2:U17" si="14">$B5*$C$20</f>
        <v>7.8661079127440766E-8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4.0782181192301606E-2</v>
      </c>
      <c r="G3" s="326">
        <f t="shared" si="0"/>
        <v>5.5834827648657055E-2</v>
      </c>
      <c r="H3" s="327">
        <f t="shared" si="1"/>
        <v>4.4591974590948123E-2</v>
      </c>
      <c r="I3" s="327">
        <f t="shared" si="2"/>
        <v>2.7133693556111518E-2</v>
      </c>
      <c r="J3" s="327">
        <f t="shared" si="3"/>
        <v>1.3930763315783761E-2</v>
      </c>
      <c r="K3" s="327">
        <f t="shared" si="4"/>
        <v>6.3575295714185459E-3</v>
      </c>
      <c r="L3" s="327">
        <f t="shared" si="5"/>
        <v>2.6595815001174174E-3</v>
      </c>
      <c r="M3" s="327">
        <f t="shared" si="6"/>
        <v>1.0403512397898803E-3</v>
      </c>
      <c r="N3" s="327">
        <f t="shared" si="7"/>
        <v>3.8575968111937396E-4</v>
      </c>
      <c r="O3" s="327">
        <f t="shared" si="8"/>
        <v>1.3692597432739216E-4</v>
      </c>
      <c r="P3" s="327">
        <f t="shared" si="9"/>
        <v>4.6866290336118484E-5</v>
      </c>
      <c r="Q3" s="327">
        <f t="shared" si="10"/>
        <v>1.5555048007349848E-5</v>
      </c>
      <c r="R3" s="327">
        <f t="shared" si="11"/>
        <v>5.0283153988284151E-6</v>
      </c>
      <c r="S3" s="327">
        <f t="shared" si="12"/>
        <v>1.5886752995202963E-6</v>
      </c>
      <c r="T3" s="327">
        <f t="shared" si="13"/>
        <v>4.9197630702932093E-7</v>
      </c>
      <c r="U3" s="327">
        <f t="shared" si="14"/>
        <v>1.4968090642156539E-7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Innings'!$G$25</f>
        <v>3.1117188342635362</v>
      </c>
      <c r="C4" s="87">
        <f>'First 5 Innings'!$G$26</f>
        <v>1.9808153809433779</v>
      </c>
      <c r="D4" s="87"/>
      <c r="E4" s="324">
        <v>2</v>
      </c>
      <c r="F4" s="328">
        <f t="shared" si="15"/>
        <v>4.5268254433001615E-2</v>
      </c>
      <c r="G4" s="328">
        <f t="shared" si="0"/>
        <v>6.1976704294063656E-2</v>
      </c>
      <c r="H4" s="326">
        <f t="shared" si="1"/>
        <v>4.9497128217213429E-2</v>
      </c>
      <c r="I4" s="327">
        <f t="shared" si="2"/>
        <v>3.011842200919396E-2</v>
      </c>
      <c r="J4" s="327">
        <f t="shared" si="3"/>
        <v>1.5463158658710143E-2</v>
      </c>
      <c r="K4" s="327">
        <f t="shared" si="4"/>
        <v>7.0568630168960401E-3</v>
      </c>
      <c r="L4" s="327">
        <f t="shared" si="5"/>
        <v>2.9521376373891962E-3</v>
      </c>
      <c r="M4" s="327">
        <f t="shared" si="6"/>
        <v>1.1547907258915081E-3</v>
      </c>
      <c r="N4" s="327">
        <f t="shared" si="7"/>
        <v>4.2819356111834921E-4</v>
      </c>
      <c r="O4" s="327">
        <f t="shared" si="8"/>
        <v>1.5198794334004624E-4</v>
      </c>
      <c r="P4" s="327">
        <f t="shared" si="9"/>
        <v>5.2021620551938972E-5</v>
      </c>
      <c r="Q4" s="327">
        <f t="shared" si="10"/>
        <v>1.7266115993010915E-5</v>
      </c>
      <c r="R4" s="327">
        <f t="shared" si="11"/>
        <v>5.581434199662493E-6</v>
      </c>
      <c r="S4" s="327">
        <f t="shared" si="12"/>
        <v>1.7634308800453619E-6</v>
      </c>
      <c r="T4" s="327">
        <f t="shared" si="13"/>
        <v>5.4609410263264366E-7</v>
      </c>
      <c r="U4" s="327">
        <f t="shared" si="14"/>
        <v>1.6614592838238835E-7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0.1013860606942166</v>
      </c>
      <c r="C5" s="93">
        <f>_xlfn.NEGBINOM.DIST(A5,$A$2,$A$2/($A$2+$C$4),FALSE)</f>
        <v>0.21139061214270041</v>
      </c>
      <c r="D5" s="93"/>
      <c r="E5" s="324">
        <v>3</v>
      </c>
      <c r="F5" s="328">
        <f t="shared" si="15"/>
        <v>3.8284037633718855E-2</v>
      </c>
      <c r="G5" s="328">
        <f t="shared" si="0"/>
        <v>5.2414622771008161E-2</v>
      </c>
      <c r="H5" s="328">
        <f t="shared" si="1"/>
        <v>4.186045923713249E-2</v>
      </c>
      <c r="I5" s="326">
        <f t="shared" si="2"/>
        <v>2.5471598499004718E-2</v>
      </c>
      <c r="J5" s="327">
        <f t="shared" si="3"/>
        <v>1.3077423802642775E-2</v>
      </c>
      <c r="K5" s="327">
        <f t="shared" si="4"/>
        <v>5.9680942571951699E-3</v>
      </c>
      <c r="L5" s="327">
        <f t="shared" si="5"/>
        <v>2.4966668104465673E-3</v>
      </c>
      <c r="M5" s="327">
        <f t="shared" si="6"/>
        <v>9.7662373252169936E-4</v>
      </c>
      <c r="N5" s="327">
        <f t="shared" si="7"/>
        <v>3.6212967815299962E-4</v>
      </c>
      <c r="O5" s="327">
        <f t="shared" si="8"/>
        <v>1.2853846952092505E-4</v>
      </c>
      <c r="P5" s="327">
        <f t="shared" si="9"/>
        <v>4.3995460039774634E-5</v>
      </c>
      <c r="Q5" s="327">
        <f t="shared" si="10"/>
        <v>1.4602211698772467E-5</v>
      </c>
      <c r="R5" s="327">
        <f t="shared" si="11"/>
        <v>4.7203021107486473E-6</v>
      </c>
      <c r="S5" s="327">
        <f t="shared" si="12"/>
        <v>1.4913597845049952E-6</v>
      </c>
      <c r="T5" s="327">
        <f t="shared" si="13"/>
        <v>4.6183992377445397E-7</v>
      </c>
      <c r="U5" s="327">
        <f t="shared" si="14"/>
        <v>1.4051208853866002E-7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0.19292333173609133</v>
      </c>
      <c r="C6" s="93">
        <f t="shared" ref="C6:C20" si="17">NEGBINOMDIST(A6,$A$2,$A$2/($A$2+$C$4))</f>
        <v>0.28941459359117888</v>
      </c>
      <c r="D6" s="93"/>
      <c r="E6" s="324">
        <v>4</v>
      </c>
      <c r="F6" s="328">
        <f t="shared" si="15"/>
        <v>2.7318415527368429E-2</v>
      </c>
      <c r="G6" s="328">
        <f t="shared" si="0"/>
        <v>3.7401604769804343E-2</v>
      </c>
      <c r="H6" s="328">
        <f t="shared" si="1"/>
        <v>2.9870449677942435E-2</v>
      </c>
      <c r="I6" s="328">
        <f t="shared" si="2"/>
        <v>1.8175818303167612E-2</v>
      </c>
      <c r="J6" s="326">
        <f t="shared" si="3"/>
        <v>9.3316828513782518E-3</v>
      </c>
      <c r="K6" s="327">
        <f t="shared" si="4"/>
        <v>4.2586646785907865E-3</v>
      </c>
      <c r="L6" s="327">
        <f t="shared" si="5"/>
        <v>1.7815514135086172E-3</v>
      </c>
      <c r="M6" s="327">
        <f t="shared" si="6"/>
        <v>6.9689130478283021E-4</v>
      </c>
      <c r="N6" s="327">
        <f t="shared" si="7"/>
        <v>2.5840558190922623E-4</v>
      </c>
      <c r="O6" s="327">
        <f t="shared" si="8"/>
        <v>9.1721446813433025E-5</v>
      </c>
      <c r="P6" s="327">
        <f t="shared" si="9"/>
        <v>3.1393926371698307E-5</v>
      </c>
      <c r="Q6" s="327">
        <f t="shared" si="10"/>
        <v>1.0419728729300104E-5</v>
      </c>
      <c r="R6" s="327">
        <f t="shared" si="11"/>
        <v>3.3682751989192341E-6</v>
      </c>
      <c r="S6" s="327">
        <f t="shared" si="12"/>
        <v>1.0641925150034527E-6</v>
      </c>
      <c r="T6" s="327">
        <f t="shared" si="13"/>
        <v>3.2955601667485677E-7</v>
      </c>
      <c r="U6" s="327">
        <f t="shared" si="14"/>
        <v>1.0026548552801182E-7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0.21414505580050561</v>
      </c>
      <c r="C7" s="93">
        <f t="shared" si="17"/>
        <v>0.23113831898750084</v>
      </c>
      <c r="D7" s="93"/>
      <c r="E7" s="324">
        <v>5</v>
      </c>
      <c r="F7" s="328">
        <f t="shared" si="15"/>
        <v>1.7327693456093689E-2</v>
      </c>
      <c r="G7" s="328">
        <f t="shared" si="0"/>
        <v>2.3723321053077593E-2</v>
      </c>
      <c r="H7" s="328">
        <f t="shared" si="1"/>
        <v>1.8946413451267897E-2</v>
      </c>
      <c r="I7" s="328">
        <f t="shared" si="2"/>
        <v>1.1528670378244439E-2</v>
      </c>
      <c r="J7" s="328">
        <f t="shared" si="3"/>
        <v>5.9189574781954709E-3</v>
      </c>
      <c r="K7" s="326">
        <f t="shared" si="4"/>
        <v>2.7012121551847315E-3</v>
      </c>
      <c r="L7" s="327">
        <f t="shared" si="5"/>
        <v>1.1300134423470145E-3</v>
      </c>
      <c r="M7" s="327">
        <f t="shared" si="6"/>
        <v>4.4202852428964676E-4</v>
      </c>
      <c r="N7" s="327">
        <f t="shared" si="7"/>
        <v>1.6390308970082144E-4</v>
      </c>
      <c r="O7" s="327">
        <f t="shared" si="8"/>
        <v>5.8177646215987089E-5</v>
      </c>
      <c r="P7" s="327">
        <f t="shared" si="9"/>
        <v>1.9912733665207764E-5</v>
      </c>
      <c r="Q7" s="327">
        <f t="shared" si="10"/>
        <v>6.6090899428659913E-6</v>
      </c>
      <c r="R7" s="327">
        <f t="shared" si="11"/>
        <v>2.136450412512548E-6</v>
      </c>
      <c r="S7" s="327">
        <f t="shared" si="12"/>
        <v>6.750026062007678E-7</v>
      </c>
      <c r="T7" s="327">
        <f t="shared" si="13"/>
        <v>2.0903282724550106E-7</v>
      </c>
      <c r="U7" s="327">
        <f t="shared" si="14"/>
        <v>6.3597011902657267E-8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0.18110566616778137</v>
      </c>
      <c r="C8" s="93">
        <f t="shared" si="17"/>
        <v>0.14064495627324611</v>
      </c>
      <c r="D8" s="93"/>
      <c r="E8" s="324">
        <v>6</v>
      </c>
      <c r="F8" s="328">
        <f t="shared" si="15"/>
        <v>1.0074823465643199E-2</v>
      </c>
      <c r="G8" s="328">
        <f t="shared" si="0"/>
        <v>1.3793426818990765E-2</v>
      </c>
      <c r="H8" s="328">
        <f t="shared" si="1"/>
        <v>1.1015994212517864E-2</v>
      </c>
      <c r="I8" s="328">
        <f t="shared" si="2"/>
        <v>6.7031032808094896E-3</v>
      </c>
      <c r="J8" s="328">
        <f t="shared" si="3"/>
        <v>3.4414535232037404E-3</v>
      </c>
      <c r="K8" s="328">
        <f t="shared" si="4"/>
        <v>1.5705630801752929E-3</v>
      </c>
      <c r="L8" s="326">
        <f t="shared" si="5"/>
        <v>6.5702258493303717E-4</v>
      </c>
      <c r="M8" s="327">
        <f t="shared" si="6"/>
        <v>2.570082025216599E-4</v>
      </c>
      <c r="N8" s="327">
        <f t="shared" si="7"/>
        <v>9.5298009420205984E-5</v>
      </c>
      <c r="O8" s="327">
        <f t="shared" si="8"/>
        <v>3.3826170618605261E-5</v>
      </c>
      <c r="P8" s="327">
        <f t="shared" si="9"/>
        <v>1.1577840807472659E-5</v>
      </c>
      <c r="Q8" s="327">
        <f t="shared" si="10"/>
        <v>3.8427165514932655E-6</v>
      </c>
      <c r="R8" s="327">
        <f t="shared" si="11"/>
        <v>1.242194225313639E-6</v>
      </c>
      <c r="S8" s="327">
        <f t="shared" si="12"/>
        <v>3.9246608982052624E-7</v>
      </c>
      <c r="T8" s="327">
        <f t="shared" si="13"/>
        <v>1.2153774755763016E-7</v>
      </c>
      <c r="U8" s="327">
        <f t="shared" si="14"/>
        <v>3.6977146986424442E-8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0.12923192402190017</v>
      </c>
      <c r="C9" s="93">
        <f t="shared" si="17"/>
        <v>7.2208805386174288E-2</v>
      </c>
      <c r="D9" s="93"/>
      <c r="E9" s="324">
        <v>7</v>
      </c>
      <c r="F9" s="328">
        <f t="shared" si="15"/>
        <v>5.4774182574607536E-3</v>
      </c>
      <c r="G9" s="328">
        <f t="shared" si="0"/>
        <v>7.4991257314765657E-3</v>
      </c>
      <c r="H9" s="328">
        <f t="shared" si="1"/>
        <v>5.9891081992149986E-3</v>
      </c>
      <c r="I9" s="328">
        <f t="shared" si="2"/>
        <v>3.6443020979134311E-3</v>
      </c>
      <c r="J9" s="328">
        <f t="shared" si="3"/>
        <v>1.8710283534477156E-3</v>
      </c>
      <c r="K9" s="328">
        <f t="shared" si="4"/>
        <v>8.5387410699376814E-4</v>
      </c>
      <c r="L9" s="328">
        <f t="shared" si="5"/>
        <v>3.5720601105803317E-4</v>
      </c>
      <c r="M9" s="326">
        <f t="shared" si="6"/>
        <v>1.3972864394199463E-4</v>
      </c>
      <c r="N9" s="327">
        <f t="shared" si="7"/>
        <v>5.1811037531125454E-5</v>
      </c>
      <c r="O9" s="327">
        <f t="shared" si="8"/>
        <v>1.839040506845271E-5</v>
      </c>
      <c r="P9" s="327">
        <f t="shared" si="9"/>
        <v>6.2945695115240651E-6</v>
      </c>
      <c r="Q9" s="327">
        <f t="shared" si="10"/>
        <v>2.0891845766998832E-6</v>
      </c>
      <c r="R9" s="327">
        <f t="shared" si="11"/>
        <v>6.7534854106854161E-7</v>
      </c>
      <c r="S9" s="327">
        <f t="shared" si="12"/>
        <v>2.1337355767552804E-7</v>
      </c>
      <c r="T9" s="327">
        <f t="shared" si="13"/>
        <v>6.6076897497312036E-8</v>
      </c>
      <c r="U9" s="327">
        <f t="shared" si="14"/>
        <v>2.010350858284945E-8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8.1970023552401336E-2</v>
      </c>
      <c r="C10" s="93">
        <f t="shared" si="17"/>
        <v>3.295365839998711E-2</v>
      </c>
      <c r="D10" s="93"/>
      <c r="E10" s="324">
        <v>8</v>
      </c>
      <c r="F10" s="328">
        <f t="shared" si="15"/>
        <v>2.8228287005085421E-3</v>
      </c>
      <c r="G10" s="328">
        <f t="shared" si="0"/>
        <v>3.8647308546686863E-3</v>
      </c>
      <c r="H10" s="328">
        <f t="shared" si="1"/>
        <v>3.0865319609593945E-3</v>
      </c>
      <c r="I10" s="328">
        <f t="shared" si="2"/>
        <v>1.8781184988568924E-3</v>
      </c>
      <c r="J10" s="328">
        <f t="shared" si="3"/>
        <v>9.6424853595641197E-4</v>
      </c>
      <c r="K10" s="328">
        <f t="shared" si="4"/>
        <v>4.4005044394044635E-4</v>
      </c>
      <c r="L10" s="328">
        <f t="shared" si="5"/>
        <v>1.8408880472754597E-4</v>
      </c>
      <c r="M10" s="328">
        <f t="shared" si="6"/>
        <v>7.201020770421377E-5</v>
      </c>
      <c r="N10" s="326">
        <f t="shared" si="7"/>
        <v>2.6701207917941091E-5</v>
      </c>
      <c r="O10" s="327">
        <f t="shared" si="8"/>
        <v>9.4776335859500566E-6</v>
      </c>
      <c r="P10" s="327">
        <f t="shared" si="9"/>
        <v>3.2439537459593902E-6</v>
      </c>
      <c r="Q10" s="327">
        <f t="shared" si="10"/>
        <v>1.0766769865959018E-6</v>
      </c>
      <c r="R10" s="327">
        <f t="shared" si="11"/>
        <v>3.4804595065899271E-7</v>
      </c>
      <c r="S10" s="327">
        <f t="shared" si="12"/>
        <v>1.0996366795902129E-7</v>
      </c>
      <c r="T10" s="327">
        <f t="shared" si="13"/>
        <v>3.4053226160319368E-8</v>
      </c>
      <c r="U10" s="327">
        <f t="shared" si="14"/>
        <v>1.036049436817978E-8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4.7659748763309001E-2</v>
      </c>
      <c r="C11" s="93">
        <f t="shared" si="17"/>
        <v>1.3785691321957786E-2</v>
      </c>
      <c r="D11" s="93"/>
      <c r="E11" s="324">
        <v>9</v>
      </c>
      <c r="F11" s="328">
        <f t="shared" si="15"/>
        <v>1.3925965169592428E-3</v>
      </c>
      <c r="G11" s="328">
        <f t="shared" si="0"/>
        <v>1.906601957896681E-3</v>
      </c>
      <c r="H11" s="328">
        <f t="shared" si="1"/>
        <v>1.5226902211746261E-3</v>
      </c>
      <c r="I11" s="328">
        <f t="shared" si="2"/>
        <v>9.2653914120741576E-4</v>
      </c>
      <c r="J11" s="328">
        <f t="shared" si="3"/>
        <v>4.7569629443474092E-4</v>
      </c>
      <c r="K11" s="328">
        <f t="shared" si="4"/>
        <v>2.1709171208562312E-4</v>
      </c>
      <c r="L11" s="328">
        <f t="shared" si="5"/>
        <v>9.0817210491230424E-5</v>
      </c>
      <c r="M11" s="328">
        <f t="shared" si="6"/>
        <v>3.5525061941000434E-5</v>
      </c>
      <c r="N11" s="328">
        <f t="shared" si="7"/>
        <v>1.317260559892653E-5</v>
      </c>
      <c r="O11" s="326">
        <f t="shared" si="8"/>
        <v>4.675636009522019E-6</v>
      </c>
      <c r="P11" s="327">
        <f t="shared" si="9"/>
        <v>1.6003516922532667E-6</v>
      </c>
      <c r="Q11" s="327">
        <f t="shared" si="10"/>
        <v>5.3116103756260829E-7</v>
      </c>
      <c r="R11" s="327">
        <f t="shared" si="11"/>
        <v>1.7170279533510612E-7</v>
      </c>
      <c r="S11" s="327">
        <f t="shared" si="12"/>
        <v>5.4248782777434548E-8</v>
      </c>
      <c r="T11" s="327">
        <f t="shared" si="13"/>
        <v>1.6799603934005212E-8</v>
      </c>
      <c r="U11" s="327">
        <f t="shared" si="14"/>
        <v>5.1111809825738853E-9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2.5911360026542672E-2</v>
      </c>
      <c r="C12" s="93">
        <f t="shared" si="17"/>
        <v>5.3925630996930147E-3</v>
      </c>
      <c r="D12" s="93"/>
      <c r="E12" s="324">
        <v>10</v>
      </c>
      <c r="F12" s="328">
        <f t="shared" si="15"/>
        <v>6.6247854482223418E-4</v>
      </c>
      <c r="G12" s="328">
        <f t="shared" si="0"/>
        <v>9.0699845593508873E-4</v>
      </c>
      <c r="H12" s="328">
        <f t="shared" si="1"/>
        <v>7.2436602393738099E-4</v>
      </c>
      <c r="I12" s="328">
        <f t="shared" si="2"/>
        <v>4.4076823007442275E-4</v>
      </c>
      <c r="J12" s="328">
        <f t="shared" si="3"/>
        <v>2.2629568943814855E-4</v>
      </c>
      <c r="K12" s="328">
        <f t="shared" si="4"/>
        <v>1.0327370474075383E-4</v>
      </c>
      <c r="L12" s="328">
        <f t="shared" si="5"/>
        <v>4.3203076209335161E-5</v>
      </c>
      <c r="M12" s="328">
        <f t="shared" si="6"/>
        <v>1.6899791901520668E-5</v>
      </c>
      <c r="N12" s="328">
        <f t="shared" si="7"/>
        <v>6.2664012744686921E-6</v>
      </c>
      <c r="O12" s="328">
        <f t="shared" si="8"/>
        <v>2.2242684812037626E-6</v>
      </c>
      <c r="P12" s="326">
        <f t="shared" si="9"/>
        <v>7.6131072236393719E-7</v>
      </c>
      <c r="Q12" s="327">
        <f t="shared" si="10"/>
        <v>2.5268107951259751E-7</v>
      </c>
      <c r="R12" s="327">
        <f t="shared" si="11"/>
        <v>8.1681532741360504E-8</v>
      </c>
      <c r="S12" s="327">
        <f t="shared" si="12"/>
        <v>2.580693993924741E-8</v>
      </c>
      <c r="T12" s="327">
        <f t="shared" si="13"/>
        <v>7.9918174663331992E-9</v>
      </c>
      <c r="U12" s="327">
        <f t="shared" si="14"/>
        <v>2.4314635994150804E-9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1.3353614296754938E-2</v>
      </c>
      <c r="C13" s="93">
        <f t="shared" si="17"/>
        <v>1.9995491351303858E-3</v>
      </c>
      <c r="D13" s="93"/>
      <c r="E13" s="324">
        <v>11</v>
      </c>
      <c r="F13" s="328">
        <f t="shared" si="15"/>
        <v>3.0560071723362411E-4</v>
      </c>
      <c r="G13" s="328">
        <f t="shared" si="0"/>
        <v>4.1839751767044697E-4</v>
      </c>
      <c r="H13" s="328">
        <f t="shared" si="1"/>
        <v>3.3414935198291211E-4</v>
      </c>
      <c r="I13" s="328">
        <f t="shared" si="2"/>
        <v>2.0332596171953471E-4</v>
      </c>
      <c r="J13" s="328">
        <f t="shared" si="3"/>
        <v>1.0438998446014976E-4</v>
      </c>
      <c r="K13" s="328">
        <f t="shared" si="4"/>
        <v>4.7640060929998376E-5</v>
      </c>
      <c r="L13" s="328">
        <f t="shared" si="5"/>
        <v>1.9929537612141896E-5</v>
      </c>
      <c r="M13" s="328">
        <f t="shared" si="6"/>
        <v>7.795857792782625E-6</v>
      </c>
      <c r="N13" s="328">
        <f t="shared" si="7"/>
        <v>2.8906848967692884E-6</v>
      </c>
      <c r="O13" s="328">
        <f t="shared" si="8"/>
        <v>1.0260529167150776E-6</v>
      </c>
      <c r="P13" s="328">
        <f t="shared" si="9"/>
        <v>3.511919059273045E-7</v>
      </c>
      <c r="Q13" s="326">
        <f t="shared" si="10"/>
        <v>1.1656153959089626E-7</v>
      </c>
      <c r="R13" s="327">
        <f t="shared" si="11"/>
        <v>3.7679612699305861E-8</v>
      </c>
      <c r="S13" s="327">
        <f t="shared" si="12"/>
        <v>1.1904716638265349E-8</v>
      </c>
      <c r="T13" s="327">
        <f t="shared" si="13"/>
        <v>3.6866177309440032E-9</v>
      </c>
      <c r="U13" s="327">
        <f t="shared" si="14"/>
        <v>1.1216318259908109E-9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6.5877879005296737E-3</v>
      </c>
      <c r="C14" s="93">
        <f t="shared" si="17"/>
        <v>7.0974294863774938E-4</v>
      </c>
      <c r="D14" s="93"/>
      <c r="E14" s="324">
        <v>12</v>
      </c>
      <c r="F14" s="328">
        <f t="shared" si="15"/>
        <v>1.3730213755898252E-4</v>
      </c>
      <c r="G14" s="328">
        <f t="shared" si="0"/>
        <v>1.8798016590258141E-4</v>
      </c>
      <c r="H14" s="328">
        <f t="shared" si="1"/>
        <v>1.5012864075226954E-4</v>
      </c>
      <c r="I14" s="328">
        <f t="shared" si="2"/>
        <v>9.1351517162788763E-5</v>
      </c>
      <c r="J14" s="328">
        <f t="shared" si="3"/>
        <v>4.6900963243389031E-5</v>
      </c>
      <c r="K14" s="328">
        <f t="shared" si="4"/>
        <v>2.140401455317414E-5</v>
      </c>
      <c r="L14" s="328">
        <f t="shared" si="5"/>
        <v>8.9540631300853176E-6</v>
      </c>
      <c r="M14" s="328">
        <f t="shared" si="6"/>
        <v>3.5025701141814437E-6</v>
      </c>
      <c r="N14" s="328">
        <f t="shared" si="7"/>
        <v>1.2987443842694651E-6</v>
      </c>
      <c r="O14" s="328">
        <f t="shared" si="8"/>
        <v>4.6099125679050727E-7</v>
      </c>
      <c r="P14" s="328">
        <f t="shared" si="9"/>
        <v>1.5778562240863293E-7</v>
      </c>
      <c r="Q14" s="328">
        <f t="shared" si="10"/>
        <v>5.2369473108144752E-8</v>
      </c>
      <c r="R14" s="326">
        <f t="shared" si="11"/>
        <v>1.6928924162354869E-8</v>
      </c>
      <c r="S14" s="327">
        <f t="shared" si="12"/>
        <v>5.3486230538465969E-9</v>
      </c>
      <c r="T14" s="327">
        <f t="shared" si="13"/>
        <v>1.6563458993275045E-9</v>
      </c>
      <c r="U14" s="327">
        <f t="shared" si="14"/>
        <v>5.039335269131324E-10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3.1339071215472159E-3</v>
      </c>
      <c r="C15" s="93">
        <f t="shared" si="17"/>
        <v>2.4292702139432792E-4</v>
      </c>
      <c r="D15" s="93"/>
      <c r="E15" s="324">
        <v>13</v>
      </c>
      <c r="F15" s="328">
        <f t="shared" si="15"/>
        <v>6.029227971468754E-5</v>
      </c>
      <c r="G15" s="328">
        <f t="shared" si="0"/>
        <v>8.2546076447957928E-5</v>
      </c>
      <c r="H15" s="328">
        <f t="shared" si="1"/>
        <v>6.5924669217427677E-5</v>
      </c>
      <c r="I15" s="328">
        <f t="shared" si="2"/>
        <v>4.0114388042749093E-5</v>
      </c>
      <c r="J15" s="328">
        <f t="shared" si="3"/>
        <v>2.0595207365536704E-5</v>
      </c>
      <c r="K15" s="328">
        <f t="shared" si="4"/>
        <v>9.398956603300105E-6</v>
      </c>
      <c r="L15" s="328">
        <f t="shared" si="5"/>
        <v>3.9319189665940936E-6</v>
      </c>
      <c r="M15" s="328">
        <f t="shared" si="6"/>
        <v>1.5380527994607109E-6</v>
      </c>
      <c r="N15" s="328">
        <f t="shared" si="7"/>
        <v>5.7030619541968989E-7</v>
      </c>
      <c r="O15" s="328">
        <f t="shared" si="8"/>
        <v>2.0243103490285227E-7</v>
      </c>
      <c r="P15" s="328">
        <f t="shared" si="9"/>
        <v>6.9287012207880911E-8</v>
      </c>
      <c r="Q15" s="328">
        <f t="shared" si="10"/>
        <v>2.2996545991796203E-8</v>
      </c>
      <c r="R15" s="328">
        <f t="shared" si="11"/>
        <v>7.4338495307617855E-9</v>
      </c>
      <c r="S15" s="326">
        <f t="shared" si="12"/>
        <v>2.3486937857206587E-9</v>
      </c>
      <c r="T15" s="327">
        <f t="shared" si="13"/>
        <v>7.2733660263394981E-10</v>
      </c>
      <c r="U15" s="327">
        <f t="shared" si="14"/>
        <v>2.2128789618590956E-10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1.445668348920465E-3</v>
      </c>
      <c r="C16" s="93">
        <f t="shared" si="17"/>
        <v>8.0628132778819679E-5</v>
      </c>
      <c r="D16" s="93"/>
      <c r="E16" s="324">
        <v>14</v>
      </c>
      <c r="F16" s="328">
        <f t="shared" si="15"/>
        <v>2.5950308465981637E-5</v>
      </c>
      <c r="G16" s="328">
        <f t="shared" si="0"/>
        <v>3.55285312915309E-5</v>
      </c>
      <c r="H16" s="328">
        <f t="shared" si="1"/>
        <v>2.8374536670460319E-5</v>
      </c>
      <c r="I16" s="328">
        <f t="shared" si="2"/>
        <v>1.7265572782444242E-5</v>
      </c>
      <c r="J16" s="328">
        <f t="shared" si="3"/>
        <v>8.8643518968870402E-6</v>
      </c>
      <c r="K16" s="328">
        <f t="shared" si="4"/>
        <v>4.045390624939264E-6</v>
      </c>
      <c r="L16" s="328">
        <f t="shared" si="5"/>
        <v>1.6923312657806883E-6</v>
      </c>
      <c r="M16" s="328">
        <f t="shared" si="6"/>
        <v>6.6199096753093955E-7</v>
      </c>
      <c r="N16" s="328">
        <f t="shared" si="7"/>
        <v>2.4546462268860079E-7</v>
      </c>
      <c r="O16" s="328">
        <f t="shared" si="8"/>
        <v>8.7128034031481742E-8</v>
      </c>
      <c r="P16" s="328">
        <f t="shared" si="9"/>
        <v>2.9821717606122258E-8</v>
      </c>
      <c r="Q16" s="328">
        <f t="shared" si="10"/>
        <v>9.8979084049109061E-9</v>
      </c>
      <c r="R16" s="328">
        <f t="shared" si="11"/>
        <v>3.1995918768678945E-9</v>
      </c>
      <c r="S16" s="328">
        <f t="shared" si="12"/>
        <v>1.0108977222292305E-9</v>
      </c>
      <c r="T16" s="326">
        <f t="shared" si="13"/>
        <v>3.1305184156690874E-10</v>
      </c>
      <c r="U16" s="327">
        <f t="shared" si="14"/>
        <v>9.5244187033345362E-11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6.4951861469749632E-4</v>
      </c>
      <c r="C17" s="93">
        <f t="shared" si="17"/>
        <v>2.6063801374252016E-5</v>
      </c>
      <c r="D17" s="93"/>
      <c r="E17" s="324">
        <v>15</v>
      </c>
      <c r="F17" s="328">
        <f t="shared" si="15"/>
        <v>1.0973281368609438E-5</v>
      </c>
      <c r="G17" s="328">
        <f t="shared" si="0"/>
        <v>1.5023504286528558E-5</v>
      </c>
      <c r="H17" s="328">
        <f t="shared" si="1"/>
        <v>1.1998384335086147E-5</v>
      </c>
      <c r="I17" s="328">
        <f t="shared" si="2"/>
        <v>7.3008761487490398E-6</v>
      </c>
      <c r="J17" s="328">
        <f t="shared" si="3"/>
        <v>3.7483572745357253E-6</v>
      </c>
      <c r="K17" s="328">
        <f t="shared" si="4"/>
        <v>1.7106235801237557E-6</v>
      </c>
      <c r="L17" s="328">
        <f t="shared" si="5"/>
        <v>7.1561489038369236E-7</v>
      </c>
      <c r="M17" s="328">
        <f t="shared" si="6"/>
        <v>2.7992781510546127E-7</v>
      </c>
      <c r="N17" s="328">
        <f t="shared" si="7"/>
        <v>1.0379654539877848E-7</v>
      </c>
      <c r="O17" s="328">
        <f t="shared" si="8"/>
        <v>3.6842738643147812E-8</v>
      </c>
      <c r="P17" s="328">
        <f t="shared" si="9"/>
        <v>1.2610335581026959E-8</v>
      </c>
      <c r="Q17" s="328">
        <f t="shared" si="10"/>
        <v>4.1854043480905906E-9</v>
      </c>
      <c r="R17" s="328">
        <f t="shared" si="11"/>
        <v>1.3529712749123748E-9</v>
      </c>
      <c r="S17" s="328">
        <f t="shared" si="12"/>
        <v>4.2746563708286608E-10</v>
      </c>
      <c r="T17" s="328">
        <f t="shared" si="13"/>
        <v>1.3237630469704277E-10</v>
      </c>
      <c r="U17" s="326">
        <f t="shared" si="14"/>
        <v>4.027471443784343E-11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2.8521739496164048E-4</v>
      </c>
      <c r="C18" s="93">
        <f t="shared" si="17"/>
        <v>8.2347494480010231E-6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1.2275998542671203E-4</v>
      </c>
      <c r="C19" s="93">
        <f t="shared" si="17"/>
        <v>2.5501130558035247E-6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5.1909974891419789E-5</v>
      </c>
      <c r="C20" s="93">
        <f t="shared" si="17"/>
        <v>7.7585694314216372E-7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0.56867001805156514</v>
      </c>
      <c r="C21" s="323">
        <f>SUM(G2:U2,H3:U3,I4:U4,J5:U5,K6:U6,L7:U7,M8:U8,N9:U9,O10:U10,P11:U11,Q12:U12,R13:U13,S14:U14,T15:U15,U16)</f>
        <v>0.26619567094177077</v>
      </c>
    </row>
    <row r="22" spans="1:39">
      <c r="A22" s="1" t="s">
        <v>348</v>
      </c>
      <c r="B22" s="401">
        <f>1-B21-C21</f>
        <v>0.16513431100666409</v>
      </c>
      <c r="C22" s="377"/>
    </row>
    <row r="23" spans="1:39">
      <c r="A23" s="1" t="s">
        <v>349</v>
      </c>
      <c r="B23" s="329">
        <f>B21/(B21+C21)</f>
        <v>0.68115150203053132</v>
      </c>
      <c r="C23" s="330">
        <f>C21/(B21+C21)</f>
        <v>0.31884849796946874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2.8284850787979106E-2</v>
      </c>
      <c r="G2" s="327">
        <f t="shared" ref="G2:G17" si="0">$B5*$C$6</f>
        <v>4.3753396667528227E-2</v>
      </c>
      <c r="H2" s="327">
        <f t="shared" ref="H2:H17" si="1">$B5*$C$7</f>
        <v>3.9480845948453892E-2</v>
      </c>
      <c r="I2" s="327">
        <f t="shared" ref="I2:I17" si="2">$B5*$C$8</f>
        <v>2.7143247913495518E-2</v>
      </c>
      <c r="J2" s="327">
        <f t="shared" ref="J2:J17" si="3">$B5*$C$9</f>
        <v>1.5745300837537314E-2</v>
      </c>
      <c r="K2" s="327">
        <f t="shared" ref="K2:K17" si="4">$B5*$C$10</f>
        <v>8.1187204929162628E-3</v>
      </c>
      <c r="L2" s="327">
        <f t="shared" ref="L2:L17" si="5">$B5*$C$11</f>
        <v>3.8373874970923719E-3</v>
      </c>
      <c r="M2" s="327">
        <f t="shared" ref="M2:M17" si="6">$B5*$C$12</f>
        <v>1.6959986166229387E-3</v>
      </c>
      <c r="N2" s="327">
        <f t="shared" ref="N2:N17" si="7">$B5*$C$13</f>
        <v>7.1053502434040706E-4</v>
      </c>
      <c r="O2" s="327">
        <f t="shared" ref="O2:O17" si="8">$B5*$C$14</f>
        <v>2.8495589649242634E-4</v>
      </c>
      <c r="P2" s="327">
        <f t="shared" ref="P2:P17" si="9">$B5*$C$15</f>
        <v>1.1019846335271262E-4</v>
      </c>
      <c r="Q2" s="327">
        <f t="shared" ref="Q2:Q17" si="10">$B5*$C$16</f>
        <v>4.1324676979831039E-5</v>
      </c>
      <c r="R2" s="327">
        <f t="shared" ref="R2:R17" si="11">$B5*$C$17</f>
        <v>1.5093285054956926E-5</v>
      </c>
      <c r="S2" s="327">
        <f t="shared" ref="S2:S17" si="12">$B5*$C$18</f>
        <v>5.3879003964874072E-6</v>
      </c>
      <c r="T2" s="327">
        <f t="shared" ref="T2:T17" si="13">$B5*$C$19</f>
        <v>1.8851753622690966E-6</v>
      </c>
      <c r="U2" s="327">
        <f t="shared" ref="U2:U17" si="14">$B5*$C$20</f>
        <v>6.4803300169012427E-7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4.3492038907654948E-2</v>
      </c>
      <c r="G3" s="326">
        <f t="shared" si="0"/>
        <v>6.7277159935202127E-2</v>
      </c>
      <c r="H3" s="327">
        <f t="shared" si="1"/>
        <v>6.0707496778701277E-2</v>
      </c>
      <c r="I3" s="327">
        <f t="shared" si="2"/>
        <v>4.1736659782401361E-2</v>
      </c>
      <c r="J3" s="327">
        <f t="shared" si="3"/>
        <v>2.4210671704513249E-2</v>
      </c>
      <c r="K3" s="327">
        <f t="shared" si="4"/>
        <v>1.2483704093229827E-2</v>
      </c>
      <c r="L3" s="327">
        <f t="shared" si="5"/>
        <v>5.9005369191560244E-3</v>
      </c>
      <c r="M3" s="327">
        <f t="shared" si="6"/>
        <v>2.6078425647146218E-3</v>
      </c>
      <c r="N3" s="327">
        <f t="shared" si="7"/>
        <v>1.0925501129741852E-3</v>
      </c>
      <c r="O3" s="327">
        <f t="shared" si="8"/>
        <v>4.3816080311377806E-4</v>
      </c>
      <c r="P3" s="327">
        <f t="shared" si="9"/>
        <v>1.6944603638272891E-4</v>
      </c>
      <c r="Q3" s="327">
        <f t="shared" si="10"/>
        <v>6.3542653009749094E-5</v>
      </c>
      <c r="R3" s="327">
        <f t="shared" si="11"/>
        <v>2.3208103368658948E-5</v>
      </c>
      <c r="S3" s="327">
        <f t="shared" si="12"/>
        <v>8.2846742035559553E-6</v>
      </c>
      <c r="T3" s="327">
        <f t="shared" si="13"/>
        <v>2.8987291047830235E-6</v>
      </c>
      <c r="U3" s="327">
        <f t="shared" si="14"/>
        <v>9.9644423561638371E-7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Innings'!$G$27</f>
        <v>2.3086946189697204</v>
      </c>
      <c r="C4" s="87">
        <f>'First 5 Innings'!$G$28</f>
        <v>2.327387636390323</v>
      </c>
      <c r="D4" s="87"/>
      <c r="E4" s="324">
        <v>2</v>
      </c>
      <c r="F4" s="328">
        <f t="shared" si="15"/>
        <v>3.9010582725205981E-2</v>
      </c>
      <c r="G4" s="328">
        <f t="shared" si="0"/>
        <v>6.0344864924398355E-2</v>
      </c>
      <c r="H4" s="326">
        <f t="shared" si="1"/>
        <v>5.4452145372032058E-2</v>
      </c>
      <c r="I4" s="327">
        <f t="shared" si="2"/>
        <v>3.7436079337926247E-2</v>
      </c>
      <c r="J4" s="327">
        <f t="shared" si="3"/>
        <v>2.1715983777331783E-2</v>
      </c>
      <c r="K4" s="327">
        <f t="shared" si="4"/>
        <v>1.1197372748607087E-2</v>
      </c>
      <c r="L4" s="327">
        <f t="shared" si="5"/>
        <v>5.2925406439695332E-3</v>
      </c>
      <c r="M4" s="327">
        <f t="shared" si="6"/>
        <v>2.3391282786516397E-3</v>
      </c>
      <c r="N4" s="327">
        <f t="shared" si="7"/>
        <v>9.7997283259375866E-4</v>
      </c>
      <c r="O4" s="327">
        <f t="shared" si="8"/>
        <v>3.9301234630791798E-4</v>
      </c>
      <c r="P4" s="327">
        <f t="shared" si="9"/>
        <v>1.5198617461466635E-4</v>
      </c>
      <c r="Q4" s="327">
        <f t="shared" si="10"/>
        <v>5.6995164726103017E-5</v>
      </c>
      <c r="R4" s="327">
        <f t="shared" si="11"/>
        <v>2.0816720924041356E-5</v>
      </c>
      <c r="S4" s="327">
        <f t="shared" si="12"/>
        <v>7.4310144220972712E-6</v>
      </c>
      <c r="T4" s="327">
        <f t="shared" si="13"/>
        <v>2.6000416255536184E-6</v>
      </c>
      <c r="U4" s="327">
        <f t="shared" si="14"/>
        <v>8.9376978547965507E-7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0.16923010531940311</v>
      </c>
      <c r="C5" s="93">
        <f>_xlfn.NEGBINOM.DIST(A5,$A$2,$A$2/($A$2+$C$4),FALSE)</f>
        <v>0.16713841035904681</v>
      </c>
      <c r="D5" s="93"/>
      <c r="E5" s="324">
        <v>3</v>
      </c>
      <c r="F5" s="328">
        <f t="shared" si="15"/>
        <v>2.6659732989034336E-2</v>
      </c>
      <c r="G5" s="328">
        <f t="shared" si="0"/>
        <v>4.1239527168209188E-2</v>
      </c>
      <c r="H5" s="328">
        <f t="shared" si="1"/>
        <v>3.7212457617570527E-2</v>
      </c>
      <c r="I5" s="326">
        <f t="shared" si="2"/>
        <v>2.5583721379802828E-2</v>
      </c>
      <c r="J5" s="327">
        <f t="shared" si="3"/>
        <v>1.4840648066602543E-2</v>
      </c>
      <c r="K5" s="327">
        <f t="shared" si="4"/>
        <v>7.6522560495788702E-3</v>
      </c>
      <c r="L5" s="327">
        <f t="shared" si="5"/>
        <v>3.6169088115331296E-3</v>
      </c>
      <c r="M5" s="327">
        <f t="shared" si="6"/>
        <v>1.5985543147413459E-3</v>
      </c>
      <c r="N5" s="327">
        <f t="shared" si="7"/>
        <v>6.6971094068216867E-4</v>
      </c>
      <c r="O5" s="327">
        <f t="shared" si="8"/>
        <v>2.6858363761874993E-4</v>
      </c>
      <c r="P5" s="327">
        <f t="shared" si="9"/>
        <v>1.0386696506929349E-4</v>
      </c>
      <c r="Q5" s="327">
        <f t="shared" si="10"/>
        <v>3.8950350574541739E-5</v>
      </c>
      <c r="R5" s="327">
        <f t="shared" si="11"/>
        <v>1.4226094120445015E-5</v>
      </c>
      <c r="S5" s="327">
        <f t="shared" si="12"/>
        <v>5.0783363510940863E-6</v>
      </c>
      <c r="T5" s="327">
        <f t="shared" si="13"/>
        <v>1.776861832234224E-6</v>
      </c>
      <c r="U5" s="327">
        <f t="shared" si="14"/>
        <v>6.1079999759035362E-7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0.26021570274735373</v>
      </c>
      <c r="C6" s="93">
        <f t="shared" ref="C6:C20" si="17">NEGBINOMDIST(A6,$A$2,$A$2/($A$2+$C$4))</f>
        <v>0.25854381278643379</v>
      </c>
      <c r="D6" s="93"/>
      <c r="E6" s="324">
        <v>4</v>
      </c>
      <c r="F6" s="328">
        <f t="shared" si="15"/>
        <v>1.5372444684941759E-2</v>
      </c>
      <c r="G6" s="328">
        <f t="shared" si="0"/>
        <v>2.3779396083494362E-2</v>
      </c>
      <c r="H6" s="328">
        <f t="shared" si="1"/>
        <v>2.1457320917360134E-2</v>
      </c>
      <c r="I6" s="328">
        <f t="shared" si="2"/>
        <v>1.4751998525557111E-2</v>
      </c>
      <c r="J6" s="326">
        <f t="shared" si="3"/>
        <v>8.5573640811171144E-3</v>
      </c>
      <c r="K6" s="327">
        <f t="shared" si="4"/>
        <v>4.4124178920151675E-3</v>
      </c>
      <c r="L6" s="327">
        <f t="shared" si="5"/>
        <v>2.085569673883873E-3</v>
      </c>
      <c r="M6" s="327">
        <f t="shared" si="6"/>
        <v>9.2175295939175199E-4</v>
      </c>
      <c r="N6" s="327">
        <f t="shared" si="7"/>
        <v>3.8616644790746851E-4</v>
      </c>
      <c r="O6" s="327">
        <f t="shared" si="8"/>
        <v>1.5486978486517196E-4</v>
      </c>
      <c r="P6" s="327">
        <f t="shared" si="9"/>
        <v>5.9891416608607488E-5</v>
      </c>
      <c r="Q6" s="327">
        <f t="shared" si="10"/>
        <v>2.2459418851363393E-5</v>
      </c>
      <c r="R6" s="327">
        <f t="shared" si="11"/>
        <v>8.2030020720487899E-6</v>
      </c>
      <c r="S6" s="327">
        <f t="shared" si="12"/>
        <v>2.9282530579294643E-6</v>
      </c>
      <c r="T6" s="327">
        <f t="shared" si="13"/>
        <v>1.0245680344975675E-6</v>
      </c>
      <c r="U6" s="327">
        <f t="shared" si="14"/>
        <v>3.5219741999600476E-7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0.23340285839385111</v>
      </c>
      <c r="C7" s="93">
        <f t="shared" si="17"/>
        <v>0.23329682312693809</v>
      </c>
      <c r="D7" s="93"/>
      <c r="E7" s="324">
        <v>5</v>
      </c>
      <c r="F7" s="328">
        <f t="shared" si="15"/>
        <v>7.8791171919186578E-3</v>
      </c>
      <c r="G7" s="328">
        <f t="shared" si="0"/>
        <v>1.2188084090387703E-2</v>
      </c>
      <c r="H7" s="328">
        <f t="shared" si="1"/>
        <v>1.0997908894614352E-2</v>
      </c>
      <c r="I7" s="328">
        <f t="shared" si="2"/>
        <v>7.5611086967665416E-3</v>
      </c>
      <c r="J7" s="328">
        <f t="shared" si="3"/>
        <v>4.3860606319230042E-3</v>
      </c>
      <c r="K7" s="326">
        <f t="shared" si="4"/>
        <v>2.2615763714512863E-3</v>
      </c>
      <c r="L7" s="327">
        <f t="shared" si="5"/>
        <v>1.0689547569840464E-3</v>
      </c>
      <c r="M7" s="327">
        <f t="shared" si="6"/>
        <v>4.7244272058819702E-4</v>
      </c>
      <c r="N7" s="327">
        <f t="shared" si="7"/>
        <v>1.9792887605120851E-4</v>
      </c>
      <c r="O7" s="327">
        <f t="shared" si="8"/>
        <v>7.9378212733802617E-5</v>
      </c>
      <c r="P7" s="327">
        <f t="shared" si="9"/>
        <v>3.0697231307099011E-5</v>
      </c>
      <c r="Q7" s="327">
        <f t="shared" si="10"/>
        <v>1.1511532278637682E-5</v>
      </c>
      <c r="R7" s="327">
        <f t="shared" si="11"/>
        <v>4.2044330603144322E-6</v>
      </c>
      <c r="S7" s="327">
        <f t="shared" si="12"/>
        <v>1.5008705175970413E-6</v>
      </c>
      <c r="T7" s="327">
        <f t="shared" si="13"/>
        <v>5.2514039115767872E-7</v>
      </c>
      <c r="U7" s="327">
        <f t="shared" si="14"/>
        <v>1.8051811560969238E-7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0.15950691963483371</v>
      </c>
      <c r="C8" s="93">
        <f t="shared" si="17"/>
        <v>0.16039254872686889</v>
      </c>
      <c r="D8" s="93"/>
      <c r="E8" s="324">
        <v>6</v>
      </c>
      <c r="F8" s="328">
        <f t="shared" si="15"/>
        <v>3.7018909427420543E-3</v>
      </c>
      <c r="G8" s="328">
        <f t="shared" si="0"/>
        <v>5.7263976413324249E-3</v>
      </c>
      <c r="H8" s="328">
        <f t="shared" si="1"/>
        <v>5.1672107844560481E-3</v>
      </c>
      <c r="I8" s="328">
        <f t="shared" si="2"/>
        <v>3.552479182611605E-3</v>
      </c>
      <c r="J8" s="328">
        <f t="shared" si="3"/>
        <v>2.0607280907417786E-3</v>
      </c>
      <c r="K8" s="328">
        <f t="shared" si="4"/>
        <v>1.0625694328270615E-3</v>
      </c>
      <c r="L8" s="326">
        <f t="shared" si="5"/>
        <v>5.0223316098648623E-4</v>
      </c>
      <c r="M8" s="327">
        <f t="shared" si="6"/>
        <v>2.2197048041164828E-4</v>
      </c>
      <c r="N8" s="327">
        <f t="shared" si="7"/>
        <v>9.2994062115562935E-5</v>
      </c>
      <c r="O8" s="327">
        <f t="shared" si="8"/>
        <v>3.7294722189397984E-5</v>
      </c>
      <c r="P8" s="327">
        <f t="shared" si="9"/>
        <v>1.4422656723466695E-5</v>
      </c>
      <c r="Q8" s="327">
        <f t="shared" si="10"/>
        <v>5.4085294127976437E-6</v>
      </c>
      <c r="R8" s="327">
        <f t="shared" si="11"/>
        <v>1.9753929642405981E-6</v>
      </c>
      <c r="S8" s="327">
        <f t="shared" si="12"/>
        <v>7.0516262672418775E-7</v>
      </c>
      <c r="T8" s="327">
        <f t="shared" si="13"/>
        <v>2.4672973003733685E-7</v>
      </c>
      <c r="U8" s="327">
        <f t="shared" si="14"/>
        <v>8.4813864408793549E-8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9.1974338226136446E-2</v>
      </c>
      <c r="C9" s="93">
        <f t="shared" si="17"/>
        <v>9.3040779049447506E-2</v>
      </c>
      <c r="D9" s="93"/>
      <c r="E9" s="324">
        <v>7</v>
      </c>
      <c r="F9" s="328">
        <f t="shared" si="15"/>
        <v>1.6263404051316203E-3</v>
      </c>
      <c r="G9" s="328">
        <f t="shared" si="0"/>
        <v>2.5157607298531E-3</v>
      </c>
      <c r="H9" s="328">
        <f t="shared" si="1"/>
        <v>2.2700948813926983E-3</v>
      </c>
      <c r="I9" s="328">
        <f t="shared" si="2"/>
        <v>1.5606997943571729E-3</v>
      </c>
      <c r="J9" s="328">
        <f t="shared" si="3"/>
        <v>9.0533335795155037E-4</v>
      </c>
      <c r="K9" s="328">
        <f t="shared" si="4"/>
        <v>4.6681537316828841E-4</v>
      </c>
      <c r="L9" s="328">
        <f t="shared" si="5"/>
        <v>2.2064455575351903E-4</v>
      </c>
      <c r="M9" s="326">
        <f t="shared" si="6"/>
        <v>9.7517611032739361E-5</v>
      </c>
      <c r="N9" s="327">
        <f t="shared" si="7"/>
        <v>4.0854796371670966E-5</v>
      </c>
      <c r="O9" s="327">
        <f t="shared" si="8"/>
        <v>1.638457602693432E-5</v>
      </c>
      <c r="P9" s="327">
        <f t="shared" si="9"/>
        <v>6.3362615867183644E-6</v>
      </c>
      <c r="Q9" s="327">
        <f t="shared" si="10"/>
        <v>2.3761126549719948E-6</v>
      </c>
      <c r="R9" s="327">
        <f t="shared" si="11"/>
        <v>8.6784333829605819E-7</v>
      </c>
      <c r="S9" s="327">
        <f t="shared" si="12"/>
        <v>3.0979693615199073E-7</v>
      </c>
      <c r="T9" s="327">
        <f t="shared" si="13"/>
        <v>1.0839501630745306E-7</v>
      </c>
      <c r="U9" s="327">
        <f t="shared" si="14"/>
        <v>3.7261015177611877E-8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4.7141271566438471E-2</v>
      </c>
      <c r="C10" s="93">
        <f t="shared" si="17"/>
        <v>4.7974445667294689E-2</v>
      </c>
      <c r="D10" s="93"/>
      <c r="E10" s="324">
        <v>8</v>
      </c>
      <c r="F10" s="328">
        <f t="shared" si="15"/>
        <v>6.7728185810686774E-4</v>
      </c>
      <c r="G10" s="328">
        <f t="shared" si="0"/>
        <v>1.0476767940407296E-3</v>
      </c>
      <c r="H10" s="328">
        <f t="shared" si="1"/>
        <v>9.4537040000805127E-4</v>
      </c>
      <c r="I10" s="328">
        <f t="shared" si="2"/>
        <v>6.4994613263862566E-4</v>
      </c>
      <c r="J10" s="328">
        <f t="shared" si="3"/>
        <v>3.7702184422450737E-4</v>
      </c>
      <c r="K10" s="328">
        <f t="shared" si="4"/>
        <v>1.9440307965950203E-4</v>
      </c>
      <c r="L10" s="328">
        <f t="shared" si="5"/>
        <v>9.1886393666652845E-5</v>
      </c>
      <c r="M10" s="328">
        <f t="shared" si="6"/>
        <v>4.0610753191642735E-5</v>
      </c>
      <c r="N10" s="326">
        <f t="shared" si="7"/>
        <v>1.7013788941032713E-5</v>
      </c>
      <c r="O10" s="327">
        <f t="shared" si="8"/>
        <v>6.8232800838009266E-6</v>
      </c>
      <c r="P10" s="327">
        <f t="shared" si="9"/>
        <v>2.6387065139394824E-6</v>
      </c>
      <c r="Q10" s="327">
        <f t="shared" si="10"/>
        <v>9.8952100615149775E-7</v>
      </c>
      <c r="R10" s="327">
        <f t="shared" si="11"/>
        <v>3.6140930081562624E-7</v>
      </c>
      <c r="S10" s="327">
        <f t="shared" si="12"/>
        <v>1.2901348567051936E-7</v>
      </c>
      <c r="T10" s="327">
        <f t="shared" si="13"/>
        <v>4.5140597763292128E-8</v>
      </c>
      <c r="U10" s="327">
        <f t="shared" si="14"/>
        <v>1.5517175564729815E-8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2.2148654727477967E-2</v>
      </c>
      <c r="C11" s="93">
        <f t="shared" si="17"/>
        <v>2.2675560532505298E-2</v>
      </c>
      <c r="D11" s="93"/>
      <c r="E11" s="324">
        <v>9</v>
      </c>
      <c r="F11" s="328">
        <f t="shared" si="15"/>
        <v>2.6999740762322327E-4</v>
      </c>
      <c r="G11" s="328">
        <f t="shared" si="0"/>
        <v>4.1765479915360846E-4</v>
      </c>
      <c r="H11" s="328">
        <f t="shared" si="1"/>
        <v>3.7687050699891644E-4</v>
      </c>
      <c r="I11" s="328">
        <f t="shared" si="2"/>
        <v>2.5910006123252622E-4</v>
      </c>
      <c r="J11" s="328">
        <f t="shared" si="3"/>
        <v>1.5029919868587646E-4</v>
      </c>
      <c r="K11" s="328">
        <f t="shared" si="4"/>
        <v>7.749849920497122E-5</v>
      </c>
      <c r="L11" s="328">
        <f t="shared" si="5"/>
        <v>3.6630374472438071E-5</v>
      </c>
      <c r="M11" s="328">
        <f t="shared" si="6"/>
        <v>1.618941649200347E-5</v>
      </c>
      <c r="N11" s="328">
        <f t="shared" si="7"/>
        <v>6.7825217122568567E-6</v>
      </c>
      <c r="O11" s="326">
        <f t="shared" si="8"/>
        <v>2.7200904794097262E-6</v>
      </c>
      <c r="P11" s="327">
        <f t="shared" si="9"/>
        <v>1.0519164358448784E-6</v>
      </c>
      <c r="Q11" s="327">
        <f t="shared" si="10"/>
        <v>3.9447108061688511E-7</v>
      </c>
      <c r="R11" s="327">
        <f t="shared" si="11"/>
        <v>1.4407528142551215E-7</v>
      </c>
      <c r="S11" s="327">
        <f t="shared" si="12"/>
        <v>5.1431034601815318E-8</v>
      </c>
      <c r="T11" s="327">
        <f t="shared" si="13"/>
        <v>1.7995232308036274E-8</v>
      </c>
      <c r="U11" s="327">
        <f t="shared" si="14"/>
        <v>6.1858990108227625E-9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9.7305006170509533E-3</v>
      </c>
      <c r="C12" s="93">
        <f t="shared" si="17"/>
        <v>1.0021849324160904E-2</v>
      </c>
      <c r="D12" s="93"/>
      <c r="E12" s="324">
        <v>10</v>
      </c>
      <c r="F12" s="328">
        <f t="shared" si="15"/>
        <v>1.0378999208213787E-4</v>
      </c>
      <c r="G12" s="328">
        <f t="shared" si="0"/>
        <v>1.6055112780087073E-4</v>
      </c>
      <c r="H12" s="328">
        <f t="shared" si="1"/>
        <v>1.4487319445671742E-4</v>
      </c>
      <c r="I12" s="328">
        <f t="shared" si="2"/>
        <v>9.960093150721153E-5</v>
      </c>
      <c r="J12" s="328">
        <f t="shared" si="3"/>
        <v>5.7776675631373809E-5</v>
      </c>
      <c r="K12" s="328">
        <f t="shared" si="4"/>
        <v>2.979128092254201E-5</v>
      </c>
      <c r="L12" s="328">
        <f t="shared" si="5"/>
        <v>1.4081121407526738E-5</v>
      </c>
      <c r="M12" s="328">
        <f t="shared" si="6"/>
        <v>6.2233908996056045E-6</v>
      </c>
      <c r="N12" s="328">
        <f t="shared" si="7"/>
        <v>2.6072764216848646E-6</v>
      </c>
      <c r="O12" s="328">
        <f t="shared" si="8"/>
        <v>1.0456328888705636E-6</v>
      </c>
      <c r="P12" s="326">
        <f t="shared" si="9"/>
        <v>4.0436832156465441E-7</v>
      </c>
      <c r="Q12" s="327">
        <f t="shared" si="10"/>
        <v>1.5163904977559243E-7</v>
      </c>
      <c r="R12" s="327">
        <f t="shared" si="11"/>
        <v>5.5384132944169392E-8</v>
      </c>
      <c r="S12" s="327">
        <f t="shared" si="12"/>
        <v>1.9770658989243687E-8</v>
      </c>
      <c r="T12" s="327">
        <f t="shared" si="13"/>
        <v>6.9175664878001144E-9</v>
      </c>
      <c r="U12" s="327">
        <f t="shared" si="14"/>
        <v>2.3779280512579846E-9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4.0522214890756142E-3</v>
      </c>
      <c r="C13" s="93">
        <f t="shared" si="17"/>
        <v>4.1986325246288229E-3</v>
      </c>
      <c r="D13" s="93"/>
      <c r="E13" s="324">
        <v>11</v>
      </c>
      <c r="F13" s="328">
        <f t="shared" si="15"/>
        <v>3.8688990840369537E-5</v>
      </c>
      <c r="G13" s="328">
        <f t="shared" si="0"/>
        <v>5.9847399429254684E-5</v>
      </c>
      <c r="H13" s="328">
        <f t="shared" si="1"/>
        <v>5.4003257741028659E-5</v>
      </c>
      <c r="I13" s="328">
        <f t="shared" si="2"/>
        <v>3.7127467200548674E-5</v>
      </c>
      <c r="J13" s="328">
        <f t="shared" si="3"/>
        <v>2.1536963530358715E-5</v>
      </c>
      <c r="K13" s="328">
        <f t="shared" si="4"/>
        <v>1.1105064868132538E-5</v>
      </c>
      <c r="L13" s="328">
        <f t="shared" si="5"/>
        <v>5.2489104799892365E-6</v>
      </c>
      <c r="M13" s="328">
        <f t="shared" si="6"/>
        <v>2.3198451862327266E-6</v>
      </c>
      <c r="N13" s="328">
        <f t="shared" si="7"/>
        <v>9.7189422191156803E-7</v>
      </c>
      <c r="O13" s="328">
        <f t="shared" si="8"/>
        <v>3.8977246696278087E-7</v>
      </c>
      <c r="P13" s="328">
        <f t="shared" si="9"/>
        <v>1.5073324484666699E-7</v>
      </c>
      <c r="Q13" s="326">
        <f t="shared" si="10"/>
        <v>5.652531318402421E-8</v>
      </c>
      <c r="R13" s="327">
        <f t="shared" si="11"/>
        <v>2.0645113938182332E-8</v>
      </c>
      <c r="S13" s="327">
        <f t="shared" si="12"/>
        <v>7.3697553029735527E-9</v>
      </c>
      <c r="T13" s="327">
        <f t="shared" si="13"/>
        <v>2.5786076394759193E-9</v>
      </c>
      <c r="U13" s="327">
        <f t="shared" si="14"/>
        <v>8.8640180761716207E-10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1.6154120829749111E-3</v>
      </c>
      <c r="C14" s="93">
        <f t="shared" si="17"/>
        <v>1.6838369033370488E-3</v>
      </c>
      <c r="D14" s="93"/>
      <c r="E14" s="324">
        <v>12</v>
      </c>
      <c r="F14" s="328">
        <f t="shared" si="15"/>
        <v>1.4046227641327474E-5</v>
      </c>
      <c r="G14" s="328">
        <f t="shared" si="0"/>
        <v>2.1727891523281045E-5</v>
      </c>
      <c r="H14" s="328">
        <f t="shared" si="1"/>
        <v>1.9606147256037437E-5</v>
      </c>
      <c r="I14" s="328">
        <f t="shared" si="2"/>
        <v>1.3479308834819039E-5</v>
      </c>
      <c r="J14" s="328">
        <f t="shared" si="3"/>
        <v>7.819100107794305E-6</v>
      </c>
      <c r="K14" s="328">
        <f t="shared" si="4"/>
        <v>4.031748198165409E-6</v>
      </c>
      <c r="L14" s="328">
        <f t="shared" si="5"/>
        <v>1.9056426613730222E-6</v>
      </c>
      <c r="M14" s="328">
        <f t="shared" si="6"/>
        <v>8.4223115854606701E-7</v>
      </c>
      <c r="N14" s="328">
        <f t="shared" si="7"/>
        <v>3.5285095805642713E-7</v>
      </c>
      <c r="O14" s="328">
        <f t="shared" si="8"/>
        <v>1.415088034182677E-7</v>
      </c>
      <c r="P14" s="328">
        <f t="shared" si="9"/>
        <v>5.4724442903355228E-8</v>
      </c>
      <c r="Q14" s="328">
        <f t="shared" si="10"/>
        <v>2.0521791838821442E-8</v>
      </c>
      <c r="R14" s="326">
        <f t="shared" si="11"/>
        <v>7.4953097446591865E-9</v>
      </c>
      <c r="S14" s="327">
        <f t="shared" si="12"/>
        <v>2.6756257632451109E-9</v>
      </c>
      <c r="T14" s="327">
        <f t="shared" si="13"/>
        <v>9.3617613473525528E-10</v>
      </c>
      <c r="U14" s="327">
        <f t="shared" si="14"/>
        <v>3.2181251826510292E-10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6.2098228563485893E-4</v>
      </c>
      <c r="C15" s="93">
        <f t="shared" si="17"/>
        <v>6.5117529262730893E-4</v>
      </c>
      <c r="D15" s="93"/>
      <c r="E15" s="324">
        <v>13</v>
      </c>
      <c r="F15" s="328">
        <f t="shared" si="15"/>
        <v>4.9841772761760319E-6</v>
      </c>
      <c r="G15" s="328">
        <f t="shared" si="0"/>
        <v>7.7099464678276026E-6</v>
      </c>
      <c r="H15" s="328">
        <f t="shared" si="1"/>
        <v>6.9570646384360827E-6</v>
      </c>
      <c r="I15" s="328">
        <f t="shared" si="2"/>
        <v>4.7830112474750233E-6</v>
      </c>
      <c r="J15" s="328">
        <f t="shared" si="3"/>
        <v>2.7745371976422568E-6</v>
      </c>
      <c r="K15" s="328">
        <f t="shared" si="4"/>
        <v>1.4306295089106621E-6</v>
      </c>
      <c r="L15" s="328">
        <f t="shared" si="5"/>
        <v>6.7620012232902942E-7</v>
      </c>
      <c r="M15" s="328">
        <f t="shared" si="6"/>
        <v>2.9885813535882526E-7</v>
      </c>
      <c r="N15" s="328">
        <f t="shared" si="7"/>
        <v>1.2520598212770944E-7</v>
      </c>
      <c r="O15" s="328">
        <f t="shared" si="8"/>
        <v>5.021312343685855E-8</v>
      </c>
      <c r="P15" s="328">
        <f t="shared" si="9"/>
        <v>1.9418475318439186E-8</v>
      </c>
      <c r="Q15" s="328">
        <f t="shared" si="10"/>
        <v>7.2819728656912141E-9</v>
      </c>
      <c r="R15" s="328">
        <f t="shared" si="11"/>
        <v>2.6596431056915778E-9</v>
      </c>
      <c r="S15" s="326">
        <f t="shared" si="12"/>
        <v>9.4942168596785609E-10</v>
      </c>
      <c r="T15" s="327">
        <f t="shared" si="13"/>
        <v>3.3219366340874651E-10</v>
      </c>
      <c r="U15" s="327">
        <f t="shared" si="14"/>
        <v>1.1419227152539034E-10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2.3147875319178774E-4</v>
      </c>
      <c r="C16" s="93">
        <f t="shared" si="17"/>
        <v>2.4419223105626083E-4</v>
      </c>
      <c r="D16" s="93"/>
      <c r="E16" s="324">
        <v>14</v>
      </c>
      <c r="F16" s="328">
        <f t="shared" si="15"/>
        <v>1.7334993037258277E-6</v>
      </c>
      <c r="G16" s="328">
        <f t="shared" si="0"/>
        <v>2.6815231668478322E-6</v>
      </c>
      <c r="H16" s="328">
        <f t="shared" si="1"/>
        <v>2.419670496944537E-6</v>
      </c>
      <c r="I16" s="328">
        <f t="shared" si="2"/>
        <v>1.6635336601775241E-6</v>
      </c>
      <c r="J16" s="328">
        <f t="shared" si="3"/>
        <v>9.6498539954909774E-7</v>
      </c>
      <c r="K16" s="328">
        <f t="shared" si="4"/>
        <v>4.9757364559251026E-7</v>
      </c>
      <c r="L16" s="328">
        <f t="shared" si="5"/>
        <v>2.3518273453869272E-7</v>
      </c>
      <c r="M16" s="328">
        <f t="shared" si="6"/>
        <v>1.0394300620759573E-7</v>
      </c>
      <c r="N16" s="328">
        <f t="shared" si="7"/>
        <v>4.3546702056154384E-8</v>
      </c>
      <c r="O16" s="328">
        <f t="shared" si="8"/>
        <v>1.7464148984378762E-8</v>
      </c>
      <c r="P16" s="328">
        <f t="shared" si="9"/>
        <v>6.7537552496041331E-9</v>
      </c>
      <c r="Q16" s="328">
        <f t="shared" si="10"/>
        <v>2.5326737379034311E-9</v>
      </c>
      <c r="R16" s="328">
        <f t="shared" si="11"/>
        <v>9.2502517795932309E-10</v>
      </c>
      <c r="S16" s="328">
        <f t="shared" si="12"/>
        <v>3.3020932851533524E-10</v>
      </c>
      <c r="T16" s="326">
        <f t="shared" si="13"/>
        <v>1.1553711923003756E-10</v>
      </c>
      <c r="U16" s="327">
        <f t="shared" si="14"/>
        <v>3.9716128101287769E-11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8.4039495237230998E-5</v>
      </c>
      <c r="C17" s="93">
        <f t="shared" si="17"/>
        <v>8.9187943400909786E-5</v>
      </c>
      <c r="D17" s="93"/>
      <c r="E17" s="324">
        <v>15</v>
      </c>
      <c r="F17" s="328">
        <f t="shared" si="15"/>
        <v>5.9233450701758965E-7</v>
      </c>
      <c r="G17" s="328">
        <f t="shared" si="0"/>
        <v>9.1627305513026806E-7</v>
      </c>
      <c r="H17" s="328">
        <f t="shared" si="1"/>
        <v>8.2679833090912729E-7</v>
      </c>
      <c r="I17" s="328">
        <f t="shared" si="2"/>
        <v>5.6842733561562893E-7</v>
      </c>
      <c r="J17" s="328">
        <f t="shared" si="3"/>
        <v>3.2973428353420933E-7</v>
      </c>
      <c r="K17" s="328">
        <f t="shared" si="4"/>
        <v>1.7002028176966564E-7</v>
      </c>
      <c r="L17" s="328">
        <f t="shared" si="5"/>
        <v>8.0361641232051012E-8</v>
      </c>
      <c r="M17" s="328">
        <f t="shared" si="6"/>
        <v>3.5517193002368984E-8</v>
      </c>
      <c r="N17" s="328">
        <f t="shared" si="7"/>
        <v>1.4879852699816087E-8</v>
      </c>
      <c r="O17" s="328">
        <f t="shared" si="8"/>
        <v>5.9674774930165473E-9</v>
      </c>
      <c r="P17" s="328">
        <f t="shared" si="9"/>
        <v>2.3077495778010667E-9</v>
      </c>
      <c r="Q17" s="328">
        <f t="shared" si="10"/>
        <v>8.6541139460111182E-10</v>
      </c>
      <c r="R17" s="328">
        <f t="shared" si="11"/>
        <v>3.1607992664763954E-10</v>
      </c>
      <c r="S17" s="328">
        <f t="shared" si="12"/>
        <v>1.1283210751705952E-10</v>
      </c>
      <c r="T17" s="328">
        <f t="shared" si="13"/>
        <v>3.947888667406168E-11</v>
      </c>
      <c r="U17" s="326">
        <f t="shared" si="14"/>
        <v>1.357095045204847E-11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2.9820657414827745E-5</v>
      </c>
      <c r="C18" s="93">
        <f t="shared" si="17"/>
        <v>3.1837718154924865E-5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1.0371639289867145E-5</v>
      </c>
      <c r="C19" s="93">
        <f t="shared" si="17"/>
        <v>1.1139716297588048E-5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3.5439759522968803E-6</v>
      </c>
      <c r="C20" s="93">
        <f t="shared" si="17"/>
        <v>3.8293009418568499E-6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0.40378432271230352</v>
      </c>
      <c r="C21" s="323">
        <f>SUM(G2:U2,H3:U3,I4:U4,J5:U5,K6:U6,L7:U7,M8:U8,N9:U9,O10:U10,P11:U11,Q12:U12,R13:U13,S14:U14,T15:U15,U16)</f>
        <v>0.40917518805910363</v>
      </c>
    </row>
    <row r="22" spans="1:39">
      <c r="A22" s="1" t="s">
        <v>348</v>
      </c>
      <c r="B22" s="401">
        <f>1-B21-C21</f>
        <v>0.1870404892285929</v>
      </c>
      <c r="C22" s="377"/>
    </row>
    <row r="23" spans="1:39">
      <c r="A23" s="1" t="s">
        <v>349</v>
      </c>
      <c r="B23" s="329">
        <f>B21/(B21+C21)</f>
        <v>0.49668441953419995</v>
      </c>
      <c r="C23" s="330">
        <f>C21/(B21+C21)</f>
        <v>0.50331558046580005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3.4869979658584106E-2</v>
      </c>
      <c r="G2" s="327">
        <f t="shared" ref="G2:G17" si="0">$B5*$C$6</f>
        <v>4.8718457034481868E-2</v>
      </c>
      <c r="H2" s="327">
        <f t="shared" ref="H2:H17" si="1">$B5*$C$7</f>
        <v>3.9705635414326347E-2</v>
      </c>
      <c r="I2" s="327">
        <f t="shared" ref="I2:I17" si="2">$B5*$C$8</f>
        <v>2.4655366553752753E-2</v>
      </c>
      <c r="J2" s="327">
        <f t="shared" ref="J2:J17" si="3">$B5*$C$9</f>
        <v>1.291768121044817E-2</v>
      </c>
      <c r="K2" s="327">
        <f t="shared" ref="K2:K17" si="4">$B5*$C$10</f>
        <v>6.0159627583974244E-3</v>
      </c>
      <c r="L2" s="327">
        <f t="shared" ref="L2:L17" si="5">$B5*$C$11</f>
        <v>2.5682491600006233E-3</v>
      </c>
      <c r="M2" s="327">
        <f t="shared" ref="M2:M17" si="6">$B5*$C$12</f>
        <v>1.0252055335720183E-3</v>
      </c>
      <c r="N2" s="327">
        <f t="shared" ref="N2:N17" si="7">$B5*$C$13</f>
        <v>3.8793135896212602E-4</v>
      </c>
      <c r="O2" s="327">
        <f t="shared" ref="O2:O17" si="8">$B5*$C$14</f>
        <v>1.4051768779524713E-4</v>
      </c>
      <c r="P2" s="327">
        <f t="shared" ref="P2:P17" si="9">$B5*$C$15</f>
        <v>4.9080935825497516E-5</v>
      </c>
      <c r="Q2" s="327">
        <f t="shared" ref="Q2:Q17" si="10">$B5*$C$16</f>
        <v>1.6623815613688526E-5</v>
      </c>
      <c r="R2" s="327">
        <f t="shared" ref="R2:R17" si="11">$B5*$C$17</f>
        <v>5.4838929619258116E-6</v>
      </c>
      <c r="S2" s="327">
        <f t="shared" ref="S2:S17" si="12">$B5*$C$18</f>
        <v>1.7681076492850537E-6</v>
      </c>
      <c r="T2" s="327">
        <f t="shared" ref="T2:T17" si="13">$B5*$C$19</f>
        <v>5.5875940878264106E-7</v>
      </c>
      <c r="U2" s="327">
        <f t="shared" ref="U2:U17" si="14">$B5*$C$20</f>
        <v>1.7348189866674955E-7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5.3335609359878196E-2</v>
      </c>
      <c r="G3" s="326">
        <f t="shared" si="0"/>
        <v>7.4517640057397277E-2</v>
      </c>
      <c r="H3" s="327">
        <f t="shared" si="1"/>
        <v>6.0732018790350097E-2</v>
      </c>
      <c r="I3" s="327">
        <f t="shared" si="2"/>
        <v>3.7711779932508259E-2</v>
      </c>
      <c r="J3" s="327">
        <f t="shared" si="3"/>
        <v>1.9758325230519444E-2</v>
      </c>
      <c r="K3" s="327">
        <f t="shared" si="4"/>
        <v>9.2017558583941273E-3</v>
      </c>
      <c r="L3" s="327">
        <f t="shared" si="5"/>
        <v>3.9282825879970876E-3</v>
      </c>
      <c r="M3" s="327">
        <f t="shared" si="6"/>
        <v>1.5681099440710985E-3</v>
      </c>
      <c r="N3" s="327">
        <f t="shared" si="7"/>
        <v>5.9336299082001756E-4</v>
      </c>
      <c r="O3" s="327">
        <f t="shared" si="8"/>
        <v>2.1492976416335953E-4</v>
      </c>
      <c r="P3" s="327">
        <f t="shared" si="9"/>
        <v>7.5072071903591143E-5</v>
      </c>
      <c r="Q3" s="327">
        <f t="shared" si="10"/>
        <v>2.5427067762113434E-5</v>
      </c>
      <c r="R3" s="327">
        <f t="shared" si="11"/>
        <v>8.3879249615982399E-6</v>
      </c>
      <c r="S3" s="327">
        <f t="shared" si="12"/>
        <v>2.7044208173280397E-6</v>
      </c>
      <c r="T3" s="327">
        <f t="shared" si="13"/>
        <v>8.5465417085928806E-7</v>
      </c>
      <c r="U3" s="327">
        <f t="shared" si="14"/>
        <v>2.6535039219679998E-7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Innings'!$G$29</f>
        <v>2.2923966987800308</v>
      </c>
      <c r="C4" s="87">
        <f>'First 5 Innings'!$G$30</f>
        <v>2.0337119775393169</v>
      </c>
      <c r="D4" s="87"/>
      <c r="E4" s="324">
        <v>2</v>
      </c>
      <c r="F4" s="328">
        <f t="shared" si="15"/>
        <v>4.7588237732225182E-2</v>
      </c>
      <c r="G4" s="328">
        <f t="shared" si="0"/>
        <v>6.6487722046416051E-2</v>
      </c>
      <c r="H4" s="326">
        <f t="shared" si="1"/>
        <v>5.4187620294205402E-2</v>
      </c>
      <c r="I4" s="327">
        <f t="shared" si="2"/>
        <v>3.3648010593155066E-2</v>
      </c>
      <c r="J4" s="327">
        <f t="shared" si="3"/>
        <v>1.7629195382698623E-2</v>
      </c>
      <c r="K4" s="327">
        <f t="shared" si="4"/>
        <v>8.210187351352604E-3</v>
      </c>
      <c r="L4" s="327">
        <f t="shared" si="5"/>
        <v>3.5049762798358905E-3</v>
      </c>
      <c r="M4" s="327">
        <f t="shared" si="6"/>
        <v>1.3991325814842472E-3</v>
      </c>
      <c r="N4" s="327">
        <f t="shared" si="7"/>
        <v>5.2942301414650277E-4</v>
      </c>
      <c r="O4" s="327">
        <f t="shared" si="8"/>
        <v>1.9176922951650335E-4</v>
      </c>
      <c r="P4" s="327">
        <f t="shared" si="9"/>
        <v>6.6982409082331652E-5</v>
      </c>
      <c r="Q4" s="327">
        <f t="shared" si="10"/>
        <v>2.2687082045547973E-5</v>
      </c>
      <c r="R4" s="327">
        <f t="shared" si="11"/>
        <v>7.4840537483926561E-6</v>
      </c>
      <c r="S4" s="327">
        <f t="shared" si="12"/>
        <v>2.4129961638686977E-6</v>
      </c>
      <c r="T4" s="327">
        <f t="shared" si="13"/>
        <v>7.6255781737228632E-7</v>
      </c>
      <c r="U4" s="327">
        <f t="shared" si="14"/>
        <v>2.3675660028550472E-7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0.17107875108504267</v>
      </c>
      <c r="C5" s="93">
        <f>_xlfn.NEGBINOM.DIST(A5,$A$2,$A$2/($A$2+$C$4),FALSE)</f>
        <v>0.20382414202480562</v>
      </c>
      <c r="D5" s="93"/>
      <c r="E5" s="324">
        <v>3</v>
      </c>
      <c r="F5" s="328">
        <f t="shared" si="15"/>
        <v>3.2350624713257253E-2</v>
      </c>
      <c r="G5" s="328">
        <f t="shared" si="0"/>
        <v>4.5198550029652278E-2</v>
      </c>
      <c r="H5" s="328">
        <f t="shared" si="1"/>
        <v>3.683690449111221E-2</v>
      </c>
      <c r="I5" s="326">
        <f t="shared" si="2"/>
        <v>2.2874017087414537E-2</v>
      </c>
      <c r="J5" s="327">
        <f t="shared" si="3"/>
        <v>1.1984379144936733E-2</v>
      </c>
      <c r="K5" s="327">
        <f t="shared" si="4"/>
        <v>5.5813096362944516E-3</v>
      </c>
      <c r="L5" s="327">
        <f t="shared" si="5"/>
        <v>2.3826932381035976E-3</v>
      </c>
      <c r="M5" s="327">
        <f t="shared" si="6"/>
        <v>9.5113446567148723E-4</v>
      </c>
      <c r="N5" s="327">
        <f t="shared" si="7"/>
        <v>3.5990333034789071E-4</v>
      </c>
      <c r="O5" s="327">
        <f t="shared" si="8"/>
        <v>1.303652892243549E-4</v>
      </c>
      <c r="P5" s="327">
        <f t="shared" si="9"/>
        <v>4.5534839739295842E-5</v>
      </c>
      <c r="Q5" s="327">
        <f t="shared" si="10"/>
        <v>1.5422745452862154E-5</v>
      </c>
      <c r="R5" s="327">
        <f t="shared" si="11"/>
        <v>5.0876818660621583E-6</v>
      </c>
      <c r="S5" s="327">
        <f t="shared" si="12"/>
        <v>1.6403619266402184E-6</v>
      </c>
      <c r="T5" s="327">
        <f t="shared" si="13"/>
        <v>5.1838905888431785E-7</v>
      </c>
      <c r="U5" s="327">
        <f t="shared" si="14"/>
        <v>1.6094783688609769E-7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0.26167464182622291</v>
      </c>
      <c r="C6" s="93">
        <f t="shared" ref="C6:C20" si="17">NEGBINOMDIST(A6,$A$2,$A$2/($A$2+$C$4))</f>
        <v>0.28477211065367253</v>
      </c>
      <c r="D6" s="93"/>
      <c r="E6" s="324">
        <v>4</v>
      </c>
      <c r="F6" s="328">
        <f t="shared" si="15"/>
        <v>1.8555792466201853E-2</v>
      </c>
      <c r="G6" s="328">
        <f t="shared" si="0"/>
        <v>2.5925153580721207E-2</v>
      </c>
      <c r="H6" s="328">
        <f t="shared" si="1"/>
        <v>2.11290496209263E-2</v>
      </c>
      <c r="I6" s="328">
        <f t="shared" si="2"/>
        <v>1.3120164377180691E-2</v>
      </c>
      <c r="J6" s="326">
        <f t="shared" si="3"/>
        <v>6.8740450677786348E-3</v>
      </c>
      <c r="K6" s="327">
        <f t="shared" si="4"/>
        <v>3.2013484814792871E-3</v>
      </c>
      <c r="L6" s="327">
        <f t="shared" si="5"/>
        <v>1.3666741099671715E-3</v>
      </c>
      <c r="M6" s="327">
        <f t="shared" si="6"/>
        <v>5.4555526852683453E-4</v>
      </c>
      <c r="N6" s="327">
        <f t="shared" si="7"/>
        <v>2.0643469994857905E-4</v>
      </c>
      <c r="O6" s="327">
        <f t="shared" si="8"/>
        <v>7.477541077134729E-5</v>
      </c>
      <c r="P6" s="327">
        <f t="shared" si="9"/>
        <v>2.6118043891680431E-5</v>
      </c>
      <c r="Q6" s="327">
        <f t="shared" si="10"/>
        <v>8.8462360903062146E-6</v>
      </c>
      <c r="R6" s="327">
        <f t="shared" si="11"/>
        <v>2.9182116165447807E-6</v>
      </c>
      <c r="S6" s="327">
        <f t="shared" si="12"/>
        <v>9.408849365348228E-7</v>
      </c>
      <c r="T6" s="327">
        <f t="shared" si="13"/>
        <v>2.9733953760296898E-7</v>
      </c>
      <c r="U6" s="327">
        <f t="shared" si="14"/>
        <v>9.2317062981434966E-8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0.2334769436999943</v>
      </c>
      <c r="C7" s="93">
        <f t="shared" si="17"/>
        <v>0.23208981339002649</v>
      </c>
      <c r="D7" s="93"/>
      <c r="E7" s="324">
        <v>5</v>
      </c>
      <c r="F7" s="328">
        <f t="shared" si="15"/>
        <v>9.4607119364605776E-3</v>
      </c>
      <c r="G7" s="328">
        <f t="shared" si="0"/>
        <v>1.3217997042295371E-2</v>
      </c>
      <c r="H7" s="328">
        <f t="shared" si="1"/>
        <v>1.0772692803008136E-2</v>
      </c>
      <c r="I7" s="328">
        <f t="shared" si="2"/>
        <v>6.6893449017392118E-3</v>
      </c>
      <c r="J7" s="328">
        <f t="shared" si="3"/>
        <v>3.5047471210380935E-3</v>
      </c>
      <c r="K7" s="326">
        <f t="shared" si="4"/>
        <v>1.63221462228934E-3</v>
      </c>
      <c r="L7" s="327">
        <f t="shared" si="5"/>
        <v>6.9680182557380218E-4</v>
      </c>
      <c r="M7" s="327">
        <f t="shared" si="6"/>
        <v>2.7815256343008903E-4</v>
      </c>
      <c r="N7" s="327">
        <f t="shared" si="7"/>
        <v>1.0525118953881785E-4</v>
      </c>
      <c r="O7" s="327">
        <f t="shared" si="8"/>
        <v>3.8124408996638792E-5</v>
      </c>
      <c r="P7" s="327">
        <f t="shared" si="9"/>
        <v>1.3316342595073212E-5</v>
      </c>
      <c r="Q7" s="327">
        <f t="shared" si="10"/>
        <v>4.5102730872177647E-6</v>
      </c>
      <c r="R7" s="327">
        <f t="shared" si="11"/>
        <v>1.487856663844992E-6</v>
      </c>
      <c r="S7" s="327">
        <f t="shared" si="12"/>
        <v>4.7971227130958364E-7</v>
      </c>
      <c r="T7" s="327">
        <f t="shared" si="13"/>
        <v>1.5159922259886504E-7</v>
      </c>
      <c r="U7" s="327">
        <f t="shared" si="14"/>
        <v>4.7068059274658193E-8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0.15871831664239336</v>
      </c>
      <c r="C8" s="93">
        <f t="shared" si="17"/>
        <v>0.14411705952597617</v>
      </c>
      <c r="D8" s="93"/>
      <c r="E8" s="324">
        <v>6</v>
      </c>
      <c r="F8" s="328">
        <f t="shared" si="15"/>
        <v>4.42160121331774E-3</v>
      </c>
      <c r="G8" s="328">
        <f t="shared" si="0"/>
        <v>6.1776230110763448E-3</v>
      </c>
      <c r="H8" s="328">
        <f t="shared" si="1"/>
        <v>5.0347745379403508E-3</v>
      </c>
      <c r="I8" s="328">
        <f t="shared" si="2"/>
        <v>3.1263625541585252E-3</v>
      </c>
      <c r="J8" s="328">
        <f t="shared" si="3"/>
        <v>1.6379945005017716E-3</v>
      </c>
      <c r="K8" s="328">
        <f t="shared" si="4"/>
        <v>7.6283922423384901E-4</v>
      </c>
      <c r="L8" s="326">
        <f t="shared" si="5"/>
        <v>3.2566045960297885E-4</v>
      </c>
      <c r="M8" s="327">
        <f t="shared" si="6"/>
        <v>1.2999864283047194E-4</v>
      </c>
      <c r="N8" s="327">
        <f t="shared" si="7"/>
        <v>4.9190673016314149E-5</v>
      </c>
      <c r="O8" s="327">
        <f t="shared" si="8"/>
        <v>1.7817996595679593E-5</v>
      </c>
      <c r="P8" s="327">
        <f t="shared" si="9"/>
        <v>6.2235862343947782E-6</v>
      </c>
      <c r="Q8" s="327">
        <f t="shared" si="10"/>
        <v>2.1079416738162849E-6</v>
      </c>
      <c r="R8" s="327">
        <f t="shared" si="11"/>
        <v>6.9537143444208013E-7</v>
      </c>
      <c r="S8" s="327">
        <f t="shared" si="12"/>
        <v>2.2420050151737357E-7</v>
      </c>
      <c r="T8" s="327">
        <f t="shared" si="13"/>
        <v>7.0852099829597323E-8</v>
      </c>
      <c r="U8" s="327">
        <f t="shared" si="14"/>
        <v>2.1997941528616077E-8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9.1038246411181231E-2</v>
      </c>
      <c r="C9" s="93">
        <f t="shared" si="17"/>
        <v>7.5507221840933558E-2</v>
      </c>
      <c r="D9" s="93"/>
      <c r="E9" s="324">
        <v>7</v>
      </c>
      <c r="F9" s="328">
        <f t="shared" si="15"/>
        <v>1.9323113001720356E-3</v>
      </c>
      <c r="G9" s="328">
        <f t="shared" si="0"/>
        <v>2.6997212495218771E-3</v>
      </c>
      <c r="H9" s="328">
        <f t="shared" si="1"/>
        <v>2.2002779681211068E-3</v>
      </c>
      <c r="I9" s="328">
        <f t="shared" si="2"/>
        <v>1.3662710408255685E-3</v>
      </c>
      <c r="J9" s="328">
        <f t="shared" si="3"/>
        <v>7.1583011000765574E-4</v>
      </c>
      <c r="K9" s="328">
        <f t="shared" si="4"/>
        <v>3.3337308863625229E-4</v>
      </c>
      <c r="L9" s="328">
        <f t="shared" si="5"/>
        <v>1.4231889212774066E-4</v>
      </c>
      <c r="M9" s="326">
        <f t="shared" si="6"/>
        <v>5.6811511131250005E-5</v>
      </c>
      <c r="N9" s="327">
        <f t="shared" si="7"/>
        <v>2.1497120329666635E-5</v>
      </c>
      <c r="O9" s="327">
        <f t="shared" si="8"/>
        <v>7.7867529221216473E-6</v>
      </c>
      <c r="P9" s="327">
        <f t="shared" si="9"/>
        <v>2.7198079220926713E-6</v>
      </c>
      <c r="Q9" s="327">
        <f t="shared" si="10"/>
        <v>9.2120463151457414E-7</v>
      </c>
      <c r="R9" s="327">
        <f t="shared" si="11"/>
        <v>3.0388857243438424E-7</v>
      </c>
      <c r="S9" s="327">
        <f t="shared" si="12"/>
        <v>9.7979248169508452E-8</v>
      </c>
      <c r="T9" s="327">
        <f t="shared" si="13"/>
        <v>3.0963514468307095E-8</v>
      </c>
      <c r="U9" s="327">
        <f t="shared" si="14"/>
        <v>9.6134565162138614E-9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4.6416051810531843E-2</v>
      </c>
      <c r="C10" s="93">
        <f t="shared" si="17"/>
        <v>3.516487418947143E-2</v>
      </c>
      <c r="D10" s="93"/>
      <c r="E10" s="324">
        <v>8</v>
      </c>
      <c r="F10" s="328">
        <f t="shared" si="15"/>
        <v>8.0046947605885049E-4</v>
      </c>
      <c r="G10" s="328">
        <f t="shared" si="0"/>
        <v>1.1183728283932937E-3</v>
      </c>
      <c r="H10" s="328">
        <f t="shared" si="1"/>
        <v>9.1147598845430758E-4</v>
      </c>
      <c r="I10" s="328">
        <f t="shared" si="2"/>
        <v>5.6598450990099454E-4</v>
      </c>
      <c r="J10" s="328">
        <f t="shared" si="3"/>
        <v>2.9653614976736032E-4</v>
      </c>
      <c r="K10" s="328">
        <f t="shared" si="4"/>
        <v>1.3810144440444105E-4</v>
      </c>
      <c r="L10" s="328">
        <f t="shared" si="5"/>
        <v>5.8956302229680101E-5</v>
      </c>
      <c r="M10" s="328">
        <f t="shared" si="6"/>
        <v>2.3534448380700602E-5</v>
      </c>
      <c r="N10" s="326">
        <f t="shared" si="7"/>
        <v>8.9052880069222224E-6</v>
      </c>
      <c r="O10" s="327">
        <f t="shared" si="8"/>
        <v>3.2257007611638467E-6</v>
      </c>
      <c r="P10" s="327">
        <f t="shared" si="9"/>
        <v>1.1266938314672174E-6</v>
      </c>
      <c r="Q10" s="327">
        <f t="shared" si="10"/>
        <v>3.816135571249862E-7</v>
      </c>
      <c r="R10" s="327">
        <f t="shared" si="11"/>
        <v>1.258873383057722E-7</v>
      </c>
      <c r="S10" s="327">
        <f t="shared" si="12"/>
        <v>4.0588386270837345E-8</v>
      </c>
      <c r="T10" s="327">
        <f t="shared" si="13"/>
        <v>1.2826788417156052E-8</v>
      </c>
      <c r="U10" s="327">
        <f t="shared" si="14"/>
        <v>3.9824217246792133E-9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2.1693216364819173E-2</v>
      </c>
      <c r="C11" s="93">
        <f t="shared" si="17"/>
        <v>1.5012087379127261E-2</v>
      </c>
      <c r="D11" s="93"/>
      <c r="E11" s="324">
        <v>9</v>
      </c>
      <c r="F11" s="328">
        <f t="shared" si="15"/>
        <v>3.1742755132191088E-4</v>
      </c>
      <c r="G11" s="328">
        <f t="shared" si="0"/>
        <v>4.4349267398641331E-4</v>
      </c>
      <c r="H11" s="328">
        <f t="shared" si="1"/>
        <v>3.6144737526818305E-4</v>
      </c>
      <c r="I11" s="328">
        <f t="shared" si="2"/>
        <v>2.2444213356962033E-4</v>
      </c>
      <c r="J11" s="328">
        <f t="shared" si="3"/>
        <v>1.1759192163394907E-4</v>
      </c>
      <c r="K11" s="328">
        <f t="shared" si="4"/>
        <v>5.4764365965777091E-5</v>
      </c>
      <c r="L11" s="328">
        <f t="shared" si="5"/>
        <v>2.3379223332665828E-5</v>
      </c>
      <c r="M11" s="328">
        <f t="shared" si="6"/>
        <v>9.332626095849373E-6</v>
      </c>
      <c r="N11" s="328">
        <f t="shared" si="7"/>
        <v>3.5314073183296197E-6</v>
      </c>
      <c r="O11" s="326">
        <f t="shared" si="8"/>
        <v>1.2791572002905267E-6</v>
      </c>
      <c r="P11" s="327">
        <f t="shared" si="9"/>
        <v>4.4679238210683082E-7</v>
      </c>
      <c r="Q11" s="327">
        <f t="shared" si="10"/>
        <v>1.5132951425685933E-7</v>
      </c>
      <c r="R11" s="327">
        <f t="shared" si="11"/>
        <v>4.9920841126359693E-8</v>
      </c>
      <c r="S11" s="327">
        <f t="shared" si="12"/>
        <v>1.6095394579558636E-8</v>
      </c>
      <c r="T11" s="327">
        <f t="shared" si="13"/>
        <v>5.0864850695228165E-9</v>
      </c>
      <c r="U11" s="327">
        <f t="shared" si="14"/>
        <v>1.579236203509108E-9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9.4802866872211403E-3</v>
      </c>
      <c r="C12" s="93">
        <f t="shared" si="17"/>
        <v>5.9925942121379647E-3</v>
      </c>
      <c r="D12" s="93"/>
      <c r="E12" s="324">
        <v>10</v>
      </c>
      <c r="F12" s="328">
        <f t="shared" si="15"/>
        <v>1.2138085570405807E-4</v>
      </c>
      <c r="G12" s="328">
        <f t="shared" si="0"/>
        <v>1.6958679245948589E-4</v>
      </c>
      <c r="H12" s="328">
        <f t="shared" si="1"/>
        <v>1.3821355934395691E-4</v>
      </c>
      <c r="I12" s="328">
        <f t="shared" si="2"/>
        <v>8.5824239626563665E-5</v>
      </c>
      <c r="J12" s="328">
        <f t="shared" si="3"/>
        <v>4.4965876504331132E-5</v>
      </c>
      <c r="K12" s="328">
        <f t="shared" si="4"/>
        <v>2.0941300070941183E-5</v>
      </c>
      <c r="L12" s="328">
        <f t="shared" si="5"/>
        <v>8.9399616447829627E-6</v>
      </c>
      <c r="M12" s="328">
        <f t="shared" si="6"/>
        <v>3.568695082587264E-6</v>
      </c>
      <c r="N12" s="328">
        <f t="shared" si="7"/>
        <v>1.3503718891235211E-6</v>
      </c>
      <c r="O12" s="328">
        <f t="shared" si="8"/>
        <v>4.8913585132946822E-7</v>
      </c>
      <c r="P12" s="326">
        <f t="shared" si="9"/>
        <v>1.7084856508622214E-7</v>
      </c>
      <c r="Q12" s="327">
        <f t="shared" si="10"/>
        <v>5.7866766313391308E-8</v>
      </c>
      <c r="R12" s="327">
        <f t="shared" si="11"/>
        <v>1.9089188661002072E-8</v>
      </c>
      <c r="S12" s="327">
        <f t="shared" si="12"/>
        <v>6.1547044635077035E-9</v>
      </c>
      <c r="T12" s="327">
        <f t="shared" si="13"/>
        <v>1.945016769002741E-9</v>
      </c>
      <c r="U12" s="327">
        <f t="shared" si="14"/>
        <v>6.0388281024279177E-10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3.9272554669281153E-3</v>
      </c>
      <c r="C13" s="93">
        <f t="shared" si="17"/>
        <v>2.2675601528636753E-3</v>
      </c>
      <c r="D13" s="93"/>
      <c r="E13" s="324">
        <v>11</v>
      </c>
      <c r="F13" s="328">
        <f t="shared" si="15"/>
        <v>4.5008217049746272E-5</v>
      </c>
      <c r="G13" s="328">
        <f t="shared" si="0"/>
        <v>6.2883056141872551E-5</v>
      </c>
      <c r="H13" s="328">
        <f t="shared" si="1"/>
        <v>5.1249810706045498E-5</v>
      </c>
      <c r="I13" s="328">
        <f t="shared" si="2"/>
        <v>3.1823766464950607E-5</v>
      </c>
      <c r="J13" s="328">
        <f t="shared" si="3"/>
        <v>1.6673419525673682E-5</v>
      </c>
      <c r="K13" s="328">
        <f t="shared" si="4"/>
        <v>7.7650678389909938E-6</v>
      </c>
      <c r="L13" s="328">
        <f t="shared" si="5"/>
        <v>3.314952195639744E-6</v>
      </c>
      <c r="M13" s="328">
        <f t="shared" si="6"/>
        <v>1.3232778919689213E-6</v>
      </c>
      <c r="N13" s="328">
        <f t="shared" si="7"/>
        <v>5.0072007427375046E-7</v>
      </c>
      <c r="O13" s="328">
        <f t="shared" si="8"/>
        <v>1.813723625175688E-7</v>
      </c>
      <c r="P13" s="328">
        <f t="shared" si="9"/>
        <v>6.3350923466766315E-8</v>
      </c>
      <c r="Q13" s="326">
        <f t="shared" si="10"/>
        <v>2.1457090272539472E-8</v>
      </c>
      <c r="R13" s="327">
        <f t="shared" si="11"/>
        <v>7.0783019412278895E-9</v>
      </c>
      <c r="S13" s="327">
        <f t="shared" si="12"/>
        <v>2.2821743409519865E-9</v>
      </c>
      <c r="T13" s="327">
        <f t="shared" si="13"/>
        <v>7.212153547352593E-10</v>
      </c>
      <c r="U13" s="327">
        <f t="shared" si="14"/>
        <v>2.23920719938619E-10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1.5573599288512133E-3</v>
      </c>
      <c r="C14" s="93">
        <f t="shared" si="17"/>
        <v>8.2136259999581287E-4</v>
      </c>
      <c r="D14" s="93"/>
      <c r="E14" s="324">
        <v>12</v>
      </c>
      <c r="F14" s="328">
        <f t="shared" si="15"/>
        <v>1.6254506982046578E-5</v>
      </c>
      <c r="G14" s="328">
        <f t="shared" si="0"/>
        <v>2.2709921479021494E-5</v>
      </c>
      <c r="H14" s="328">
        <f t="shared" si="1"/>
        <v>1.8508629324935195E-5</v>
      </c>
      <c r="I14" s="328">
        <f t="shared" si="2"/>
        <v>1.1493004346913483E-5</v>
      </c>
      <c r="J14" s="328">
        <f t="shared" si="3"/>
        <v>6.0215274423136132E-6</v>
      </c>
      <c r="K14" s="328">
        <f t="shared" si="4"/>
        <v>2.804317915225126E-6</v>
      </c>
      <c r="L14" s="328">
        <f t="shared" si="5"/>
        <v>1.1971794739085452E-6</v>
      </c>
      <c r="M14" s="328">
        <f t="shared" si="6"/>
        <v>4.7789561871387132E-7</v>
      </c>
      <c r="N14" s="328">
        <f t="shared" si="7"/>
        <v>1.8083271182099494E-7</v>
      </c>
      <c r="O14" s="328">
        <f t="shared" si="8"/>
        <v>6.5501780033491123E-8</v>
      </c>
      <c r="P14" s="328">
        <f t="shared" si="9"/>
        <v>2.2878889574130698E-8</v>
      </c>
      <c r="Q14" s="328">
        <f t="shared" si="10"/>
        <v>7.7491277484710483E-9</v>
      </c>
      <c r="R14" s="326">
        <f t="shared" si="11"/>
        <v>2.5562956248090522E-9</v>
      </c>
      <c r="S14" s="327">
        <f t="shared" si="12"/>
        <v>8.2419658433149889E-10</v>
      </c>
      <c r="T14" s="327">
        <f t="shared" si="13"/>
        <v>2.6046355060335722E-10</v>
      </c>
      <c r="U14" s="327">
        <f t="shared" si="14"/>
        <v>8.0867920220974349E-11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5.9551755988398027E-4</v>
      </c>
      <c r="C15" s="93">
        <f t="shared" si="17"/>
        <v>2.8689089389657486E-4</v>
      </c>
      <c r="D15" s="93"/>
      <c r="E15" s="324">
        <v>13</v>
      </c>
      <c r="F15" s="328">
        <f t="shared" si="15"/>
        <v>5.7374282971739737E-6</v>
      </c>
      <c r="G15" s="328">
        <f t="shared" si="0"/>
        <v>8.0160257253112643E-6</v>
      </c>
      <c r="H15" s="328">
        <f t="shared" si="1"/>
        <v>6.5330762568239238E-6</v>
      </c>
      <c r="I15" s="328">
        <f t="shared" si="2"/>
        <v>4.0567387514341248E-6</v>
      </c>
      <c r="J15" s="328">
        <f t="shared" si="3"/>
        <v>2.1254463133147487E-6</v>
      </c>
      <c r="K15" s="328">
        <f t="shared" si="4"/>
        <v>9.8985302838503864E-7</v>
      </c>
      <c r="L15" s="328">
        <f t="shared" si="5"/>
        <v>4.2257396043973442E-7</v>
      </c>
      <c r="M15" s="328">
        <f t="shared" si="6"/>
        <v>1.686850206489131E-7</v>
      </c>
      <c r="N15" s="328">
        <f t="shared" si="7"/>
        <v>6.3829356313448211E-8</v>
      </c>
      <c r="O15" s="328">
        <f t="shared" si="8"/>
        <v>2.3120465400427623E-8</v>
      </c>
      <c r="P15" s="328">
        <f t="shared" si="9"/>
        <v>8.0756671731429283E-9</v>
      </c>
      <c r="Q15" s="328">
        <f t="shared" si="10"/>
        <v>2.7352453612773886E-9</v>
      </c>
      <c r="R15" s="328">
        <f t="shared" si="11"/>
        <v>9.0230745662855143E-10</v>
      </c>
      <c r="S15" s="326">
        <f t="shared" si="12"/>
        <v>2.9092046966424112E-10</v>
      </c>
      <c r="T15" s="327">
        <f t="shared" si="13"/>
        <v>9.1937020745365632E-11</v>
      </c>
      <c r="U15" s="327">
        <f t="shared" si="14"/>
        <v>2.8544322772871171E-11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2.2081887161467224E-4</v>
      </c>
      <c r="C16" s="93">
        <f t="shared" si="17"/>
        <v>9.7170545776458728E-5</v>
      </c>
      <c r="D16" s="93"/>
      <c r="E16" s="324">
        <v>14</v>
      </c>
      <c r="F16" s="328">
        <f t="shared" si="15"/>
        <v>1.9849846522050403E-6</v>
      </c>
      <c r="G16" s="328">
        <f t="shared" si="0"/>
        <v>2.7733136193198432E-6</v>
      </c>
      <c r="H16" s="328">
        <f t="shared" si="1"/>
        <v>2.260255889885053E-6</v>
      </c>
      <c r="I16" s="328">
        <f t="shared" si="2"/>
        <v>1.4035145613180988E-6</v>
      </c>
      <c r="J16" s="328">
        <f t="shared" si="3"/>
        <v>7.3534310016452158E-7</v>
      </c>
      <c r="K16" s="328">
        <f t="shared" si="4"/>
        <v>3.4246058817864176E-7</v>
      </c>
      <c r="L16" s="328">
        <f t="shared" si="5"/>
        <v>1.4619839803619563E-7</v>
      </c>
      <c r="M16" s="328">
        <f t="shared" si="6"/>
        <v>5.8360150175630107E-8</v>
      </c>
      <c r="N16" s="328">
        <f t="shared" si="7"/>
        <v>2.2083115653877377E-8</v>
      </c>
      <c r="O16" s="328">
        <f t="shared" si="8"/>
        <v>7.9990139474670072E-9</v>
      </c>
      <c r="P16" s="328">
        <f t="shared" si="9"/>
        <v>2.7939478394702633E-9</v>
      </c>
      <c r="Q16" s="328">
        <f t="shared" si="10"/>
        <v>9.4631597658919082E-10</v>
      </c>
      <c r="R16" s="328">
        <f t="shared" si="11"/>
        <v>3.1217234625137659E-10</v>
      </c>
      <c r="S16" s="328">
        <f t="shared" si="12"/>
        <v>1.0065008874799193E-10</v>
      </c>
      <c r="T16" s="326">
        <f t="shared" si="13"/>
        <v>3.1807556573542915E-11</v>
      </c>
      <c r="U16" s="327">
        <f t="shared" si="14"/>
        <v>9.8755121069913061E-12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7.9747702213157787E-5</v>
      </c>
      <c r="C17" s="93">
        <f t="shared" si="17"/>
        <v>3.2054787208493163E-5</v>
      </c>
      <c r="D17" s="93"/>
      <c r="E17" s="324">
        <v>15</v>
      </c>
      <c r="F17" s="328">
        <f t="shared" si="15"/>
        <v>6.7469921776044425E-7</v>
      </c>
      <c r="G17" s="328">
        <f t="shared" si="0"/>
        <v>9.42653399098525E-7</v>
      </c>
      <c r="H17" s="328">
        <f t="shared" si="1"/>
        <v>7.6826431839149404E-7</v>
      </c>
      <c r="I17" s="328">
        <f t="shared" si="2"/>
        <v>4.7705667425931238E-7</v>
      </c>
      <c r="J17" s="328">
        <f t="shared" si="3"/>
        <v>2.4994420683072067E-7</v>
      </c>
      <c r="K17" s="328">
        <f t="shared" si="4"/>
        <v>1.1640286019402631E-7</v>
      </c>
      <c r="L17" s="328">
        <f t="shared" si="5"/>
        <v>4.9693051622981609E-8</v>
      </c>
      <c r="M17" s="328">
        <f t="shared" si="6"/>
        <v>1.9836701320657046E-8</v>
      </c>
      <c r="N17" s="328">
        <f t="shared" si="7"/>
        <v>7.5060836570364769E-9</v>
      </c>
      <c r="O17" s="328">
        <f t="shared" si="8"/>
        <v>2.7188766659810899E-9</v>
      </c>
      <c r="P17" s="328">
        <f t="shared" si="9"/>
        <v>9.4966700103198078E-10</v>
      </c>
      <c r="Q17" s="328">
        <f t="shared" si="10"/>
        <v>3.216541994164426E-10</v>
      </c>
      <c r="R17" s="328">
        <f t="shared" si="11"/>
        <v>1.0610784198672481E-10</v>
      </c>
      <c r="S17" s="328">
        <f t="shared" si="12"/>
        <v>3.4211113960177258E-11</v>
      </c>
      <c r="T17" s="328">
        <f t="shared" si="13"/>
        <v>1.0811435501630117E-11</v>
      </c>
      <c r="U17" s="326">
        <f t="shared" si="14"/>
        <v>3.3567011644997708E-12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2.8148914256073367E-5</v>
      </c>
      <c r="C18" s="93">
        <f t="shared" si="17"/>
        <v>1.0335051185907555E-5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9.738712168666779E-6</v>
      </c>
      <c r="C19" s="93">
        <f t="shared" si="17"/>
        <v>3.2660947384686228E-6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3.3102026632268745E-6</v>
      </c>
      <c r="C20" s="93">
        <f t="shared" si="17"/>
        <v>1.014047025515824E-6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0.4411304304376924</v>
      </c>
      <c r="C21" s="323">
        <f>SUM(G2:U2,H3:U3,I4:U4,J5:U5,K6:U6,L7:U7,M8:U8,N9:U9,O10:U10,P11:U11,Q12:U12,R13:U13,S14:U14,T15:U15,U16)</f>
        <v>0.36351911044621871</v>
      </c>
    </row>
    <row r="22" spans="1:39">
      <c r="A22" s="1" t="s">
        <v>348</v>
      </c>
      <c r="B22" s="401">
        <f>1-B21-C21</f>
        <v>0.19535045911608889</v>
      </c>
      <c r="C22" s="377"/>
    </row>
    <row r="23" spans="1:39">
      <c r="A23" s="1" t="s">
        <v>349</v>
      </c>
      <c r="B23" s="329">
        <f>B21/(B21+C21)</f>
        <v>0.54822678448695639</v>
      </c>
      <c r="C23" s="330">
        <f>C21/(B21+C21)</f>
        <v>0.4517732155130435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6.65434953656074E-2</v>
      </c>
      <c r="G2" s="327">
        <f t="shared" ref="G2:G17" si="0">$B5*$C$6</f>
        <v>7.3585858231366083E-2</v>
      </c>
      <c r="H2" s="327">
        <f t="shared" ref="H2:H17" si="1">$B5*$C$7</f>
        <v>4.7467887373603815E-2</v>
      </c>
      <c r="I2" s="327">
        <f t="shared" ref="I2:I17" si="2">$B5*$C$8</f>
        <v>2.3329537814996526E-2</v>
      </c>
      <c r="J2" s="327">
        <f t="shared" ref="J2:J17" si="3">$B5*$C$9</f>
        <v>9.6744470636770923E-3</v>
      </c>
      <c r="K2" s="327">
        <f t="shared" ref="K2:K17" si="4">$B5*$C$10</f>
        <v>3.5661010701006864E-3</v>
      </c>
      <c r="L2" s="327">
        <f t="shared" ref="L2:L17" si="5">$B5*$C$11</f>
        <v>1.2049598661226339E-3</v>
      </c>
      <c r="M2" s="327">
        <f t="shared" ref="M2:M17" si="6">$B5*$C$12</f>
        <v>3.8070912607426617E-4</v>
      </c>
      <c r="N2" s="327">
        <f t="shared" ref="N2:N17" si="7">$B5*$C$13</f>
        <v>1.1402081798841307E-4</v>
      </c>
      <c r="O2" s="327">
        <f t="shared" ref="O2:O17" si="8">$B5*$C$14</f>
        <v>3.2689417212644503E-5</v>
      </c>
      <c r="P2" s="327">
        <f t="shared" ref="P2:P17" si="9">$B5*$C$15</f>
        <v>9.0372425113052031E-6</v>
      </c>
      <c r="Q2" s="327">
        <f t="shared" ref="Q2:Q17" si="10">$B5*$C$16</f>
        <v>2.4227061042692225E-6</v>
      </c>
      <c r="R2" s="327">
        <f t="shared" ref="R2:R17" si="11">$B5*$C$17</f>
        <v>6.3256609206292747E-7</v>
      </c>
      <c r="S2" s="327">
        <f t="shared" ref="S2:S17" si="12">$B5*$C$18</f>
        <v>1.6142565625720145E-7</v>
      </c>
      <c r="T2" s="327">
        <f t="shared" ref="T2:T17" si="13">$B5*$C$19</f>
        <v>4.0377146669021421E-8</v>
      </c>
      <c r="U2" s="327">
        <f t="shared" ref="U2:U17" si="14">$B5*$C$20</f>
        <v>9.9222887534744163E-9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8.7673433231194794E-2</v>
      </c>
      <c r="G3" s="326">
        <f t="shared" si="0"/>
        <v>9.6951997982093849E-2</v>
      </c>
      <c r="H3" s="327">
        <f t="shared" si="1"/>
        <v>6.2540637990388212E-2</v>
      </c>
      <c r="I3" s="327">
        <f t="shared" si="2"/>
        <v>3.0737499806703487E-2</v>
      </c>
      <c r="J3" s="327">
        <f t="shared" si="3"/>
        <v>1.2746429745324212E-2</v>
      </c>
      <c r="K3" s="327">
        <f t="shared" si="4"/>
        <v>4.6984656027966526E-3</v>
      </c>
      <c r="L3" s="327">
        <f t="shared" si="5"/>
        <v>1.5875776856677276E-3</v>
      </c>
      <c r="M3" s="327">
        <f t="shared" si="6"/>
        <v>5.0159787913139811E-4</v>
      </c>
      <c r="N3" s="327">
        <f t="shared" si="7"/>
        <v>1.5022650249959708E-4</v>
      </c>
      <c r="O3" s="327">
        <f t="shared" si="8"/>
        <v>4.3069475410225127E-5</v>
      </c>
      <c r="P3" s="327">
        <f t="shared" si="9"/>
        <v>1.190688997558341E-5</v>
      </c>
      <c r="Q3" s="327">
        <f t="shared" si="10"/>
        <v>3.1920018734278414E-6</v>
      </c>
      <c r="R3" s="327">
        <f t="shared" si="11"/>
        <v>8.3342843251754787E-7</v>
      </c>
      <c r="S3" s="327">
        <f t="shared" si="12"/>
        <v>2.1268407104118416E-7</v>
      </c>
      <c r="T3" s="327">
        <f t="shared" si="13"/>
        <v>5.3198333707944017E-8</v>
      </c>
      <c r="U3" s="327">
        <f t="shared" si="14"/>
        <v>1.3072970028833016E-8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Innings'!$G$31</f>
        <v>1.8852230246595205</v>
      </c>
      <c r="C4" s="87">
        <f>'First 5 Innings'!$G$32</f>
        <v>1.513856076234483</v>
      </c>
      <c r="D4" s="87"/>
      <c r="E4" s="324">
        <v>2</v>
      </c>
      <c r="F4" s="328">
        <f t="shared" si="15"/>
        <v>6.7382514206418512E-2</v>
      </c>
      <c r="G4" s="328">
        <f t="shared" si="0"/>
        <v>7.4513671252520994E-2</v>
      </c>
      <c r="H4" s="326">
        <f t="shared" si="1"/>
        <v>4.8066389926274614E-2</v>
      </c>
      <c r="I4" s="327">
        <f t="shared" si="2"/>
        <v>2.3623690108419845E-2</v>
      </c>
      <c r="J4" s="327">
        <f t="shared" si="3"/>
        <v>9.7964280825018121E-3</v>
      </c>
      <c r="K4" s="327">
        <f t="shared" si="4"/>
        <v>3.6110645330148629E-3</v>
      </c>
      <c r="L4" s="327">
        <f t="shared" si="5"/>
        <v>1.2201526963841571E-3</v>
      </c>
      <c r="M4" s="327">
        <f t="shared" si="6"/>
        <v>3.8550932672333114E-4</v>
      </c>
      <c r="N4" s="327">
        <f t="shared" si="7"/>
        <v>1.1545845834696895E-4</v>
      </c>
      <c r="O4" s="327">
        <f t="shared" si="8"/>
        <v>3.310158427399066E-5</v>
      </c>
      <c r="P4" s="327">
        <f t="shared" si="9"/>
        <v>9.1511892869337505E-6</v>
      </c>
      <c r="Q4" s="327">
        <f t="shared" si="10"/>
        <v>2.4532529827591755E-6</v>
      </c>
      <c r="R4" s="327">
        <f t="shared" si="11"/>
        <v>6.4054185087125367E-7</v>
      </c>
      <c r="S4" s="327">
        <f t="shared" si="12"/>
        <v>1.6346100420888256E-7</v>
      </c>
      <c r="T4" s="327">
        <f t="shared" si="13"/>
        <v>4.0886245065602068E-8</v>
      </c>
      <c r="U4" s="327">
        <f t="shared" si="14"/>
        <v>1.0047394703536006E-8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0.22591201353480347</v>
      </c>
      <c r="C5" s="93">
        <f>_xlfn.NEGBINOM.DIST(A5,$A$2,$A$2/($A$2+$C$4),FALSE)</f>
        <v>0.29455492129176153</v>
      </c>
      <c r="D5" s="93"/>
      <c r="E5" s="324">
        <v>3</v>
      </c>
      <c r="F5" s="328">
        <f t="shared" si="15"/>
        <v>3.9457275794781595E-2</v>
      </c>
      <c r="G5" s="328">
        <f t="shared" si="0"/>
        <v>4.3633077686678991E-2</v>
      </c>
      <c r="H5" s="328">
        <f t="shared" si="1"/>
        <v>2.8146305107740723E-2</v>
      </c>
      <c r="I5" s="326">
        <f t="shared" si="2"/>
        <v>1.3833358206891992E-2</v>
      </c>
      <c r="J5" s="327">
        <f t="shared" si="3"/>
        <v>5.7365084875119956E-3</v>
      </c>
      <c r="K5" s="327">
        <f t="shared" si="4"/>
        <v>2.1145362542490209E-3</v>
      </c>
      <c r="L5" s="327">
        <f t="shared" si="5"/>
        <v>7.1448656999489283E-4</v>
      </c>
      <c r="M5" s="327">
        <f t="shared" si="6"/>
        <v>2.2574325112573654E-4</v>
      </c>
      <c r="N5" s="327">
        <f t="shared" si="7"/>
        <v>6.7609175577522555E-5</v>
      </c>
      <c r="O5" s="327">
        <f t="shared" si="8"/>
        <v>1.9383342330355531E-5</v>
      </c>
      <c r="P5" s="327">
        <f t="shared" si="9"/>
        <v>5.3586750776123609E-6</v>
      </c>
      <c r="Q5" s="327">
        <f t="shared" si="10"/>
        <v>1.4365548788899127E-6</v>
      </c>
      <c r="R5" s="327">
        <f t="shared" si="11"/>
        <v>3.7508301323549371E-7</v>
      </c>
      <c r="S5" s="327">
        <f t="shared" si="12"/>
        <v>9.5718095424635653E-8</v>
      </c>
      <c r="T5" s="327">
        <f t="shared" si="13"/>
        <v>2.3941817350781164E-8</v>
      </c>
      <c r="U5" s="327">
        <f t="shared" si="14"/>
        <v>5.8834673728853667E-9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0.2976471513248044</v>
      </c>
      <c r="C6" s="93">
        <f t="shared" ref="C6:C20" si="17">NEGBINOMDIST(A6,$A$2,$A$2/($A$2+$C$4))</f>
        <v>0.3257279552334636</v>
      </c>
      <c r="D6" s="93"/>
      <c r="E6" s="324">
        <v>4</v>
      </c>
      <c r="F6" s="328">
        <f t="shared" si="15"/>
        <v>1.9494889109025731E-2</v>
      </c>
      <c r="G6" s="328">
        <f t="shared" si="0"/>
        <v>2.1558052193248741E-2</v>
      </c>
      <c r="H6" s="328">
        <f t="shared" si="1"/>
        <v>1.3906411069990269E-2</v>
      </c>
      <c r="I6" s="328">
        <f t="shared" si="2"/>
        <v>6.834728926837284E-3</v>
      </c>
      <c r="J6" s="326">
        <f t="shared" si="3"/>
        <v>2.8342706024276931E-3</v>
      </c>
      <c r="K6" s="327">
        <f t="shared" si="4"/>
        <v>1.0447414060717082E-3</v>
      </c>
      <c r="L6" s="327">
        <f t="shared" si="5"/>
        <v>3.5301059617959577E-4</v>
      </c>
      <c r="M6" s="327">
        <f t="shared" si="6"/>
        <v>1.1153430030740268E-4</v>
      </c>
      <c r="N6" s="327">
        <f t="shared" si="7"/>
        <v>3.3404064373110331E-5</v>
      </c>
      <c r="O6" s="327">
        <f t="shared" si="8"/>
        <v>9.5768423359460921E-6</v>
      </c>
      <c r="P6" s="327">
        <f t="shared" si="9"/>
        <v>2.6475922198148568E-6</v>
      </c>
      <c r="Q6" s="327">
        <f t="shared" si="10"/>
        <v>7.0976714684120653E-7</v>
      </c>
      <c r="R6" s="327">
        <f t="shared" si="11"/>
        <v>1.853194779015193E-7</v>
      </c>
      <c r="S6" s="327">
        <f t="shared" si="12"/>
        <v>4.7292004286753209E-8</v>
      </c>
      <c r="T6" s="327">
        <f t="shared" si="13"/>
        <v>1.1829074991126372E-8</v>
      </c>
      <c r="U6" s="327">
        <f t="shared" si="14"/>
        <v>2.90687944620192E-9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0.22876044274159324</v>
      </c>
      <c r="C7" s="93">
        <f t="shared" si="17"/>
        <v>0.21011670265287163</v>
      </c>
      <c r="D7" s="93"/>
      <c r="E7" s="324">
        <v>5</v>
      </c>
      <c r="F7" s="328">
        <f t="shared" si="15"/>
        <v>8.5617376988239517E-3</v>
      </c>
      <c r="G7" s="328">
        <f t="shared" si="0"/>
        <v>9.4678347306268069E-3</v>
      </c>
      <c r="H7" s="328">
        <f t="shared" si="1"/>
        <v>6.1073978542486133E-3</v>
      </c>
      <c r="I7" s="328">
        <f t="shared" si="2"/>
        <v>3.0016665386956784E-3</v>
      </c>
      <c r="J7" s="328">
        <f t="shared" si="3"/>
        <v>1.2447509359896213E-3</v>
      </c>
      <c r="K7" s="326">
        <f t="shared" si="4"/>
        <v>4.5882804625676111E-4</v>
      </c>
      <c r="L7" s="327">
        <f t="shared" si="5"/>
        <v>1.5503469204120079E-4</v>
      </c>
      <c r="M7" s="327">
        <f t="shared" si="6"/>
        <v>4.8983475531119061E-5</v>
      </c>
      <c r="N7" s="327">
        <f t="shared" si="7"/>
        <v>1.4670349527907301E-5</v>
      </c>
      <c r="O7" s="327">
        <f t="shared" si="8"/>
        <v>4.2059440094686757E-6</v>
      </c>
      <c r="P7" s="327">
        <f t="shared" si="9"/>
        <v>1.1627657891630191E-6</v>
      </c>
      <c r="Q7" s="327">
        <f t="shared" si="10"/>
        <v>3.1171452704922658E-7</v>
      </c>
      <c r="R7" s="327">
        <f t="shared" si="11"/>
        <v>8.1388344986339034E-8</v>
      </c>
      <c r="S7" s="327">
        <f t="shared" si="12"/>
        <v>2.0769635245956735E-8</v>
      </c>
      <c r="T7" s="327">
        <f t="shared" si="13"/>
        <v>5.195076346797628E-9</v>
      </c>
      <c r="U7" s="327">
        <f t="shared" si="14"/>
        <v>1.2766391848292621E-9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0.13395558160000495</v>
      </c>
      <c r="C8" s="93">
        <f t="shared" si="17"/>
        <v>0.1032682478898026</v>
      </c>
      <c r="D8" s="93"/>
      <c r="E8" s="324">
        <v>6</v>
      </c>
      <c r="F8" s="328">
        <f t="shared" si="15"/>
        <v>3.4467874808479003E-3</v>
      </c>
      <c r="G8" s="328">
        <f t="shared" si="0"/>
        <v>3.8115643538979265E-3</v>
      </c>
      <c r="H8" s="328">
        <f t="shared" si="1"/>
        <v>2.4587184523853171E-3</v>
      </c>
      <c r="I8" s="328">
        <f t="shared" si="2"/>
        <v>1.2084120083096525E-3</v>
      </c>
      <c r="J8" s="328">
        <f t="shared" si="3"/>
        <v>5.0111228513016282E-4</v>
      </c>
      <c r="K8" s="328">
        <f t="shared" si="4"/>
        <v>1.8471516196028051E-4</v>
      </c>
      <c r="L8" s="326">
        <f t="shared" si="5"/>
        <v>6.2413922783236203E-5</v>
      </c>
      <c r="M8" s="327">
        <f t="shared" si="6"/>
        <v>1.9719785418358713E-5</v>
      </c>
      <c r="N8" s="327">
        <f t="shared" si="7"/>
        <v>5.9059946556642962E-6</v>
      </c>
      <c r="O8" s="327">
        <f t="shared" si="8"/>
        <v>1.6932304710730831E-6</v>
      </c>
      <c r="P8" s="327">
        <f t="shared" si="9"/>
        <v>4.681066748629591E-7</v>
      </c>
      <c r="Q8" s="327">
        <f t="shared" si="10"/>
        <v>1.2549014782119299E-7</v>
      </c>
      <c r="R8" s="327">
        <f t="shared" si="11"/>
        <v>3.2765349565004432E-8</v>
      </c>
      <c r="S8" s="327">
        <f t="shared" si="12"/>
        <v>8.3614473213042301E-9</v>
      </c>
      <c r="T8" s="327">
        <f t="shared" si="13"/>
        <v>2.0914357276620073E-9</v>
      </c>
      <c r="U8" s="327">
        <f t="shared" si="14"/>
        <v>5.139498679612434E-10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6.6184224739927938E-2</v>
      </c>
      <c r="C9" s="93">
        <f t="shared" si="17"/>
        <v>4.2823960144052584E-2</v>
      </c>
      <c r="D9" s="93"/>
      <c r="E9" s="324">
        <v>7</v>
      </c>
      <c r="F9" s="328">
        <f t="shared" si="15"/>
        <v>1.2975044814304921E-3</v>
      </c>
      <c r="G9" s="328">
        <f t="shared" si="0"/>
        <v>1.434820643257847E-3</v>
      </c>
      <c r="H9" s="328">
        <f t="shared" si="1"/>
        <v>9.2555697973030037E-4</v>
      </c>
      <c r="I9" s="328">
        <f t="shared" si="2"/>
        <v>4.5489314467699396E-4</v>
      </c>
      <c r="J9" s="328">
        <f t="shared" si="3"/>
        <v>1.8863809830721407E-4</v>
      </c>
      <c r="K9" s="328">
        <f t="shared" si="4"/>
        <v>6.9533950602798775E-5</v>
      </c>
      <c r="L9" s="328">
        <f t="shared" si="5"/>
        <v>2.3495021078289468E-5</v>
      </c>
      <c r="M9" s="326">
        <f t="shared" si="6"/>
        <v>7.4232920060606388E-6</v>
      </c>
      <c r="N9" s="327">
        <f t="shared" si="7"/>
        <v>2.2232454352375308E-6</v>
      </c>
      <c r="O9" s="327">
        <f t="shared" si="8"/>
        <v>6.3739761633680387E-7</v>
      </c>
      <c r="P9" s="327">
        <f t="shared" si="9"/>
        <v>1.7621350657592743E-7</v>
      </c>
      <c r="Q9" s="327">
        <f t="shared" si="10"/>
        <v>4.7239358410724687E-8</v>
      </c>
      <c r="R9" s="327">
        <f t="shared" si="11"/>
        <v>1.2334148285165451E-8</v>
      </c>
      <c r="S9" s="327">
        <f t="shared" si="12"/>
        <v>3.1475730461828169E-9</v>
      </c>
      <c r="T9" s="327">
        <f t="shared" si="13"/>
        <v>7.8729751815094422E-10</v>
      </c>
      <c r="U9" s="327">
        <f t="shared" si="14"/>
        <v>1.9347066235318902E-10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2.9066693780829444E-2</v>
      </c>
      <c r="C10" s="93">
        <f t="shared" si="17"/>
        <v>1.5785353838879849E-2</v>
      </c>
      <c r="D10" s="93"/>
      <c r="E10" s="324">
        <v>8</v>
      </c>
      <c r="F10" s="328">
        <f t="shared" si="15"/>
        <v>4.6299189181740687E-4</v>
      </c>
      <c r="G10" s="328">
        <f t="shared" si="0"/>
        <v>5.1199077425013626E-4</v>
      </c>
      <c r="H10" s="328">
        <f t="shared" si="1"/>
        <v>3.3026889938575781E-4</v>
      </c>
      <c r="I10" s="328">
        <f t="shared" si="2"/>
        <v>1.6232070150275883E-4</v>
      </c>
      <c r="J10" s="328">
        <f t="shared" si="3"/>
        <v>6.731222223433511E-5</v>
      </c>
      <c r="K10" s="328">
        <f t="shared" si="4"/>
        <v>2.4811980070877739E-5</v>
      </c>
      <c r="L10" s="328">
        <f t="shared" si="5"/>
        <v>8.3837893533393781E-6</v>
      </c>
      <c r="M10" s="328">
        <f t="shared" si="6"/>
        <v>2.648872553881168E-6</v>
      </c>
      <c r="N10" s="326">
        <f t="shared" si="7"/>
        <v>7.9332643915047686E-7</v>
      </c>
      <c r="O10" s="327">
        <f t="shared" si="8"/>
        <v>2.2744424582050406E-7</v>
      </c>
      <c r="P10" s="327">
        <f t="shared" si="9"/>
        <v>6.2878722918490567E-8</v>
      </c>
      <c r="Q10" s="327">
        <f t="shared" si="10"/>
        <v>1.6856542872752781E-8</v>
      </c>
      <c r="R10" s="327">
        <f t="shared" si="11"/>
        <v>4.4012261462166646E-9</v>
      </c>
      <c r="S10" s="327">
        <f t="shared" si="12"/>
        <v>1.1231566596818176E-9</v>
      </c>
      <c r="T10" s="327">
        <f t="shared" si="13"/>
        <v>2.8093341685416132E-10</v>
      </c>
      <c r="U10" s="327">
        <f t="shared" si="14"/>
        <v>6.9036638605913223E-11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1.1701680167936492E-2</v>
      </c>
      <c r="C11" s="93">
        <f t="shared" si="17"/>
        <v>5.3337573653957126E-3</v>
      </c>
      <c r="D11" s="93"/>
      <c r="E11" s="324">
        <v>9</v>
      </c>
      <c r="F11" s="328">
        <f t="shared" si="15"/>
        <v>1.5815031647969257E-4</v>
      </c>
      <c r="G11" s="328">
        <f t="shared" si="0"/>
        <v>1.7488751836344284E-4</v>
      </c>
      <c r="H11" s="328">
        <f t="shared" si="1"/>
        <v>1.1281435352188945E-4</v>
      </c>
      <c r="I11" s="328">
        <f t="shared" si="2"/>
        <v>5.544604725819061E-5</v>
      </c>
      <c r="J11" s="328">
        <f t="shared" si="3"/>
        <v>2.2992733647071753E-5</v>
      </c>
      <c r="K11" s="328">
        <f t="shared" si="4"/>
        <v>8.475359007463312E-6</v>
      </c>
      <c r="L11" s="328">
        <f t="shared" si="5"/>
        <v>2.8637627633716816E-6</v>
      </c>
      <c r="M11" s="328">
        <f t="shared" si="6"/>
        <v>9.0481073235703759E-7</v>
      </c>
      <c r="N11" s="328">
        <f t="shared" si="7"/>
        <v>2.7098709424664367E-7</v>
      </c>
      <c r="O11" s="326">
        <f t="shared" si="8"/>
        <v>7.7691164993843096E-8</v>
      </c>
      <c r="P11" s="327">
        <f t="shared" si="9"/>
        <v>2.147832414594417E-8</v>
      </c>
      <c r="Q11" s="327">
        <f t="shared" si="10"/>
        <v>5.7579142036697133E-9</v>
      </c>
      <c r="R11" s="327">
        <f t="shared" si="11"/>
        <v>1.5033855240760266E-9</v>
      </c>
      <c r="S11" s="327">
        <f t="shared" si="12"/>
        <v>3.8365160238055741E-10</v>
      </c>
      <c r="T11" s="327">
        <f t="shared" si="13"/>
        <v>9.5962174652356635E-11</v>
      </c>
      <c r="U11" s="327">
        <f t="shared" si="14"/>
        <v>2.358176554963344E-11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4.4049662308826018E-3</v>
      </c>
      <c r="C12" s="93">
        <f t="shared" si="17"/>
        <v>1.6852097421353601E-3</v>
      </c>
      <c r="D12" s="93"/>
      <c r="E12" s="324">
        <v>10</v>
      </c>
      <c r="F12" s="328">
        <f t="shared" si="15"/>
        <v>5.2092173458102654E-5</v>
      </c>
      <c r="G12" s="328">
        <f t="shared" si="0"/>
        <v>5.7605138864299333E-5</v>
      </c>
      <c r="H12" s="328">
        <f t="shared" si="1"/>
        <v>3.7159235612282751E-5</v>
      </c>
      <c r="I12" s="328">
        <f t="shared" si="2"/>
        <v>1.826303718912063E-5</v>
      </c>
      <c r="J12" s="328">
        <f t="shared" si="3"/>
        <v>7.5734370697450492E-6</v>
      </c>
      <c r="K12" s="328">
        <f t="shared" si="4"/>
        <v>2.7916470947635621E-6</v>
      </c>
      <c r="L12" s="328">
        <f t="shared" si="5"/>
        <v>9.4327744599593367E-7</v>
      </c>
      <c r="M12" s="328">
        <f t="shared" si="6"/>
        <v>2.9803011885055521E-7</v>
      </c>
      <c r="N12" s="328">
        <f t="shared" si="7"/>
        <v>8.9258795256448267E-8</v>
      </c>
      <c r="O12" s="328">
        <f t="shared" si="8"/>
        <v>2.5590221588592389E-8</v>
      </c>
      <c r="P12" s="326">
        <f t="shared" si="9"/>
        <v>7.0746149100722509E-9</v>
      </c>
      <c r="Q12" s="327">
        <f t="shared" si="10"/>
        <v>1.8965644339570455E-9</v>
      </c>
      <c r="R12" s="327">
        <f t="shared" si="11"/>
        <v>4.9519103873955883E-10</v>
      </c>
      <c r="S12" s="327">
        <f t="shared" si="12"/>
        <v>1.263686742052979E-10</v>
      </c>
      <c r="T12" s="327">
        <f t="shared" si="13"/>
        <v>3.1608398634151258E-11</v>
      </c>
      <c r="U12" s="327">
        <f t="shared" si="14"/>
        <v>7.7674547152585164E-12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1.5718355333768324E-3</v>
      </c>
      <c r="C13" s="93">
        <f t="shared" si="17"/>
        <v>5.0471338909494198E-4</v>
      </c>
      <c r="D13" s="93"/>
      <c r="E13" s="324">
        <v>11</v>
      </c>
      <c r="F13" s="328">
        <f t="shared" si="15"/>
        <v>1.6638375797906383E-5</v>
      </c>
      <c r="G13" s="328">
        <f t="shared" si="0"/>
        <v>1.8399231298837499E-5</v>
      </c>
      <c r="H13" s="328">
        <f t="shared" si="1"/>
        <v>1.1868756579668837E-5</v>
      </c>
      <c r="I13" s="328">
        <f t="shared" si="2"/>
        <v>5.8332616167019229E-6</v>
      </c>
      <c r="J13" s="328">
        <f t="shared" si="3"/>
        <v>2.4189755136548815E-6</v>
      </c>
      <c r="K13" s="328">
        <f t="shared" si="4"/>
        <v>8.9165934869597785E-7</v>
      </c>
      <c r="L13" s="328">
        <f t="shared" si="5"/>
        <v>3.012852715925309E-7</v>
      </c>
      <c r="M13" s="328">
        <f t="shared" si="6"/>
        <v>9.5191595730182313E-8</v>
      </c>
      <c r="N13" s="328">
        <f t="shared" si="7"/>
        <v>2.8509491544629862E-8</v>
      </c>
      <c r="O13" s="328">
        <f t="shared" si="8"/>
        <v>8.1735833864783636E-9</v>
      </c>
      <c r="P13" s="328">
        <f t="shared" si="9"/>
        <v>2.2596504174264707E-9</v>
      </c>
      <c r="Q13" s="326">
        <f t="shared" si="10"/>
        <v>6.0576761694347377E-10</v>
      </c>
      <c r="R13" s="327">
        <f t="shared" si="11"/>
        <v>1.5816530675056407E-10</v>
      </c>
      <c r="S13" s="327">
        <f t="shared" si="12"/>
        <v>4.0362483477523279E-11</v>
      </c>
      <c r="T13" s="327">
        <f t="shared" si="13"/>
        <v>1.0095804800082433E-11</v>
      </c>
      <c r="U13" s="327">
        <f t="shared" si="14"/>
        <v>2.4809452546578063E-12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5.3691283033442195E-4</v>
      </c>
      <c r="C14" s="93">
        <f t="shared" si="17"/>
        <v>1.4469977360282547E-4</v>
      </c>
      <c r="D14" s="93"/>
      <c r="E14" s="324">
        <v>12</v>
      </c>
      <c r="F14" s="328">
        <f t="shared" si="15"/>
        <v>5.1759462544918561E-6</v>
      </c>
      <c r="G14" s="328">
        <f t="shared" si="0"/>
        <v>5.7237216831423269E-6</v>
      </c>
      <c r="H14" s="328">
        <f t="shared" si="1"/>
        <v>3.6921900857499879E-6</v>
      </c>
      <c r="I14" s="328">
        <f t="shared" si="2"/>
        <v>1.814639180119888E-6</v>
      </c>
      <c r="J14" s="328">
        <f t="shared" si="3"/>
        <v>7.5250657886841082E-7</v>
      </c>
      <c r="K14" s="328">
        <f t="shared" si="4"/>
        <v>2.7738169411622051E-7</v>
      </c>
      <c r="L14" s="328">
        <f t="shared" si="5"/>
        <v>9.3725276551882354E-8</v>
      </c>
      <c r="M14" s="328">
        <f t="shared" si="6"/>
        <v>2.96126610772151E-8</v>
      </c>
      <c r="N14" s="328">
        <f t="shared" si="7"/>
        <v>8.8688702413165945E-9</v>
      </c>
      <c r="O14" s="328">
        <f t="shared" si="8"/>
        <v>2.5426777726911866E-9</v>
      </c>
      <c r="P14" s="328">
        <f t="shared" si="9"/>
        <v>7.0294295889212899E-10</v>
      </c>
      <c r="Q14" s="328">
        <f t="shared" si="10"/>
        <v>1.8844511424039132E-10</v>
      </c>
      <c r="R14" s="326">
        <f t="shared" si="11"/>
        <v>4.9202827067360114E-11</v>
      </c>
      <c r="S14" s="327">
        <f t="shared" si="12"/>
        <v>1.2556156184653782E-11</v>
      </c>
      <c r="T14" s="327">
        <f t="shared" si="13"/>
        <v>3.1406516883482637E-12</v>
      </c>
      <c r="U14" s="327">
        <f t="shared" si="14"/>
        <v>7.7178442501949246E-13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1.7685046044946061E-4</v>
      </c>
      <c r="C15" s="93">
        <f t="shared" si="17"/>
        <v>4.0003372861412464E-5</v>
      </c>
      <c r="D15" s="93"/>
      <c r="E15" s="324">
        <v>13</v>
      </c>
      <c r="F15" s="328">
        <f t="shared" si="15"/>
        <v>1.5737294226471553E-6</v>
      </c>
      <c r="G15" s="328">
        <f t="shared" si="0"/>
        <v>1.7402787387885831E-6</v>
      </c>
      <c r="H15" s="328">
        <f t="shared" si="1"/>
        <v>1.1225982431537671E-6</v>
      </c>
      <c r="I15" s="328">
        <f t="shared" si="2"/>
        <v>5.5173507003954384E-7</v>
      </c>
      <c r="J15" s="328">
        <f t="shared" si="3"/>
        <v>2.2879714851618607E-7</v>
      </c>
      <c r="K15" s="328">
        <f t="shared" si="4"/>
        <v>8.4336991126130779E-8</v>
      </c>
      <c r="L15" s="328">
        <f t="shared" si="5"/>
        <v>2.8496861849644395E-8</v>
      </c>
      <c r="M15" s="328">
        <f t="shared" si="6"/>
        <v>9.0036321338631721E-9</v>
      </c>
      <c r="N15" s="328">
        <f t="shared" si="7"/>
        <v>2.6965508060071498E-9</v>
      </c>
      <c r="O15" s="328">
        <f t="shared" si="8"/>
        <v>7.7309280785565231E-10</v>
      </c>
      <c r="P15" s="328">
        <f t="shared" si="9"/>
        <v>2.1372749299534552E-10</v>
      </c>
      <c r="Q15" s="328">
        <f t="shared" si="10"/>
        <v>5.7296116739396657E-11</v>
      </c>
      <c r="R15" s="328">
        <f t="shared" si="11"/>
        <v>1.4959957624391188E-11</v>
      </c>
      <c r="S15" s="326">
        <f t="shared" si="12"/>
        <v>3.8176579608017248E-12</v>
      </c>
      <c r="T15" s="327">
        <f t="shared" si="13"/>
        <v>9.5490480874889895E-13</v>
      </c>
      <c r="U15" s="327">
        <f t="shared" si="14"/>
        <v>2.3465851418761166E-13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5.6486497407475994E-5</v>
      </c>
      <c r="C16" s="93">
        <f t="shared" si="17"/>
        <v>1.0724113633275133E-5</v>
      </c>
      <c r="D16" s="93"/>
      <c r="E16" s="324">
        <v>14</v>
      </c>
      <c r="F16" s="328">
        <f t="shared" si="15"/>
        <v>4.6899345653988563E-7</v>
      </c>
      <c r="G16" s="328">
        <f t="shared" si="0"/>
        <v>5.1862749040711387E-7</v>
      </c>
      <c r="H16" s="328">
        <f t="shared" si="1"/>
        <v>3.3455003305249413E-7</v>
      </c>
      <c r="I16" s="328">
        <f t="shared" si="2"/>
        <v>1.6442479492876454E-7</v>
      </c>
      <c r="J16" s="328">
        <f t="shared" si="3"/>
        <v>6.8184761614598284E-8</v>
      </c>
      <c r="K16" s="328">
        <f t="shared" si="4"/>
        <v>2.5133607094849365E-8</v>
      </c>
      <c r="L16" s="328">
        <f t="shared" si="5"/>
        <v>8.4924648081647046E-9</v>
      </c>
      <c r="M16" s="328">
        <f t="shared" si="6"/>
        <v>2.6832087492977066E-9</v>
      </c>
      <c r="N16" s="328">
        <f t="shared" si="7"/>
        <v>8.0360998850579235E-10</v>
      </c>
      <c r="O16" s="328">
        <f t="shared" si="8"/>
        <v>2.3039250773647183E-10</v>
      </c>
      <c r="P16" s="328">
        <f t="shared" si="9"/>
        <v>6.3693792754337621E-11</v>
      </c>
      <c r="Q16" s="328">
        <f t="shared" si="10"/>
        <v>1.7075046986617395E-11</v>
      </c>
      <c r="R16" s="328">
        <f t="shared" si="11"/>
        <v>4.4582773474182667E-12</v>
      </c>
      <c r="S16" s="328">
        <f t="shared" si="12"/>
        <v>1.1377156562985919E-12</v>
      </c>
      <c r="T16" s="326">
        <f t="shared" si="13"/>
        <v>2.8457503588411681E-13</v>
      </c>
      <c r="U16" s="327">
        <f t="shared" si="14"/>
        <v>6.9931530853786897E-14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1.7572092266504675E-5</v>
      </c>
      <c r="C17" s="93">
        <f t="shared" si="17"/>
        <v>2.8000551283895127E-6</v>
      </c>
      <c r="D17" s="93"/>
      <c r="E17" s="324">
        <v>15</v>
      </c>
      <c r="F17" s="328">
        <f t="shared" si="15"/>
        <v>1.3731458657029084E-7</v>
      </c>
      <c r="G17" s="328">
        <f t="shared" si="0"/>
        <v>1.5184672288318764E-7</v>
      </c>
      <c r="H17" s="328">
        <f t="shared" si="1"/>
        <v>9.7951472104970642E-8</v>
      </c>
      <c r="I17" s="328">
        <f t="shared" si="2"/>
        <v>4.8141231871596517E-8</v>
      </c>
      <c r="J17" s="328">
        <f t="shared" si="3"/>
        <v>1.9963524481937292E-8</v>
      </c>
      <c r="K17" s="328">
        <f t="shared" si="4"/>
        <v>7.3587612345628972E-9</v>
      </c>
      <c r="L17" s="328">
        <f t="shared" si="5"/>
        <v>2.4864724183986693E-9</v>
      </c>
      <c r="M17" s="328">
        <f t="shared" si="6"/>
        <v>7.8560520398277111E-10</v>
      </c>
      <c r="N17" s="328">
        <f t="shared" si="7"/>
        <v>2.3528552860746477E-10</v>
      </c>
      <c r="O17" s="328">
        <f t="shared" si="8"/>
        <v>6.7455636123647391E-11</v>
      </c>
      <c r="P17" s="328">
        <f t="shared" si="9"/>
        <v>1.8648632933350624E-11</v>
      </c>
      <c r="Q17" s="328">
        <f t="shared" si="10"/>
        <v>4.9993299158881902E-12</v>
      </c>
      <c r="R17" s="328">
        <f t="shared" si="11"/>
        <v>1.3053199404805952E-12</v>
      </c>
      <c r="S17" s="328">
        <f t="shared" si="12"/>
        <v>3.3310689691019618E-13</v>
      </c>
      <c r="T17" s="328">
        <f t="shared" si="13"/>
        <v>8.3319506606655448E-14</v>
      </c>
      <c r="U17" s="326">
        <f t="shared" si="14"/>
        <v>2.0474953570271466E-14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5.3427368171124535E-6</v>
      </c>
      <c r="C18" s="93">
        <f t="shared" si="17"/>
        <v>7.1455100475359446E-7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1.5922105612193791E-6</v>
      </c>
      <c r="C19" s="93">
        <f t="shared" si="17"/>
        <v>1.7872952410652128E-7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4.6617651461432713E-7</v>
      </c>
      <c r="C20" s="93">
        <f t="shared" si="17"/>
        <v>4.3921031901855064E-8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0.44935533306884951</v>
      </c>
      <c r="C21" s="323">
        <f>SUM(G2:U2,H3:U3,I4:U4,J5:U5,K6:U6,L7:U7,M8:U8,N9:U9,O10:U10,P11:U11,Q12:U12,R13:U13,S14:U14,T15:U15,U16)</f>
        <v>0.32188540955825401</v>
      </c>
    </row>
    <row r="22" spans="1:39">
      <c r="A22" s="1" t="s">
        <v>348</v>
      </c>
      <c r="B22" s="401">
        <f>1-B21-C21</f>
        <v>0.22875925737289643</v>
      </c>
      <c r="C22" s="377"/>
    </row>
    <row r="23" spans="1:39">
      <c r="A23" s="1" t="s">
        <v>349</v>
      </c>
      <c r="B23" s="329">
        <f>B21/(B21+C21)</f>
        <v>0.58263951608442677</v>
      </c>
      <c r="C23" s="330">
        <f>C21/(B21+C21)</f>
        <v>0.41736048391557323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M999"/>
  <sheetViews>
    <sheetView workbookViewId="0">
      <selection activeCell="C3" sqref="C3"/>
    </sheetView>
  </sheetViews>
  <sheetFormatPr defaultColWidth="12.5703125" defaultRowHeight="15" customHeight="1"/>
  <cols>
    <col min="1" max="1" width="10.140625" bestFit="1" customWidth="1"/>
    <col min="2" max="2" width="11.7109375" bestFit="1" customWidth="1"/>
    <col min="3" max="3" width="12" bestFit="1" customWidth="1"/>
    <col min="4" max="4" width="11.7109375" bestFit="1" customWidth="1"/>
    <col min="5" max="5" width="12" bestFit="1" customWidth="1"/>
    <col min="6" max="6" width="11.7109375" bestFit="1" customWidth="1"/>
    <col min="7" max="7" width="12" bestFit="1" customWidth="1"/>
    <col min="8" max="8" width="11.7109375" bestFit="1" customWidth="1"/>
    <col min="9" max="9" width="12" bestFit="1" customWidth="1"/>
    <col min="10" max="10" width="11.7109375" bestFit="1" customWidth="1"/>
    <col min="11" max="11" width="12" bestFit="1" customWidth="1"/>
    <col min="12" max="12" width="11.7109375" bestFit="1" customWidth="1"/>
    <col min="13" max="13" width="12" bestFit="1" customWidth="1"/>
    <col min="14" max="14" width="11.7109375" bestFit="1" customWidth="1"/>
    <col min="15" max="15" width="12" bestFit="1" customWidth="1"/>
    <col min="16" max="16" width="11.7109375" bestFit="1" customWidth="1"/>
    <col min="17" max="17" width="12" bestFit="1" customWidth="1"/>
    <col min="18" max="18" width="11.7109375" bestFit="1" customWidth="1"/>
    <col min="19" max="19" width="12" bestFit="1" customWidth="1"/>
    <col min="20" max="20" width="11.7109375" bestFit="1" customWidth="1"/>
    <col min="21" max="21" width="12" bestFit="1" customWidth="1"/>
    <col min="22" max="22" width="11.7109375" bestFit="1" customWidth="1"/>
    <col min="23" max="23" width="12" bestFit="1" customWidth="1"/>
    <col min="24" max="24" width="11.7109375" bestFit="1" customWidth="1"/>
    <col min="25" max="25" width="12" bestFit="1" customWidth="1"/>
    <col min="26" max="26" width="11.7109375" bestFit="1" customWidth="1"/>
    <col min="27" max="27" width="12" bestFit="1" customWidth="1"/>
    <col min="28" max="28" width="11.7109375" bestFit="1" customWidth="1"/>
    <col min="29" max="29" width="12" bestFit="1" customWidth="1"/>
    <col min="30" max="30" width="11.7109375" bestFit="1" customWidth="1"/>
    <col min="31" max="31" width="12" bestFit="1" customWidth="1"/>
  </cols>
  <sheetData>
    <row r="1" spans="1:39">
      <c r="A1" s="1" t="s">
        <v>326</v>
      </c>
      <c r="B1" s="398" t="s">
        <v>327</v>
      </c>
      <c r="C1" s="377"/>
      <c r="D1" s="1"/>
      <c r="E1" s="324" t="s">
        <v>347</v>
      </c>
      <c r="F1" s="324">
        <v>0</v>
      </c>
      <c r="G1" s="325">
        <v>1</v>
      </c>
      <c r="H1" s="325">
        <v>2</v>
      </c>
      <c r="I1" s="324">
        <v>3</v>
      </c>
      <c r="J1" s="325">
        <v>4</v>
      </c>
      <c r="K1" s="325">
        <v>5</v>
      </c>
      <c r="L1" s="324">
        <v>6</v>
      </c>
      <c r="M1" s="325">
        <v>7</v>
      </c>
      <c r="N1" s="325">
        <v>8</v>
      </c>
      <c r="O1" s="324">
        <v>9</v>
      </c>
      <c r="P1" s="325">
        <v>10</v>
      </c>
      <c r="Q1" s="325">
        <v>11</v>
      </c>
      <c r="R1" s="324">
        <v>12</v>
      </c>
      <c r="S1" s="325">
        <v>13</v>
      </c>
      <c r="T1" s="325">
        <v>14</v>
      </c>
      <c r="U1" s="324">
        <v>15</v>
      </c>
      <c r="V1" s="1"/>
      <c r="X1" s="1"/>
      <c r="Z1" s="1"/>
      <c r="AB1" s="1"/>
      <c r="AD1" s="1"/>
      <c r="AF1" s="71"/>
      <c r="AG1" s="71"/>
      <c r="AH1" s="71"/>
      <c r="AI1" s="71"/>
      <c r="AJ1" s="71"/>
      <c r="AK1" s="71"/>
      <c r="AL1" s="71"/>
      <c r="AM1" s="71"/>
    </row>
    <row r="2" spans="1:39">
      <c r="A2" s="91">
        <f>'First 5 Innings'!$E$2</f>
        <v>6.7</v>
      </c>
      <c r="B2" s="76" t="s">
        <v>342</v>
      </c>
      <c r="C2" s="76" t="s">
        <v>343</v>
      </c>
      <c r="D2" s="76"/>
      <c r="E2" s="324">
        <v>0</v>
      </c>
      <c r="F2" s="326">
        <f>$B$5*$C$5</f>
        <v>8.5372878324614168E-2</v>
      </c>
      <c r="G2" s="327">
        <f t="shared" ref="G2:G17" si="0">$B5*$C$6</f>
        <v>9.2077185328998223E-2</v>
      </c>
      <c r="H2" s="327">
        <f t="shared" ref="H2:H17" si="1">$B5*$C$7</f>
        <v>5.7929654760220758E-2</v>
      </c>
      <c r="I2" s="327">
        <f t="shared" ref="I2:I17" si="2">$B5*$C$8</f>
        <v>2.7768379331692634E-2</v>
      </c>
      <c r="J2" s="327">
        <f t="shared" ref="J2:J17" si="3">$B5*$C$9</f>
        <v>1.1230883245005702E-2</v>
      </c>
      <c r="K2" s="327">
        <f t="shared" ref="K2:K17" si="4">$B5*$C$10</f>
        <v>4.037613733433895E-3</v>
      </c>
      <c r="L2" s="327">
        <f t="shared" ref="L2:L17" si="5">$B5*$C$11</f>
        <v>1.3305986073735494E-3</v>
      </c>
      <c r="M2" s="327">
        <f t="shared" ref="M2:M17" si="6">$B5*$C$12</f>
        <v>4.1002574980977883E-4</v>
      </c>
      <c r="N2" s="327">
        <f t="shared" ref="N2:N17" si="7">$B5*$C$13</f>
        <v>1.1976925762932588E-4</v>
      </c>
      <c r="O2" s="327">
        <f t="shared" ref="O2:O17" si="8">$B5*$C$14</f>
        <v>3.3489737601069948E-5</v>
      </c>
      <c r="P2" s="327">
        <f t="shared" ref="P2:P17" si="9">$B5*$C$15</f>
        <v>9.0299192092021184E-6</v>
      </c>
      <c r="Q2" s="327">
        <f t="shared" ref="Q2:Q17" si="10">$B5*$C$16</f>
        <v>2.3609784500956375E-6</v>
      </c>
      <c r="R2" s="327">
        <f t="shared" ref="R2:R17" si="11">$B5*$C$17</f>
        <v>6.0122988441148886E-7</v>
      </c>
      <c r="S2" s="327">
        <f t="shared" ref="S2:S17" si="12">$B5*$C$18</f>
        <v>1.4964099005900349E-7</v>
      </c>
      <c r="T2" s="327">
        <f t="shared" ref="T2:T17" si="13">$B5*$C$19</f>
        <v>3.650539055044497E-8</v>
      </c>
      <c r="U2" s="327">
        <f t="shared" ref="U2:U17" si="14">$B5*$C$20</f>
        <v>8.7493662499127155E-9</v>
      </c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</row>
    <row r="3" spans="1:39">
      <c r="B3" s="76" t="e">
        <f>'First 5 Innings'!#REF!</f>
        <v>#REF!</v>
      </c>
      <c r="C3" s="76" t="e">
        <f>'First 5 Innings'!#REF!</f>
        <v>#REF!</v>
      </c>
      <c r="D3" s="76"/>
      <c r="E3" s="324">
        <v>1</v>
      </c>
      <c r="F3" s="328">
        <f t="shared" ref="F3:F17" si="15">B6*$C$5</f>
        <v>9.7842552592040832E-2</v>
      </c>
      <c r="G3" s="326">
        <f t="shared" si="0"/>
        <v>0.10552609944605981</v>
      </c>
      <c r="H3" s="327">
        <f t="shared" si="1"/>
        <v>6.6390935900793091E-2</v>
      </c>
      <c r="I3" s="327">
        <f t="shared" si="2"/>
        <v>3.182426513519046E-2</v>
      </c>
      <c r="J3" s="327">
        <f t="shared" si="3"/>
        <v>1.2871280740662631E-2</v>
      </c>
      <c r="K3" s="327">
        <f t="shared" si="4"/>
        <v>4.6273528761411539E-3</v>
      </c>
      <c r="L3" s="327">
        <f t="shared" si="5"/>
        <v>1.5249475802587233E-3</v>
      </c>
      <c r="M3" s="327">
        <f t="shared" si="6"/>
        <v>4.699146471003743E-4</v>
      </c>
      <c r="N3" s="327">
        <f t="shared" si="7"/>
        <v>1.3726291204508201E-4</v>
      </c>
      <c r="O3" s="327">
        <f t="shared" si="8"/>
        <v>3.838129247636728E-5</v>
      </c>
      <c r="P3" s="327">
        <f t="shared" si="9"/>
        <v>1.0348841019144949E-5</v>
      </c>
      <c r="Q3" s="327">
        <f t="shared" si="10"/>
        <v>2.7058260504443576E-6</v>
      </c>
      <c r="R3" s="327">
        <f t="shared" si="11"/>
        <v>6.8904630767822462E-7</v>
      </c>
      <c r="S3" s="327">
        <f t="shared" si="12"/>
        <v>1.7149774878272827E-7</v>
      </c>
      <c r="T3" s="327">
        <f t="shared" si="13"/>
        <v>4.1837415639705668E-8</v>
      </c>
      <c r="U3" s="327">
        <f t="shared" si="14"/>
        <v>1.0027310127686043E-8</v>
      </c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1:39">
      <c r="B4" s="87">
        <f>'First 5 Innings'!$G$33</f>
        <v>1.5819340230731458</v>
      </c>
      <c r="C4" s="87">
        <f>'First 5 Innings'!$G$34</f>
        <v>1.4682906927348096</v>
      </c>
      <c r="D4" s="87"/>
      <c r="E4" s="324">
        <v>2</v>
      </c>
      <c r="F4" s="328">
        <f t="shared" si="15"/>
        <v>6.5411245545377736E-2</v>
      </c>
      <c r="G4" s="328">
        <f t="shared" si="0"/>
        <v>7.0547971403535026E-2</v>
      </c>
      <c r="H4" s="326">
        <f t="shared" si="1"/>
        <v>4.4384714984914211E-2</v>
      </c>
      <c r="I4" s="327">
        <f t="shared" si="2"/>
        <v>2.1275659372244175E-2</v>
      </c>
      <c r="J4" s="327">
        <f t="shared" si="3"/>
        <v>8.6049114900081086E-3</v>
      </c>
      <c r="K4" s="327">
        <f t="shared" si="4"/>
        <v>3.0935508854559569E-3</v>
      </c>
      <c r="L4" s="327">
        <f t="shared" si="5"/>
        <v>1.0194819940158347E-3</v>
      </c>
      <c r="M4" s="327">
        <f t="shared" si="6"/>
        <v>3.1415474711718141E-4</v>
      </c>
      <c r="N4" s="327">
        <f t="shared" si="7"/>
        <v>9.1765165627790684E-5</v>
      </c>
      <c r="O4" s="327">
        <f t="shared" si="8"/>
        <v>2.565926664841373E-5</v>
      </c>
      <c r="P4" s="327">
        <f t="shared" si="9"/>
        <v>6.9185703263064051E-6</v>
      </c>
      <c r="Q4" s="327">
        <f t="shared" si="10"/>
        <v>1.8089414830239536E-6</v>
      </c>
      <c r="R4" s="327">
        <f t="shared" si="11"/>
        <v>4.6065209900648745E-7</v>
      </c>
      <c r="S4" s="327">
        <f t="shared" si="12"/>
        <v>1.1465237832541056E-7</v>
      </c>
      <c r="T4" s="327">
        <f t="shared" si="13"/>
        <v>2.796980858423997E-8</v>
      </c>
      <c r="U4" s="327">
        <f t="shared" si="14"/>
        <v>6.7036154264752901E-9</v>
      </c>
      <c r="V4" s="87"/>
      <c r="W4" s="87"/>
      <c r="X4" s="87"/>
      <c r="Y4" s="87"/>
      <c r="Z4" s="87"/>
      <c r="AA4" s="87"/>
      <c r="AB4" s="87"/>
      <c r="AC4" s="87"/>
      <c r="AD4" s="87"/>
      <c r="AE4" s="87"/>
      <c r="AF4" s="76"/>
      <c r="AG4" s="76"/>
      <c r="AH4" s="76"/>
      <c r="AI4" s="76"/>
      <c r="AJ4" s="76"/>
      <c r="AK4" s="76"/>
      <c r="AL4" s="76"/>
      <c r="AM4" s="76"/>
    </row>
    <row r="5" spans="1:39">
      <c r="A5" s="1">
        <v>0</v>
      </c>
      <c r="B5" s="93">
        <f t="shared" ref="B5:B20" si="16">_xlfn.NEGBINOM.DIST(A5,$A$2,$A$2/($A$2+$B$4),FALSE)</f>
        <v>0.28032266778665016</v>
      </c>
      <c r="C5" s="93">
        <f>_xlfn.NEGBINOM.DIST(A5,$A$2,$A$2/($A$2+$C$4),FALSE)</f>
        <v>0.3045521755293451</v>
      </c>
      <c r="D5" s="93"/>
      <c r="E5" s="324">
        <v>3</v>
      </c>
      <c r="F5" s="328">
        <f t="shared" si="15"/>
        <v>3.3317910053873558E-2</v>
      </c>
      <c r="G5" s="328">
        <f t="shared" si="0"/>
        <v>3.5934355722910122E-2</v>
      </c>
      <c r="H5" s="328">
        <f t="shared" si="1"/>
        <v>2.2607824225091288E-2</v>
      </c>
      <c r="I5" s="326">
        <f t="shared" si="2"/>
        <v>1.0836982225166858E-2</v>
      </c>
      <c r="J5" s="327">
        <f t="shared" si="3"/>
        <v>4.3830027184965075E-3</v>
      </c>
      <c r="K5" s="327">
        <f t="shared" si="4"/>
        <v>1.5757328772649539E-3</v>
      </c>
      <c r="L5" s="327">
        <f t="shared" si="5"/>
        <v>5.192839410862359E-4</v>
      </c>
      <c r="M5" s="327">
        <f t="shared" si="6"/>
        <v>1.6001804460651013E-4</v>
      </c>
      <c r="N5" s="327">
        <f t="shared" si="7"/>
        <v>4.6741558106312364E-5</v>
      </c>
      <c r="O5" s="327">
        <f t="shared" si="8"/>
        <v>1.3069818975502117E-5</v>
      </c>
      <c r="P5" s="327">
        <f t="shared" si="9"/>
        <v>3.5240470031007457E-6</v>
      </c>
      <c r="Q5" s="327">
        <f t="shared" si="10"/>
        <v>9.2140348531204039E-7</v>
      </c>
      <c r="R5" s="327">
        <f t="shared" si="11"/>
        <v>2.346380209222413E-7</v>
      </c>
      <c r="S5" s="327">
        <f t="shared" si="12"/>
        <v>5.8399402070071854E-8</v>
      </c>
      <c r="T5" s="327">
        <f t="shared" si="13"/>
        <v>1.424671795902868E-8</v>
      </c>
      <c r="U5" s="327">
        <f t="shared" si="14"/>
        <v>3.4145574503717104E-9</v>
      </c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</row>
    <row r="6" spans="1:39">
      <c r="A6" s="1">
        <v>1</v>
      </c>
      <c r="B6" s="93">
        <f t="shared" si="16"/>
        <v>0.3212669632780647</v>
      </c>
      <c r="C6" s="93">
        <f t="shared" ref="C6:C20" si="17">NEGBINOMDIST(A6,$A$2,$A$2/($A$2+$C$4))</f>
        <v>0.32846856822537429</v>
      </c>
      <c r="D6" s="93"/>
      <c r="E6" s="324">
        <v>4</v>
      </c>
      <c r="F6" s="328">
        <f t="shared" si="15"/>
        <v>1.4319137839835199E-2</v>
      </c>
      <c r="G6" s="328">
        <f t="shared" si="0"/>
        <v>1.5443615519401377E-2</v>
      </c>
      <c r="H6" s="328">
        <f t="shared" si="1"/>
        <v>9.7162322250825325E-3</v>
      </c>
      <c r="I6" s="328">
        <f t="shared" si="2"/>
        <v>4.6574422585058672E-3</v>
      </c>
      <c r="J6" s="326">
        <f t="shared" si="3"/>
        <v>1.883696185536322E-3</v>
      </c>
      <c r="K6" s="327">
        <f t="shared" si="4"/>
        <v>6.7720743083324927E-4</v>
      </c>
      <c r="L6" s="327">
        <f t="shared" si="5"/>
        <v>2.2317421226011728E-4</v>
      </c>
      <c r="M6" s="327">
        <f t="shared" si="6"/>
        <v>6.8771433558604202E-5</v>
      </c>
      <c r="N6" s="327">
        <f t="shared" si="7"/>
        <v>2.0088259206256548E-5</v>
      </c>
      <c r="O6" s="327">
        <f t="shared" si="8"/>
        <v>5.6170551859134534E-6</v>
      </c>
      <c r="P6" s="327">
        <f t="shared" si="9"/>
        <v>1.5145402190552784E-6</v>
      </c>
      <c r="Q6" s="327">
        <f t="shared" si="10"/>
        <v>3.9599433130571667E-7</v>
      </c>
      <c r="R6" s="327">
        <f t="shared" si="11"/>
        <v>1.0084108392810475E-7</v>
      </c>
      <c r="S6" s="327">
        <f t="shared" si="12"/>
        <v>2.5098485668914144E-8</v>
      </c>
      <c r="T6" s="327">
        <f t="shared" si="13"/>
        <v>6.1228545815366964E-9</v>
      </c>
      <c r="U6" s="327">
        <f t="shared" si="14"/>
        <v>1.4674845665544491E-9</v>
      </c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</row>
    <row r="7" spans="1:39">
      <c r="A7" s="1">
        <v>2</v>
      </c>
      <c r="B7" s="93">
        <f t="shared" si="16"/>
        <v>0.21477845440337379</v>
      </c>
      <c r="C7" s="93">
        <f t="shared" si="17"/>
        <v>0.20665347978319842</v>
      </c>
      <c r="D7" s="93"/>
      <c r="E7" s="324">
        <v>5</v>
      </c>
      <c r="F7" s="328">
        <f t="shared" si="15"/>
        <v>5.4702032802487997E-3</v>
      </c>
      <c r="G7" s="328">
        <f t="shared" si="0"/>
        <v>5.8997767336320985E-3</v>
      </c>
      <c r="H7" s="328">
        <f t="shared" si="1"/>
        <v>3.7117992705849442E-3</v>
      </c>
      <c r="I7" s="328">
        <f t="shared" si="2"/>
        <v>1.7792381220866434E-3</v>
      </c>
      <c r="J7" s="328">
        <f t="shared" si="3"/>
        <v>7.1961043802840671E-4</v>
      </c>
      <c r="K7" s="326">
        <f t="shared" si="4"/>
        <v>2.5870707796717021E-4</v>
      </c>
      <c r="L7" s="327">
        <f t="shared" si="5"/>
        <v>8.5257109864254644E-5</v>
      </c>
      <c r="M7" s="327">
        <f t="shared" si="6"/>
        <v>2.6272093030149836E-5</v>
      </c>
      <c r="N7" s="327">
        <f t="shared" si="7"/>
        <v>7.6741255397969838E-6</v>
      </c>
      <c r="O7" s="327">
        <f t="shared" si="8"/>
        <v>2.1458298709746859E-6</v>
      </c>
      <c r="P7" s="327">
        <f t="shared" si="9"/>
        <v>5.7858531477341175E-7</v>
      </c>
      <c r="Q7" s="327">
        <f t="shared" si="10"/>
        <v>1.5127792708596427E-7</v>
      </c>
      <c r="R7" s="327">
        <f t="shared" si="11"/>
        <v>3.8523354845623293E-8</v>
      </c>
      <c r="S7" s="327">
        <f t="shared" si="12"/>
        <v>9.5881344373560251E-9</v>
      </c>
      <c r="T7" s="327">
        <f t="shared" si="13"/>
        <v>2.339055576602642E-9</v>
      </c>
      <c r="U7" s="327">
        <f t="shared" si="14"/>
        <v>5.6060909389032221E-10</v>
      </c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</row>
    <row r="8" spans="1:39">
      <c r="A8" s="1">
        <v>3</v>
      </c>
      <c r="B8" s="93">
        <f t="shared" si="16"/>
        <v>0.1093996783833948</v>
      </c>
      <c r="C8" s="93">
        <f t="shared" si="17"/>
        <v>9.9058629653263633E-2</v>
      </c>
      <c r="D8" s="93"/>
      <c r="E8" s="324">
        <v>6</v>
      </c>
      <c r="F8" s="328">
        <f t="shared" si="15"/>
        <v>1.915585321787548E-3</v>
      </c>
      <c r="G8" s="328">
        <f t="shared" si="0"/>
        <v>2.0660156732338671E-3</v>
      </c>
      <c r="H8" s="328">
        <f t="shared" si="1"/>
        <v>1.2998179109407525E-3</v>
      </c>
      <c r="I8" s="328">
        <f t="shared" si="2"/>
        <v>6.23063212831644E-4</v>
      </c>
      <c r="J8" s="328">
        <f t="shared" si="3"/>
        <v>2.5199706882367029E-4</v>
      </c>
      <c r="K8" s="328">
        <f t="shared" si="4"/>
        <v>9.0595441486759134E-5</v>
      </c>
      <c r="L8" s="326">
        <f t="shared" si="5"/>
        <v>2.9855795089678359E-5</v>
      </c>
      <c r="M8" s="327">
        <f t="shared" si="6"/>
        <v>9.2001033970538261E-6</v>
      </c>
      <c r="N8" s="327">
        <f t="shared" si="7"/>
        <v>2.6873667190155007E-6</v>
      </c>
      <c r="O8" s="327">
        <f t="shared" si="8"/>
        <v>7.5143829091949556E-7</v>
      </c>
      <c r="P8" s="327">
        <f t="shared" si="9"/>
        <v>2.0261212967781443E-7</v>
      </c>
      <c r="Q8" s="327">
        <f t="shared" si="10"/>
        <v>5.2975321352799866E-8</v>
      </c>
      <c r="R8" s="327">
        <f t="shared" si="11"/>
        <v>1.3490316411958425E-8</v>
      </c>
      <c r="S8" s="327">
        <f t="shared" si="12"/>
        <v>3.3576246897152855E-9</v>
      </c>
      <c r="T8" s="327">
        <f t="shared" si="13"/>
        <v>8.1910311186489182E-10</v>
      </c>
      <c r="U8" s="327">
        <f t="shared" si="14"/>
        <v>1.9631711958391333E-10</v>
      </c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</row>
    <row r="9" spans="1:39">
      <c r="A9" s="1">
        <v>4</v>
      </c>
      <c r="B9" s="93">
        <f t="shared" si="16"/>
        <v>4.7017026934537458E-2</v>
      </c>
      <c r="C9" s="93">
        <f t="shared" si="17"/>
        <v>4.0064128005350523E-2</v>
      </c>
      <c r="D9" s="93"/>
      <c r="E9" s="324">
        <v>7</v>
      </c>
      <c r="F9" s="328">
        <f t="shared" si="15"/>
        <v>6.2725091979575864E-4</v>
      </c>
      <c r="G9" s="328">
        <f t="shared" si="0"/>
        <v>6.7650874988909649E-4</v>
      </c>
      <c r="H9" s="328">
        <f t="shared" si="1"/>
        <v>4.2562029001337918E-4</v>
      </c>
      <c r="I9" s="328">
        <f t="shared" si="2"/>
        <v>2.0401961160093586E-4</v>
      </c>
      <c r="J9" s="328">
        <f t="shared" si="3"/>
        <v>8.2515454366700804E-5</v>
      </c>
      <c r="K9" s="328">
        <f t="shared" si="4"/>
        <v>2.9665122902928003E-5</v>
      </c>
      <c r="L9" s="328">
        <f t="shared" si="5"/>
        <v>9.7761633054063521E-6</v>
      </c>
      <c r="M9" s="326">
        <f t="shared" si="6"/>
        <v>3.0125378663024211E-6</v>
      </c>
      <c r="N9" s="327">
        <f t="shared" si="7"/>
        <v>8.7996771908755202E-7</v>
      </c>
      <c r="O9" s="327">
        <f t="shared" si="8"/>
        <v>2.4605552871389218E-7</v>
      </c>
      <c r="P9" s="327">
        <f t="shared" si="9"/>
        <v>6.6344549238659111E-8</v>
      </c>
      <c r="Q9" s="327">
        <f t="shared" si="10"/>
        <v>1.7346561736029487E-8</v>
      </c>
      <c r="R9" s="327">
        <f t="shared" si="11"/>
        <v>4.4173513345991364E-9</v>
      </c>
      <c r="S9" s="327">
        <f t="shared" si="12"/>
        <v>1.0994410695251924E-9</v>
      </c>
      <c r="T9" s="327">
        <f t="shared" si="13"/>
        <v>2.6821210962578244E-10</v>
      </c>
      <c r="U9" s="327">
        <f t="shared" si="14"/>
        <v>6.4283272809667453E-11</v>
      </c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</row>
    <row r="10" spans="1:39">
      <c r="A10" s="1">
        <v>5</v>
      </c>
      <c r="B10" s="93">
        <f t="shared" si="16"/>
        <v>1.7961465127415314E-2</v>
      </c>
      <c r="C10" s="93">
        <f t="shared" si="17"/>
        <v>1.4403450728097626E-2</v>
      </c>
      <c r="D10" s="93"/>
      <c r="E10" s="324">
        <v>8</v>
      </c>
      <c r="F10" s="328">
        <f t="shared" si="15"/>
        <v>1.9469341924599598E-4</v>
      </c>
      <c r="G10" s="328">
        <f t="shared" si="0"/>
        <v>2.0998263614922978E-4</v>
      </c>
      <c r="H10" s="328">
        <f t="shared" si="1"/>
        <v>1.3210896460727286E-4</v>
      </c>
      <c r="I10" s="328">
        <f t="shared" si="2"/>
        <v>6.3325974537845327E-5</v>
      </c>
      <c r="J10" s="328">
        <f t="shared" si="3"/>
        <v>2.5612104254101342E-5</v>
      </c>
      <c r="K10" s="328">
        <f t="shared" si="4"/>
        <v>9.2078050873235459E-6</v>
      </c>
      <c r="L10" s="328">
        <f t="shared" si="5"/>
        <v>3.0344390115148155E-6</v>
      </c>
      <c r="M10" s="328">
        <f t="shared" si="6"/>
        <v>9.3506646110528582E-7</v>
      </c>
      <c r="N10" s="326">
        <f t="shared" si="7"/>
        <v>2.7313459199237357E-7</v>
      </c>
      <c r="O10" s="327">
        <f t="shared" si="8"/>
        <v>7.6373570285536866E-8</v>
      </c>
      <c r="P10" s="327">
        <f t="shared" si="9"/>
        <v>2.0592791069664404E-8</v>
      </c>
      <c r="Q10" s="327">
        <f t="shared" si="10"/>
        <v>5.384227125006086E-9</v>
      </c>
      <c r="R10" s="327">
        <f t="shared" si="11"/>
        <v>1.3711087671645131E-9</v>
      </c>
      <c r="S10" s="327">
        <f t="shared" si="12"/>
        <v>3.4125727731899276E-10</v>
      </c>
      <c r="T10" s="327">
        <f t="shared" si="13"/>
        <v>8.3250786978883583E-11</v>
      </c>
      <c r="U10" s="327">
        <f t="shared" si="14"/>
        <v>1.9952988172121848E-11</v>
      </c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</row>
    <row r="11" spans="1:39">
      <c r="A11" s="1">
        <v>6</v>
      </c>
      <c r="B11" s="93">
        <f t="shared" si="16"/>
        <v>6.2898428437033835E-3</v>
      </c>
      <c r="C11" s="93">
        <f t="shared" si="17"/>
        <v>4.7466678948212999E-3</v>
      </c>
      <c r="D11" s="93"/>
      <c r="E11" s="324">
        <v>9</v>
      </c>
      <c r="F11" s="328">
        <f t="shared" si="15"/>
        <v>5.7848672700239038E-5</v>
      </c>
      <c r="G11" s="328">
        <f t="shared" si="0"/>
        <v>6.2391511938994268E-5</v>
      </c>
      <c r="H11" s="328">
        <f t="shared" si="1"/>
        <v>3.9253141086794908E-5</v>
      </c>
      <c r="I11" s="328">
        <f t="shared" si="2"/>
        <v>1.8815857200776054E-5</v>
      </c>
      <c r="J11" s="328">
        <f t="shared" si="3"/>
        <v>7.6100478480367501E-6</v>
      </c>
      <c r="K11" s="328">
        <f t="shared" si="4"/>
        <v>2.7358875551471946E-6</v>
      </c>
      <c r="L11" s="328">
        <f t="shared" si="5"/>
        <v>9.0161377762935107E-7</v>
      </c>
      <c r="M11" s="328">
        <f t="shared" si="6"/>
        <v>2.7783349776760844E-7</v>
      </c>
      <c r="N11" s="328">
        <f t="shared" si="7"/>
        <v>8.1155663486068742E-8</v>
      </c>
      <c r="O11" s="326">
        <f t="shared" si="8"/>
        <v>2.269265025755402E-8</v>
      </c>
      <c r="P11" s="327">
        <f t="shared" si="9"/>
        <v>6.1186743506119851E-9</v>
      </c>
      <c r="Q11" s="327">
        <f t="shared" si="10"/>
        <v>1.5997992839433463E-9</v>
      </c>
      <c r="R11" s="327">
        <f t="shared" si="11"/>
        <v>4.0739344254831242E-10</v>
      </c>
      <c r="S11" s="327">
        <f t="shared" si="12"/>
        <v>1.0139675300097291E-10</v>
      </c>
      <c r="T11" s="327">
        <f t="shared" si="13"/>
        <v>2.4736057061557833E-11</v>
      </c>
      <c r="U11" s="327">
        <f t="shared" si="14"/>
        <v>5.9285716313935223E-12</v>
      </c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</row>
    <row r="12" spans="1:39">
      <c r="A12" s="1">
        <v>7</v>
      </c>
      <c r="B12" s="93">
        <f t="shared" si="16"/>
        <v>2.0595844331288316E-3</v>
      </c>
      <c r="C12" s="93">
        <f t="shared" si="17"/>
        <v>1.4626920935335989E-3</v>
      </c>
      <c r="D12" s="93"/>
      <c r="E12" s="324">
        <v>10</v>
      </c>
      <c r="F12" s="328">
        <f t="shared" si="15"/>
        <v>1.6574531373803439E-5</v>
      </c>
      <c r="G12" s="328">
        <f t="shared" si="0"/>
        <v>1.7876124443692194E-5</v>
      </c>
      <c r="H12" s="328">
        <f t="shared" si="1"/>
        <v>1.1246626553295607E-5</v>
      </c>
      <c r="I12" s="328">
        <f t="shared" si="2"/>
        <v>5.3910314782032928E-6</v>
      </c>
      <c r="J12" s="328">
        <f t="shared" si="3"/>
        <v>2.180395347478893E-6</v>
      </c>
      <c r="K12" s="328">
        <f t="shared" si="4"/>
        <v>7.8387371743099977E-7</v>
      </c>
      <c r="L12" s="328">
        <f t="shared" si="5"/>
        <v>2.5832616630302336E-7</v>
      </c>
      <c r="M12" s="328">
        <f t="shared" si="6"/>
        <v>7.9603555457612862E-8</v>
      </c>
      <c r="N12" s="328">
        <f t="shared" si="7"/>
        <v>2.32523414596187E-8</v>
      </c>
      <c r="O12" s="328">
        <f t="shared" si="8"/>
        <v>6.5017921084820953E-9</v>
      </c>
      <c r="P12" s="326">
        <f t="shared" si="9"/>
        <v>1.7530939822217508E-9</v>
      </c>
      <c r="Q12" s="327">
        <f t="shared" si="10"/>
        <v>4.583670149340817E-10</v>
      </c>
      <c r="R12" s="327">
        <f t="shared" si="11"/>
        <v>1.1672446539937453E-10</v>
      </c>
      <c r="S12" s="327">
        <f t="shared" si="12"/>
        <v>2.9051723840320353E-11</v>
      </c>
      <c r="T12" s="327">
        <f t="shared" si="13"/>
        <v>7.0872594770750596E-12</v>
      </c>
      <c r="U12" s="327">
        <f t="shared" si="14"/>
        <v>1.6986266394659552E-12</v>
      </c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</row>
    <row r="13" spans="1:39">
      <c r="A13" s="1">
        <v>8</v>
      </c>
      <c r="B13" s="93">
        <f t="shared" si="16"/>
        <v>6.3927771623235809E-4</v>
      </c>
      <c r="C13" s="93">
        <f t="shared" si="17"/>
        <v>4.2725498645896401E-4</v>
      </c>
      <c r="D13" s="93"/>
      <c r="E13" s="324">
        <v>11</v>
      </c>
      <c r="F13" s="328">
        <f t="shared" si="15"/>
        <v>4.6049525100894796E-6</v>
      </c>
      <c r="G13" s="328">
        <f t="shared" si="0"/>
        <v>4.9665780751882694E-6</v>
      </c>
      <c r="H13" s="328">
        <f t="shared" si="1"/>
        <v>3.124684493855047E-6</v>
      </c>
      <c r="I13" s="328">
        <f t="shared" si="2"/>
        <v>1.4978066877209592E-6</v>
      </c>
      <c r="J13" s="328">
        <f t="shared" si="3"/>
        <v>6.0578587725441566E-7</v>
      </c>
      <c r="K13" s="328">
        <f t="shared" si="4"/>
        <v>2.1778602129181755E-7</v>
      </c>
      <c r="L13" s="328">
        <f t="shared" si="5"/>
        <v>7.1771545216600651E-8</v>
      </c>
      <c r="M13" s="328">
        <f t="shared" si="6"/>
        <v>2.2116498153061366E-8</v>
      </c>
      <c r="N13" s="328">
        <f t="shared" si="7"/>
        <v>6.4602688157546119E-9</v>
      </c>
      <c r="O13" s="328">
        <f t="shared" si="8"/>
        <v>1.8064126951641237E-9</v>
      </c>
      <c r="P13" s="328">
        <f t="shared" si="9"/>
        <v>4.8706743809446727E-10</v>
      </c>
      <c r="Q13" s="326">
        <f t="shared" si="10"/>
        <v>1.2734950318408642E-10</v>
      </c>
      <c r="R13" s="327">
        <f t="shared" si="11"/>
        <v>3.2429913570844875E-11</v>
      </c>
      <c r="S13" s="327">
        <f t="shared" si="12"/>
        <v>8.0715288778755987E-12</v>
      </c>
      <c r="T13" s="327">
        <f t="shared" si="13"/>
        <v>1.9690748765419238E-12</v>
      </c>
      <c r="U13" s="327">
        <f t="shared" si="14"/>
        <v>4.7193461043952483E-13</v>
      </c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</row>
    <row r="14" spans="1:39">
      <c r="A14" s="1">
        <v>9</v>
      </c>
      <c r="B14" s="93">
        <f t="shared" si="16"/>
        <v>1.899466736682859E-4</v>
      </c>
      <c r="C14" s="93">
        <f t="shared" si="17"/>
        <v>1.1946853197957769E-4</v>
      </c>
      <c r="D14" s="93"/>
      <c r="E14" s="324">
        <v>12</v>
      </c>
      <c r="F14" s="328">
        <f t="shared" si="15"/>
        <v>1.246090058904902E-6</v>
      </c>
      <c r="G14" s="328">
        <f t="shared" si="0"/>
        <v>1.343945144430358E-6</v>
      </c>
      <c r="H14" s="328">
        <f t="shared" si="1"/>
        <v>8.4553277726015271E-7</v>
      </c>
      <c r="I14" s="328">
        <f t="shared" si="2"/>
        <v>4.0530320771844392E-7</v>
      </c>
      <c r="J14" s="328">
        <f t="shared" si="3"/>
        <v>1.639243309931647E-7</v>
      </c>
      <c r="K14" s="328">
        <f t="shared" si="4"/>
        <v>5.893242015104123E-8</v>
      </c>
      <c r="L14" s="328">
        <f t="shared" si="5"/>
        <v>1.9421222870529003E-8</v>
      </c>
      <c r="M14" s="328">
        <f t="shared" si="6"/>
        <v>5.9846759387716002E-9</v>
      </c>
      <c r="N14" s="328">
        <f t="shared" si="7"/>
        <v>1.7481345858675843E-9</v>
      </c>
      <c r="O14" s="328">
        <f t="shared" si="8"/>
        <v>4.888113171182056E-10</v>
      </c>
      <c r="P14" s="328">
        <f t="shared" si="9"/>
        <v>1.3179938149112445E-10</v>
      </c>
      <c r="Q14" s="328">
        <f t="shared" si="10"/>
        <v>3.4460496514671924E-11</v>
      </c>
      <c r="R14" s="326">
        <f t="shared" si="11"/>
        <v>8.7754635521723858E-12</v>
      </c>
      <c r="S14" s="327">
        <f t="shared" si="12"/>
        <v>2.1841380281007904E-12</v>
      </c>
      <c r="T14" s="327">
        <f t="shared" si="13"/>
        <v>5.3282734697531357E-13</v>
      </c>
      <c r="U14" s="327">
        <f t="shared" si="14"/>
        <v>1.2770447148659572E-13</v>
      </c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</row>
    <row r="15" spans="1:39">
      <c r="A15" s="1">
        <v>10</v>
      </c>
      <c r="B15" s="93">
        <f t="shared" si="16"/>
        <v>5.4422633313963645E-5</v>
      </c>
      <c r="C15" s="93">
        <f t="shared" si="17"/>
        <v>3.2212590157263589E-5</v>
      </c>
      <c r="D15" s="93"/>
      <c r="E15" s="324">
        <v>13</v>
      </c>
      <c r="F15" s="328">
        <f t="shared" si="15"/>
        <v>3.295605236935089E-7</v>
      </c>
      <c r="G15" s="328">
        <f t="shared" si="0"/>
        <v>3.5544081460938684E-7</v>
      </c>
      <c r="H15" s="328">
        <f t="shared" si="1"/>
        <v>2.2362286167243152E-7</v>
      </c>
      <c r="I15" s="328">
        <f t="shared" si="2"/>
        <v>1.0719284407720582E-7</v>
      </c>
      <c r="J15" s="328">
        <f t="shared" si="3"/>
        <v>4.335399996344753E-8</v>
      </c>
      <c r="K15" s="328">
        <f t="shared" si="4"/>
        <v>1.558619227294972E-8</v>
      </c>
      <c r="L15" s="328">
        <f t="shared" si="5"/>
        <v>5.1364412501651744E-9</v>
      </c>
      <c r="M15" s="328">
        <f t="shared" si="6"/>
        <v>1.5828012770207259E-9</v>
      </c>
      <c r="N15" s="328">
        <f t="shared" si="7"/>
        <v>4.6233909458483524E-10</v>
      </c>
      <c r="O15" s="328">
        <f t="shared" si="8"/>
        <v>1.2927870863391891E-10</v>
      </c>
      <c r="P15" s="328">
        <f t="shared" si="9"/>
        <v>3.4857731892081835E-11</v>
      </c>
      <c r="Q15" s="328">
        <f t="shared" si="10"/>
        <v>9.1139634707416735E-12</v>
      </c>
      <c r="R15" s="328">
        <f t="shared" si="11"/>
        <v>2.3208967467799564E-12</v>
      </c>
      <c r="S15" s="326">
        <f t="shared" si="12"/>
        <v>5.7765140425916667E-13</v>
      </c>
      <c r="T15" s="327">
        <f t="shared" si="13"/>
        <v>1.4091987834469074E-13</v>
      </c>
      <c r="U15" s="327">
        <f t="shared" si="14"/>
        <v>3.3774727757728761E-14</v>
      </c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</row>
    <row r="16" spans="1:39">
      <c r="A16" s="1">
        <v>11</v>
      </c>
      <c r="B16" s="93">
        <f t="shared" si="16"/>
        <v>1.5120405894607605E-5</v>
      </c>
      <c r="C16" s="93">
        <f t="shared" si="17"/>
        <v>8.4223600921654566E-6</v>
      </c>
      <c r="D16" s="93"/>
      <c r="E16" s="324">
        <v>14</v>
      </c>
      <c r="F16" s="328">
        <f t="shared" si="15"/>
        <v>8.5431365851454399E-8</v>
      </c>
      <c r="G16" s="328">
        <f t="shared" si="0"/>
        <v>9.2140265864104762E-8</v>
      </c>
      <c r="H16" s="328">
        <f t="shared" si="1"/>
        <v>5.7969341394947423E-8</v>
      </c>
      <c r="I16" s="328">
        <f t="shared" si="2"/>
        <v>2.7787402982567991E-8</v>
      </c>
      <c r="J16" s="328">
        <f t="shared" si="3"/>
        <v>1.1238577334722742E-8</v>
      </c>
      <c r="K16" s="328">
        <f t="shared" si="4"/>
        <v>4.0403798348731219E-9</v>
      </c>
      <c r="L16" s="328">
        <f t="shared" si="5"/>
        <v>1.3315101781591377E-9</v>
      </c>
      <c r="M16" s="328">
        <f t="shared" si="6"/>
        <v>4.1030665157293596E-10</v>
      </c>
      <c r="N16" s="328">
        <f t="shared" si="7"/>
        <v>1.1985130953864061E-10</v>
      </c>
      <c r="O16" s="328">
        <f t="shared" si="8"/>
        <v>3.3512680858521883E-11</v>
      </c>
      <c r="P16" s="328">
        <f t="shared" si="9"/>
        <v>9.0361054553786266E-12</v>
      </c>
      <c r="Q16" s="328">
        <f t="shared" si="10"/>
        <v>2.3625959168272158E-12</v>
      </c>
      <c r="R16" s="328">
        <f t="shared" si="11"/>
        <v>6.016417769198796E-13</v>
      </c>
      <c r="S16" s="328">
        <f t="shared" si="12"/>
        <v>1.49743506591118E-13</v>
      </c>
      <c r="T16" s="326">
        <f t="shared" si="13"/>
        <v>3.6530399781146004E-14</v>
      </c>
      <c r="U16" s="327">
        <f t="shared" si="14"/>
        <v>8.7553602939629937E-15</v>
      </c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</row>
    <row r="17" spans="1:39">
      <c r="A17" s="1">
        <v>12</v>
      </c>
      <c r="B17" s="93">
        <f t="shared" si="16"/>
        <v>4.0915487034005279E-6</v>
      </c>
      <c r="C17" s="93">
        <f t="shared" si="17"/>
        <v>2.1447779773167575E-6</v>
      </c>
      <c r="D17" s="93"/>
      <c r="E17" s="324">
        <v>15</v>
      </c>
      <c r="F17" s="328">
        <f t="shared" si="15"/>
        <v>2.1757685085232728E-8</v>
      </c>
      <c r="G17" s="328">
        <f t="shared" si="0"/>
        <v>2.346630969036159E-8</v>
      </c>
      <c r="H17" s="328">
        <f t="shared" si="1"/>
        <v>1.4763648714954257E-8</v>
      </c>
      <c r="I17" s="328">
        <f t="shared" si="2"/>
        <v>7.076903867865275E-9</v>
      </c>
      <c r="J17" s="328">
        <f t="shared" si="3"/>
        <v>2.8622441420415236E-9</v>
      </c>
      <c r="K17" s="328">
        <f t="shared" si="4"/>
        <v>1.0290051106609741E-9</v>
      </c>
      <c r="L17" s="328">
        <f t="shared" si="5"/>
        <v>3.3910939917011109E-10</v>
      </c>
      <c r="M17" s="328">
        <f t="shared" si="6"/>
        <v>1.0449701727610001E-10</v>
      </c>
      <c r="N17" s="328">
        <f t="shared" si="7"/>
        <v>3.0523766347463799E-11</v>
      </c>
      <c r="O17" s="328">
        <f t="shared" si="8"/>
        <v>8.5350193013355955E-12</v>
      </c>
      <c r="P17" s="328">
        <f t="shared" si="9"/>
        <v>2.3013179636731115E-12</v>
      </c>
      <c r="Q17" s="328">
        <f t="shared" si="10"/>
        <v>6.0170661477383058E-13</v>
      </c>
      <c r="R17" s="328">
        <f t="shared" si="11"/>
        <v>1.532263026100235E-13</v>
      </c>
      <c r="S17" s="328">
        <f t="shared" si="12"/>
        <v>3.8136719780801107E-14</v>
      </c>
      <c r="T17" s="328">
        <f t="shared" si="13"/>
        <v>9.3035728336338918E-15</v>
      </c>
      <c r="U17" s="326">
        <f t="shared" si="14"/>
        <v>2.2298177043666496E-15</v>
      </c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</row>
    <row r="18" spans="1:39">
      <c r="A18" s="1">
        <v>13</v>
      </c>
      <c r="B18" s="93">
        <f t="shared" si="16"/>
        <v>1.0821151519298673E-6</v>
      </c>
      <c r="C18" s="93">
        <f t="shared" si="17"/>
        <v>5.3381694473917201E-7</v>
      </c>
      <c r="D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</row>
    <row r="19" spans="1:39">
      <c r="A19" s="1">
        <v>14</v>
      </c>
      <c r="B19" s="93">
        <f t="shared" si="16"/>
        <v>2.8051471214403674E-7</v>
      </c>
      <c r="C19" s="93">
        <f t="shared" si="17"/>
        <v>1.302263239668821E-7</v>
      </c>
      <c r="D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</row>
    <row r="20" spans="1:39">
      <c r="A20" s="1">
        <v>15</v>
      </c>
      <c r="B20" s="93">
        <f t="shared" si="16"/>
        <v>7.1441568418992517E-8</v>
      </c>
      <c r="C20" s="93">
        <f t="shared" si="17"/>
        <v>3.1211768634321581E-8</v>
      </c>
      <c r="D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</row>
    <row r="21" spans="1:39">
      <c r="A21" s="1" t="s">
        <v>344</v>
      </c>
      <c r="B21" s="322">
        <f>SUM(F3:F17,G4:G17,H5:H17,I6:I17,J7:J17,K8:K17,L9:L17,M10:M17,N11:N17,O12:O17,P13:P17,Q14:Q17,R15:R17,S16:S17,T17)</f>
        <v>0.39658522841172617</v>
      </c>
      <c r="C21" s="323">
        <f>SUM(G2:U2,H3:U3,I4:U4,J5:U5,K6:U6,L7:U7,M8:U8,N9:U9,O10:U10,P11:U11,Q12:U12,R13:U13,S14:U14,T15:U15,U16)</f>
        <v>0.35511849394818301</v>
      </c>
    </row>
    <row r="22" spans="1:39">
      <c r="A22" s="1" t="s">
        <v>348</v>
      </c>
      <c r="B22" s="401">
        <f>1-B21-C21</f>
        <v>0.24829627764009082</v>
      </c>
      <c r="C22" s="377"/>
    </row>
    <row r="23" spans="1:39">
      <c r="A23" s="1" t="s">
        <v>349</v>
      </c>
      <c r="B23" s="329">
        <f>B21/(B21+C21)</f>
        <v>0.52758183392611246</v>
      </c>
      <c r="C23" s="330">
        <f>C21/(B21+C21)</f>
        <v>0.47241816607388748</v>
      </c>
    </row>
    <row r="24" spans="1:39">
      <c r="B24" s="71"/>
      <c r="C24" s="71"/>
    </row>
    <row r="42" spans="2:3">
      <c r="B42" s="71"/>
      <c r="C42" s="71"/>
    </row>
    <row r="43" spans="2:3">
      <c r="B43" s="71"/>
      <c r="C43" s="71"/>
    </row>
    <row r="44" spans="2:3">
      <c r="B44" s="71"/>
      <c r="C44" s="71"/>
    </row>
    <row r="45" spans="2:3">
      <c r="B45" s="71"/>
      <c r="C45" s="71"/>
    </row>
    <row r="46" spans="2:3">
      <c r="B46" s="71"/>
      <c r="C46" s="71"/>
    </row>
    <row r="47" spans="2:3">
      <c r="B47" s="71"/>
      <c r="C47" s="71"/>
    </row>
    <row r="48" spans="2:3">
      <c r="B48" s="71"/>
      <c r="C48" s="71"/>
    </row>
    <row r="49" spans="2:3">
      <c r="B49" s="71"/>
      <c r="C49" s="71"/>
    </row>
    <row r="50" spans="2:3">
      <c r="B50" s="71"/>
      <c r="C50" s="71"/>
    </row>
    <row r="51" spans="2:3">
      <c r="B51" s="71"/>
      <c r="C51" s="71"/>
    </row>
    <row r="52" spans="2:3">
      <c r="B52" s="71"/>
      <c r="C52" s="71"/>
    </row>
    <row r="53" spans="2:3">
      <c r="B53" s="71"/>
      <c r="C53" s="71"/>
    </row>
    <row r="54" spans="2:3">
      <c r="B54" s="71"/>
      <c r="C54" s="71"/>
    </row>
    <row r="55" spans="2:3">
      <c r="B55" s="71"/>
      <c r="C55" s="71"/>
    </row>
    <row r="56" spans="2:3">
      <c r="B56" s="71"/>
      <c r="C56" s="71"/>
    </row>
    <row r="57" spans="2:3">
      <c r="B57" s="71"/>
      <c r="C57" s="71"/>
    </row>
    <row r="58" spans="2:3">
      <c r="B58" s="71"/>
      <c r="C58" s="71"/>
    </row>
    <row r="59" spans="2:3">
      <c r="B59" s="71"/>
      <c r="C59" s="71"/>
    </row>
    <row r="60" spans="2:3">
      <c r="B60" s="71"/>
      <c r="C60" s="71"/>
    </row>
    <row r="61" spans="2:3">
      <c r="B61" s="71"/>
      <c r="C61" s="71"/>
    </row>
    <row r="62" spans="2:3">
      <c r="B62" s="71"/>
      <c r="C62" s="71"/>
    </row>
    <row r="63" spans="2:3">
      <c r="B63" s="71"/>
      <c r="C63" s="71"/>
    </row>
    <row r="64" spans="2:3">
      <c r="B64" s="71"/>
      <c r="C64" s="71"/>
    </row>
    <row r="65" spans="2:3">
      <c r="B65" s="71"/>
      <c r="C65" s="71"/>
    </row>
    <row r="66" spans="2:3">
      <c r="B66" s="71"/>
      <c r="C66" s="71"/>
    </row>
    <row r="67" spans="2:3">
      <c r="B67" s="71"/>
      <c r="C67" s="71"/>
    </row>
    <row r="68" spans="2:3">
      <c r="B68" s="71"/>
      <c r="C68" s="71"/>
    </row>
    <row r="69" spans="2:3">
      <c r="B69" s="71"/>
      <c r="C69" s="71"/>
    </row>
    <row r="70" spans="2:3">
      <c r="B70" s="71"/>
      <c r="C70" s="71"/>
    </row>
    <row r="71" spans="2:3">
      <c r="B71" s="71"/>
      <c r="C71" s="71"/>
    </row>
    <row r="72" spans="2:3">
      <c r="B72" s="71"/>
      <c r="C72" s="71"/>
    </row>
    <row r="73" spans="2:3">
      <c r="B73" s="71"/>
      <c r="C73" s="71"/>
    </row>
    <row r="74" spans="2:3">
      <c r="B74" s="71"/>
      <c r="C74" s="71"/>
    </row>
    <row r="75" spans="2:3">
      <c r="B75" s="71"/>
      <c r="C75" s="71"/>
    </row>
    <row r="76" spans="2:3">
      <c r="B76" s="71"/>
      <c r="C76" s="71"/>
    </row>
    <row r="77" spans="2:3">
      <c r="B77" s="71"/>
      <c r="C77" s="71"/>
    </row>
    <row r="78" spans="2:3">
      <c r="B78" s="71"/>
      <c r="C78" s="71"/>
    </row>
    <row r="79" spans="2:3">
      <c r="B79" s="71"/>
      <c r="C79" s="71"/>
    </row>
    <row r="80" spans="2:3">
      <c r="B80" s="71"/>
      <c r="C80" s="71"/>
    </row>
    <row r="81" spans="2:3">
      <c r="B81" s="71"/>
      <c r="C81" s="71"/>
    </row>
    <row r="82" spans="2:3">
      <c r="B82" s="71"/>
      <c r="C82" s="71"/>
    </row>
    <row r="83" spans="2:3">
      <c r="B83" s="71"/>
      <c r="C83" s="71"/>
    </row>
    <row r="84" spans="2:3">
      <c r="B84" s="71"/>
      <c r="C84" s="71"/>
    </row>
    <row r="85" spans="2:3">
      <c r="B85" s="71"/>
      <c r="C85" s="71"/>
    </row>
    <row r="86" spans="2:3">
      <c r="B86" s="71"/>
      <c r="C86" s="71"/>
    </row>
    <row r="87" spans="2:3">
      <c r="B87" s="71"/>
      <c r="C87" s="71"/>
    </row>
    <row r="88" spans="2:3">
      <c r="B88" s="71"/>
      <c r="C88" s="71"/>
    </row>
    <row r="89" spans="2:3">
      <c r="B89" s="71"/>
      <c r="C89" s="71"/>
    </row>
    <row r="90" spans="2:3">
      <c r="B90" s="71"/>
      <c r="C90" s="71"/>
    </row>
    <row r="91" spans="2:3">
      <c r="B91" s="71"/>
      <c r="C91" s="71"/>
    </row>
    <row r="92" spans="2:3">
      <c r="B92" s="71"/>
      <c r="C92" s="71"/>
    </row>
    <row r="93" spans="2:3">
      <c r="B93" s="71"/>
      <c r="C93" s="71"/>
    </row>
    <row r="94" spans="2:3">
      <c r="B94" s="71"/>
      <c r="C94" s="71"/>
    </row>
    <row r="95" spans="2:3">
      <c r="B95" s="71"/>
      <c r="C95" s="71"/>
    </row>
    <row r="96" spans="2:3">
      <c r="B96" s="71"/>
      <c r="C96" s="71"/>
    </row>
    <row r="97" spans="2:3">
      <c r="B97" s="71"/>
      <c r="C97" s="71"/>
    </row>
    <row r="98" spans="2:3">
      <c r="B98" s="71"/>
      <c r="C98" s="71"/>
    </row>
    <row r="99" spans="2:3">
      <c r="B99" s="71"/>
      <c r="C99" s="71"/>
    </row>
    <row r="100" spans="2:3">
      <c r="B100" s="71"/>
      <c r="C100" s="71"/>
    </row>
    <row r="101" spans="2:3">
      <c r="B101" s="71"/>
      <c r="C101" s="71"/>
    </row>
    <row r="102" spans="2:3">
      <c r="B102" s="71"/>
      <c r="C102" s="71"/>
    </row>
    <row r="103" spans="2:3">
      <c r="B103" s="71"/>
      <c r="C103" s="71"/>
    </row>
    <row r="104" spans="2:3">
      <c r="B104" s="71"/>
      <c r="C104" s="71"/>
    </row>
    <row r="105" spans="2:3">
      <c r="B105" s="71"/>
      <c r="C105" s="71"/>
    </row>
    <row r="106" spans="2:3">
      <c r="B106" s="71"/>
      <c r="C106" s="71"/>
    </row>
    <row r="107" spans="2:3">
      <c r="B107" s="71"/>
      <c r="C107" s="71"/>
    </row>
    <row r="108" spans="2:3">
      <c r="B108" s="71"/>
      <c r="C108" s="71"/>
    </row>
    <row r="109" spans="2:3">
      <c r="B109" s="71"/>
      <c r="C109" s="71"/>
    </row>
    <row r="110" spans="2:3">
      <c r="B110" s="71"/>
      <c r="C110" s="71"/>
    </row>
    <row r="111" spans="2:3">
      <c r="B111" s="71"/>
      <c r="C111" s="71"/>
    </row>
    <row r="112" spans="2:3">
      <c r="B112" s="71"/>
      <c r="C112" s="71"/>
    </row>
    <row r="113" spans="2:3">
      <c r="B113" s="71"/>
      <c r="C113" s="71"/>
    </row>
    <row r="114" spans="2:3">
      <c r="B114" s="71"/>
      <c r="C114" s="71"/>
    </row>
    <row r="115" spans="2:3">
      <c r="B115" s="71"/>
      <c r="C115" s="71"/>
    </row>
    <row r="116" spans="2:3">
      <c r="B116" s="71"/>
      <c r="C116" s="71"/>
    </row>
    <row r="117" spans="2:3">
      <c r="B117" s="71"/>
      <c r="C117" s="71"/>
    </row>
    <row r="118" spans="2:3">
      <c r="B118" s="71"/>
      <c r="C118" s="71"/>
    </row>
    <row r="119" spans="2:3">
      <c r="B119" s="71"/>
      <c r="C119" s="71"/>
    </row>
    <row r="120" spans="2:3">
      <c r="B120" s="71"/>
      <c r="C120" s="71"/>
    </row>
    <row r="121" spans="2:3">
      <c r="B121" s="71"/>
      <c r="C121" s="71"/>
    </row>
    <row r="122" spans="2:3">
      <c r="B122" s="71"/>
      <c r="C122" s="71"/>
    </row>
    <row r="123" spans="2:3">
      <c r="B123" s="71"/>
      <c r="C123" s="71"/>
    </row>
    <row r="124" spans="2:3">
      <c r="B124" s="71"/>
      <c r="C124" s="71"/>
    </row>
    <row r="125" spans="2:3">
      <c r="B125" s="71"/>
      <c r="C125" s="71"/>
    </row>
    <row r="126" spans="2:3">
      <c r="B126" s="71"/>
      <c r="C126" s="71"/>
    </row>
    <row r="127" spans="2:3">
      <c r="B127" s="71"/>
      <c r="C127" s="71"/>
    </row>
    <row r="128" spans="2:3">
      <c r="B128" s="71"/>
      <c r="C128" s="71"/>
    </row>
    <row r="129" spans="2:3">
      <c r="B129" s="71"/>
      <c r="C129" s="71"/>
    </row>
    <row r="130" spans="2:3">
      <c r="B130" s="71"/>
      <c r="C130" s="71"/>
    </row>
    <row r="131" spans="2:3">
      <c r="B131" s="71"/>
      <c r="C131" s="71"/>
    </row>
    <row r="132" spans="2:3">
      <c r="B132" s="71"/>
      <c r="C132" s="71"/>
    </row>
    <row r="133" spans="2:3">
      <c r="B133" s="71"/>
      <c r="C133" s="71"/>
    </row>
    <row r="134" spans="2:3">
      <c r="B134" s="71"/>
      <c r="C134" s="71"/>
    </row>
    <row r="135" spans="2:3">
      <c r="B135" s="71"/>
      <c r="C135" s="71"/>
    </row>
    <row r="136" spans="2:3">
      <c r="B136" s="71"/>
      <c r="C136" s="71"/>
    </row>
    <row r="137" spans="2:3">
      <c r="B137" s="71"/>
      <c r="C137" s="71"/>
    </row>
    <row r="138" spans="2:3">
      <c r="B138" s="71"/>
      <c r="C138" s="71"/>
    </row>
    <row r="139" spans="2:3">
      <c r="B139" s="71"/>
      <c r="C139" s="71"/>
    </row>
    <row r="140" spans="2:3">
      <c r="B140" s="71"/>
      <c r="C140" s="71"/>
    </row>
    <row r="141" spans="2:3">
      <c r="B141" s="71"/>
      <c r="C141" s="71"/>
    </row>
    <row r="142" spans="2:3">
      <c r="B142" s="71"/>
      <c r="C142" s="71"/>
    </row>
    <row r="143" spans="2:3">
      <c r="B143" s="71"/>
      <c r="C143" s="71"/>
    </row>
    <row r="144" spans="2:3">
      <c r="B144" s="71"/>
      <c r="C144" s="71"/>
    </row>
    <row r="145" spans="2:3">
      <c r="B145" s="71"/>
      <c r="C145" s="71"/>
    </row>
    <row r="146" spans="2:3">
      <c r="B146" s="71"/>
      <c r="C146" s="71"/>
    </row>
    <row r="147" spans="2:3">
      <c r="B147" s="71"/>
      <c r="C147" s="71"/>
    </row>
    <row r="148" spans="2:3">
      <c r="B148" s="71"/>
      <c r="C148" s="71"/>
    </row>
    <row r="149" spans="2:3">
      <c r="B149" s="71"/>
      <c r="C149" s="71"/>
    </row>
    <row r="150" spans="2:3">
      <c r="B150" s="71"/>
      <c r="C150" s="71"/>
    </row>
    <row r="151" spans="2:3">
      <c r="B151" s="71"/>
      <c r="C151" s="71"/>
    </row>
    <row r="152" spans="2:3">
      <c r="B152" s="71"/>
      <c r="C152" s="71"/>
    </row>
    <row r="153" spans="2:3">
      <c r="B153" s="71"/>
      <c r="C153" s="71"/>
    </row>
    <row r="154" spans="2:3">
      <c r="B154" s="71"/>
      <c r="C154" s="71"/>
    </row>
    <row r="155" spans="2:3">
      <c r="B155" s="71"/>
      <c r="C155" s="71"/>
    </row>
    <row r="156" spans="2:3">
      <c r="B156" s="71"/>
      <c r="C156" s="71"/>
    </row>
    <row r="157" spans="2:3">
      <c r="B157" s="71"/>
      <c r="C157" s="71"/>
    </row>
    <row r="158" spans="2:3">
      <c r="B158" s="71"/>
      <c r="C158" s="71"/>
    </row>
    <row r="159" spans="2:3">
      <c r="B159" s="71"/>
      <c r="C159" s="71"/>
    </row>
    <row r="160" spans="2:3">
      <c r="B160" s="71"/>
      <c r="C160" s="71"/>
    </row>
    <row r="161" spans="2:3">
      <c r="B161" s="71"/>
      <c r="C161" s="71"/>
    </row>
    <row r="162" spans="2:3">
      <c r="B162" s="71"/>
      <c r="C162" s="71"/>
    </row>
    <row r="163" spans="2:3">
      <c r="B163" s="71"/>
      <c r="C163" s="71"/>
    </row>
    <row r="164" spans="2:3">
      <c r="B164" s="71"/>
      <c r="C164" s="71"/>
    </row>
    <row r="165" spans="2:3">
      <c r="B165" s="71"/>
      <c r="C165" s="71"/>
    </row>
    <row r="166" spans="2:3">
      <c r="B166" s="71"/>
      <c r="C166" s="71"/>
    </row>
    <row r="167" spans="2:3">
      <c r="B167" s="71"/>
      <c r="C167" s="71"/>
    </row>
    <row r="168" spans="2:3">
      <c r="B168" s="71"/>
      <c r="C168" s="71"/>
    </row>
    <row r="169" spans="2:3">
      <c r="B169" s="71"/>
      <c r="C169" s="71"/>
    </row>
    <row r="170" spans="2:3">
      <c r="B170" s="71"/>
      <c r="C170" s="71"/>
    </row>
    <row r="171" spans="2:3">
      <c r="B171" s="71"/>
      <c r="C171" s="71"/>
    </row>
    <row r="172" spans="2:3">
      <c r="B172" s="71"/>
      <c r="C172" s="71"/>
    </row>
    <row r="173" spans="2:3">
      <c r="B173" s="71"/>
      <c r="C173" s="71"/>
    </row>
    <row r="174" spans="2:3">
      <c r="B174" s="71"/>
      <c r="C174" s="71"/>
    </row>
    <row r="175" spans="2:3">
      <c r="B175" s="71"/>
      <c r="C175" s="71"/>
    </row>
    <row r="176" spans="2:3">
      <c r="B176" s="71"/>
      <c r="C176" s="71"/>
    </row>
    <row r="177" spans="2:3">
      <c r="B177" s="71"/>
      <c r="C177" s="71"/>
    </row>
    <row r="178" spans="2:3">
      <c r="B178" s="71"/>
      <c r="C178" s="71"/>
    </row>
    <row r="179" spans="2:3">
      <c r="B179" s="71"/>
      <c r="C179" s="71"/>
    </row>
    <row r="180" spans="2:3">
      <c r="B180" s="71"/>
      <c r="C180" s="71"/>
    </row>
    <row r="181" spans="2:3">
      <c r="B181" s="71"/>
      <c r="C181" s="71"/>
    </row>
    <row r="182" spans="2:3">
      <c r="B182" s="71"/>
      <c r="C182" s="71"/>
    </row>
    <row r="183" spans="2:3">
      <c r="B183" s="71"/>
      <c r="C183" s="71"/>
    </row>
    <row r="184" spans="2:3">
      <c r="B184" s="71"/>
      <c r="C184" s="71"/>
    </row>
    <row r="185" spans="2:3">
      <c r="B185" s="71"/>
      <c r="C185" s="71"/>
    </row>
    <row r="186" spans="2:3">
      <c r="B186" s="71"/>
      <c r="C186" s="71"/>
    </row>
    <row r="187" spans="2:3">
      <c r="B187" s="71"/>
      <c r="C187" s="71"/>
    </row>
    <row r="188" spans="2:3">
      <c r="B188" s="71"/>
      <c r="C188" s="71"/>
    </row>
    <row r="189" spans="2:3">
      <c r="B189" s="71"/>
      <c r="C189" s="71"/>
    </row>
    <row r="190" spans="2:3">
      <c r="B190" s="71"/>
      <c r="C190" s="71"/>
    </row>
    <row r="191" spans="2:3">
      <c r="B191" s="71"/>
      <c r="C191" s="71"/>
    </row>
    <row r="192" spans="2:3">
      <c r="B192" s="71"/>
      <c r="C192" s="71"/>
    </row>
    <row r="193" spans="2:3">
      <c r="B193" s="71"/>
      <c r="C193" s="71"/>
    </row>
    <row r="194" spans="2:3">
      <c r="B194" s="71"/>
      <c r="C194" s="71"/>
    </row>
    <row r="195" spans="2:3">
      <c r="B195" s="71"/>
      <c r="C195" s="71"/>
    </row>
    <row r="196" spans="2:3">
      <c r="B196" s="71"/>
      <c r="C196" s="71"/>
    </row>
    <row r="197" spans="2:3">
      <c r="B197" s="71"/>
      <c r="C197" s="71"/>
    </row>
    <row r="198" spans="2:3">
      <c r="B198" s="71"/>
      <c r="C198" s="71"/>
    </row>
    <row r="199" spans="2:3">
      <c r="B199" s="71"/>
      <c r="C199" s="71"/>
    </row>
    <row r="200" spans="2:3">
      <c r="B200" s="71"/>
      <c r="C200" s="71"/>
    </row>
    <row r="201" spans="2:3">
      <c r="B201" s="71"/>
      <c r="C201" s="71"/>
    </row>
    <row r="202" spans="2:3">
      <c r="B202" s="71"/>
      <c r="C202" s="71"/>
    </row>
    <row r="203" spans="2:3">
      <c r="B203" s="71"/>
      <c r="C203" s="71"/>
    </row>
    <row r="204" spans="2:3">
      <c r="B204" s="71"/>
      <c r="C204" s="71"/>
    </row>
    <row r="205" spans="2:3">
      <c r="B205" s="71"/>
      <c r="C205" s="71"/>
    </row>
    <row r="206" spans="2:3">
      <c r="B206" s="71"/>
      <c r="C206" s="71"/>
    </row>
    <row r="207" spans="2:3">
      <c r="B207" s="71"/>
      <c r="C207" s="71"/>
    </row>
    <row r="208" spans="2:3">
      <c r="B208" s="71"/>
      <c r="C208" s="71"/>
    </row>
    <row r="209" spans="2:3">
      <c r="B209" s="71"/>
      <c r="C209" s="71"/>
    </row>
    <row r="210" spans="2:3">
      <c r="B210" s="71"/>
      <c r="C210" s="71"/>
    </row>
    <row r="211" spans="2:3">
      <c r="B211" s="71"/>
      <c r="C211" s="71"/>
    </row>
    <row r="212" spans="2:3">
      <c r="B212" s="71"/>
      <c r="C212" s="71"/>
    </row>
    <row r="213" spans="2:3">
      <c r="B213" s="71"/>
      <c r="C213" s="71"/>
    </row>
    <row r="214" spans="2:3">
      <c r="B214" s="71"/>
      <c r="C214" s="71"/>
    </row>
    <row r="215" spans="2:3">
      <c r="B215" s="71"/>
      <c r="C215" s="71"/>
    </row>
    <row r="216" spans="2:3">
      <c r="B216" s="71"/>
      <c r="C216" s="71"/>
    </row>
    <row r="217" spans="2:3">
      <c r="B217" s="71"/>
      <c r="C217" s="71"/>
    </row>
    <row r="218" spans="2:3">
      <c r="B218" s="71"/>
      <c r="C218" s="71"/>
    </row>
    <row r="219" spans="2:3">
      <c r="B219" s="71"/>
      <c r="C219" s="71"/>
    </row>
    <row r="220" spans="2:3">
      <c r="B220" s="71"/>
      <c r="C220" s="71"/>
    </row>
    <row r="221" spans="2:3">
      <c r="B221" s="71"/>
      <c r="C221" s="71"/>
    </row>
    <row r="222" spans="2:3">
      <c r="B222" s="71"/>
      <c r="C222" s="71"/>
    </row>
    <row r="223" spans="2:3">
      <c r="B223" s="71"/>
      <c r="C223" s="71"/>
    </row>
    <row r="224" spans="2:3">
      <c r="B224" s="71"/>
      <c r="C224" s="71"/>
    </row>
    <row r="225" spans="2:3">
      <c r="B225" s="71"/>
      <c r="C225" s="71"/>
    </row>
    <row r="226" spans="2:3">
      <c r="B226" s="71"/>
      <c r="C226" s="71"/>
    </row>
    <row r="227" spans="2:3">
      <c r="B227" s="71"/>
      <c r="C227" s="71"/>
    </row>
    <row r="228" spans="2:3">
      <c r="B228" s="71"/>
      <c r="C228" s="71"/>
    </row>
    <row r="229" spans="2:3">
      <c r="B229" s="71"/>
      <c r="C229" s="71"/>
    </row>
    <row r="230" spans="2:3">
      <c r="B230" s="71"/>
      <c r="C230" s="71"/>
    </row>
    <row r="231" spans="2:3">
      <c r="B231" s="71"/>
      <c r="C231" s="71"/>
    </row>
    <row r="232" spans="2:3">
      <c r="B232" s="71"/>
      <c r="C232" s="71"/>
    </row>
    <row r="233" spans="2:3">
      <c r="B233" s="71"/>
      <c r="C233" s="71"/>
    </row>
    <row r="234" spans="2:3">
      <c r="B234" s="71"/>
      <c r="C234" s="71"/>
    </row>
    <row r="235" spans="2:3">
      <c r="B235" s="71"/>
      <c r="C235" s="71"/>
    </row>
    <row r="236" spans="2:3">
      <c r="B236" s="71"/>
      <c r="C236" s="71"/>
    </row>
    <row r="237" spans="2:3">
      <c r="B237" s="71"/>
      <c r="C237" s="71"/>
    </row>
    <row r="238" spans="2:3">
      <c r="B238" s="71"/>
      <c r="C238" s="71"/>
    </row>
    <row r="239" spans="2:3">
      <c r="B239" s="71"/>
      <c r="C239" s="71"/>
    </row>
    <row r="240" spans="2:3">
      <c r="B240" s="71"/>
      <c r="C240" s="71"/>
    </row>
    <row r="241" spans="2:3">
      <c r="B241" s="71"/>
      <c r="C241" s="71"/>
    </row>
    <row r="242" spans="2:3">
      <c r="B242" s="71"/>
      <c r="C242" s="71"/>
    </row>
    <row r="243" spans="2:3">
      <c r="B243" s="71"/>
      <c r="C243" s="71"/>
    </row>
    <row r="244" spans="2:3">
      <c r="B244" s="71"/>
      <c r="C244" s="71"/>
    </row>
    <row r="245" spans="2:3">
      <c r="B245" s="71"/>
      <c r="C245" s="71"/>
    </row>
    <row r="246" spans="2:3">
      <c r="B246" s="71"/>
      <c r="C246" s="71"/>
    </row>
    <row r="247" spans="2:3">
      <c r="B247" s="71"/>
      <c r="C247" s="71"/>
    </row>
    <row r="248" spans="2:3">
      <c r="B248" s="71"/>
      <c r="C248" s="71"/>
    </row>
    <row r="249" spans="2:3">
      <c r="B249" s="71"/>
      <c r="C249" s="71"/>
    </row>
    <row r="250" spans="2:3">
      <c r="B250" s="71"/>
      <c r="C250" s="71"/>
    </row>
    <row r="251" spans="2:3">
      <c r="B251" s="71"/>
      <c r="C251" s="71"/>
    </row>
    <row r="252" spans="2:3">
      <c r="B252" s="71"/>
      <c r="C252" s="71"/>
    </row>
    <row r="253" spans="2:3">
      <c r="B253" s="71"/>
      <c r="C253" s="71"/>
    </row>
    <row r="254" spans="2:3">
      <c r="B254" s="71"/>
      <c r="C254" s="71"/>
    </row>
    <row r="255" spans="2:3">
      <c r="B255" s="71"/>
      <c r="C255" s="71"/>
    </row>
    <row r="256" spans="2:3">
      <c r="B256" s="71"/>
      <c r="C256" s="71"/>
    </row>
    <row r="257" spans="2:3">
      <c r="B257" s="71"/>
      <c r="C257" s="71"/>
    </row>
    <row r="258" spans="2:3">
      <c r="B258" s="71"/>
      <c r="C258" s="71"/>
    </row>
    <row r="259" spans="2:3">
      <c r="B259" s="71"/>
      <c r="C259" s="71"/>
    </row>
    <row r="260" spans="2:3">
      <c r="B260" s="71"/>
      <c r="C260" s="71"/>
    </row>
    <row r="261" spans="2:3">
      <c r="B261" s="71"/>
      <c r="C261" s="71"/>
    </row>
    <row r="262" spans="2:3">
      <c r="B262" s="71"/>
      <c r="C262" s="71"/>
    </row>
    <row r="263" spans="2:3">
      <c r="B263" s="71"/>
      <c r="C263" s="71"/>
    </row>
    <row r="264" spans="2:3">
      <c r="B264" s="71"/>
      <c r="C264" s="71"/>
    </row>
    <row r="265" spans="2:3">
      <c r="B265" s="71"/>
      <c r="C265" s="71"/>
    </row>
    <row r="266" spans="2:3">
      <c r="B266" s="71"/>
      <c r="C266" s="71"/>
    </row>
    <row r="267" spans="2:3">
      <c r="B267" s="71"/>
      <c r="C267" s="71"/>
    </row>
    <row r="268" spans="2:3">
      <c r="B268" s="71"/>
      <c r="C268" s="71"/>
    </row>
    <row r="269" spans="2:3">
      <c r="B269" s="71"/>
      <c r="C269" s="71"/>
    </row>
    <row r="270" spans="2:3">
      <c r="B270" s="71"/>
      <c r="C270" s="71"/>
    </row>
    <row r="271" spans="2:3">
      <c r="B271" s="71"/>
      <c r="C271" s="71"/>
    </row>
    <row r="272" spans="2:3">
      <c r="B272" s="71"/>
      <c r="C272" s="71"/>
    </row>
    <row r="273" spans="2:3">
      <c r="B273" s="71"/>
      <c r="C273" s="71"/>
    </row>
    <row r="274" spans="2:3">
      <c r="B274" s="71"/>
      <c r="C274" s="71"/>
    </row>
    <row r="275" spans="2:3">
      <c r="B275" s="71"/>
      <c r="C275" s="71"/>
    </row>
    <row r="276" spans="2:3">
      <c r="B276" s="71"/>
      <c r="C276" s="71"/>
    </row>
    <row r="277" spans="2:3">
      <c r="B277" s="71"/>
      <c r="C277" s="71"/>
    </row>
    <row r="278" spans="2:3">
      <c r="B278" s="71"/>
      <c r="C278" s="71"/>
    </row>
    <row r="279" spans="2:3">
      <c r="B279" s="71"/>
      <c r="C279" s="71"/>
    </row>
    <row r="280" spans="2:3">
      <c r="B280" s="71"/>
      <c r="C280" s="71"/>
    </row>
    <row r="281" spans="2:3">
      <c r="B281" s="71"/>
      <c r="C281" s="71"/>
    </row>
    <row r="282" spans="2:3">
      <c r="B282" s="71"/>
      <c r="C282" s="71"/>
    </row>
    <row r="283" spans="2:3">
      <c r="B283" s="71"/>
      <c r="C283" s="71"/>
    </row>
    <row r="284" spans="2:3">
      <c r="B284" s="71"/>
      <c r="C284" s="71"/>
    </row>
    <row r="285" spans="2:3">
      <c r="B285" s="71"/>
      <c r="C285" s="71"/>
    </row>
    <row r="286" spans="2:3">
      <c r="B286" s="71"/>
      <c r="C286" s="71"/>
    </row>
    <row r="287" spans="2:3">
      <c r="B287" s="71"/>
      <c r="C287" s="71"/>
    </row>
    <row r="288" spans="2:3">
      <c r="B288" s="71"/>
      <c r="C288" s="71"/>
    </row>
    <row r="289" spans="2:3">
      <c r="B289" s="71"/>
      <c r="C289" s="71"/>
    </row>
    <row r="290" spans="2:3">
      <c r="B290" s="71"/>
      <c r="C290" s="71"/>
    </row>
    <row r="291" spans="2:3">
      <c r="B291" s="71"/>
      <c r="C291" s="71"/>
    </row>
    <row r="292" spans="2:3">
      <c r="B292" s="71"/>
      <c r="C292" s="71"/>
    </row>
    <row r="293" spans="2:3">
      <c r="B293" s="71"/>
      <c r="C293" s="71"/>
    </row>
    <row r="294" spans="2:3">
      <c r="B294" s="71"/>
      <c r="C294" s="71"/>
    </row>
    <row r="295" spans="2:3">
      <c r="B295" s="71"/>
      <c r="C295" s="71"/>
    </row>
    <row r="296" spans="2:3">
      <c r="B296" s="71"/>
      <c r="C296" s="71"/>
    </row>
    <row r="297" spans="2:3">
      <c r="B297" s="71"/>
      <c r="C297" s="71"/>
    </row>
    <row r="298" spans="2:3">
      <c r="B298" s="71"/>
      <c r="C298" s="71"/>
    </row>
    <row r="299" spans="2:3">
      <c r="B299" s="71"/>
      <c r="C299" s="71"/>
    </row>
    <row r="300" spans="2:3">
      <c r="B300" s="71"/>
      <c r="C300" s="71"/>
    </row>
    <row r="301" spans="2:3">
      <c r="B301" s="71"/>
      <c r="C301" s="71"/>
    </row>
    <row r="302" spans="2:3">
      <c r="B302" s="71"/>
      <c r="C302" s="71"/>
    </row>
    <row r="303" spans="2:3">
      <c r="B303" s="71"/>
      <c r="C303" s="71"/>
    </row>
    <row r="304" spans="2:3">
      <c r="B304" s="71"/>
      <c r="C304" s="71"/>
    </row>
    <row r="305" spans="2:3">
      <c r="B305" s="71"/>
      <c r="C305" s="71"/>
    </row>
    <row r="306" spans="2:3">
      <c r="B306" s="71"/>
      <c r="C306" s="71"/>
    </row>
    <row r="307" spans="2:3">
      <c r="B307" s="71"/>
      <c r="C307" s="71"/>
    </row>
    <row r="308" spans="2:3">
      <c r="B308" s="71"/>
      <c r="C308" s="71"/>
    </row>
    <row r="309" spans="2:3">
      <c r="B309" s="71"/>
      <c r="C309" s="71"/>
    </row>
    <row r="310" spans="2:3">
      <c r="B310" s="71"/>
      <c r="C310" s="71"/>
    </row>
    <row r="311" spans="2:3">
      <c r="B311" s="71"/>
      <c r="C311" s="71"/>
    </row>
    <row r="312" spans="2:3">
      <c r="B312" s="71"/>
      <c r="C312" s="71"/>
    </row>
    <row r="313" spans="2:3">
      <c r="B313" s="71"/>
      <c r="C313" s="71"/>
    </row>
    <row r="314" spans="2:3">
      <c r="B314" s="71"/>
      <c r="C314" s="71"/>
    </row>
    <row r="315" spans="2:3">
      <c r="B315" s="71"/>
      <c r="C315" s="71"/>
    </row>
    <row r="316" spans="2:3">
      <c r="B316" s="71"/>
      <c r="C316" s="71"/>
    </row>
    <row r="317" spans="2:3">
      <c r="B317" s="71"/>
      <c r="C317" s="71"/>
    </row>
    <row r="318" spans="2:3">
      <c r="B318" s="71"/>
      <c r="C318" s="71"/>
    </row>
    <row r="319" spans="2:3">
      <c r="B319" s="71"/>
      <c r="C319" s="71"/>
    </row>
    <row r="320" spans="2:3">
      <c r="B320" s="71"/>
      <c r="C320" s="71"/>
    </row>
    <row r="321" spans="2:3">
      <c r="B321" s="71"/>
      <c r="C321" s="71"/>
    </row>
    <row r="322" spans="2:3">
      <c r="B322" s="71"/>
      <c r="C322" s="71"/>
    </row>
    <row r="323" spans="2:3">
      <c r="B323" s="71"/>
      <c r="C323" s="71"/>
    </row>
    <row r="324" spans="2:3">
      <c r="B324" s="71"/>
      <c r="C324" s="71"/>
    </row>
    <row r="325" spans="2:3">
      <c r="B325" s="71"/>
      <c r="C325" s="71"/>
    </row>
    <row r="326" spans="2:3">
      <c r="B326" s="71"/>
      <c r="C326" s="71"/>
    </row>
    <row r="327" spans="2:3">
      <c r="B327" s="71"/>
      <c r="C327" s="71"/>
    </row>
    <row r="328" spans="2:3">
      <c r="B328" s="71"/>
      <c r="C328" s="71"/>
    </row>
    <row r="329" spans="2:3">
      <c r="B329" s="71"/>
      <c r="C329" s="71"/>
    </row>
    <row r="330" spans="2:3">
      <c r="B330" s="71"/>
      <c r="C330" s="71"/>
    </row>
    <row r="331" spans="2:3">
      <c r="B331" s="71"/>
      <c r="C331" s="71"/>
    </row>
    <row r="332" spans="2:3">
      <c r="B332" s="71"/>
      <c r="C332" s="71"/>
    </row>
    <row r="333" spans="2:3">
      <c r="B333" s="71"/>
      <c r="C333" s="71"/>
    </row>
    <row r="334" spans="2:3">
      <c r="B334" s="71"/>
      <c r="C334" s="71"/>
    </row>
    <row r="335" spans="2:3">
      <c r="B335" s="71"/>
      <c r="C335" s="71"/>
    </row>
    <row r="336" spans="2:3">
      <c r="B336" s="71"/>
      <c r="C336" s="71"/>
    </row>
    <row r="337" spans="2:3">
      <c r="B337" s="71"/>
      <c r="C337" s="71"/>
    </row>
    <row r="338" spans="2:3">
      <c r="B338" s="71"/>
      <c r="C338" s="71"/>
    </row>
    <row r="339" spans="2:3">
      <c r="B339" s="71"/>
      <c r="C339" s="71"/>
    </row>
    <row r="340" spans="2:3">
      <c r="B340" s="71"/>
      <c r="C340" s="71"/>
    </row>
    <row r="341" spans="2:3">
      <c r="B341" s="71"/>
      <c r="C341" s="71"/>
    </row>
    <row r="342" spans="2:3">
      <c r="B342" s="71"/>
      <c r="C342" s="71"/>
    </row>
    <row r="343" spans="2:3">
      <c r="B343" s="71"/>
      <c r="C343" s="71"/>
    </row>
    <row r="344" spans="2:3">
      <c r="B344" s="71"/>
      <c r="C344" s="71"/>
    </row>
    <row r="345" spans="2:3">
      <c r="B345" s="71"/>
      <c r="C345" s="71"/>
    </row>
    <row r="346" spans="2:3">
      <c r="B346" s="71"/>
      <c r="C346" s="71"/>
    </row>
    <row r="347" spans="2:3">
      <c r="B347" s="71"/>
      <c r="C347" s="71"/>
    </row>
    <row r="348" spans="2:3">
      <c r="B348" s="71"/>
      <c r="C348" s="71"/>
    </row>
    <row r="349" spans="2:3">
      <c r="B349" s="71"/>
      <c r="C349" s="71"/>
    </row>
    <row r="350" spans="2:3">
      <c r="B350" s="71"/>
      <c r="C350" s="71"/>
    </row>
    <row r="351" spans="2:3">
      <c r="B351" s="71"/>
      <c r="C351" s="71"/>
    </row>
    <row r="352" spans="2:3">
      <c r="B352" s="71"/>
      <c r="C352" s="71"/>
    </row>
    <row r="353" spans="2:3">
      <c r="B353" s="71"/>
      <c r="C353" s="71"/>
    </row>
    <row r="354" spans="2:3">
      <c r="B354" s="71"/>
      <c r="C354" s="71"/>
    </row>
    <row r="355" spans="2:3">
      <c r="B355" s="71"/>
      <c r="C355" s="71"/>
    </row>
    <row r="356" spans="2:3">
      <c r="B356" s="71"/>
      <c r="C356" s="71"/>
    </row>
    <row r="357" spans="2:3">
      <c r="B357" s="71"/>
      <c r="C357" s="71"/>
    </row>
    <row r="358" spans="2:3">
      <c r="B358" s="71"/>
      <c r="C358" s="71"/>
    </row>
    <row r="359" spans="2:3">
      <c r="B359" s="71"/>
      <c r="C359" s="71"/>
    </row>
    <row r="360" spans="2:3">
      <c r="B360" s="71"/>
      <c r="C360" s="71"/>
    </row>
    <row r="361" spans="2:3">
      <c r="B361" s="71"/>
      <c r="C361" s="71"/>
    </row>
    <row r="362" spans="2:3">
      <c r="B362" s="71"/>
      <c r="C362" s="71"/>
    </row>
    <row r="363" spans="2:3">
      <c r="B363" s="71"/>
      <c r="C363" s="71"/>
    </row>
    <row r="364" spans="2:3">
      <c r="B364" s="71"/>
      <c r="C364" s="71"/>
    </row>
    <row r="365" spans="2:3">
      <c r="B365" s="71"/>
      <c r="C365" s="71"/>
    </row>
    <row r="366" spans="2:3">
      <c r="B366" s="71"/>
      <c r="C366" s="71"/>
    </row>
    <row r="367" spans="2:3">
      <c r="B367" s="71"/>
      <c r="C367" s="71"/>
    </row>
    <row r="368" spans="2:3">
      <c r="B368" s="71"/>
      <c r="C368" s="71"/>
    </row>
    <row r="369" spans="2:3">
      <c r="B369" s="71"/>
      <c r="C369" s="71"/>
    </row>
    <row r="370" spans="2:3">
      <c r="B370" s="71"/>
      <c r="C370" s="71"/>
    </row>
    <row r="371" spans="2:3">
      <c r="B371" s="71"/>
      <c r="C371" s="71"/>
    </row>
    <row r="372" spans="2:3">
      <c r="B372" s="71"/>
      <c r="C372" s="71"/>
    </row>
    <row r="373" spans="2:3">
      <c r="B373" s="71"/>
      <c r="C373" s="71"/>
    </row>
    <row r="374" spans="2:3">
      <c r="B374" s="71"/>
      <c r="C374" s="71"/>
    </row>
    <row r="375" spans="2:3">
      <c r="B375" s="71"/>
      <c r="C375" s="71"/>
    </row>
    <row r="376" spans="2:3">
      <c r="B376" s="71"/>
      <c r="C376" s="71"/>
    </row>
    <row r="377" spans="2:3">
      <c r="B377" s="71"/>
      <c r="C377" s="71"/>
    </row>
    <row r="378" spans="2:3">
      <c r="B378" s="71"/>
      <c r="C378" s="71"/>
    </row>
    <row r="379" spans="2:3">
      <c r="B379" s="71"/>
      <c r="C379" s="71"/>
    </row>
    <row r="380" spans="2:3">
      <c r="B380" s="71"/>
      <c r="C380" s="71"/>
    </row>
    <row r="381" spans="2:3">
      <c r="B381" s="71"/>
      <c r="C381" s="71"/>
    </row>
    <row r="382" spans="2:3">
      <c r="B382" s="71"/>
      <c r="C382" s="71"/>
    </row>
    <row r="383" spans="2:3">
      <c r="B383" s="71"/>
      <c r="C383" s="71"/>
    </row>
    <row r="384" spans="2:3">
      <c r="B384" s="71"/>
      <c r="C384" s="71"/>
    </row>
    <row r="385" spans="2:3">
      <c r="B385" s="71"/>
      <c r="C385" s="71"/>
    </row>
    <row r="386" spans="2:3">
      <c r="B386" s="71"/>
      <c r="C386" s="71"/>
    </row>
    <row r="387" spans="2:3">
      <c r="B387" s="71"/>
      <c r="C387" s="71"/>
    </row>
    <row r="388" spans="2:3">
      <c r="B388" s="71"/>
      <c r="C388" s="71"/>
    </row>
    <row r="389" spans="2:3">
      <c r="B389" s="71"/>
      <c r="C389" s="71"/>
    </row>
    <row r="390" spans="2:3">
      <c r="B390" s="71"/>
      <c r="C390" s="71"/>
    </row>
    <row r="391" spans="2:3">
      <c r="B391" s="71"/>
      <c r="C391" s="71"/>
    </row>
    <row r="392" spans="2:3">
      <c r="B392" s="71"/>
      <c r="C392" s="71"/>
    </row>
    <row r="393" spans="2:3">
      <c r="B393" s="71"/>
      <c r="C393" s="71"/>
    </row>
    <row r="394" spans="2:3">
      <c r="B394" s="71"/>
      <c r="C394" s="71"/>
    </row>
    <row r="395" spans="2:3">
      <c r="B395" s="71"/>
      <c r="C395" s="71"/>
    </row>
    <row r="396" spans="2:3">
      <c r="B396" s="71"/>
      <c r="C396" s="71"/>
    </row>
    <row r="397" spans="2:3">
      <c r="B397" s="71"/>
      <c r="C397" s="71"/>
    </row>
    <row r="398" spans="2:3">
      <c r="B398" s="71"/>
      <c r="C398" s="71"/>
    </row>
    <row r="399" spans="2:3">
      <c r="B399" s="71"/>
      <c r="C399" s="71"/>
    </row>
    <row r="400" spans="2:3">
      <c r="B400" s="71"/>
      <c r="C400" s="71"/>
    </row>
    <row r="401" spans="2:3">
      <c r="B401" s="71"/>
      <c r="C401" s="71"/>
    </row>
    <row r="402" spans="2:3">
      <c r="B402" s="71"/>
      <c r="C402" s="71"/>
    </row>
    <row r="403" spans="2:3">
      <c r="B403" s="71"/>
      <c r="C403" s="71"/>
    </row>
    <row r="404" spans="2:3">
      <c r="B404" s="71"/>
      <c r="C404" s="71"/>
    </row>
    <row r="405" spans="2:3">
      <c r="B405" s="71"/>
      <c r="C405" s="71"/>
    </row>
    <row r="406" spans="2:3">
      <c r="B406" s="71"/>
      <c r="C406" s="71"/>
    </row>
    <row r="407" spans="2:3">
      <c r="B407" s="71"/>
      <c r="C407" s="71"/>
    </row>
    <row r="408" spans="2:3">
      <c r="B408" s="71"/>
      <c r="C408" s="71"/>
    </row>
    <row r="409" spans="2:3">
      <c r="B409" s="71"/>
      <c r="C409" s="71"/>
    </row>
    <row r="410" spans="2:3">
      <c r="B410" s="71"/>
      <c r="C410" s="71"/>
    </row>
    <row r="411" spans="2:3">
      <c r="B411" s="71"/>
      <c r="C411" s="71"/>
    </row>
    <row r="412" spans="2:3">
      <c r="B412" s="71"/>
      <c r="C412" s="71"/>
    </row>
    <row r="413" spans="2:3">
      <c r="B413" s="71"/>
      <c r="C413" s="71"/>
    </row>
    <row r="414" spans="2:3">
      <c r="B414" s="71"/>
      <c r="C414" s="71"/>
    </row>
    <row r="415" spans="2:3">
      <c r="B415" s="71"/>
      <c r="C415" s="71"/>
    </row>
    <row r="416" spans="2:3">
      <c r="B416" s="71"/>
      <c r="C416" s="71"/>
    </row>
    <row r="417" spans="2:3">
      <c r="B417" s="71"/>
      <c r="C417" s="71"/>
    </row>
    <row r="418" spans="2:3">
      <c r="B418" s="71"/>
      <c r="C418" s="71"/>
    </row>
    <row r="419" spans="2:3">
      <c r="B419" s="71"/>
      <c r="C419" s="71"/>
    </row>
    <row r="420" spans="2:3">
      <c r="B420" s="71"/>
      <c r="C420" s="71"/>
    </row>
    <row r="421" spans="2:3">
      <c r="B421" s="71"/>
      <c r="C421" s="71"/>
    </row>
    <row r="422" spans="2:3">
      <c r="B422" s="71"/>
      <c r="C422" s="71"/>
    </row>
    <row r="423" spans="2:3">
      <c r="B423" s="71"/>
      <c r="C423" s="71"/>
    </row>
    <row r="424" spans="2:3">
      <c r="B424" s="71"/>
      <c r="C424" s="71"/>
    </row>
    <row r="425" spans="2:3">
      <c r="B425" s="71"/>
      <c r="C425" s="71"/>
    </row>
    <row r="426" spans="2:3">
      <c r="B426" s="71"/>
      <c r="C426" s="71"/>
    </row>
    <row r="427" spans="2:3">
      <c r="B427" s="71"/>
      <c r="C427" s="71"/>
    </row>
    <row r="428" spans="2:3">
      <c r="B428" s="71"/>
      <c r="C428" s="71"/>
    </row>
    <row r="429" spans="2:3">
      <c r="B429" s="71"/>
      <c r="C429" s="71"/>
    </row>
    <row r="430" spans="2:3">
      <c r="B430" s="71"/>
      <c r="C430" s="71"/>
    </row>
    <row r="431" spans="2:3">
      <c r="B431" s="71"/>
      <c r="C431" s="71"/>
    </row>
    <row r="432" spans="2:3">
      <c r="B432" s="71"/>
      <c r="C432" s="71"/>
    </row>
    <row r="433" spans="2:3">
      <c r="B433" s="71"/>
      <c r="C433" s="71"/>
    </row>
    <row r="434" spans="2:3">
      <c r="B434" s="71"/>
      <c r="C434" s="71"/>
    </row>
    <row r="435" spans="2:3">
      <c r="B435" s="71"/>
      <c r="C435" s="71"/>
    </row>
    <row r="436" spans="2:3">
      <c r="B436" s="71"/>
      <c r="C436" s="71"/>
    </row>
    <row r="437" spans="2:3">
      <c r="B437" s="71"/>
      <c r="C437" s="71"/>
    </row>
    <row r="438" spans="2:3">
      <c r="B438" s="71"/>
      <c r="C438" s="71"/>
    </row>
    <row r="439" spans="2:3">
      <c r="B439" s="71"/>
      <c r="C439" s="71"/>
    </row>
    <row r="440" spans="2:3">
      <c r="B440" s="71"/>
      <c r="C440" s="71"/>
    </row>
    <row r="441" spans="2:3">
      <c r="B441" s="71"/>
      <c r="C441" s="71"/>
    </row>
    <row r="442" spans="2:3">
      <c r="B442" s="71"/>
      <c r="C442" s="71"/>
    </row>
    <row r="443" spans="2:3">
      <c r="B443" s="71"/>
      <c r="C443" s="71"/>
    </row>
    <row r="444" spans="2:3">
      <c r="B444" s="71"/>
      <c r="C444" s="71"/>
    </row>
    <row r="445" spans="2:3">
      <c r="B445" s="71"/>
      <c r="C445" s="71"/>
    </row>
    <row r="446" spans="2:3">
      <c r="B446" s="71"/>
      <c r="C446" s="71"/>
    </row>
    <row r="447" spans="2:3">
      <c r="B447" s="71"/>
      <c r="C447" s="71"/>
    </row>
    <row r="448" spans="2:3">
      <c r="B448" s="71"/>
      <c r="C448" s="71"/>
    </row>
    <row r="449" spans="2:3">
      <c r="B449" s="71"/>
      <c r="C449" s="71"/>
    </row>
    <row r="450" spans="2:3">
      <c r="B450" s="71"/>
      <c r="C450" s="71"/>
    </row>
    <row r="451" spans="2:3">
      <c r="B451" s="71"/>
      <c r="C451" s="71"/>
    </row>
    <row r="452" spans="2:3">
      <c r="B452" s="71"/>
      <c r="C452" s="71"/>
    </row>
    <row r="453" spans="2:3">
      <c r="B453" s="71"/>
      <c r="C453" s="71"/>
    </row>
    <row r="454" spans="2:3">
      <c r="B454" s="71"/>
      <c r="C454" s="71"/>
    </row>
    <row r="455" spans="2:3">
      <c r="B455" s="71"/>
      <c r="C455" s="71"/>
    </row>
    <row r="456" spans="2:3">
      <c r="B456" s="71"/>
      <c r="C456" s="71"/>
    </row>
    <row r="457" spans="2:3">
      <c r="B457" s="71"/>
      <c r="C457" s="71"/>
    </row>
    <row r="458" spans="2:3">
      <c r="B458" s="71"/>
      <c r="C458" s="71"/>
    </row>
    <row r="459" spans="2:3">
      <c r="B459" s="71"/>
      <c r="C459" s="71"/>
    </row>
    <row r="460" spans="2:3">
      <c r="B460" s="71"/>
      <c r="C460" s="71"/>
    </row>
    <row r="461" spans="2:3">
      <c r="B461" s="71"/>
      <c r="C461" s="71"/>
    </row>
    <row r="462" spans="2:3">
      <c r="B462" s="71"/>
      <c r="C462" s="71"/>
    </row>
    <row r="463" spans="2:3">
      <c r="B463" s="71"/>
      <c r="C463" s="71"/>
    </row>
    <row r="464" spans="2:3">
      <c r="B464" s="71"/>
      <c r="C464" s="71"/>
    </row>
    <row r="465" spans="2:3">
      <c r="B465" s="71"/>
      <c r="C465" s="71"/>
    </row>
    <row r="466" spans="2:3">
      <c r="B466" s="71"/>
      <c r="C466" s="71"/>
    </row>
    <row r="467" spans="2:3">
      <c r="B467" s="71"/>
      <c r="C467" s="71"/>
    </row>
    <row r="468" spans="2:3">
      <c r="B468" s="71"/>
      <c r="C468" s="71"/>
    </row>
    <row r="469" spans="2:3">
      <c r="B469" s="71"/>
      <c r="C469" s="71"/>
    </row>
    <row r="470" spans="2:3">
      <c r="B470" s="71"/>
      <c r="C470" s="71"/>
    </row>
    <row r="471" spans="2:3">
      <c r="B471" s="71"/>
      <c r="C471" s="71"/>
    </row>
    <row r="472" spans="2:3">
      <c r="B472" s="71"/>
      <c r="C472" s="71"/>
    </row>
    <row r="473" spans="2:3">
      <c r="B473" s="71"/>
      <c r="C473" s="71"/>
    </row>
    <row r="474" spans="2:3">
      <c r="B474" s="71"/>
      <c r="C474" s="71"/>
    </row>
    <row r="475" spans="2:3">
      <c r="B475" s="71"/>
      <c r="C475" s="71"/>
    </row>
    <row r="476" spans="2:3">
      <c r="B476" s="71"/>
      <c r="C476" s="71"/>
    </row>
    <row r="477" spans="2:3">
      <c r="B477" s="71"/>
      <c r="C477" s="71"/>
    </row>
    <row r="478" spans="2:3">
      <c r="B478" s="71"/>
      <c r="C478" s="71"/>
    </row>
    <row r="479" spans="2:3">
      <c r="B479" s="71"/>
      <c r="C479" s="71"/>
    </row>
    <row r="480" spans="2:3">
      <c r="B480" s="71"/>
      <c r="C480" s="71"/>
    </row>
    <row r="481" spans="2:3">
      <c r="B481" s="71"/>
      <c r="C481" s="71"/>
    </row>
    <row r="482" spans="2:3">
      <c r="B482" s="71"/>
      <c r="C482" s="71"/>
    </row>
    <row r="483" spans="2:3">
      <c r="B483" s="71"/>
      <c r="C483" s="71"/>
    </row>
    <row r="484" spans="2:3">
      <c r="B484" s="71"/>
      <c r="C484" s="71"/>
    </row>
    <row r="485" spans="2:3">
      <c r="B485" s="71"/>
      <c r="C485" s="71"/>
    </row>
    <row r="486" spans="2:3">
      <c r="B486" s="71"/>
      <c r="C486" s="71"/>
    </row>
    <row r="487" spans="2:3">
      <c r="B487" s="71"/>
      <c r="C487" s="71"/>
    </row>
    <row r="488" spans="2:3">
      <c r="B488" s="71"/>
      <c r="C488" s="71"/>
    </row>
    <row r="489" spans="2:3">
      <c r="B489" s="71"/>
      <c r="C489" s="71"/>
    </row>
    <row r="490" spans="2:3">
      <c r="B490" s="71"/>
      <c r="C490" s="71"/>
    </row>
    <row r="491" spans="2:3">
      <c r="B491" s="71"/>
      <c r="C491" s="71"/>
    </row>
    <row r="492" spans="2:3">
      <c r="B492" s="71"/>
      <c r="C492" s="71"/>
    </row>
    <row r="493" spans="2:3">
      <c r="B493" s="71"/>
      <c r="C493" s="71"/>
    </row>
    <row r="494" spans="2:3">
      <c r="B494" s="71"/>
      <c r="C494" s="71"/>
    </row>
    <row r="495" spans="2:3">
      <c r="B495" s="71"/>
      <c r="C495" s="71"/>
    </row>
    <row r="496" spans="2:3">
      <c r="B496" s="71"/>
      <c r="C496" s="71"/>
    </row>
    <row r="497" spans="2:3">
      <c r="B497" s="71"/>
      <c r="C497" s="71"/>
    </row>
    <row r="498" spans="2:3">
      <c r="B498" s="71"/>
      <c r="C498" s="71"/>
    </row>
    <row r="499" spans="2:3">
      <c r="B499" s="71"/>
      <c r="C499" s="71"/>
    </row>
    <row r="500" spans="2:3">
      <c r="B500" s="71"/>
      <c r="C500" s="71"/>
    </row>
    <row r="501" spans="2:3">
      <c r="B501" s="71"/>
      <c r="C501" s="71"/>
    </row>
    <row r="502" spans="2:3">
      <c r="B502" s="71"/>
      <c r="C502" s="71"/>
    </row>
    <row r="503" spans="2:3">
      <c r="B503" s="71"/>
      <c r="C503" s="71"/>
    </row>
    <row r="504" spans="2:3">
      <c r="B504" s="71"/>
      <c r="C504" s="71"/>
    </row>
    <row r="505" spans="2:3">
      <c r="B505" s="71"/>
      <c r="C505" s="71"/>
    </row>
    <row r="506" spans="2:3">
      <c r="B506" s="71"/>
      <c r="C506" s="71"/>
    </row>
    <row r="507" spans="2:3">
      <c r="B507" s="71"/>
      <c r="C507" s="71"/>
    </row>
    <row r="508" spans="2:3">
      <c r="B508" s="71"/>
      <c r="C508" s="71"/>
    </row>
    <row r="509" spans="2:3">
      <c r="B509" s="71"/>
      <c r="C509" s="71"/>
    </row>
    <row r="510" spans="2:3">
      <c r="B510" s="71"/>
      <c r="C510" s="71"/>
    </row>
    <row r="511" spans="2:3">
      <c r="B511" s="71"/>
      <c r="C511" s="71"/>
    </row>
    <row r="512" spans="2:3">
      <c r="B512" s="71"/>
      <c r="C512" s="71"/>
    </row>
    <row r="513" spans="2:3">
      <c r="B513" s="71"/>
      <c r="C513" s="71"/>
    </row>
    <row r="514" spans="2:3">
      <c r="B514" s="71"/>
      <c r="C514" s="71"/>
    </row>
    <row r="515" spans="2:3">
      <c r="B515" s="71"/>
      <c r="C515" s="71"/>
    </row>
    <row r="516" spans="2:3">
      <c r="B516" s="71"/>
      <c r="C516" s="71"/>
    </row>
    <row r="517" spans="2:3">
      <c r="B517" s="71"/>
      <c r="C517" s="71"/>
    </row>
    <row r="518" spans="2:3">
      <c r="B518" s="71"/>
      <c r="C518" s="71"/>
    </row>
    <row r="519" spans="2:3">
      <c r="B519" s="71"/>
      <c r="C519" s="71"/>
    </row>
    <row r="520" spans="2:3">
      <c r="B520" s="71"/>
      <c r="C520" s="71"/>
    </row>
    <row r="521" spans="2:3">
      <c r="B521" s="71"/>
      <c r="C521" s="71"/>
    </row>
    <row r="522" spans="2:3">
      <c r="B522" s="71"/>
      <c r="C522" s="71"/>
    </row>
    <row r="523" spans="2:3">
      <c r="B523" s="71"/>
      <c r="C523" s="71"/>
    </row>
    <row r="524" spans="2:3">
      <c r="B524" s="71"/>
      <c r="C524" s="71"/>
    </row>
    <row r="525" spans="2:3">
      <c r="B525" s="71"/>
      <c r="C525" s="71"/>
    </row>
    <row r="526" spans="2:3">
      <c r="B526" s="71"/>
      <c r="C526" s="71"/>
    </row>
    <row r="527" spans="2:3">
      <c r="B527" s="71"/>
      <c r="C527" s="71"/>
    </row>
    <row r="528" spans="2:3">
      <c r="B528" s="71"/>
      <c r="C528" s="71"/>
    </row>
    <row r="529" spans="2:3">
      <c r="B529" s="71"/>
      <c r="C529" s="71"/>
    </row>
    <row r="530" spans="2:3">
      <c r="B530" s="71"/>
      <c r="C530" s="71"/>
    </row>
    <row r="531" spans="2:3">
      <c r="B531" s="71"/>
      <c r="C531" s="71"/>
    </row>
    <row r="532" spans="2:3">
      <c r="B532" s="71"/>
      <c r="C532" s="71"/>
    </row>
    <row r="533" spans="2:3">
      <c r="B533" s="71"/>
      <c r="C533" s="71"/>
    </row>
    <row r="534" spans="2:3">
      <c r="B534" s="71"/>
      <c r="C534" s="71"/>
    </row>
    <row r="535" spans="2:3">
      <c r="B535" s="71"/>
      <c r="C535" s="71"/>
    </row>
    <row r="536" spans="2:3">
      <c r="B536" s="71"/>
      <c r="C536" s="71"/>
    </row>
    <row r="537" spans="2:3">
      <c r="B537" s="71"/>
      <c r="C537" s="71"/>
    </row>
    <row r="538" spans="2:3">
      <c r="B538" s="71"/>
      <c r="C538" s="71"/>
    </row>
    <row r="539" spans="2:3">
      <c r="B539" s="71"/>
      <c r="C539" s="71"/>
    </row>
    <row r="540" spans="2:3">
      <c r="B540" s="71"/>
      <c r="C540" s="71"/>
    </row>
    <row r="541" spans="2:3">
      <c r="B541" s="71"/>
      <c r="C541" s="71"/>
    </row>
    <row r="542" spans="2:3">
      <c r="B542" s="71"/>
      <c r="C542" s="71"/>
    </row>
    <row r="543" spans="2:3">
      <c r="B543" s="71"/>
      <c r="C543" s="71"/>
    </row>
    <row r="544" spans="2:3">
      <c r="B544" s="71"/>
      <c r="C544" s="71"/>
    </row>
    <row r="545" spans="2:3">
      <c r="B545" s="71"/>
      <c r="C545" s="71"/>
    </row>
    <row r="546" spans="2:3">
      <c r="B546" s="71"/>
      <c r="C546" s="71"/>
    </row>
    <row r="547" spans="2:3">
      <c r="B547" s="71"/>
      <c r="C547" s="71"/>
    </row>
    <row r="548" spans="2:3">
      <c r="B548" s="71"/>
      <c r="C548" s="71"/>
    </row>
    <row r="549" spans="2:3">
      <c r="B549" s="71"/>
      <c r="C549" s="71"/>
    </row>
    <row r="550" spans="2:3">
      <c r="B550" s="71"/>
      <c r="C550" s="71"/>
    </row>
    <row r="551" spans="2:3">
      <c r="B551" s="71"/>
      <c r="C551" s="71"/>
    </row>
    <row r="552" spans="2:3">
      <c r="B552" s="71"/>
      <c r="C552" s="71"/>
    </row>
    <row r="553" spans="2:3">
      <c r="B553" s="71"/>
      <c r="C553" s="71"/>
    </row>
    <row r="554" spans="2:3">
      <c r="B554" s="71"/>
      <c r="C554" s="71"/>
    </row>
    <row r="555" spans="2:3">
      <c r="B555" s="71"/>
      <c r="C555" s="71"/>
    </row>
    <row r="556" spans="2:3">
      <c r="B556" s="71"/>
      <c r="C556" s="71"/>
    </row>
    <row r="557" spans="2:3">
      <c r="B557" s="71"/>
      <c r="C557" s="71"/>
    </row>
    <row r="558" spans="2:3">
      <c r="B558" s="71"/>
      <c r="C558" s="71"/>
    </row>
    <row r="559" spans="2:3">
      <c r="B559" s="71"/>
      <c r="C559" s="71"/>
    </row>
    <row r="560" spans="2:3">
      <c r="B560" s="71"/>
      <c r="C560" s="71"/>
    </row>
    <row r="561" spans="2:3">
      <c r="B561" s="71"/>
      <c r="C561" s="71"/>
    </row>
    <row r="562" spans="2:3">
      <c r="B562" s="71"/>
      <c r="C562" s="71"/>
    </row>
    <row r="563" spans="2:3">
      <c r="B563" s="71"/>
      <c r="C563" s="71"/>
    </row>
    <row r="564" spans="2:3">
      <c r="B564" s="71"/>
      <c r="C564" s="71"/>
    </row>
    <row r="565" spans="2:3">
      <c r="B565" s="71"/>
      <c r="C565" s="71"/>
    </row>
    <row r="566" spans="2:3">
      <c r="B566" s="71"/>
      <c r="C566" s="71"/>
    </row>
    <row r="567" spans="2:3">
      <c r="B567" s="71"/>
      <c r="C567" s="71"/>
    </row>
    <row r="568" spans="2:3">
      <c r="B568" s="71"/>
      <c r="C568" s="71"/>
    </row>
    <row r="569" spans="2:3">
      <c r="B569" s="71"/>
      <c r="C569" s="71"/>
    </row>
    <row r="570" spans="2:3">
      <c r="B570" s="71"/>
      <c r="C570" s="71"/>
    </row>
    <row r="571" spans="2:3">
      <c r="B571" s="71"/>
      <c r="C571" s="71"/>
    </row>
    <row r="572" spans="2:3">
      <c r="B572" s="71"/>
      <c r="C572" s="71"/>
    </row>
    <row r="573" spans="2:3">
      <c r="B573" s="71"/>
      <c r="C573" s="71"/>
    </row>
    <row r="574" spans="2:3">
      <c r="B574" s="71"/>
      <c r="C574" s="71"/>
    </row>
    <row r="575" spans="2:3">
      <c r="B575" s="71"/>
      <c r="C575" s="71"/>
    </row>
    <row r="576" spans="2:3">
      <c r="B576" s="71"/>
      <c r="C576" s="71"/>
    </row>
    <row r="577" spans="2:3">
      <c r="B577" s="71"/>
      <c r="C577" s="71"/>
    </row>
    <row r="578" spans="2:3">
      <c r="B578" s="71"/>
      <c r="C578" s="71"/>
    </row>
    <row r="579" spans="2:3">
      <c r="B579" s="71"/>
      <c r="C579" s="71"/>
    </row>
    <row r="580" spans="2:3">
      <c r="B580" s="71"/>
      <c r="C580" s="71"/>
    </row>
    <row r="581" spans="2:3">
      <c r="B581" s="71"/>
      <c r="C581" s="71"/>
    </row>
    <row r="582" spans="2:3">
      <c r="B582" s="71"/>
      <c r="C582" s="71"/>
    </row>
    <row r="583" spans="2:3">
      <c r="B583" s="71"/>
      <c r="C583" s="71"/>
    </row>
    <row r="584" spans="2:3">
      <c r="B584" s="71"/>
      <c r="C584" s="71"/>
    </row>
    <row r="585" spans="2:3">
      <c r="B585" s="71"/>
      <c r="C585" s="71"/>
    </row>
    <row r="586" spans="2:3">
      <c r="B586" s="71"/>
      <c r="C586" s="71"/>
    </row>
    <row r="587" spans="2:3">
      <c r="B587" s="71"/>
      <c r="C587" s="71"/>
    </row>
    <row r="588" spans="2:3">
      <c r="B588" s="71"/>
      <c r="C588" s="71"/>
    </row>
    <row r="589" spans="2:3">
      <c r="B589" s="71"/>
      <c r="C589" s="71"/>
    </row>
    <row r="590" spans="2:3">
      <c r="B590" s="71"/>
      <c r="C590" s="71"/>
    </row>
    <row r="591" spans="2:3">
      <c r="B591" s="71"/>
      <c r="C591" s="71"/>
    </row>
    <row r="592" spans="2:3">
      <c r="B592" s="71"/>
      <c r="C592" s="71"/>
    </row>
    <row r="593" spans="2:3">
      <c r="B593" s="71"/>
      <c r="C593" s="71"/>
    </row>
    <row r="594" spans="2:3">
      <c r="B594" s="71"/>
      <c r="C594" s="71"/>
    </row>
    <row r="595" spans="2:3">
      <c r="B595" s="71"/>
      <c r="C595" s="71"/>
    </row>
    <row r="596" spans="2:3">
      <c r="B596" s="71"/>
      <c r="C596" s="71"/>
    </row>
    <row r="597" spans="2:3">
      <c r="B597" s="71"/>
      <c r="C597" s="71"/>
    </row>
    <row r="598" spans="2:3">
      <c r="B598" s="71"/>
      <c r="C598" s="71"/>
    </row>
    <row r="599" spans="2:3">
      <c r="B599" s="71"/>
      <c r="C599" s="71"/>
    </row>
    <row r="600" spans="2:3">
      <c r="B600" s="71"/>
      <c r="C600" s="71"/>
    </row>
    <row r="601" spans="2:3">
      <c r="B601" s="71"/>
      <c r="C601" s="71"/>
    </row>
    <row r="602" spans="2:3">
      <c r="B602" s="71"/>
      <c r="C602" s="71"/>
    </row>
    <row r="603" spans="2:3">
      <c r="B603" s="71"/>
      <c r="C603" s="71"/>
    </row>
    <row r="604" spans="2:3">
      <c r="B604" s="71"/>
      <c r="C604" s="71"/>
    </row>
    <row r="605" spans="2:3">
      <c r="B605" s="71"/>
      <c r="C605" s="71"/>
    </row>
    <row r="606" spans="2:3">
      <c r="B606" s="71"/>
      <c r="C606" s="71"/>
    </row>
    <row r="607" spans="2:3">
      <c r="B607" s="71"/>
      <c r="C607" s="71"/>
    </row>
    <row r="608" spans="2:3">
      <c r="B608" s="71"/>
      <c r="C608" s="71"/>
    </row>
    <row r="609" spans="2:3">
      <c r="B609" s="71"/>
      <c r="C609" s="71"/>
    </row>
    <row r="610" spans="2:3">
      <c r="B610" s="71"/>
      <c r="C610" s="71"/>
    </row>
    <row r="611" spans="2:3">
      <c r="B611" s="71"/>
      <c r="C611" s="71"/>
    </row>
    <row r="612" spans="2:3">
      <c r="B612" s="71"/>
      <c r="C612" s="71"/>
    </row>
    <row r="613" spans="2:3">
      <c r="B613" s="71"/>
      <c r="C613" s="71"/>
    </row>
    <row r="614" spans="2:3">
      <c r="B614" s="71"/>
      <c r="C614" s="71"/>
    </row>
    <row r="615" spans="2:3">
      <c r="B615" s="71"/>
      <c r="C615" s="71"/>
    </row>
    <row r="616" spans="2:3">
      <c r="B616" s="71"/>
      <c r="C616" s="71"/>
    </row>
    <row r="617" spans="2:3">
      <c r="B617" s="71"/>
      <c r="C617" s="71"/>
    </row>
    <row r="618" spans="2:3">
      <c r="B618" s="71"/>
      <c r="C618" s="71"/>
    </row>
    <row r="619" spans="2:3">
      <c r="B619" s="71"/>
      <c r="C619" s="71"/>
    </row>
    <row r="620" spans="2:3">
      <c r="B620" s="71"/>
      <c r="C620" s="71"/>
    </row>
    <row r="621" spans="2:3">
      <c r="B621" s="71"/>
      <c r="C621" s="71"/>
    </row>
    <row r="622" spans="2:3">
      <c r="B622" s="71"/>
      <c r="C622" s="71"/>
    </row>
    <row r="623" spans="2:3">
      <c r="B623" s="71"/>
      <c r="C623" s="71"/>
    </row>
    <row r="624" spans="2:3">
      <c r="B624" s="71"/>
      <c r="C624" s="71"/>
    </row>
    <row r="625" spans="2:3">
      <c r="B625" s="71"/>
      <c r="C625" s="71"/>
    </row>
    <row r="626" spans="2:3">
      <c r="B626" s="71"/>
      <c r="C626" s="71"/>
    </row>
    <row r="627" spans="2:3">
      <c r="B627" s="71"/>
      <c r="C627" s="71"/>
    </row>
    <row r="628" spans="2:3">
      <c r="B628" s="71"/>
      <c r="C628" s="71"/>
    </row>
    <row r="629" spans="2:3">
      <c r="B629" s="71"/>
      <c r="C629" s="71"/>
    </row>
    <row r="630" spans="2:3">
      <c r="B630" s="71"/>
      <c r="C630" s="71"/>
    </row>
    <row r="631" spans="2:3">
      <c r="B631" s="71"/>
      <c r="C631" s="71"/>
    </row>
    <row r="632" spans="2:3">
      <c r="B632" s="71"/>
      <c r="C632" s="71"/>
    </row>
    <row r="633" spans="2:3">
      <c r="B633" s="71"/>
      <c r="C633" s="71"/>
    </row>
    <row r="634" spans="2:3">
      <c r="B634" s="71"/>
      <c r="C634" s="71"/>
    </row>
    <row r="635" spans="2:3">
      <c r="B635" s="71"/>
      <c r="C635" s="71"/>
    </row>
    <row r="636" spans="2:3">
      <c r="B636" s="71"/>
      <c r="C636" s="71"/>
    </row>
    <row r="637" spans="2:3">
      <c r="B637" s="71"/>
      <c r="C637" s="71"/>
    </row>
    <row r="638" spans="2:3">
      <c r="B638" s="71"/>
      <c r="C638" s="71"/>
    </row>
    <row r="639" spans="2:3">
      <c r="B639" s="71"/>
      <c r="C639" s="71"/>
    </row>
    <row r="640" spans="2:3">
      <c r="B640" s="71"/>
      <c r="C640" s="71"/>
    </row>
    <row r="641" spans="2:3">
      <c r="B641" s="71"/>
      <c r="C641" s="71"/>
    </row>
    <row r="642" spans="2:3">
      <c r="B642" s="71"/>
      <c r="C642" s="71"/>
    </row>
    <row r="643" spans="2:3">
      <c r="B643" s="71"/>
      <c r="C643" s="71"/>
    </row>
    <row r="644" spans="2:3">
      <c r="B644" s="71"/>
      <c r="C644" s="71"/>
    </row>
    <row r="645" spans="2:3">
      <c r="B645" s="71"/>
      <c r="C645" s="71"/>
    </row>
    <row r="646" spans="2:3">
      <c r="B646" s="71"/>
      <c r="C646" s="71"/>
    </row>
    <row r="647" spans="2:3">
      <c r="B647" s="71"/>
      <c r="C647" s="71"/>
    </row>
    <row r="648" spans="2:3">
      <c r="B648" s="71"/>
      <c r="C648" s="71"/>
    </row>
    <row r="649" spans="2:3">
      <c r="B649" s="71"/>
      <c r="C649" s="71"/>
    </row>
    <row r="650" spans="2:3">
      <c r="B650" s="71"/>
      <c r="C650" s="71"/>
    </row>
    <row r="651" spans="2:3">
      <c r="B651" s="71"/>
      <c r="C651" s="71"/>
    </row>
    <row r="652" spans="2:3">
      <c r="B652" s="71"/>
      <c r="C652" s="71"/>
    </row>
    <row r="653" spans="2:3">
      <c r="B653" s="71"/>
      <c r="C653" s="71"/>
    </row>
    <row r="654" spans="2:3">
      <c r="B654" s="71"/>
      <c r="C654" s="71"/>
    </row>
    <row r="655" spans="2:3">
      <c r="B655" s="71"/>
      <c r="C655" s="71"/>
    </row>
    <row r="656" spans="2:3">
      <c r="B656" s="71"/>
      <c r="C656" s="71"/>
    </row>
    <row r="657" spans="2:3">
      <c r="B657" s="71"/>
      <c r="C657" s="71"/>
    </row>
    <row r="658" spans="2:3">
      <c r="B658" s="71"/>
      <c r="C658" s="71"/>
    </row>
    <row r="659" spans="2:3">
      <c r="B659" s="71"/>
      <c r="C659" s="71"/>
    </row>
    <row r="660" spans="2:3">
      <c r="B660" s="71"/>
      <c r="C660" s="71"/>
    </row>
    <row r="661" spans="2:3">
      <c r="B661" s="71"/>
      <c r="C661" s="71"/>
    </row>
    <row r="662" spans="2:3">
      <c r="B662" s="71"/>
      <c r="C662" s="71"/>
    </row>
    <row r="663" spans="2:3">
      <c r="B663" s="71"/>
      <c r="C663" s="71"/>
    </row>
    <row r="664" spans="2:3">
      <c r="B664" s="71"/>
      <c r="C664" s="71"/>
    </row>
    <row r="665" spans="2:3">
      <c r="B665" s="71"/>
      <c r="C665" s="71"/>
    </row>
    <row r="666" spans="2:3">
      <c r="B666" s="71"/>
      <c r="C666" s="71"/>
    </row>
    <row r="667" spans="2:3">
      <c r="B667" s="71"/>
      <c r="C667" s="71"/>
    </row>
    <row r="668" spans="2:3">
      <c r="B668" s="71"/>
      <c r="C668" s="71"/>
    </row>
    <row r="669" spans="2:3">
      <c r="B669" s="71"/>
      <c r="C669" s="71"/>
    </row>
    <row r="670" spans="2:3">
      <c r="B670" s="71"/>
      <c r="C670" s="71"/>
    </row>
    <row r="671" spans="2:3">
      <c r="B671" s="71"/>
      <c r="C671" s="71"/>
    </row>
    <row r="672" spans="2:3">
      <c r="B672" s="71"/>
      <c r="C672" s="71"/>
    </row>
    <row r="673" spans="2:3">
      <c r="B673" s="71"/>
      <c r="C673" s="71"/>
    </row>
    <row r="674" spans="2:3">
      <c r="B674" s="71"/>
      <c r="C674" s="71"/>
    </row>
    <row r="675" spans="2:3">
      <c r="B675" s="71"/>
      <c r="C675" s="71"/>
    </row>
    <row r="676" spans="2:3">
      <c r="B676" s="71"/>
      <c r="C676" s="71"/>
    </row>
    <row r="677" spans="2:3">
      <c r="B677" s="71"/>
      <c r="C677" s="71"/>
    </row>
    <row r="678" spans="2:3">
      <c r="B678" s="71"/>
      <c r="C678" s="71"/>
    </row>
    <row r="679" spans="2:3">
      <c r="B679" s="71"/>
      <c r="C679" s="71"/>
    </row>
    <row r="680" spans="2:3">
      <c r="B680" s="71"/>
      <c r="C680" s="71"/>
    </row>
    <row r="681" spans="2:3">
      <c r="B681" s="71"/>
      <c r="C681" s="71"/>
    </row>
    <row r="682" spans="2:3">
      <c r="B682" s="71"/>
      <c r="C682" s="71"/>
    </row>
    <row r="683" spans="2:3">
      <c r="B683" s="71"/>
      <c r="C683" s="71"/>
    </row>
    <row r="684" spans="2:3">
      <c r="B684" s="71"/>
      <c r="C684" s="71"/>
    </row>
    <row r="685" spans="2:3">
      <c r="B685" s="71"/>
      <c r="C685" s="71"/>
    </row>
    <row r="686" spans="2:3">
      <c r="B686" s="71"/>
      <c r="C686" s="71"/>
    </row>
    <row r="687" spans="2:3">
      <c r="B687" s="71"/>
      <c r="C687" s="71"/>
    </row>
    <row r="688" spans="2:3">
      <c r="B688" s="71"/>
      <c r="C688" s="71"/>
    </row>
    <row r="689" spans="2:3">
      <c r="B689" s="71"/>
      <c r="C689" s="71"/>
    </row>
    <row r="690" spans="2:3">
      <c r="B690" s="71"/>
      <c r="C690" s="71"/>
    </row>
    <row r="691" spans="2:3">
      <c r="B691" s="71"/>
      <c r="C691" s="71"/>
    </row>
    <row r="692" spans="2:3">
      <c r="B692" s="71"/>
      <c r="C692" s="71"/>
    </row>
    <row r="693" spans="2:3">
      <c r="B693" s="71"/>
      <c r="C693" s="71"/>
    </row>
    <row r="694" spans="2:3">
      <c r="B694" s="71"/>
      <c r="C694" s="71"/>
    </row>
    <row r="695" spans="2:3">
      <c r="B695" s="71"/>
      <c r="C695" s="71"/>
    </row>
    <row r="696" spans="2:3">
      <c r="B696" s="71"/>
      <c r="C696" s="71"/>
    </row>
    <row r="697" spans="2:3">
      <c r="B697" s="71"/>
      <c r="C697" s="71"/>
    </row>
    <row r="698" spans="2:3">
      <c r="B698" s="71"/>
      <c r="C698" s="71"/>
    </row>
    <row r="699" spans="2:3">
      <c r="B699" s="71"/>
      <c r="C699" s="71"/>
    </row>
    <row r="700" spans="2:3">
      <c r="B700" s="71"/>
      <c r="C700" s="71"/>
    </row>
    <row r="701" spans="2:3">
      <c r="B701" s="71"/>
      <c r="C701" s="71"/>
    </row>
    <row r="702" spans="2:3">
      <c r="B702" s="71"/>
      <c r="C702" s="71"/>
    </row>
    <row r="703" spans="2:3">
      <c r="B703" s="71"/>
      <c r="C703" s="71"/>
    </row>
    <row r="704" spans="2:3">
      <c r="B704" s="71"/>
      <c r="C704" s="71"/>
    </row>
    <row r="705" spans="2:3">
      <c r="B705" s="71"/>
      <c r="C705" s="71"/>
    </row>
    <row r="706" spans="2:3">
      <c r="B706" s="71"/>
      <c r="C706" s="71"/>
    </row>
    <row r="707" spans="2:3">
      <c r="B707" s="71"/>
      <c r="C707" s="71"/>
    </row>
    <row r="708" spans="2:3">
      <c r="B708" s="71"/>
      <c r="C708" s="71"/>
    </row>
    <row r="709" spans="2:3">
      <c r="B709" s="71"/>
      <c r="C709" s="71"/>
    </row>
    <row r="710" spans="2:3">
      <c r="B710" s="71"/>
      <c r="C710" s="71"/>
    </row>
    <row r="711" spans="2:3">
      <c r="B711" s="71"/>
      <c r="C711" s="71"/>
    </row>
    <row r="712" spans="2:3">
      <c r="B712" s="71"/>
      <c r="C712" s="71"/>
    </row>
    <row r="713" spans="2:3">
      <c r="B713" s="71"/>
      <c r="C713" s="71"/>
    </row>
    <row r="714" spans="2:3">
      <c r="B714" s="71"/>
      <c r="C714" s="71"/>
    </row>
    <row r="715" spans="2:3">
      <c r="B715" s="71"/>
      <c r="C715" s="71"/>
    </row>
    <row r="716" spans="2:3">
      <c r="B716" s="71"/>
      <c r="C716" s="71"/>
    </row>
    <row r="717" spans="2:3">
      <c r="B717" s="71"/>
      <c r="C717" s="71"/>
    </row>
    <row r="718" spans="2:3">
      <c r="B718" s="71"/>
      <c r="C718" s="71"/>
    </row>
    <row r="719" spans="2:3">
      <c r="B719" s="71"/>
      <c r="C719" s="71"/>
    </row>
    <row r="720" spans="2:3">
      <c r="B720" s="71"/>
      <c r="C720" s="71"/>
    </row>
    <row r="721" spans="2:3">
      <c r="B721" s="71"/>
      <c r="C721" s="71"/>
    </row>
    <row r="722" spans="2:3">
      <c r="B722" s="71"/>
      <c r="C722" s="71"/>
    </row>
    <row r="723" spans="2:3">
      <c r="B723" s="71"/>
      <c r="C723" s="71"/>
    </row>
    <row r="724" spans="2:3">
      <c r="B724" s="71"/>
      <c r="C724" s="71"/>
    </row>
    <row r="725" spans="2:3">
      <c r="B725" s="71"/>
      <c r="C725" s="71"/>
    </row>
    <row r="726" spans="2:3">
      <c r="B726" s="71"/>
      <c r="C726" s="71"/>
    </row>
    <row r="727" spans="2:3">
      <c r="B727" s="71"/>
      <c r="C727" s="71"/>
    </row>
    <row r="728" spans="2:3">
      <c r="B728" s="71"/>
      <c r="C728" s="71"/>
    </row>
    <row r="729" spans="2:3">
      <c r="B729" s="71"/>
      <c r="C729" s="71"/>
    </row>
    <row r="730" spans="2:3">
      <c r="B730" s="71"/>
      <c r="C730" s="71"/>
    </row>
    <row r="731" spans="2:3">
      <c r="B731" s="71"/>
      <c r="C731" s="71"/>
    </row>
    <row r="732" spans="2:3">
      <c r="B732" s="71"/>
      <c r="C732" s="71"/>
    </row>
    <row r="733" spans="2:3">
      <c r="B733" s="71"/>
      <c r="C733" s="71"/>
    </row>
    <row r="734" spans="2:3">
      <c r="B734" s="71"/>
      <c r="C734" s="71"/>
    </row>
    <row r="735" spans="2:3">
      <c r="B735" s="71"/>
      <c r="C735" s="71"/>
    </row>
    <row r="736" spans="2:3">
      <c r="B736" s="71"/>
      <c r="C736" s="71"/>
    </row>
    <row r="737" spans="2:3">
      <c r="B737" s="71"/>
      <c r="C737" s="71"/>
    </row>
    <row r="738" spans="2:3">
      <c r="B738" s="71"/>
      <c r="C738" s="71"/>
    </row>
    <row r="739" spans="2:3">
      <c r="B739" s="71"/>
      <c r="C739" s="71"/>
    </row>
    <row r="740" spans="2:3">
      <c r="B740" s="71"/>
      <c r="C740" s="71"/>
    </row>
    <row r="741" spans="2:3">
      <c r="B741" s="71"/>
      <c r="C741" s="71"/>
    </row>
    <row r="742" spans="2:3">
      <c r="B742" s="71"/>
      <c r="C742" s="71"/>
    </row>
    <row r="743" spans="2:3">
      <c r="B743" s="71"/>
      <c r="C743" s="71"/>
    </row>
    <row r="744" spans="2:3">
      <c r="B744" s="71"/>
      <c r="C744" s="71"/>
    </row>
    <row r="745" spans="2:3">
      <c r="B745" s="71"/>
      <c r="C745" s="71"/>
    </row>
    <row r="746" spans="2:3">
      <c r="B746" s="71"/>
      <c r="C746" s="71"/>
    </row>
    <row r="747" spans="2:3">
      <c r="B747" s="71"/>
      <c r="C747" s="71"/>
    </row>
    <row r="748" spans="2:3">
      <c r="B748" s="71"/>
      <c r="C748" s="71"/>
    </row>
    <row r="749" spans="2:3">
      <c r="B749" s="71"/>
      <c r="C749" s="71"/>
    </row>
    <row r="750" spans="2:3">
      <c r="B750" s="71"/>
      <c r="C750" s="71"/>
    </row>
    <row r="751" spans="2:3">
      <c r="B751" s="71"/>
      <c r="C751" s="71"/>
    </row>
    <row r="752" spans="2:3">
      <c r="B752" s="71"/>
      <c r="C752" s="71"/>
    </row>
    <row r="753" spans="2:3">
      <c r="B753" s="71"/>
      <c r="C753" s="71"/>
    </row>
    <row r="754" spans="2:3">
      <c r="B754" s="71"/>
      <c r="C754" s="71"/>
    </row>
    <row r="755" spans="2:3">
      <c r="B755" s="71"/>
      <c r="C755" s="71"/>
    </row>
    <row r="756" spans="2:3">
      <c r="B756" s="71"/>
      <c r="C756" s="71"/>
    </row>
    <row r="757" spans="2:3">
      <c r="B757" s="71"/>
      <c r="C757" s="71"/>
    </row>
    <row r="758" spans="2:3">
      <c r="B758" s="71"/>
      <c r="C758" s="71"/>
    </row>
    <row r="759" spans="2:3">
      <c r="B759" s="71"/>
      <c r="C759" s="71"/>
    </row>
    <row r="760" spans="2:3">
      <c r="B760" s="71"/>
      <c r="C760" s="71"/>
    </row>
    <row r="761" spans="2:3">
      <c r="B761" s="71"/>
      <c r="C761" s="71"/>
    </row>
    <row r="762" spans="2:3">
      <c r="B762" s="71"/>
      <c r="C762" s="71"/>
    </row>
    <row r="763" spans="2:3">
      <c r="B763" s="71"/>
      <c r="C763" s="71"/>
    </row>
    <row r="764" spans="2:3">
      <c r="B764" s="71"/>
      <c r="C764" s="71"/>
    </row>
    <row r="765" spans="2:3">
      <c r="B765" s="71"/>
      <c r="C765" s="71"/>
    </row>
    <row r="766" spans="2:3">
      <c r="B766" s="71"/>
      <c r="C766" s="71"/>
    </row>
    <row r="767" spans="2:3">
      <c r="B767" s="71"/>
      <c r="C767" s="71"/>
    </row>
    <row r="768" spans="2:3">
      <c r="B768" s="71"/>
      <c r="C768" s="71"/>
    </row>
    <row r="769" spans="2:3">
      <c r="B769" s="71"/>
      <c r="C769" s="71"/>
    </row>
    <row r="770" spans="2:3">
      <c r="B770" s="71"/>
      <c r="C770" s="71"/>
    </row>
    <row r="771" spans="2:3">
      <c r="B771" s="71"/>
      <c r="C771" s="71"/>
    </row>
    <row r="772" spans="2:3">
      <c r="B772" s="71"/>
      <c r="C772" s="71"/>
    </row>
    <row r="773" spans="2:3">
      <c r="B773" s="71"/>
      <c r="C773" s="71"/>
    </row>
    <row r="774" spans="2:3">
      <c r="B774" s="71"/>
      <c r="C774" s="71"/>
    </row>
    <row r="775" spans="2:3">
      <c r="B775" s="71"/>
      <c r="C775" s="71"/>
    </row>
    <row r="776" spans="2:3">
      <c r="B776" s="71"/>
      <c r="C776" s="71"/>
    </row>
    <row r="777" spans="2:3">
      <c r="B777" s="71"/>
      <c r="C777" s="71"/>
    </row>
    <row r="778" spans="2:3">
      <c r="B778" s="71"/>
      <c r="C778" s="71"/>
    </row>
    <row r="779" spans="2:3">
      <c r="B779" s="71"/>
      <c r="C779" s="71"/>
    </row>
    <row r="780" spans="2:3">
      <c r="B780" s="71"/>
      <c r="C780" s="71"/>
    </row>
    <row r="781" spans="2:3">
      <c r="B781" s="71"/>
      <c r="C781" s="71"/>
    </row>
    <row r="782" spans="2:3">
      <c r="B782" s="71"/>
      <c r="C782" s="71"/>
    </row>
    <row r="783" spans="2:3">
      <c r="B783" s="71"/>
      <c r="C783" s="71"/>
    </row>
    <row r="784" spans="2:3">
      <c r="B784" s="71"/>
      <c r="C784" s="71"/>
    </row>
    <row r="785" spans="2:3">
      <c r="B785" s="71"/>
      <c r="C785" s="71"/>
    </row>
    <row r="786" spans="2:3">
      <c r="B786" s="71"/>
      <c r="C786" s="71"/>
    </row>
    <row r="787" spans="2:3">
      <c r="B787" s="71"/>
      <c r="C787" s="71"/>
    </row>
    <row r="788" spans="2:3">
      <c r="B788" s="71"/>
      <c r="C788" s="71"/>
    </row>
    <row r="789" spans="2:3">
      <c r="B789" s="71"/>
      <c r="C789" s="71"/>
    </row>
    <row r="790" spans="2:3">
      <c r="B790" s="71"/>
      <c r="C790" s="71"/>
    </row>
    <row r="791" spans="2:3">
      <c r="B791" s="71"/>
      <c r="C791" s="71"/>
    </row>
    <row r="792" spans="2:3">
      <c r="B792" s="71"/>
      <c r="C792" s="71"/>
    </row>
    <row r="793" spans="2:3">
      <c r="B793" s="71"/>
      <c r="C793" s="71"/>
    </row>
    <row r="794" spans="2:3">
      <c r="B794" s="71"/>
      <c r="C794" s="71"/>
    </row>
    <row r="795" spans="2:3">
      <c r="B795" s="71"/>
      <c r="C795" s="71"/>
    </row>
    <row r="796" spans="2:3">
      <c r="B796" s="71"/>
      <c r="C796" s="71"/>
    </row>
    <row r="797" spans="2:3">
      <c r="B797" s="71"/>
      <c r="C797" s="71"/>
    </row>
    <row r="798" spans="2:3">
      <c r="B798" s="71"/>
      <c r="C798" s="71"/>
    </row>
    <row r="799" spans="2:3">
      <c r="B799" s="71"/>
      <c r="C799" s="71"/>
    </row>
    <row r="800" spans="2:3">
      <c r="B800" s="71"/>
      <c r="C800" s="71"/>
    </row>
    <row r="801" spans="2:3">
      <c r="B801" s="71"/>
      <c r="C801" s="71"/>
    </row>
    <row r="802" spans="2:3">
      <c r="B802" s="71"/>
      <c r="C802" s="71"/>
    </row>
    <row r="803" spans="2:3">
      <c r="B803" s="71"/>
      <c r="C803" s="71"/>
    </row>
    <row r="804" spans="2:3">
      <c r="B804" s="71"/>
      <c r="C804" s="71"/>
    </row>
    <row r="805" spans="2:3">
      <c r="B805" s="71"/>
      <c r="C805" s="71"/>
    </row>
    <row r="806" spans="2:3">
      <c r="B806" s="71"/>
      <c r="C806" s="71"/>
    </row>
    <row r="807" spans="2:3">
      <c r="B807" s="71"/>
      <c r="C807" s="71"/>
    </row>
    <row r="808" spans="2:3">
      <c r="B808" s="71"/>
      <c r="C808" s="71"/>
    </row>
    <row r="809" spans="2:3">
      <c r="B809" s="71"/>
      <c r="C809" s="71"/>
    </row>
    <row r="810" spans="2:3">
      <c r="B810" s="71"/>
      <c r="C810" s="71"/>
    </row>
    <row r="811" spans="2:3">
      <c r="B811" s="71"/>
      <c r="C811" s="71"/>
    </row>
    <row r="812" spans="2:3">
      <c r="B812" s="71"/>
      <c r="C812" s="71"/>
    </row>
    <row r="813" spans="2:3">
      <c r="B813" s="71"/>
      <c r="C813" s="71"/>
    </row>
    <row r="814" spans="2:3">
      <c r="B814" s="71"/>
      <c r="C814" s="71"/>
    </row>
    <row r="815" spans="2:3">
      <c r="B815" s="71"/>
      <c r="C815" s="71"/>
    </row>
    <row r="816" spans="2:3">
      <c r="B816" s="71"/>
      <c r="C816" s="71"/>
    </row>
    <row r="817" spans="2:3">
      <c r="B817" s="71"/>
      <c r="C817" s="71"/>
    </row>
    <row r="818" spans="2:3">
      <c r="B818" s="71"/>
      <c r="C818" s="71"/>
    </row>
    <row r="819" spans="2:3">
      <c r="B819" s="71"/>
      <c r="C819" s="71"/>
    </row>
    <row r="820" spans="2:3">
      <c r="B820" s="71"/>
      <c r="C820" s="71"/>
    </row>
    <row r="821" spans="2:3">
      <c r="B821" s="71"/>
      <c r="C821" s="71"/>
    </row>
    <row r="822" spans="2:3">
      <c r="B822" s="71"/>
      <c r="C822" s="71"/>
    </row>
    <row r="823" spans="2:3">
      <c r="B823" s="71"/>
      <c r="C823" s="71"/>
    </row>
    <row r="824" spans="2:3">
      <c r="B824" s="71"/>
      <c r="C824" s="71"/>
    </row>
    <row r="825" spans="2:3">
      <c r="B825" s="71"/>
      <c r="C825" s="71"/>
    </row>
    <row r="826" spans="2:3">
      <c r="B826" s="71"/>
      <c r="C826" s="71"/>
    </row>
    <row r="827" spans="2:3">
      <c r="B827" s="71"/>
      <c r="C827" s="71"/>
    </row>
    <row r="828" spans="2:3">
      <c r="B828" s="71"/>
      <c r="C828" s="71"/>
    </row>
    <row r="829" spans="2:3">
      <c r="B829" s="71"/>
      <c r="C829" s="71"/>
    </row>
    <row r="830" spans="2:3">
      <c r="B830" s="71"/>
      <c r="C830" s="71"/>
    </row>
    <row r="831" spans="2:3">
      <c r="B831" s="71"/>
      <c r="C831" s="71"/>
    </row>
    <row r="832" spans="2:3">
      <c r="B832" s="71"/>
      <c r="C832" s="71"/>
    </row>
    <row r="833" spans="2:3">
      <c r="B833" s="71"/>
      <c r="C833" s="71"/>
    </row>
    <row r="834" spans="2:3">
      <c r="B834" s="71"/>
      <c r="C834" s="71"/>
    </row>
    <row r="835" spans="2:3">
      <c r="B835" s="71"/>
      <c r="C835" s="71"/>
    </row>
    <row r="836" spans="2:3">
      <c r="B836" s="71"/>
      <c r="C836" s="71"/>
    </row>
    <row r="837" spans="2:3">
      <c r="B837" s="71"/>
      <c r="C837" s="71"/>
    </row>
    <row r="838" spans="2:3">
      <c r="B838" s="71"/>
      <c r="C838" s="71"/>
    </row>
    <row r="839" spans="2:3">
      <c r="B839" s="71"/>
      <c r="C839" s="71"/>
    </row>
    <row r="840" spans="2:3">
      <c r="B840" s="71"/>
      <c r="C840" s="71"/>
    </row>
    <row r="841" spans="2:3">
      <c r="B841" s="71"/>
      <c r="C841" s="71"/>
    </row>
    <row r="842" spans="2:3">
      <c r="B842" s="71"/>
      <c r="C842" s="71"/>
    </row>
    <row r="843" spans="2:3">
      <c r="B843" s="71"/>
      <c r="C843" s="71"/>
    </row>
    <row r="844" spans="2:3">
      <c r="B844" s="71"/>
      <c r="C844" s="71"/>
    </row>
    <row r="845" spans="2:3">
      <c r="B845" s="71"/>
      <c r="C845" s="71"/>
    </row>
    <row r="846" spans="2:3">
      <c r="B846" s="71"/>
      <c r="C846" s="71"/>
    </row>
    <row r="847" spans="2:3">
      <c r="B847" s="71"/>
      <c r="C847" s="71"/>
    </row>
    <row r="848" spans="2:3">
      <c r="B848" s="71"/>
      <c r="C848" s="71"/>
    </row>
    <row r="849" spans="2:3">
      <c r="B849" s="71"/>
      <c r="C849" s="71"/>
    </row>
    <row r="850" spans="2:3">
      <c r="B850" s="71"/>
      <c r="C850" s="71"/>
    </row>
    <row r="851" spans="2:3">
      <c r="B851" s="71"/>
      <c r="C851" s="71"/>
    </row>
    <row r="852" spans="2:3">
      <c r="B852" s="71"/>
      <c r="C852" s="71"/>
    </row>
    <row r="853" spans="2:3">
      <c r="B853" s="71"/>
      <c r="C853" s="71"/>
    </row>
    <row r="854" spans="2:3">
      <c r="B854" s="71"/>
      <c r="C854" s="71"/>
    </row>
    <row r="855" spans="2:3">
      <c r="B855" s="71"/>
      <c r="C855" s="71"/>
    </row>
    <row r="856" spans="2:3">
      <c r="B856" s="71"/>
      <c r="C856" s="71"/>
    </row>
    <row r="857" spans="2:3">
      <c r="B857" s="71"/>
      <c r="C857" s="71"/>
    </row>
    <row r="858" spans="2:3">
      <c r="B858" s="71"/>
      <c r="C858" s="71"/>
    </row>
    <row r="859" spans="2:3">
      <c r="B859" s="71"/>
      <c r="C859" s="71"/>
    </row>
    <row r="860" spans="2:3">
      <c r="B860" s="71"/>
      <c r="C860" s="71"/>
    </row>
    <row r="861" spans="2:3">
      <c r="B861" s="71"/>
      <c r="C861" s="71"/>
    </row>
    <row r="862" spans="2:3">
      <c r="B862" s="71"/>
      <c r="C862" s="71"/>
    </row>
    <row r="863" spans="2:3">
      <c r="B863" s="71"/>
      <c r="C863" s="71"/>
    </row>
    <row r="864" spans="2:3">
      <c r="B864" s="71"/>
      <c r="C864" s="71"/>
    </row>
    <row r="865" spans="2:3">
      <c r="B865" s="71"/>
      <c r="C865" s="71"/>
    </row>
    <row r="866" spans="2:3">
      <c r="B866" s="71"/>
      <c r="C866" s="71"/>
    </row>
    <row r="867" spans="2:3">
      <c r="B867" s="71"/>
      <c r="C867" s="71"/>
    </row>
    <row r="868" spans="2:3">
      <c r="B868" s="71"/>
      <c r="C868" s="71"/>
    </row>
    <row r="869" spans="2:3">
      <c r="B869" s="71"/>
      <c r="C869" s="71"/>
    </row>
    <row r="870" spans="2:3">
      <c r="B870" s="71"/>
      <c r="C870" s="71"/>
    </row>
    <row r="871" spans="2:3">
      <c r="B871" s="71"/>
      <c r="C871" s="71"/>
    </row>
    <row r="872" spans="2:3">
      <c r="B872" s="71"/>
      <c r="C872" s="71"/>
    </row>
    <row r="873" spans="2:3">
      <c r="B873" s="71"/>
      <c r="C873" s="71"/>
    </row>
    <row r="874" spans="2:3">
      <c r="B874" s="71"/>
      <c r="C874" s="71"/>
    </row>
    <row r="875" spans="2:3">
      <c r="B875" s="71"/>
      <c r="C875" s="71"/>
    </row>
    <row r="876" spans="2:3">
      <c r="B876" s="71"/>
      <c r="C876" s="71"/>
    </row>
    <row r="877" spans="2:3">
      <c r="B877" s="71"/>
      <c r="C877" s="71"/>
    </row>
    <row r="878" spans="2:3">
      <c r="B878" s="71"/>
      <c r="C878" s="71"/>
    </row>
    <row r="879" spans="2:3">
      <c r="B879" s="71"/>
      <c r="C879" s="71"/>
    </row>
    <row r="880" spans="2:3">
      <c r="B880" s="71"/>
      <c r="C880" s="71"/>
    </row>
    <row r="881" spans="2:3">
      <c r="B881" s="71"/>
      <c r="C881" s="71"/>
    </row>
    <row r="882" spans="2:3">
      <c r="B882" s="71"/>
      <c r="C882" s="71"/>
    </row>
    <row r="883" spans="2:3">
      <c r="B883" s="71"/>
      <c r="C883" s="71"/>
    </row>
    <row r="884" spans="2:3">
      <c r="B884" s="71"/>
      <c r="C884" s="71"/>
    </row>
    <row r="885" spans="2:3">
      <c r="B885" s="71"/>
      <c r="C885" s="71"/>
    </row>
    <row r="886" spans="2:3">
      <c r="B886" s="71"/>
      <c r="C886" s="71"/>
    </row>
    <row r="887" spans="2:3">
      <c r="B887" s="71"/>
      <c r="C887" s="71"/>
    </row>
    <row r="888" spans="2:3">
      <c r="B888" s="71"/>
      <c r="C888" s="71"/>
    </row>
    <row r="889" spans="2:3">
      <c r="B889" s="71"/>
      <c r="C889" s="71"/>
    </row>
    <row r="890" spans="2:3">
      <c r="B890" s="71"/>
      <c r="C890" s="71"/>
    </row>
    <row r="891" spans="2:3">
      <c r="B891" s="71"/>
      <c r="C891" s="71"/>
    </row>
    <row r="892" spans="2:3">
      <c r="B892" s="71"/>
      <c r="C892" s="71"/>
    </row>
    <row r="893" spans="2:3">
      <c r="B893" s="71"/>
      <c r="C893" s="71"/>
    </row>
    <row r="894" spans="2:3">
      <c r="B894" s="71"/>
      <c r="C894" s="71"/>
    </row>
    <row r="895" spans="2:3">
      <c r="B895" s="71"/>
      <c r="C895" s="71"/>
    </row>
    <row r="896" spans="2:3">
      <c r="B896" s="71"/>
      <c r="C896" s="71"/>
    </row>
    <row r="897" spans="2:3">
      <c r="B897" s="71"/>
      <c r="C897" s="71"/>
    </row>
    <row r="898" spans="2:3">
      <c r="B898" s="71"/>
      <c r="C898" s="71"/>
    </row>
    <row r="899" spans="2:3">
      <c r="B899" s="71"/>
      <c r="C899" s="71"/>
    </row>
    <row r="900" spans="2:3">
      <c r="B900" s="71"/>
      <c r="C900" s="71"/>
    </row>
    <row r="901" spans="2:3">
      <c r="B901" s="71"/>
      <c r="C901" s="71"/>
    </row>
    <row r="902" spans="2:3">
      <c r="B902" s="71"/>
      <c r="C902" s="71"/>
    </row>
    <row r="903" spans="2:3">
      <c r="B903" s="71"/>
      <c r="C903" s="71"/>
    </row>
    <row r="904" spans="2:3">
      <c r="B904" s="71"/>
      <c r="C904" s="71"/>
    </row>
    <row r="905" spans="2:3">
      <c r="B905" s="71"/>
      <c r="C905" s="71"/>
    </row>
    <row r="906" spans="2:3">
      <c r="B906" s="71"/>
      <c r="C906" s="71"/>
    </row>
    <row r="907" spans="2:3">
      <c r="B907" s="71"/>
      <c r="C907" s="71"/>
    </row>
    <row r="908" spans="2:3">
      <c r="B908" s="71"/>
      <c r="C908" s="71"/>
    </row>
    <row r="909" spans="2:3">
      <c r="B909" s="71"/>
      <c r="C909" s="71"/>
    </row>
    <row r="910" spans="2:3">
      <c r="B910" s="71"/>
      <c r="C910" s="71"/>
    </row>
    <row r="911" spans="2:3">
      <c r="B911" s="71"/>
      <c r="C911" s="71"/>
    </row>
    <row r="912" spans="2:3">
      <c r="B912" s="71"/>
      <c r="C912" s="71"/>
    </row>
    <row r="913" spans="2:3">
      <c r="B913" s="71"/>
      <c r="C913" s="71"/>
    </row>
    <row r="914" spans="2:3">
      <c r="B914" s="71"/>
      <c r="C914" s="71"/>
    </row>
    <row r="915" spans="2:3">
      <c r="B915" s="71"/>
      <c r="C915" s="71"/>
    </row>
    <row r="916" spans="2:3">
      <c r="B916" s="71"/>
      <c r="C916" s="71"/>
    </row>
    <row r="917" spans="2:3">
      <c r="B917" s="71"/>
      <c r="C917" s="71"/>
    </row>
    <row r="918" spans="2:3">
      <c r="B918" s="71"/>
      <c r="C918" s="71"/>
    </row>
    <row r="919" spans="2:3">
      <c r="B919" s="71"/>
      <c r="C919" s="71"/>
    </row>
    <row r="920" spans="2:3">
      <c r="B920" s="71"/>
      <c r="C920" s="71"/>
    </row>
    <row r="921" spans="2:3">
      <c r="B921" s="71"/>
      <c r="C921" s="71"/>
    </row>
    <row r="922" spans="2:3">
      <c r="B922" s="71"/>
      <c r="C922" s="71"/>
    </row>
    <row r="923" spans="2:3">
      <c r="B923" s="71"/>
      <c r="C923" s="71"/>
    </row>
    <row r="924" spans="2:3">
      <c r="B924" s="71"/>
      <c r="C924" s="71"/>
    </row>
    <row r="925" spans="2:3">
      <c r="B925" s="71"/>
      <c r="C925" s="71"/>
    </row>
    <row r="926" spans="2:3">
      <c r="B926" s="71"/>
      <c r="C926" s="71"/>
    </row>
    <row r="927" spans="2:3">
      <c r="B927" s="71"/>
      <c r="C927" s="71"/>
    </row>
    <row r="928" spans="2:3">
      <c r="B928" s="71"/>
      <c r="C928" s="71"/>
    </row>
    <row r="929" spans="2:3">
      <c r="B929" s="71"/>
      <c r="C929" s="71"/>
    </row>
    <row r="930" spans="2:3">
      <c r="B930" s="71"/>
      <c r="C930" s="71"/>
    </row>
    <row r="931" spans="2:3">
      <c r="B931" s="71"/>
      <c r="C931" s="71"/>
    </row>
    <row r="932" spans="2:3">
      <c r="B932" s="71"/>
      <c r="C932" s="71"/>
    </row>
    <row r="933" spans="2:3">
      <c r="B933" s="71"/>
      <c r="C933" s="71"/>
    </row>
    <row r="934" spans="2:3">
      <c r="B934" s="71"/>
      <c r="C934" s="71"/>
    </row>
    <row r="935" spans="2:3">
      <c r="B935" s="71"/>
      <c r="C935" s="71"/>
    </row>
    <row r="936" spans="2:3">
      <c r="B936" s="71"/>
      <c r="C936" s="71"/>
    </row>
    <row r="937" spans="2:3">
      <c r="B937" s="71"/>
      <c r="C937" s="71"/>
    </row>
    <row r="938" spans="2:3">
      <c r="B938" s="71"/>
      <c r="C938" s="71"/>
    </row>
    <row r="939" spans="2:3">
      <c r="B939" s="71"/>
      <c r="C939" s="71"/>
    </row>
    <row r="940" spans="2:3">
      <c r="B940" s="71"/>
      <c r="C940" s="71"/>
    </row>
    <row r="941" spans="2:3">
      <c r="B941" s="71"/>
      <c r="C941" s="71"/>
    </row>
    <row r="942" spans="2:3">
      <c r="B942" s="71"/>
      <c r="C942" s="71"/>
    </row>
    <row r="943" spans="2:3">
      <c r="B943" s="71"/>
      <c r="C943" s="71"/>
    </row>
    <row r="944" spans="2:3">
      <c r="B944" s="71"/>
      <c r="C944" s="71"/>
    </row>
    <row r="945" spans="2:3">
      <c r="B945" s="71"/>
      <c r="C945" s="71"/>
    </row>
    <row r="946" spans="2:3">
      <c r="B946" s="71"/>
      <c r="C946" s="71"/>
    </row>
    <row r="947" spans="2:3">
      <c r="B947" s="71"/>
      <c r="C947" s="71"/>
    </row>
    <row r="948" spans="2:3">
      <c r="B948" s="71"/>
      <c r="C948" s="71"/>
    </row>
    <row r="949" spans="2:3">
      <c r="B949" s="71"/>
      <c r="C949" s="71"/>
    </row>
    <row r="950" spans="2:3">
      <c r="B950" s="71"/>
      <c r="C950" s="71"/>
    </row>
    <row r="951" spans="2:3">
      <c r="B951" s="71"/>
      <c r="C951" s="71"/>
    </row>
    <row r="952" spans="2:3">
      <c r="B952" s="71"/>
      <c r="C952" s="71"/>
    </row>
    <row r="953" spans="2:3">
      <c r="B953" s="71"/>
      <c r="C953" s="71"/>
    </row>
    <row r="954" spans="2:3">
      <c r="B954" s="71"/>
      <c r="C954" s="71"/>
    </row>
    <row r="955" spans="2:3">
      <c r="B955" s="71"/>
      <c r="C955" s="71"/>
    </row>
    <row r="956" spans="2:3">
      <c r="B956" s="71"/>
      <c r="C956" s="71"/>
    </row>
    <row r="957" spans="2:3">
      <c r="B957" s="71"/>
      <c r="C957" s="71"/>
    </row>
    <row r="958" spans="2:3">
      <c r="B958" s="71"/>
      <c r="C958" s="71"/>
    </row>
    <row r="959" spans="2:3">
      <c r="B959" s="71"/>
      <c r="C959" s="71"/>
    </row>
    <row r="960" spans="2:3">
      <c r="B960" s="71"/>
      <c r="C960" s="71"/>
    </row>
    <row r="961" spans="2:3">
      <c r="B961" s="71"/>
      <c r="C961" s="71"/>
    </row>
    <row r="962" spans="2:3">
      <c r="B962" s="71"/>
      <c r="C962" s="71"/>
    </row>
    <row r="963" spans="2:3">
      <c r="B963" s="71"/>
      <c r="C963" s="71"/>
    </row>
    <row r="964" spans="2:3">
      <c r="B964" s="71"/>
      <c r="C964" s="71"/>
    </row>
    <row r="965" spans="2:3">
      <c r="B965" s="71"/>
      <c r="C965" s="71"/>
    </row>
    <row r="966" spans="2:3">
      <c r="B966" s="71"/>
      <c r="C966" s="71"/>
    </row>
    <row r="967" spans="2:3">
      <c r="B967" s="71"/>
      <c r="C967" s="71"/>
    </row>
    <row r="968" spans="2:3">
      <c r="B968" s="71"/>
      <c r="C968" s="71"/>
    </row>
    <row r="969" spans="2:3">
      <c r="B969" s="71"/>
      <c r="C969" s="71"/>
    </row>
    <row r="970" spans="2:3">
      <c r="B970" s="71"/>
      <c r="C970" s="71"/>
    </row>
    <row r="971" spans="2:3">
      <c r="B971" s="71"/>
      <c r="C971" s="71"/>
    </row>
    <row r="972" spans="2:3">
      <c r="B972" s="71"/>
      <c r="C972" s="71"/>
    </row>
    <row r="973" spans="2:3">
      <c r="B973" s="71"/>
      <c r="C973" s="71"/>
    </row>
    <row r="974" spans="2:3">
      <c r="B974" s="71"/>
      <c r="C974" s="71"/>
    </row>
    <row r="975" spans="2:3">
      <c r="B975" s="71"/>
      <c r="C975" s="71"/>
    </row>
    <row r="976" spans="2:3">
      <c r="B976" s="71"/>
      <c r="C976" s="71"/>
    </row>
    <row r="977" spans="2:3">
      <c r="B977" s="71"/>
      <c r="C977" s="71"/>
    </row>
    <row r="978" spans="2:3">
      <c r="B978" s="71"/>
      <c r="C978" s="71"/>
    </row>
    <row r="979" spans="2:3">
      <c r="B979" s="71"/>
      <c r="C979" s="71"/>
    </row>
    <row r="980" spans="2:3">
      <c r="B980" s="71"/>
      <c r="C980" s="71"/>
    </row>
    <row r="981" spans="2:3">
      <c r="B981" s="71"/>
      <c r="C981" s="71"/>
    </row>
    <row r="982" spans="2:3">
      <c r="B982" s="71"/>
      <c r="C982" s="71"/>
    </row>
    <row r="983" spans="2:3">
      <c r="B983" s="71"/>
      <c r="C983" s="71"/>
    </row>
    <row r="984" spans="2:3">
      <c r="B984" s="71"/>
      <c r="C984" s="71"/>
    </row>
    <row r="985" spans="2:3">
      <c r="B985" s="71"/>
      <c r="C985" s="71"/>
    </row>
    <row r="986" spans="2:3">
      <c r="B986" s="71"/>
      <c r="C986" s="71"/>
    </row>
    <row r="987" spans="2:3">
      <c r="B987" s="71"/>
      <c r="C987" s="71"/>
    </row>
    <row r="988" spans="2:3">
      <c r="B988" s="71"/>
      <c r="C988" s="71"/>
    </row>
    <row r="989" spans="2:3">
      <c r="B989" s="71"/>
      <c r="C989" s="71"/>
    </row>
    <row r="990" spans="2:3">
      <c r="B990" s="71"/>
      <c r="C990" s="71"/>
    </row>
    <row r="991" spans="2:3">
      <c r="B991" s="71"/>
      <c r="C991" s="71"/>
    </row>
    <row r="992" spans="2:3">
      <c r="B992" s="71"/>
      <c r="C992" s="71"/>
    </row>
    <row r="993" spans="2:3">
      <c r="B993" s="71"/>
      <c r="C993" s="71"/>
    </row>
    <row r="994" spans="2:3">
      <c r="B994" s="71"/>
      <c r="C994" s="71"/>
    </row>
    <row r="995" spans="2:3">
      <c r="B995" s="71"/>
      <c r="C995" s="71"/>
    </row>
    <row r="996" spans="2:3">
      <c r="B996" s="71"/>
      <c r="C996" s="71"/>
    </row>
    <row r="997" spans="2:3">
      <c r="B997" s="71"/>
      <c r="C997" s="71"/>
    </row>
    <row r="998" spans="2:3">
      <c r="B998" s="71"/>
      <c r="C998" s="71"/>
    </row>
    <row r="999" spans="2:3">
      <c r="B999" s="71"/>
      <c r="C999" s="71"/>
    </row>
  </sheetData>
  <mergeCells count="2">
    <mergeCell ref="B1:C1"/>
    <mergeCell ref="B22:C22"/>
  </mergeCells>
  <conditionalFormatting sqref="F2:U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M979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4" max="4" width="35.28515625" customWidth="1"/>
    <col min="5" max="5" width="20" customWidth="1"/>
  </cols>
  <sheetData>
    <row r="1" spans="1:39">
      <c r="A1" s="94"/>
      <c r="B1" s="94" t="s">
        <v>244</v>
      </c>
      <c r="C1" s="95"/>
      <c r="D1" s="96"/>
      <c r="E1" s="97" t="s">
        <v>350</v>
      </c>
      <c r="F1" s="97" t="s">
        <v>311</v>
      </c>
      <c r="G1" s="97" t="s">
        <v>351</v>
      </c>
      <c r="H1" s="97" t="s">
        <v>352</v>
      </c>
      <c r="I1" s="97" t="s">
        <v>353</v>
      </c>
      <c r="J1" s="97" t="s">
        <v>354</v>
      </c>
      <c r="K1" s="97" t="s">
        <v>355</v>
      </c>
      <c r="L1" s="98" t="s">
        <v>356</v>
      </c>
      <c r="M1" s="99" t="s">
        <v>357</v>
      </c>
      <c r="N1" s="99" t="s">
        <v>358</v>
      </c>
      <c r="O1" s="100"/>
      <c r="P1" s="101" t="s">
        <v>359</v>
      </c>
      <c r="Q1" s="100">
        <f>E2+F2+G2</f>
        <v>389</v>
      </c>
      <c r="R1" s="100">
        <f>E3+F3+G3</f>
        <v>334</v>
      </c>
      <c r="S1" s="102"/>
      <c r="T1" s="102" t="s">
        <v>238</v>
      </c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2"/>
      <c r="AJ1" s="2"/>
      <c r="AK1" s="2"/>
      <c r="AL1" s="2"/>
      <c r="AM1" s="2"/>
    </row>
    <row r="2" spans="1:39">
      <c r="A2" s="103"/>
      <c r="B2" s="103">
        <f>E2/(E2+F2)</f>
        <v>0.51754385964912286</v>
      </c>
      <c r="C2" s="104"/>
      <c r="D2" s="105" t="s">
        <v>360</v>
      </c>
      <c r="E2" s="105">
        <f>E3+E4+E5</f>
        <v>177</v>
      </c>
      <c r="F2" s="105">
        <f>F3+F4+F5</f>
        <v>165</v>
      </c>
      <c r="G2" s="105">
        <f>G3+G4+G5</f>
        <v>47</v>
      </c>
      <c r="H2" s="106">
        <f>SUM(L10:L982)</f>
        <v>16.476495307644555</v>
      </c>
      <c r="I2" s="107">
        <f>AVERAGE(N10:N982)</f>
        <v>8.2534367237150873E-3</v>
      </c>
      <c r="J2" s="107">
        <f>AVERAGE(O10:O982)</f>
        <v>0.10882068977803597</v>
      </c>
      <c r="K2" s="107">
        <f>H2/SUM(J10:J982)</f>
        <v>4.2410541332418415E-2</v>
      </c>
      <c r="L2" s="107">
        <f>H2/100</f>
        <v>0.16476495307644556</v>
      </c>
      <c r="M2" s="108">
        <f>COUNTIF(N10:N982,"&gt;0")/(COUNTIF(N10:N982,"&gt;0")+COUNTIF(N10:N982,"&lt;=0"))</f>
        <v>0.56298200514138819</v>
      </c>
      <c r="N2" s="108">
        <f>COUNTIF(O10:O982,"&gt;0")/(COUNTIF(O10:O982,"&gt;0")+COUNTIF(O10:O982,"&lt;=0"))</f>
        <v>0.99673202614379086</v>
      </c>
      <c r="O2" s="109"/>
      <c r="P2" s="110" t="s">
        <v>355</v>
      </c>
      <c r="Q2" s="109">
        <f>K2</f>
        <v>4.2410541332418415E-2</v>
      </c>
      <c r="R2" s="109">
        <f>K3</f>
        <v>6.2133431382821173E-2</v>
      </c>
      <c r="S2" s="102" t="s">
        <v>350</v>
      </c>
      <c r="T2" s="102" t="s">
        <v>240</v>
      </c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2"/>
      <c r="AJ2" s="2"/>
      <c r="AK2" s="2"/>
      <c r="AL2" s="2"/>
      <c r="AM2" s="2"/>
    </row>
    <row r="3" spans="1:39">
      <c r="A3" s="111"/>
      <c r="B3" s="111">
        <f>E3/(E3+F3)</f>
        <v>0.51724137931034486</v>
      </c>
      <c r="C3" s="112"/>
      <c r="D3" s="113" t="s">
        <v>361</v>
      </c>
      <c r="E3" s="113">
        <f>COUNTIFS($K$10:$K$982,"W",$B$10:$B$982,D3)</f>
        <v>150</v>
      </c>
      <c r="F3" s="113">
        <f>COUNTIFS($K$10:$K$982,"L",$B$10:$B$982,$D3)</f>
        <v>140</v>
      </c>
      <c r="G3" s="113">
        <f>COUNTIFS($K$10:$K$982,"P",$B$10:$B$982,$D3)</f>
        <v>44</v>
      </c>
      <c r="H3" s="106">
        <f>SUMIF($B$10:$B$982, D3,$L$10:$L$982)</f>
        <v>20.72149936617086</v>
      </c>
      <c r="I3" s="107">
        <f ca="1">IFERROR(__xludf.DUMMYFUNCTION("AVERAGE(FILTER($N$10:$N$982, $B$10:$B$982 = D3))"),0.0107633632484138)</f>
        <v>1.07633632484138E-2</v>
      </c>
      <c r="J3" s="107">
        <f ca="1">IFERROR(__xludf.DUMMYFUNCTION("iferror(AVERAGE(FILTER($O$10:$O$982, $B$10:$B$982 = D3)),"""")"),0.10890829703639)</f>
        <v>0.10890829703639</v>
      </c>
      <c r="K3" s="107">
        <f>H3/SUMIF($B$10:$B$982, D3,$J$10:$J$982)</f>
        <v>6.2133431382821173E-2</v>
      </c>
      <c r="L3" s="107">
        <f>H3/100</f>
        <v>0.20721499366170859</v>
      </c>
      <c r="M3" s="108">
        <f>COUNTIFS($B$10:$B$982,D3,$N$10:$N$982,"&gt;0") / (COUNTIFS($B$10:$B$982,D3,$N$10:$N$982,"&gt;0") + COUNTIFS($B$10:$B$982,D3,$N$10:$N$982,"&lt;=0"))</f>
        <v>0.58682634730538918</v>
      </c>
      <c r="N3" s="108">
        <f>COUNTIFS($B$10:$B$982,D3,$O$10:$O$982,"&gt;0") / (COUNTIFS($B$10:$B$982,D3,$O$10:$O$982,"&gt;0") + COUNTIFS($B$10:$B$982,D3,$O$10:$O$982,"&lt;=0"))</f>
        <v>0.99638989169675085</v>
      </c>
      <c r="O3" s="114"/>
      <c r="P3" s="110" t="s">
        <v>362</v>
      </c>
      <c r="Q3" s="115">
        <f>AVERAGE(R10:R982)</f>
        <v>2.1306150354777769</v>
      </c>
      <c r="R3" s="115">
        <f>AVERAGEIF($B$10:$B$982,D3,$R$10:$R$982)</f>
        <v>2.1795368927266972</v>
      </c>
      <c r="S3" s="102" t="s">
        <v>311</v>
      </c>
      <c r="T3" s="102" t="s">
        <v>248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2"/>
      <c r="AJ3" s="2"/>
      <c r="AK3" s="2"/>
      <c r="AL3" s="2"/>
      <c r="AM3" s="2"/>
    </row>
    <row r="4" spans="1:39">
      <c r="A4" s="116"/>
      <c r="B4" s="116">
        <f>E4/(E4+F4)</f>
        <v>0.62068965517241381</v>
      </c>
      <c r="C4" s="117"/>
      <c r="D4" s="118" t="s">
        <v>363</v>
      </c>
      <c r="E4" s="118">
        <f>COUNTIFS($K$10:$K$982,"W",$B$10:$B$982,D4)</f>
        <v>18</v>
      </c>
      <c r="F4" s="118">
        <f>COUNTIFS($K$10:$K$982,"L",$B$10:$B$982,$D4)</f>
        <v>11</v>
      </c>
      <c r="G4" s="118">
        <f>COUNTIFS($K$10:$K$982,"P",$B$10:$B$982,$D4)</f>
        <v>0</v>
      </c>
      <c r="H4" s="106">
        <f>SUMIF($B$10:$B$982, D4,$L$10:$L$982)</f>
        <v>1.9878037011422001</v>
      </c>
      <c r="I4" s="107">
        <f ca="1">IFERROR(__xludf.DUMMYFUNCTION("AVERAGE(FILTER($N$10:$N$982, $B$10:$B$982 = D4))"),-0.00170082927789654)</f>
        <v>-1.70082927789654E-3</v>
      </c>
      <c r="J4" s="107">
        <f ca="1">IFERROR(__xludf.DUMMYFUNCTION("iferror(AVERAGE(FILTER($O$10:$O$982, $B$10:$B$982 = D4)),"""")"),0.0919424123843269)</f>
        <v>9.1942412384326905E-2</v>
      </c>
      <c r="K4" s="107">
        <f>H4/SUMIF(B10:B982,D4,J10:J982)</f>
        <v>6.8544955211799999E-2</v>
      </c>
      <c r="L4" s="107">
        <f>H4/100</f>
        <v>1.9878037011422E-2</v>
      </c>
      <c r="M4" s="108">
        <f>COUNTIFS($B$10:$B$982,D4,$N$10:$N$982,"&gt;0") / (COUNTIFS($B$10:$B$982,D4,$N$10:$N$982,"&gt;0") + COUNTIFS($B$10:$B$982,D4,$N$10:$N$982,"&lt;=0"))</f>
        <v>0.48275862068965519</v>
      </c>
      <c r="N4" s="108">
        <f>COUNTIFS($B$10:$B$982,D4,$O$10:$O$982,"&gt;0") / (COUNTIFS($B$10:$B$982,D4,$O$10:$O$982,"&gt;0") + COUNTIFS($B$10:$B$982,D4,$O$10:$O$982,"&lt;=0"))</f>
        <v>1</v>
      </c>
      <c r="O4" s="119"/>
      <c r="P4" s="120" t="s">
        <v>364</v>
      </c>
      <c r="Q4" s="121">
        <f>_xlfn.STDEV.S(U10:U982)</f>
        <v>0.98317912953608044</v>
      </c>
      <c r="R4" s="121">
        <f>_xlfn.STDEV.S(X10:X982)</f>
        <v>0.92814165414438343</v>
      </c>
      <c r="S4" s="102" t="s">
        <v>351</v>
      </c>
      <c r="T4" s="102" t="s">
        <v>245</v>
      </c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2"/>
      <c r="AJ4" s="2"/>
      <c r="AK4" s="2"/>
      <c r="AL4" s="2"/>
      <c r="AM4" s="2"/>
    </row>
    <row r="5" spans="1:39">
      <c r="A5" s="122"/>
      <c r="B5" s="116">
        <f>E5/(E5+F5)</f>
        <v>0.39130434782608697</v>
      </c>
      <c r="C5" s="123"/>
      <c r="D5" s="118" t="s">
        <v>365</v>
      </c>
      <c r="E5" s="118">
        <f>COUNTIFS($K$10:$K$982,"W",$B$10:$B$982,D5)</f>
        <v>9</v>
      </c>
      <c r="F5" s="118">
        <f>COUNTIFS($K$10:$K$982,"L",$B$10:$B$982,$D5)</f>
        <v>14</v>
      </c>
      <c r="G5" s="118">
        <f>COUNTIFS($K$10:$K$982,"P",$B$10:$B$982,$D5)</f>
        <v>3</v>
      </c>
      <c r="H5" s="106">
        <f>SUMIF($B$10:$B$982, D5,$L$10:$L$982)</f>
        <v>-6.2328077596684821</v>
      </c>
      <c r="I5" s="107">
        <f ca="1">IFERROR(__xludf.DUMMYFUNCTION("AVERAGE(FILTER($N$10:$N$982, $B$10:$B$982 = D5))"),-0.0128866303994642)</f>
        <v>-1.2886630399464199E-2</v>
      </c>
      <c r="J5" s="107" t="str">
        <f ca="1">IFERROR(__xludf.DUMMYFUNCTION("iferror(AVERAGE(FILTER($O$10:$O$982, $B$10:$B$982 = D5)),"""")"),"")</f>
        <v/>
      </c>
      <c r="K5" s="107">
        <f>H5/SUMIF(B11:B983,D5,J11:J983)</f>
        <v>-0.23972337537186469</v>
      </c>
      <c r="L5" s="107">
        <f>H5/100</f>
        <v>-6.2328077596684822E-2</v>
      </c>
      <c r="M5" s="124"/>
      <c r="N5" s="124"/>
      <c r="O5" s="119"/>
      <c r="P5" s="101" t="s">
        <v>366</v>
      </c>
      <c r="Q5" s="119">
        <f>Q2 * SQRT(Q1) / Q4</f>
        <v>0.85077744064471983</v>
      </c>
      <c r="R5" s="119">
        <f>R2 * SQRT(R1) / R4</f>
        <v>1.2234445993760816</v>
      </c>
      <c r="S5" s="102"/>
      <c r="T5" s="102" t="s">
        <v>241</v>
      </c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2"/>
      <c r="AJ5" s="2"/>
      <c r="AK5" s="2"/>
      <c r="AL5" s="2"/>
      <c r="AM5" s="2"/>
    </row>
    <row r="6" spans="1:39">
      <c r="A6" s="122"/>
      <c r="B6" s="116"/>
      <c r="C6" s="124"/>
      <c r="D6" s="125"/>
      <c r="E6" s="125"/>
      <c r="F6" s="125"/>
      <c r="G6" s="125"/>
      <c r="H6" s="124"/>
      <c r="I6" s="124"/>
      <c r="J6" s="124"/>
      <c r="K6" s="124"/>
      <c r="L6" s="124"/>
      <c r="M6" s="124"/>
      <c r="N6" s="124"/>
      <c r="O6" s="121"/>
      <c r="P6" s="101" t="s">
        <v>367</v>
      </c>
      <c r="Q6" s="121">
        <f>_xlfn.T.DIST.2T(ABS(Q5), Q1 - 1)</f>
        <v>0.39541772206838122</v>
      </c>
      <c r="R6" s="121">
        <f>_xlfn.T.DIST.2T(ABS(R5), R1 - 1)</f>
        <v>0.22202683737606826</v>
      </c>
      <c r="S6" s="126"/>
      <c r="T6" s="102" t="s">
        <v>243</v>
      </c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2"/>
      <c r="AJ6" s="2"/>
      <c r="AK6" s="2"/>
      <c r="AL6" s="2"/>
      <c r="AM6" s="2"/>
    </row>
    <row r="7" spans="1:39">
      <c r="A7" s="124"/>
      <c r="B7" s="124"/>
      <c r="C7" s="127"/>
      <c r="D7" s="127"/>
      <c r="E7" s="127"/>
      <c r="F7" s="128">
        <f>IF(AVERAGE(R10:R982)&gt;=2, (AVERAGE(R10:R982)-1)*100, -100/(AVERAGE(R10:R982)-1))</f>
        <v>113.06150354777769</v>
      </c>
      <c r="G7" s="124"/>
      <c r="H7" s="124"/>
      <c r="I7" s="124"/>
      <c r="J7" s="114">
        <f>AVERAGE(J10:J982)</f>
        <v>0.99871465295629824</v>
      </c>
      <c r="K7" s="114"/>
      <c r="L7" s="129">
        <f>AVERAGE(L10:L982)</f>
        <v>4.2356029068494998E-2</v>
      </c>
      <c r="M7" s="114">
        <f>AVERAGE(M10:M982)</f>
        <v>3.285122675144584E-2</v>
      </c>
      <c r="N7" s="124"/>
      <c r="O7" s="130"/>
      <c r="P7" s="101" t="s">
        <v>368</v>
      </c>
      <c r="Q7" s="130">
        <f>1/Q6</f>
        <v>2.5289711213982105</v>
      </c>
      <c r="R7" s="130">
        <f>1/R6</f>
        <v>4.5039600249144813</v>
      </c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2"/>
      <c r="AJ7" s="2"/>
      <c r="AK7" s="2"/>
      <c r="AL7" s="2"/>
      <c r="AM7" s="2"/>
    </row>
    <row r="8" spans="1:39">
      <c r="A8" s="131"/>
      <c r="B8" s="132"/>
      <c r="C8" s="402"/>
      <c r="D8" s="403"/>
      <c r="E8" s="404"/>
      <c r="F8" s="133" t="s">
        <v>369</v>
      </c>
      <c r="G8" s="133" t="s">
        <v>369</v>
      </c>
      <c r="H8" s="134" t="s">
        <v>369</v>
      </c>
      <c r="I8" s="134" t="s">
        <v>369</v>
      </c>
      <c r="J8" s="131"/>
      <c r="K8" s="131"/>
      <c r="L8" s="133" t="s">
        <v>370</v>
      </c>
      <c r="M8" s="135" t="s">
        <v>371</v>
      </c>
      <c r="N8" s="133" t="s">
        <v>372</v>
      </c>
      <c r="O8" s="133" t="s">
        <v>373</v>
      </c>
      <c r="P8" s="133" t="s">
        <v>373</v>
      </c>
      <c r="Q8" s="133" t="s">
        <v>374</v>
      </c>
      <c r="R8" s="133" t="s">
        <v>375</v>
      </c>
      <c r="S8" s="133" t="s">
        <v>375</v>
      </c>
      <c r="T8" s="133" t="s">
        <v>375</v>
      </c>
      <c r="U8" s="136"/>
      <c r="V8" s="137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38"/>
      <c r="AK8" s="102"/>
      <c r="AL8" s="102"/>
      <c r="AM8" s="102"/>
    </row>
    <row r="9" spans="1:39">
      <c r="A9" s="139" t="s">
        <v>374</v>
      </c>
      <c r="B9" s="140" t="s">
        <v>376</v>
      </c>
      <c r="C9" s="139" t="s">
        <v>377</v>
      </c>
      <c r="D9" s="139" t="s">
        <v>258</v>
      </c>
      <c r="E9" s="139" t="s">
        <v>378</v>
      </c>
      <c r="F9" s="139" t="s">
        <v>379</v>
      </c>
      <c r="G9" s="139" t="s">
        <v>380</v>
      </c>
      <c r="H9" s="141" t="s">
        <v>381</v>
      </c>
      <c r="I9" s="141" t="s">
        <v>382</v>
      </c>
      <c r="J9" s="139" t="s">
        <v>383</v>
      </c>
      <c r="K9" s="139" t="s">
        <v>384</v>
      </c>
      <c r="L9" s="139" t="s">
        <v>385</v>
      </c>
      <c r="M9" s="142" t="s">
        <v>385</v>
      </c>
      <c r="N9" s="139" t="s">
        <v>353</v>
      </c>
      <c r="O9" s="139" t="s">
        <v>354</v>
      </c>
      <c r="P9" s="139" t="s">
        <v>386</v>
      </c>
      <c r="Q9" s="139" t="s">
        <v>386</v>
      </c>
      <c r="R9" s="139" t="s">
        <v>380</v>
      </c>
      <c r="S9" s="139" t="s">
        <v>381</v>
      </c>
      <c r="T9" s="139" t="s">
        <v>382</v>
      </c>
      <c r="U9" s="133" t="s">
        <v>387</v>
      </c>
      <c r="V9" s="143"/>
      <c r="W9" s="102"/>
      <c r="X9" s="102"/>
      <c r="Y9" s="144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38"/>
      <c r="AK9" s="138"/>
      <c r="AL9" s="102"/>
      <c r="AM9" s="102"/>
    </row>
    <row r="10" spans="1:39">
      <c r="A10" s="143" t="s">
        <v>240</v>
      </c>
      <c r="B10" s="143" t="s">
        <v>361</v>
      </c>
      <c r="C10" s="145">
        <v>45789</v>
      </c>
      <c r="D10" s="143" t="s">
        <v>388</v>
      </c>
      <c r="E10" s="146" t="s">
        <v>389</v>
      </c>
      <c r="F10" s="147">
        <v>-343</v>
      </c>
      <c r="G10" s="147">
        <v>-120</v>
      </c>
      <c r="H10" s="148">
        <v>-127</v>
      </c>
      <c r="I10" s="143">
        <v>110</v>
      </c>
      <c r="J10" s="143">
        <v>1</v>
      </c>
      <c r="K10" s="149" t="s">
        <v>350</v>
      </c>
      <c r="L10" s="150">
        <f t="shared" ref="L10:L73" si="0">IF(K10="","",IF(K10="W",R10*J10-J10,IF(K10="L",-J10,0)))</f>
        <v>0.83333333333333348</v>
      </c>
      <c r="M10" s="150">
        <f t="shared" ref="M10:M73" si="1">IF(K10="","",IF(K10="W",S10*J10-J10,IF(K10="L",-J10,0)))</f>
        <v>0.78740157480314954</v>
      </c>
      <c r="N10" s="151">
        <f t="shared" ref="N10:N73" si="2">IFERROR((1/S10-1/R10)/(1/R10),"")</f>
        <v>2.5697503671072063E-2</v>
      </c>
      <c r="O10" s="151">
        <f t="shared" ref="O10:O73" si="3">IFERROR(IF(Q10="","",P10 - Q10),"")</f>
        <v>0.23405976248816351</v>
      </c>
      <c r="P10" s="151">
        <f t="shared" ref="P10:P73" si="4">IF(F10="","",IF(F10 &lt; 0, -F10 / (-F10 + 100), 100 / (F10 + 100)))</f>
        <v>0.77426636568848761</v>
      </c>
      <c r="Q10" s="151">
        <f t="shared" ref="Q10:Q73" si="5">IFERROR((1/S10) / ((1/S10) + (1/T10)),"")</f>
        <v>0.5402066032003241</v>
      </c>
      <c r="R10" s="150">
        <f t="shared" ref="R10:R73" si="6">IFERROR(IF(G10&gt;0, G10/100 + 1, 100/ABS(G10) + 1),"")</f>
        <v>1.8333333333333335</v>
      </c>
      <c r="S10" s="150">
        <f t="shared" ref="S10:S73" si="7">IFERROR(IF(H10&gt;0, H10/100 + 1, 100/ABS(H10) + 1),"")</f>
        <v>1.7874015748031495</v>
      </c>
      <c r="T10" s="150">
        <f t="shared" ref="T10:T73" si="8">IFERROR(IF(I10&gt;0, I10/100 + 1, 100/ABS(I10) + 1),"")</f>
        <v>2.1</v>
      </c>
      <c r="U10" s="152">
        <f>IF(K10="W",R10  - 1, IF(K10="L", -1, 0))</f>
        <v>0.83333333333333348</v>
      </c>
      <c r="V10" s="143"/>
      <c r="W10" s="102">
        <f t="shared" ref="W10:W73" si="9">IF(K10="W",1,IF(K10="P",2,0))</f>
        <v>1</v>
      </c>
      <c r="X10" s="153">
        <f t="shared" ref="X10:X73" si="10">IF(B10=$D$3,U10,"")</f>
        <v>0.83333333333333348</v>
      </c>
      <c r="Y10" s="102"/>
      <c r="Z10" s="102"/>
      <c r="AA10" s="102"/>
      <c r="AB10" s="102"/>
      <c r="AC10" s="102"/>
      <c r="AD10" s="102"/>
      <c r="AE10" s="102"/>
      <c r="AF10" s="138"/>
      <c r="AG10" s="138"/>
      <c r="AH10" s="102"/>
      <c r="AI10" s="102"/>
      <c r="AJ10" s="102"/>
      <c r="AK10" s="102"/>
      <c r="AL10" s="102"/>
      <c r="AM10" s="102"/>
    </row>
    <row r="11" spans="1:39">
      <c r="A11" s="143" t="s">
        <v>240</v>
      </c>
      <c r="B11" s="143" t="s">
        <v>361</v>
      </c>
      <c r="C11" s="145">
        <v>45789</v>
      </c>
      <c r="D11" s="143" t="s">
        <v>390</v>
      </c>
      <c r="E11" s="146" t="s">
        <v>391</v>
      </c>
      <c r="F11" s="147">
        <v>-397</v>
      </c>
      <c r="G11" s="147">
        <v>-127</v>
      </c>
      <c r="H11" s="148">
        <v>-127</v>
      </c>
      <c r="I11" s="143">
        <v>110</v>
      </c>
      <c r="J11" s="143">
        <v>1</v>
      </c>
      <c r="K11" s="149" t="s">
        <v>351</v>
      </c>
      <c r="L11" s="150">
        <f t="shared" si="0"/>
        <v>0</v>
      </c>
      <c r="M11" s="150">
        <f t="shared" si="1"/>
        <v>0</v>
      </c>
      <c r="N11" s="151">
        <f t="shared" si="2"/>
        <v>0</v>
      </c>
      <c r="O11" s="151">
        <f t="shared" si="3"/>
        <v>0.25858615333891133</v>
      </c>
      <c r="P11" s="151">
        <f t="shared" si="4"/>
        <v>0.79879275653923543</v>
      </c>
      <c r="Q11" s="151">
        <f t="shared" si="5"/>
        <v>0.5402066032003241</v>
      </c>
      <c r="R11" s="150">
        <f t="shared" si="6"/>
        <v>1.7874015748031495</v>
      </c>
      <c r="S11" s="150">
        <f t="shared" si="7"/>
        <v>1.7874015748031495</v>
      </c>
      <c r="T11" s="150">
        <f t="shared" si="8"/>
        <v>2.1</v>
      </c>
      <c r="U11" s="152">
        <f t="shared" ref="U11:U42" si="11">IF(K11="W",R11 - 1, IF(K11="L", -1, 0))</f>
        <v>0</v>
      </c>
      <c r="V11" s="143"/>
      <c r="W11" s="102">
        <f t="shared" si="9"/>
        <v>2</v>
      </c>
      <c r="X11" s="153">
        <f t="shared" si="10"/>
        <v>0</v>
      </c>
      <c r="Y11" s="102"/>
      <c r="Z11" s="102"/>
      <c r="AA11" s="102"/>
      <c r="AB11" s="102"/>
      <c r="AC11" s="102"/>
      <c r="AD11" s="102"/>
      <c r="AE11" s="102"/>
      <c r="AF11" s="138"/>
      <c r="AG11" s="138"/>
      <c r="AH11" s="102"/>
      <c r="AI11" s="102"/>
      <c r="AJ11" s="102"/>
      <c r="AK11" s="102"/>
      <c r="AL11" s="102"/>
      <c r="AM11" s="102"/>
    </row>
    <row r="12" spans="1:39">
      <c r="A12" s="143" t="s">
        <v>240</v>
      </c>
      <c r="B12" s="143" t="s">
        <v>365</v>
      </c>
      <c r="C12" s="145">
        <v>45789</v>
      </c>
      <c r="D12" s="143" t="s">
        <v>392</v>
      </c>
      <c r="E12" s="146" t="s">
        <v>393</v>
      </c>
      <c r="F12" s="147"/>
      <c r="G12" s="147">
        <v>-110</v>
      </c>
      <c r="H12" s="148">
        <v>-108</v>
      </c>
      <c r="I12" s="143"/>
      <c r="J12" s="143">
        <v>1</v>
      </c>
      <c r="K12" s="149" t="s">
        <v>350</v>
      </c>
      <c r="L12" s="150">
        <f t="shared" si="0"/>
        <v>0.90909090909090917</v>
      </c>
      <c r="M12" s="150">
        <f t="shared" si="1"/>
        <v>0.92592592592592604</v>
      </c>
      <c r="N12" s="151">
        <f t="shared" si="2"/>
        <v>-8.7412587412589223E-3</v>
      </c>
      <c r="O12" s="151" t="str">
        <f t="shared" si="3"/>
        <v/>
      </c>
      <c r="P12" s="151" t="str">
        <f t="shared" si="4"/>
        <v/>
      </c>
      <c r="Q12" s="151" t="str">
        <f t="shared" si="5"/>
        <v/>
      </c>
      <c r="R12" s="150">
        <f t="shared" si="6"/>
        <v>1.9090909090909092</v>
      </c>
      <c r="S12" s="150">
        <f t="shared" si="7"/>
        <v>1.925925925925926</v>
      </c>
      <c r="T12" s="150" t="str">
        <f t="shared" si="8"/>
        <v/>
      </c>
      <c r="U12" s="152">
        <f t="shared" si="11"/>
        <v>0.90909090909090917</v>
      </c>
      <c r="V12" s="143"/>
      <c r="W12" s="102">
        <f t="shared" si="9"/>
        <v>1</v>
      </c>
      <c r="X12" s="102" t="str">
        <f t="shared" si="10"/>
        <v/>
      </c>
      <c r="Y12" s="102"/>
      <c r="Z12" s="102"/>
      <c r="AA12" s="102"/>
      <c r="AB12" s="102"/>
      <c r="AC12" s="102"/>
      <c r="AD12" s="102"/>
      <c r="AE12" s="102"/>
      <c r="AF12" s="138"/>
      <c r="AG12" s="138"/>
      <c r="AH12" s="102"/>
      <c r="AI12" s="102"/>
      <c r="AJ12" s="102"/>
      <c r="AK12" s="102"/>
      <c r="AL12" s="102"/>
      <c r="AM12" s="102"/>
    </row>
    <row r="13" spans="1:39">
      <c r="A13" s="143" t="s">
        <v>240</v>
      </c>
      <c r="B13" s="143" t="s">
        <v>365</v>
      </c>
      <c r="C13" s="145">
        <v>45789</v>
      </c>
      <c r="D13" s="143" t="s">
        <v>388</v>
      </c>
      <c r="E13" s="146" t="s">
        <v>393</v>
      </c>
      <c r="F13" s="147"/>
      <c r="G13" s="147">
        <v>105</v>
      </c>
      <c r="H13" s="148">
        <v>102</v>
      </c>
      <c r="I13" s="143"/>
      <c r="J13" s="143">
        <v>1</v>
      </c>
      <c r="K13" s="149" t="s">
        <v>311</v>
      </c>
      <c r="L13" s="150">
        <f t="shared" si="0"/>
        <v>-1</v>
      </c>
      <c r="M13" s="150">
        <f t="shared" si="1"/>
        <v>-1</v>
      </c>
      <c r="N13" s="151">
        <f t="shared" si="2"/>
        <v>1.485148514851475E-2</v>
      </c>
      <c r="O13" s="151" t="str">
        <f t="shared" si="3"/>
        <v/>
      </c>
      <c r="P13" s="151" t="str">
        <f t="shared" si="4"/>
        <v/>
      </c>
      <c r="Q13" s="151" t="str">
        <f t="shared" si="5"/>
        <v/>
      </c>
      <c r="R13" s="150">
        <f t="shared" si="6"/>
        <v>2.0499999999999998</v>
      </c>
      <c r="S13" s="150">
        <f t="shared" si="7"/>
        <v>2.02</v>
      </c>
      <c r="T13" s="150" t="str">
        <f t="shared" si="8"/>
        <v/>
      </c>
      <c r="U13" s="152">
        <f t="shared" si="11"/>
        <v>-1</v>
      </c>
      <c r="V13" s="143"/>
      <c r="W13" s="102">
        <f t="shared" si="9"/>
        <v>0</v>
      </c>
      <c r="X13" s="102" t="str">
        <f t="shared" si="10"/>
        <v/>
      </c>
      <c r="Y13" s="102"/>
      <c r="Z13" s="102"/>
      <c r="AA13" s="102"/>
      <c r="AB13" s="102"/>
      <c r="AC13" s="102"/>
      <c r="AD13" s="102"/>
      <c r="AE13" s="102"/>
      <c r="AF13" s="138"/>
      <c r="AG13" s="138"/>
      <c r="AH13" s="102"/>
      <c r="AI13" s="102"/>
      <c r="AJ13" s="102"/>
      <c r="AK13" s="102"/>
      <c r="AL13" s="102"/>
      <c r="AM13" s="102"/>
    </row>
    <row r="14" spans="1:39">
      <c r="A14" s="143" t="s">
        <v>240</v>
      </c>
      <c r="B14" s="143" t="s">
        <v>365</v>
      </c>
      <c r="C14" s="145">
        <v>45790</v>
      </c>
      <c r="D14" s="143" t="s">
        <v>392</v>
      </c>
      <c r="E14" s="146" t="s">
        <v>394</v>
      </c>
      <c r="F14" s="147"/>
      <c r="G14" s="147">
        <v>-125</v>
      </c>
      <c r="H14" s="148">
        <v>-118</v>
      </c>
      <c r="I14" s="143"/>
      <c r="J14" s="143">
        <v>1</v>
      </c>
      <c r="K14" s="149" t="s">
        <v>311</v>
      </c>
      <c r="L14" s="150">
        <f t="shared" si="0"/>
        <v>-1</v>
      </c>
      <c r="M14" s="150">
        <f t="shared" si="1"/>
        <v>-1</v>
      </c>
      <c r="N14" s="151">
        <f t="shared" si="2"/>
        <v>-2.5688073394495501E-2</v>
      </c>
      <c r="O14" s="151" t="str">
        <f t="shared" si="3"/>
        <v/>
      </c>
      <c r="P14" s="151" t="str">
        <f t="shared" si="4"/>
        <v/>
      </c>
      <c r="Q14" s="151" t="str">
        <f t="shared" si="5"/>
        <v/>
      </c>
      <c r="R14" s="150">
        <f t="shared" si="6"/>
        <v>1.8</v>
      </c>
      <c r="S14" s="150">
        <f t="shared" si="7"/>
        <v>1.847457627118644</v>
      </c>
      <c r="T14" s="150" t="str">
        <f t="shared" si="8"/>
        <v/>
      </c>
      <c r="U14" s="152">
        <f t="shared" si="11"/>
        <v>-1</v>
      </c>
      <c r="V14" s="143"/>
      <c r="W14" s="102">
        <f t="shared" si="9"/>
        <v>0</v>
      </c>
      <c r="X14" s="102" t="str">
        <f t="shared" si="10"/>
        <v/>
      </c>
      <c r="Y14" s="102"/>
      <c r="Z14" s="102"/>
      <c r="AA14" s="102"/>
      <c r="AB14" s="102"/>
      <c r="AC14" s="102"/>
      <c r="AD14" s="102"/>
      <c r="AE14" s="102"/>
      <c r="AF14" s="138"/>
      <c r="AG14" s="138"/>
      <c r="AH14" s="102"/>
      <c r="AI14" s="102"/>
      <c r="AJ14" s="102"/>
      <c r="AK14" s="102"/>
      <c r="AL14" s="102"/>
      <c r="AM14" s="102"/>
    </row>
    <row r="15" spans="1:39">
      <c r="A15" s="143" t="s">
        <v>240</v>
      </c>
      <c r="B15" s="143" t="s">
        <v>365</v>
      </c>
      <c r="C15" s="145">
        <v>45790</v>
      </c>
      <c r="D15" s="143" t="s">
        <v>395</v>
      </c>
      <c r="E15" s="146" t="s">
        <v>396</v>
      </c>
      <c r="F15" s="147"/>
      <c r="G15" s="147">
        <v>-115</v>
      </c>
      <c r="H15" s="148">
        <v>-109</v>
      </c>
      <c r="I15" s="143"/>
      <c r="J15" s="143">
        <v>1</v>
      </c>
      <c r="K15" s="149" t="s">
        <v>350</v>
      </c>
      <c r="L15" s="150">
        <f t="shared" si="0"/>
        <v>0.86956521739130421</v>
      </c>
      <c r="M15" s="150">
        <f t="shared" si="1"/>
        <v>0.91743119266055051</v>
      </c>
      <c r="N15" s="151">
        <f t="shared" si="2"/>
        <v>-2.4963594757645317E-2</v>
      </c>
      <c r="O15" s="151" t="str">
        <f t="shared" si="3"/>
        <v/>
      </c>
      <c r="P15" s="151" t="str">
        <f t="shared" si="4"/>
        <v/>
      </c>
      <c r="Q15" s="151" t="str">
        <f t="shared" si="5"/>
        <v/>
      </c>
      <c r="R15" s="150">
        <f t="shared" si="6"/>
        <v>1.8695652173913042</v>
      </c>
      <c r="S15" s="150">
        <f t="shared" si="7"/>
        <v>1.9174311926605505</v>
      </c>
      <c r="T15" s="150" t="str">
        <f t="shared" si="8"/>
        <v/>
      </c>
      <c r="U15" s="152">
        <f t="shared" si="11"/>
        <v>0.86956521739130421</v>
      </c>
      <c r="V15" s="143"/>
      <c r="W15" s="102">
        <f t="shared" si="9"/>
        <v>1</v>
      </c>
      <c r="X15" s="102" t="str">
        <f t="shared" si="10"/>
        <v/>
      </c>
      <c r="Y15" s="102"/>
      <c r="Z15" s="102"/>
      <c r="AA15" s="102"/>
      <c r="AB15" s="102"/>
      <c r="AC15" s="102"/>
      <c r="AD15" s="102"/>
      <c r="AE15" s="102"/>
      <c r="AF15" s="138"/>
      <c r="AG15" s="138"/>
      <c r="AH15" s="102"/>
      <c r="AI15" s="102"/>
      <c r="AJ15" s="102"/>
      <c r="AK15" s="102"/>
      <c r="AL15" s="102"/>
      <c r="AM15" s="102"/>
    </row>
    <row r="16" spans="1:39">
      <c r="A16" s="143" t="s">
        <v>240</v>
      </c>
      <c r="B16" s="143" t="s">
        <v>361</v>
      </c>
      <c r="C16" s="145">
        <v>45791</v>
      </c>
      <c r="D16" s="143" t="s">
        <v>395</v>
      </c>
      <c r="E16" s="146" t="s">
        <v>397</v>
      </c>
      <c r="F16" s="147">
        <v>-103</v>
      </c>
      <c r="G16" s="147">
        <v>203</v>
      </c>
      <c r="H16" s="148">
        <v>210</v>
      </c>
      <c r="I16" s="143">
        <v>-250</v>
      </c>
      <c r="J16" s="143">
        <v>1</v>
      </c>
      <c r="K16" s="149" t="s">
        <v>351</v>
      </c>
      <c r="L16" s="150">
        <f t="shared" si="0"/>
        <v>0</v>
      </c>
      <c r="M16" s="150">
        <f t="shared" si="1"/>
        <v>0</v>
      </c>
      <c r="N16" s="151">
        <f t="shared" si="2"/>
        <v>-2.2580645161290342E-2</v>
      </c>
      <c r="O16" s="151">
        <f t="shared" si="3"/>
        <v>0.19627805145046534</v>
      </c>
      <c r="P16" s="151">
        <f t="shared" si="4"/>
        <v>0.5073891625615764</v>
      </c>
      <c r="Q16" s="151">
        <f t="shared" si="5"/>
        <v>0.31111111111111106</v>
      </c>
      <c r="R16" s="150">
        <f t="shared" si="6"/>
        <v>3.03</v>
      </c>
      <c r="S16" s="150">
        <f t="shared" si="7"/>
        <v>3.1</v>
      </c>
      <c r="T16" s="150">
        <f t="shared" si="8"/>
        <v>1.4</v>
      </c>
      <c r="U16" s="152">
        <f t="shared" si="11"/>
        <v>0</v>
      </c>
      <c r="V16" s="143"/>
      <c r="W16" s="102">
        <f t="shared" si="9"/>
        <v>2</v>
      </c>
      <c r="X16" s="153">
        <f t="shared" si="10"/>
        <v>0</v>
      </c>
      <c r="Y16" s="102"/>
      <c r="Z16" s="102"/>
      <c r="AA16" s="102"/>
      <c r="AB16" s="102"/>
      <c r="AC16" s="102"/>
      <c r="AD16" s="102"/>
      <c r="AE16" s="102"/>
      <c r="AF16" s="138"/>
      <c r="AG16" s="138"/>
      <c r="AH16" s="102"/>
      <c r="AI16" s="102"/>
      <c r="AJ16" s="102"/>
      <c r="AK16" s="102"/>
      <c r="AL16" s="102"/>
      <c r="AM16" s="102"/>
    </row>
    <row r="17" spans="1:39">
      <c r="A17" s="143" t="s">
        <v>240</v>
      </c>
      <c r="B17" s="143" t="s">
        <v>365</v>
      </c>
      <c r="C17" s="145">
        <v>45791</v>
      </c>
      <c r="D17" s="143" t="s">
        <v>398</v>
      </c>
      <c r="E17" s="146" t="s">
        <v>393</v>
      </c>
      <c r="F17" s="147"/>
      <c r="G17" s="147">
        <v>-112</v>
      </c>
      <c r="H17" s="148">
        <v>-103</v>
      </c>
      <c r="I17" s="143"/>
      <c r="J17" s="143">
        <v>1</v>
      </c>
      <c r="K17" s="149" t="s">
        <v>350</v>
      </c>
      <c r="L17" s="150">
        <f t="shared" si="0"/>
        <v>0.89285714285714279</v>
      </c>
      <c r="M17" s="150">
        <f t="shared" si="1"/>
        <v>0.970873786407767</v>
      </c>
      <c r="N17" s="151">
        <f t="shared" si="2"/>
        <v>-3.9584799437016087E-2</v>
      </c>
      <c r="O17" s="151" t="str">
        <f t="shared" si="3"/>
        <v/>
      </c>
      <c r="P17" s="151" t="str">
        <f t="shared" si="4"/>
        <v/>
      </c>
      <c r="Q17" s="151" t="str">
        <f t="shared" si="5"/>
        <v/>
      </c>
      <c r="R17" s="150">
        <f t="shared" si="6"/>
        <v>1.8928571428571428</v>
      </c>
      <c r="S17" s="150">
        <f t="shared" si="7"/>
        <v>1.970873786407767</v>
      </c>
      <c r="T17" s="150" t="str">
        <f t="shared" si="8"/>
        <v/>
      </c>
      <c r="U17" s="152">
        <f t="shared" si="11"/>
        <v>0.89285714285714279</v>
      </c>
      <c r="V17" s="143"/>
      <c r="W17" s="102">
        <f t="shared" si="9"/>
        <v>1</v>
      </c>
      <c r="X17" s="102" t="str">
        <f t="shared" si="10"/>
        <v/>
      </c>
      <c r="Y17" s="102"/>
      <c r="Z17" s="102"/>
      <c r="AA17" s="102"/>
      <c r="AB17" s="102"/>
      <c r="AC17" s="102"/>
      <c r="AD17" s="102"/>
      <c r="AE17" s="102"/>
      <c r="AF17" s="138"/>
      <c r="AG17" s="138"/>
      <c r="AH17" s="102"/>
      <c r="AI17" s="102"/>
      <c r="AJ17" s="102"/>
      <c r="AK17" s="102"/>
      <c r="AL17" s="102"/>
      <c r="AM17" s="102"/>
    </row>
    <row r="18" spans="1:39">
      <c r="A18" s="143" t="s">
        <v>240</v>
      </c>
      <c r="B18" s="143" t="s">
        <v>365</v>
      </c>
      <c r="C18" s="145">
        <v>45791</v>
      </c>
      <c r="D18" s="143" t="s">
        <v>392</v>
      </c>
      <c r="E18" s="146" t="s">
        <v>393</v>
      </c>
      <c r="F18" s="147"/>
      <c r="G18" s="147">
        <v>-105</v>
      </c>
      <c r="H18" s="148">
        <v>106</v>
      </c>
      <c r="I18" s="143"/>
      <c r="J18" s="143">
        <v>1</v>
      </c>
      <c r="K18" s="149" t="s">
        <v>311</v>
      </c>
      <c r="L18" s="150">
        <f t="shared" si="0"/>
        <v>-1</v>
      </c>
      <c r="M18" s="150">
        <f t="shared" si="1"/>
        <v>-1</v>
      </c>
      <c r="N18" s="151">
        <f t="shared" si="2"/>
        <v>-5.2242256125751278E-2</v>
      </c>
      <c r="O18" s="151" t="str">
        <f t="shared" si="3"/>
        <v/>
      </c>
      <c r="P18" s="151" t="str">
        <f t="shared" si="4"/>
        <v/>
      </c>
      <c r="Q18" s="151" t="str">
        <f t="shared" si="5"/>
        <v/>
      </c>
      <c r="R18" s="150">
        <f t="shared" si="6"/>
        <v>1.9523809523809523</v>
      </c>
      <c r="S18" s="150">
        <f t="shared" si="7"/>
        <v>2.06</v>
      </c>
      <c r="T18" s="150" t="str">
        <f t="shared" si="8"/>
        <v/>
      </c>
      <c r="U18" s="152">
        <f t="shared" si="11"/>
        <v>-1</v>
      </c>
      <c r="V18" s="143"/>
      <c r="W18" s="102">
        <f t="shared" si="9"/>
        <v>0</v>
      </c>
      <c r="X18" s="102" t="str">
        <f t="shared" si="10"/>
        <v/>
      </c>
      <c r="Y18" s="102"/>
      <c r="Z18" s="102"/>
      <c r="AA18" s="102"/>
      <c r="AB18" s="102"/>
      <c r="AC18" s="102"/>
      <c r="AD18" s="102"/>
      <c r="AE18" s="102"/>
      <c r="AF18" s="138"/>
      <c r="AG18" s="138"/>
      <c r="AH18" s="102"/>
      <c r="AI18" s="102"/>
      <c r="AJ18" s="102"/>
      <c r="AK18" s="102"/>
      <c r="AL18" s="102"/>
      <c r="AM18" s="102"/>
    </row>
    <row r="19" spans="1:39">
      <c r="A19" s="143" t="s">
        <v>240</v>
      </c>
      <c r="B19" s="143" t="s">
        <v>365</v>
      </c>
      <c r="C19" s="145">
        <v>45791</v>
      </c>
      <c r="D19" s="143" t="s">
        <v>399</v>
      </c>
      <c r="E19" s="146" t="s">
        <v>396</v>
      </c>
      <c r="F19" s="147"/>
      <c r="G19" s="147">
        <v>-108</v>
      </c>
      <c r="H19" s="148">
        <v>112</v>
      </c>
      <c r="I19" s="143"/>
      <c r="J19" s="143">
        <v>1</v>
      </c>
      <c r="K19" s="149" t="s">
        <v>311</v>
      </c>
      <c r="L19" s="150">
        <f t="shared" si="0"/>
        <v>-1</v>
      </c>
      <c r="M19" s="150">
        <f t="shared" si="1"/>
        <v>-1</v>
      </c>
      <c r="N19" s="151">
        <f t="shared" si="2"/>
        <v>-9.1544374563242464E-2</v>
      </c>
      <c r="O19" s="151" t="str">
        <f t="shared" si="3"/>
        <v/>
      </c>
      <c r="P19" s="151" t="str">
        <f t="shared" si="4"/>
        <v/>
      </c>
      <c r="Q19" s="151" t="str">
        <f t="shared" si="5"/>
        <v/>
      </c>
      <c r="R19" s="150">
        <f t="shared" si="6"/>
        <v>1.925925925925926</v>
      </c>
      <c r="S19" s="150">
        <f t="shared" si="7"/>
        <v>2.12</v>
      </c>
      <c r="T19" s="150" t="str">
        <f t="shared" si="8"/>
        <v/>
      </c>
      <c r="U19" s="152">
        <f t="shared" si="11"/>
        <v>-1</v>
      </c>
      <c r="V19" s="143"/>
      <c r="W19" s="102">
        <f t="shared" si="9"/>
        <v>0</v>
      </c>
      <c r="X19" s="102" t="str">
        <f t="shared" si="10"/>
        <v/>
      </c>
      <c r="Y19" s="102"/>
      <c r="Z19" s="102"/>
      <c r="AA19" s="102"/>
      <c r="AB19" s="102"/>
      <c r="AC19" s="102"/>
      <c r="AD19" s="102"/>
      <c r="AE19" s="102"/>
      <c r="AF19" s="138"/>
      <c r="AG19" s="138"/>
      <c r="AH19" s="102"/>
      <c r="AI19" s="102"/>
      <c r="AJ19" s="102"/>
      <c r="AK19" s="102"/>
      <c r="AL19" s="102"/>
      <c r="AM19" s="102"/>
    </row>
    <row r="20" spans="1:39">
      <c r="A20" s="143" t="s">
        <v>240</v>
      </c>
      <c r="B20" s="143" t="s">
        <v>365</v>
      </c>
      <c r="C20" s="145">
        <v>45791</v>
      </c>
      <c r="D20" s="143" t="s">
        <v>400</v>
      </c>
      <c r="E20" s="146" t="s">
        <v>401</v>
      </c>
      <c r="F20" s="147"/>
      <c r="G20" s="147">
        <v>-115</v>
      </c>
      <c r="H20" s="148">
        <v>-114</v>
      </c>
      <c r="I20" s="143"/>
      <c r="J20" s="143">
        <v>1</v>
      </c>
      <c r="K20" s="149" t="s">
        <v>350</v>
      </c>
      <c r="L20" s="150">
        <f t="shared" si="0"/>
        <v>0.86956521739130421</v>
      </c>
      <c r="M20" s="150">
        <f t="shared" si="1"/>
        <v>0.87719298245614041</v>
      </c>
      <c r="N20" s="151">
        <f t="shared" si="2"/>
        <v>-4.063388866314719E-3</v>
      </c>
      <c r="O20" s="151" t="str">
        <f t="shared" si="3"/>
        <v/>
      </c>
      <c r="P20" s="151" t="str">
        <f t="shared" si="4"/>
        <v/>
      </c>
      <c r="Q20" s="151" t="str">
        <f t="shared" si="5"/>
        <v/>
      </c>
      <c r="R20" s="150">
        <f t="shared" si="6"/>
        <v>1.8695652173913042</v>
      </c>
      <c r="S20" s="150">
        <f t="shared" si="7"/>
        <v>1.8771929824561404</v>
      </c>
      <c r="T20" s="150" t="str">
        <f t="shared" si="8"/>
        <v/>
      </c>
      <c r="U20" s="152">
        <f t="shared" si="11"/>
        <v>0.86956521739130421</v>
      </c>
      <c r="V20" s="143"/>
      <c r="W20" s="102">
        <f t="shared" si="9"/>
        <v>1</v>
      </c>
      <c r="X20" s="102" t="str">
        <f t="shared" si="10"/>
        <v/>
      </c>
      <c r="Y20" s="102"/>
      <c r="Z20" s="102"/>
      <c r="AA20" s="102"/>
      <c r="AB20" s="102"/>
      <c r="AC20" s="102"/>
      <c r="AD20" s="102"/>
      <c r="AE20" s="102"/>
      <c r="AF20" s="138"/>
      <c r="AG20" s="138"/>
      <c r="AH20" s="102"/>
      <c r="AI20" s="102"/>
      <c r="AJ20" s="102"/>
      <c r="AK20" s="102"/>
      <c r="AL20" s="102"/>
      <c r="AM20" s="102"/>
    </row>
    <row r="21" spans="1:39">
      <c r="A21" s="143" t="s">
        <v>240</v>
      </c>
      <c r="B21" s="143" t="s">
        <v>365</v>
      </c>
      <c r="C21" s="145">
        <v>45791</v>
      </c>
      <c r="D21" s="143" t="s">
        <v>402</v>
      </c>
      <c r="E21" s="146" t="s">
        <v>403</v>
      </c>
      <c r="F21" s="147"/>
      <c r="G21" s="147">
        <v>-105</v>
      </c>
      <c r="H21" s="148">
        <v>-119</v>
      </c>
      <c r="I21" s="143"/>
      <c r="J21" s="143">
        <v>1</v>
      </c>
      <c r="K21" s="149" t="s">
        <v>351</v>
      </c>
      <c r="L21" s="150">
        <f t="shared" si="0"/>
        <v>0</v>
      </c>
      <c r="M21" s="150">
        <f t="shared" si="1"/>
        <v>0</v>
      </c>
      <c r="N21" s="151">
        <f t="shared" si="2"/>
        <v>6.0882800608827815E-2</v>
      </c>
      <c r="O21" s="151" t="str">
        <f t="shared" si="3"/>
        <v/>
      </c>
      <c r="P21" s="151" t="str">
        <f t="shared" si="4"/>
        <v/>
      </c>
      <c r="Q21" s="151" t="str">
        <f t="shared" si="5"/>
        <v/>
      </c>
      <c r="R21" s="150">
        <f t="shared" si="6"/>
        <v>1.9523809523809523</v>
      </c>
      <c r="S21" s="150">
        <f t="shared" si="7"/>
        <v>1.8403361344537816</v>
      </c>
      <c r="T21" s="150" t="str">
        <f t="shared" si="8"/>
        <v/>
      </c>
      <c r="U21" s="152">
        <f t="shared" si="11"/>
        <v>0</v>
      </c>
      <c r="V21" s="143"/>
      <c r="W21" s="102">
        <f t="shared" si="9"/>
        <v>2</v>
      </c>
      <c r="X21" s="102" t="str">
        <f t="shared" si="10"/>
        <v/>
      </c>
      <c r="Y21" s="102"/>
      <c r="Z21" s="102"/>
      <c r="AA21" s="102"/>
      <c r="AB21" s="102"/>
      <c r="AC21" s="102"/>
      <c r="AD21" s="102"/>
      <c r="AE21" s="102"/>
      <c r="AF21" s="138"/>
      <c r="AG21" s="138"/>
      <c r="AH21" s="102"/>
      <c r="AI21" s="102"/>
      <c r="AJ21" s="102"/>
      <c r="AK21" s="102"/>
      <c r="AL21" s="102"/>
      <c r="AM21" s="102"/>
    </row>
    <row r="22" spans="1:39">
      <c r="A22" s="143" t="s">
        <v>240</v>
      </c>
      <c r="B22" s="143" t="s">
        <v>365</v>
      </c>
      <c r="C22" s="145">
        <v>45791</v>
      </c>
      <c r="D22" s="143" t="s">
        <v>404</v>
      </c>
      <c r="E22" s="146" t="s">
        <v>403</v>
      </c>
      <c r="F22" s="147"/>
      <c r="G22" s="147">
        <v>-105</v>
      </c>
      <c r="H22" s="148">
        <v>-101</v>
      </c>
      <c r="I22" s="143"/>
      <c r="J22" s="143">
        <v>1</v>
      </c>
      <c r="K22" s="149" t="s">
        <v>311</v>
      </c>
      <c r="L22" s="150">
        <f t="shared" si="0"/>
        <v>-1</v>
      </c>
      <c r="M22" s="150">
        <f t="shared" si="1"/>
        <v>-1</v>
      </c>
      <c r="N22" s="151">
        <f t="shared" si="2"/>
        <v>-1.8952854773750232E-2</v>
      </c>
      <c r="O22" s="151" t="str">
        <f t="shared" si="3"/>
        <v/>
      </c>
      <c r="P22" s="151" t="str">
        <f t="shared" si="4"/>
        <v/>
      </c>
      <c r="Q22" s="151" t="str">
        <f t="shared" si="5"/>
        <v/>
      </c>
      <c r="R22" s="150">
        <f t="shared" si="6"/>
        <v>1.9523809523809523</v>
      </c>
      <c r="S22" s="150">
        <f t="shared" si="7"/>
        <v>1.9900990099009901</v>
      </c>
      <c r="T22" s="150" t="str">
        <f t="shared" si="8"/>
        <v/>
      </c>
      <c r="U22" s="152">
        <f t="shared" si="11"/>
        <v>-1</v>
      </c>
      <c r="V22" s="143"/>
      <c r="W22" s="102">
        <f t="shared" si="9"/>
        <v>0</v>
      </c>
      <c r="X22" s="102" t="str">
        <f t="shared" si="10"/>
        <v/>
      </c>
      <c r="Y22" s="102"/>
      <c r="Z22" s="102"/>
      <c r="AA22" s="102"/>
      <c r="AB22" s="102"/>
      <c r="AC22" s="102"/>
      <c r="AD22" s="102"/>
      <c r="AE22" s="102"/>
      <c r="AF22" s="138"/>
      <c r="AG22" s="138"/>
      <c r="AH22" s="102"/>
      <c r="AI22" s="102"/>
      <c r="AJ22" s="102"/>
      <c r="AK22" s="102"/>
      <c r="AL22" s="102"/>
      <c r="AM22" s="102"/>
    </row>
    <row r="23" spans="1:39">
      <c r="A23" s="143" t="s">
        <v>240</v>
      </c>
      <c r="B23" s="143" t="s">
        <v>361</v>
      </c>
      <c r="C23" s="145">
        <v>45793</v>
      </c>
      <c r="D23" s="143" t="s">
        <v>405</v>
      </c>
      <c r="E23" s="146" t="s">
        <v>406</v>
      </c>
      <c r="F23" s="147"/>
      <c r="G23" s="147">
        <v>-115</v>
      </c>
      <c r="H23" s="148">
        <v>-110</v>
      </c>
      <c r="I23" s="143"/>
      <c r="J23" s="143">
        <v>1</v>
      </c>
      <c r="K23" s="149" t="s">
        <v>311</v>
      </c>
      <c r="L23" s="150">
        <f t="shared" si="0"/>
        <v>-1</v>
      </c>
      <c r="M23" s="150">
        <f t="shared" si="1"/>
        <v>-1</v>
      </c>
      <c r="N23" s="151">
        <f t="shared" si="2"/>
        <v>-2.0703933747412074E-2</v>
      </c>
      <c r="O23" s="151" t="str">
        <f t="shared" si="3"/>
        <v/>
      </c>
      <c r="P23" s="151" t="str">
        <f t="shared" si="4"/>
        <v/>
      </c>
      <c r="Q23" s="151" t="str">
        <f t="shared" si="5"/>
        <v/>
      </c>
      <c r="R23" s="150">
        <f t="shared" si="6"/>
        <v>1.8695652173913042</v>
      </c>
      <c r="S23" s="150">
        <f t="shared" si="7"/>
        <v>1.9090909090909092</v>
      </c>
      <c r="T23" s="150" t="str">
        <f t="shared" si="8"/>
        <v/>
      </c>
      <c r="U23" s="152">
        <f t="shared" si="11"/>
        <v>-1</v>
      </c>
      <c r="V23" s="143"/>
      <c r="W23" s="102">
        <f t="shared" si="9"/>
        <v>0</v>
      </c>
      <c r="X23" s="153">
        <f t="shared" si="10"/>
        <v>-1</v>
      </c>
      <c r="Y23" s="102"/>
      <c r="Z23" s="102"/>
      <c r="AA23" s="102"/>
      <c r="AB23" s="102"/>
      <c r="AC23" s="102"/>
      <c r="AD23" s="102"/>
      <c r="AE23" s="102"/>
      <c r="AF23" s="138"/>
      <c r="AG23" s="138"/>
      <c r="AH23" s="102"/>
      <c r="AI23" s="102"/>
      <c r="AJ23" s="102"/>
      <c r="AK23" s="102"/>
      <c r="AL23" s="102"/>
      <c r="AM23" s="102"/>
    </row>
    <row r="24" spans="1:39">
      <c r="A24" s="143" t="s">
        <v>240</v>
      </c>
      <c r="B24" s="143" t="s">
        <v>365</v>
      </c>
      <c r="C24" s="145">
        <v>45793</v>
      </c>
      <c r="D24" s="143" t="s">
        <v>407</v>
      </c>
      <c r="E24" s="146" t="s">
        <v>394</v>
      </c>
      <c r="F24" s="147"/>
      <c r="G24" s="147">
        <v>-118</v>
      </c>
      <c r="H24" s="148">
        <v>-122</v>
      </c>
      <c r="I24" s="143"/>
      <c r="J24" s="143">
        <v>1</v>
      </c>
      <c r="K24" s="149" t="s">
        <v>350</v>
      </c>
      <c r="L24" s="150">
        <f t="shared" si="0"/>
        <v>0.84745762711864403</v>
      </c>
      <c r="M24" s="150">
        <f t="shared" si="1"/>
        <v>0.81967213114754101</v>
      </c>
      <c r="N24" s="151">
        <f t="shared" si="2"/>
        <v>1.5269506794930457E-2</v>
      </c>
      <c r="O24" s="151" t="str">
        <f t="shared" si="3"/>
        <v/>
      </c>
      <c r="P24" s="151" t="str">
        <f t="shared" si="4"/>
        <v/>
      </c>
      <c r="Q24" s="151" t="str">
        <f t="shared" si="5"/>
        <v/>
      </c>
      <c r="R24" s="150">
        <f t="shared" si="6"/>
        <v>1.847457627118644</v>
      </c>
      <c r="S24" s="150">
        <f t="shared" si="7"/>
        <v>1.819672131147541</v>
      </c>
      <c r="T24" s="150" t="str">
        <f t="shared" si="8"/>
        <v/>
      </c>
      <c r="U24" s="152">
        <f t="shared" si="11"/>
        <v>0.84745762711864403</v>
      </c>
      <c r="V24" s="143"/>
      <c r="W24" s="102">
        <f t="shared" si="9"/>
        <v>1</v>
      </c>
      <c r="X24" s="102" t="str">
        <f t="shared" si="10"/>
        <v/>
      </c>
      <c r="Y24" s="102"/>
      <c r="Z24" s="102"/>
      <c r="AA24" s="102"/>
      <c r="AB24" s="102"/>
      <c r="AC24" s="102"/>
      <c r="AD24" s="102"/>
      <c r="AE24" s="102"/>
      <c r="AF24" s="138"/>
      <c r="AG24" s="138"/>
      <c r="AH24" s="102"/>
      <c r="AI24" s="102"/>
      <c r="AJ24" s="102"/>
      <c r="AK24" s="102"/>
      <c r="AL24" s="102"/>
      <c r="AM24" s="102"/>
    </row>
    <row r="25" spans="1:39">
      <c r="A25" s="143" t="s">
        <v>240</v>
      </c>
      <c r="B25" s="143" t="s">
        <v>361</v>
      </c>
      <c r="C25" s="145">
        <v>45793</v>
      </c>
      <c r="D25" s="143" t="s">
        <v>408</v>
      </c>
      <c r="E25" s="146" t="s">
        <v>409</v>
      </c>
      <c r="F25" s="147"/>
      <c r="G25" s="147">
        <f>177</f>
        <v>177</v>
      </c>
      <c r="H25" s="148">
        <v>190</v>
      </c>
      <c r="I25" s="143"/>
      <c r="J25" s="143">
        <v>1</v>
      </c>
      <c r="K25" s="149" t="s">
        <v>311</v>
      </c>
      <c r="L25" s="150">
        <f t="shared" si="0"/>
        <v>-1</v>
      </c>
      <c r="M25" s="150">
        <f t="shared" si="1"/>
        <v>-1</v>
      </c>
      <c r="N25" s="151">
        <f t="shared" si="2"/>
        <v>-4.4827586206896551E-2</v>
      </c>
      <c r="O25" s="151" t="str">
        <f t="shared" si="3"/>
        <v/>
      </c>
      <c r="P25" s="151" t="str">
        <f t="shared" si="4"/>
        <v/>
      </c>
      <c r="Q25" s="151" t="str">
        <f t="shared" si="5"/>
        <v/>
      </c>
      <c r="R25" s="150">
        <f t="shared" si="6"/>
        <v>2.77</v>
      </c>
      <c r="S25" s="150">
        <f t="shared" si="7"/>
        <v>2.9</v>
      </c>
      <c r="T25" s="150" t="str">
        <f t="shared" si="8"/>
        <v/>
      </c>
      <c r="U25" s="152">
        <f t="shared" si="11"/>
        <v>-1</v>
      </c>
      <c r="V25" s="143"/>
      <c r="W25" s="102">
        <f t="shared" si="9"/>
        <v>0</v>
      </c>
      <c r="X25" s="153">
        <f t="shared" si="10"/>
        <v>-1</v>
      </c>
      <c r="Y25" s="102"/>
      <c r="Z25" s="102"/>
      <c r="AA25" s="102"/>
      <c r="AB25" s="102"/>
      <c r="AC25" s="102"/>
      <c r="AD25" s="102"/>
      <c r="AE25" s="102"/>
      <c r="AF25" s="138"/>
      <c r="AG25" s="138"/>
      <c r="AH25" s="102"/>
      <c r="AI25" s="102"/>
      <c r="AJ25" s="102"/>
      <c r="AK25" s="102"/>
      <c r="AL25" s="102"/>
      <c r="AM25" s="102"/>
    </row>
    <row r="26" spans="1:39">
      <c r="A26" s="143" t="s">
        <v>240</v>
      </c>
      <c r="B26" s="143" t="s">
        <v>361</v>
      </c>
      <c r="C26" s="145">
        <v>45793</v>
      </c>
      <c r="D26" s="143" t="s">
        <v>410</v>
      </c>
      <c r="E26" s="146" t="s">
        <v>411</v>
      </c>
      <c r="F26" s="147"/>
      <c r="G26" s="147">
        <v>149</v>
      </c>
      <c r="H26" s="148">
        <v>150</v>
      </c>
      <c r="I26" s="143"/>
      <c r="J26" s="143">
        <v>1</v>
      </c>
      <c r="K26" s="149" t="s">
        <v>350</v>
      </c>
      <c r="L26" s="150">
        <f t="shared" si="0"/>
        <v>1.4900000000000002</v>
      </c>
      <c r="M26" s="150">
        <f t="shared" si="1"/>
        <v>1.5</v>
      </c>
      <c r="N26" s="151">
        <f t="shared" si="2"/>
        <v>-3.9999999999998015E-3</v>
      </c>
      <c r="O26" s="151" t="str">
        <f t="shared" si="3"/>
        <v/>
      </c>
      <c r="P26" s="151" t="str">
        <f t="shared" si="4"/>
        <v/>
      </c>
      <c r="Q26" s="151" t="str">
        <f t="shared" si="5"/>
        <v/>
      </c>
      <c r="R26" s="150">
        <f t="shared" si="6"/>
        <v>2.4900000000000002</v>
      </c>
      <c r="S26" s="150">
        <f t="shared" si="7"/>
        <v>2.5</v>
      </c>
      <c r="T26" s="150" t="str">
        <f t="shared" si="8"/>
        <v/>
      </c>
      <c r="U26" s="152">
        <f t="shared" si="11"/>
        <v>1.4900000000000002</v>
      </c>
      <c r="V26" s="143"/>
      <c r="W26" s="102">
        <f t="shared" si="9"/>
        <v>1</v>
      </c>
      <c r="X26" s="153">
        <f t="shared" si="10"/>
        <v>1.4900000000000002</v>
      </c>
      <c r="Y26" s="102"/>
      <c r="Z26" s="102"/>
      <c r="AA26" s="102"/>
      <c r="AB26" s="102"/>
      <c r="AC26" s="102"/>
      <c r="AD26" s="102"/>
      <c r="AE26" s="102"/>
      <c r="AF26" s="138"/>
      <c r="AG26" s="138"/>
      <c r="AH26" s="102"/>
      <c r="AI26" s="102"/>
      <c r="AJ26" s="102"/>
      <c r="AK26" s="102"/>
      <c r="AL26" s="102"/>
      <c r="AM26" s="102"/>
    </row>
    <row r="27" spans="1:39">
      <c r="A27" s="143" t="s">
        <v>240</v>
      </c>
      <c r="B27" s="143" t="s">
        <v>361</v>
      </c>
      <c r="C27" s="145">
        <v>45793</v>
      </c>
      <c r="D27" s="143" t="s">
        <v>412</v>
      </c>
      <c r="E27" s="146" t="s">
        <v>413</v>
      </c>
      <c r="F27" s="147"/>
      <c r="G27" s="147">
        <v>-115</v>
      </c>
      <c r="H27" s="148">
        <v>-109</v>
      </c>
      <c r="I27" s="143"/>
      <c r="J27" s="143">
        <v>1</v>
      </c>
      <c r="K27" s="149" t="s">
        <v>311</v>
      </c>
      <c r="L27" s="150">
        <f t="shared" si="0"/>
        <v>-1</v>
      </c>
      <c r="M27" s="150">
        <f t="shared" si="1"/>
        <v>-1</v>
      </c>
      <c r="N27" s="151">
        <f t="shared" si="2"/>
        <v>-2.4963594757645317E-2</v>
      </c>
      <c r="O27" s="151" t="str">
        <f t="shared" si="3"/>
        <v/>
      </c>
      <c r="P27" s="151" t="str">
        <f t="shared" si="4"/>
        <v/>
      </c>
      <c r="Q27" s="151" t="str">
        <f t="shared" si="5"/>
        <v/>
      </c>
      <c r="R27" s="150">
        <f t="shared" si="6"/>
        <v>1.8695652173913042</v>
      </c>
      <c r="S27" s="150">
        <f t="shared" si="7"/>
        <v>1.9174311926605505</v>
      </c>
      <c r="T27" s="150" t="str">
        <f t="shared" si="8"/>
        <v/>
      </c>
      <c r="U27" s="152">
        <f t="shared" si="11"/>
        <v>-1</v>
      </c>
      <c r="V27" s="143"/>
      <c r="W27" s="102">
        <f t="shared" si="9"/>
        <v>0</v>
      </c>
      <c r="X27" s="153">
        <f t="shared" si="10"/>
        <v>-1</v>
      </c>
      <c r="Y27" s="102"/>
      <c r="Z27" s="102"/>
      <c r="AA27" s="102"/>
      <c r="AB27" s="102"/>
      <c r="AC27" s="102"/>
      <c r="AD27" s="102"/>
      <c r="AE27" s="102"/>
      <c r="AF27" s="138"/>
      <c r="AG27" s="138"/>
      <c r="AH27" s="102"/>
      <c r="AI27" s="102"/>
      <c r="AJ27" s="102"/>
      <c r="AK27" s="102"/>
      <c r="AL27" s="102"/>
      <c r="AM27" s="102"/>
    </row>
    <row r="28" spans="1:39">
      <c r="A28" s="143" t="s">
        <v>240</v>
      </c>
      <c r="B28" s="143" t="s">
        <v>361</v>
      </c>
      <c r="C28" s="145">
        <v>45794</v>
      </c>
      <c r="D28" s="143" t="s">
        <v>407</v>
      </c>
      <c r="E28" s="146" t="s">
        <v>397</v>
      </c>
      <c r="F28" s="147">
        <v>-124</v>
      </c>
      <c r="G28" s="147">
        <v>123</v>
      </c>
      <c r="H28" s="148">
        <v>129</v>
      </c>
      <c r="I28" s="143">
        <v>-147</v>
      </c>
      <c r="J28" s="143">
        <v>1</v>
      </c>
      <c r="K28" s="149" t="s">
        <v>351</v>
      </c>
      <c r="L28" s="150">
        <f t="shared" si="0"/>
        <v>0</v>
      </c>
      <c r="M28" s="150">
        <f t="shared" si="1"/>
        <v>0</v>
      </c>
      <c r="N28" s="151">
        <f t="shared" si="2"/>
        <v>-2.620087336244541E-2</v>
      </c>
      <c r="O28" s="151">
        <f t="shared" si="3"/>
        <v>0.13035809135435616</v>
      </c>
      <c r="P28" s="151">
        <f t="shared" si="4"/>
        <v>0.5535714285714286</v>
      </c>
      <c r="Q28" s="151">
        <f t="shared" si="5"/>
        <v>0.42321333721707244</v>
      </c>
      <c r="R28" s="150">
        <f t="shared" si="6"/>
        <v>2.23</v>
      </c>
      <c r="S28" s="150">
        <f t="shared" si="7"/>
        <v>2.29</v>
      </c>
      <c r="T28" s="150">
        <f t="shared" si="8"/>
        <v>1.6802721088435373</v>
      </c>
      <c r="U28" s="152">
        <f t="shared" si="11"/>
        <v>0</v>
      </c>
      <c r="V28" s="143"/>
      <c r="W28" s="102">
        <f t="shared" si="9"/>
        <v>2</v>
      </c>
      <c r="X28" s="153">
        <f t="shared" si="10"/>
        <v>0</v>
      </c>
      <c r="Y28" s="102"/>
      <c r="Z28" s="102"/>
      <c r="AA28" s="102"/>
      <c r="AB28" s="102"/>
      <c r="AC28" s="102"/>
      <c r="AD28" s="102"/>
      <c r="AE28" s="102"/>
      <c r="AF28" s="138"/>
      <c r="AG28" s="138"/>
      <c r="AH28" s="102"/>
      <c r="AI28" s="102"/>
      <c r="AJ28" s="102"/>
      <c r="AK28" s="102"/>
      <c r="AL28" s="102"/>
      <c r="AM28" s="102"/>
    </row>
    <row r="29" spans="1:39">
      <c r="A29" s="143" t="s">
        <v>240</v>
      </c>
      <c r="B29" s="143" t="s">
        <v>365</v>
      </c>
      <c r="C29" s="145">
        <v>45794</v>
      </c>
      <c r="D29" s="143" t="s">
        <v>414</v>
      </c>
      <c r="E29" s="146" t="s">
        <v>401</v>
      </c>
      <c r="F29" s="147"/>
      <c r="G29" s="147">
        <v>-110</v>
      </c>
      <c r="H29" s="148">
        <v>-127</v>
      </c>
      <c r="I29" s="143"/>
      <c r="J29" s="143">
        <v>1</v>
      </c>
      <c r="K29" s="149" t="s">
        <v>350</v>
      </c>
      <c r="L29" s="150">
        <f t="shared" si="0"/>
        <v>0.90909090909090917</v>
      </c>
      <c r="M29" s="150">
        <f t="shared" si="1"/>
        <v>0.78740157480314954</v>
      </c>
      <c r="N29" s="151">
        <f t="shared" si="2"/>
        <v>6.8081698037645161E-2</v>
      </c>
      <c r="O29" s="151" t="str">
        <f t="shared" si="3"/>
        <v/>
      </c>
      <c r="P29" s="151" t="str">
        <f t="shared" si="4"/>
        <v/>
      </c>
      <c r="Q29" s="151" t="str">
        <f t="shared" si="5"/>
        <v/>
      </c>
      <c r="R29" s="150">
        <f t="shared" si="6"/>
        <v>1.9090909090909092</v>
      </c>
      <c r="S29" s="150">
        <f t="shared" si="7"/>
        <v>1.7874015748031495</v>
      </c>
      <c r="T29" s="150" t="str">
        <f t="shared" si="8"/>
        <v/>
      </c>
      <c r="U29" s="152">
        <f t="shared" si="11"/>
        <v>0.90909090909090917</v>
      </c>
      <c r="V29" s="143"/>
      <c r="W29" s="102">
        <f t="shared" si="9"/>
        <v>1</v>
      </c>
      <c r="X29" s="102" t="str">
        <f t="shared" si="10"/>
        <v/>
      </c>
      <c r="Y29" s="102"/>
      <c r="Z29" s="102"/>
      <c r="AA29" s="102"/>
      <c r="AB29" s="102"/>
      <c r="AC29" s="102"/>
      <c r="AD29" s="102"/>
      <c r="AE29" s="102"/>
      <c r="AF29" s="138"/>
      <c r="AG29" s="138"/>
      <c r="AH29" s="102"/>
      <c r="AI29" s="102"/>
      <c r="AJ29" s="102"/>
      <c r="AK29" s="102"/>
      <c r="AL29" s="102"/>
      <c r="AM29" s="102"/>
    </row>
    <row r="30" spans="1:39">
      <c r="A30" s="143" t="s">
        <v>240</v>
      </c>
      <c r="B30" s="143" t="s">
        <v>365</v>
      </c>
      <c r="C30" s="145">
        <v>45794</v>
      </c>
      <c r="D30" s="143" t="s">
        <v>415</v>
      </c>
      <c r="E30" s="146" t="s">
        <v>416</v>
      </c>
      <c r="F30" s="147"/>
      <c r="G30" s="147">
        <v>-110</v>
      </c>
      <c r="H30" s="148">
        <v>-114</v>
      </c>
      <c r="I30" s="143"/>
      <c r="J30" s="143">
        <v>1</v>
      </c>
      <c r="K30" s="149" t="s">
        <v>311</v>
      </c>
      <c r="L30" s="150">
        <f t="shared" si="0"/>
        <v>-1</v>
      </c>
      <c r="M30" s="150">
        <f t="shared" si="1"/>
        <v>-1</v>
      </c>
      <c r="N30" s="151">
        <f t="shared" si="2"/>
        <v>1.6992353440951423E-2</v>
      </c>
      <c r="O30" s="151" t="str">
        <f t="shared" si="3"/>
        <v/>
      </c>
      <c r="P30" s="151" t="str">
        <f t="shared" si="4"/>
        <v/>
      </c>
      <c r="Q30" s="151" t="str">
        <f t="shared" si="5"/>
        <v/>
      </c>
      <c r="R30" s="150">
        <f t="shared" si="6"/>
        <v>1.9090909090909092</v>
      </c>
      <c r="S30" s="150">
        <f t="shared" si="7"/>
        <v>1.8771929824561404</v>
      </c>
      <c r="T30" s="150" t="str">
        <f t="shared" si="8"/>
        <v/>
      </c>
      <c r="U30" s="152">
        <f t="shared" si="11"/>
        <v>-1</v>
      </c>
      <c r="V30" s="143"/>
      <c r="W30" s="102">
        <f t="shared" si="9"/>
        <v>0</v>
      </c>
      <c r="X30" s="102" t="str">
        <f t="shared" si="10"/>
        <v/>
      </c>
      <c r="Y30" s="102"/>
      <c r="Z30" s="102"/>
      <c r="AA30" s="102"/>
      <c r="AB30" s="102"/>
      <c r="AC30" s="102"/>
      <c r="AD30" s="102"/>
      <c r="AE30" s="102"/>
      <c r="AF30" s="138"/>
      <c r="AG30" s="138"/>
      <c r="AH30" s="102"/>
      <c r="AI30" s="102"/>
      <c r="AJ30" s="102"/>
      <c r="AK30" s="102"/>
      <c r="AL30" s="102"/>
      <c r="AM30" s="102"/>
    </row>
    <row r="31" spans="1:39">
      <c r="A31" s="143" t="s">
        <v>240</v>
      </c>
      <c r="B31" s="143" t="s">
        <v>365</v>
      </c>
      <c r="C31" s="145">
        <v>45795</v>
      </c>
      <c r="D31" s="143" t="s">
        <v>415</v>
      </c>
      <c r="E31" s="146" t="s">
        <v>417</v>
      </c>
      <c r="F31" s="147"/>
      <c r="G31" s="147">
        <v>-108</v>
      </c>
      <c r="H31" s="148">
        <v>-103</v>
      </c>
      <c r="I31" s="143"/>
      <c r="J31" s="143">
        <v>1</v>
      </c>
      <c r="K31" s="149" t="s">
        <v>311</v>
      </c>
      <c r="L31" s="150">
        <f t="shared" si="0"/>
        <v>-1</v>
      </c>
      <c r="M31" s="150">
        <f t="shared" si="1"/>
        <v>-1</v>
      </c>
      <c r="N31" s="151">
        <f t="shared" si="2"/>
        <v>-2.2806057288815691E-2</v>
      </c>
      <c r="O31" s="151" t="str">
        <f t="shared" si="3"/>
        <v/>
      </c>
      <c r="P31" s="151" t="str">
        <f t="shared" si="4"/>
        <v/>
      </c>
      <c r="Q31" s="151" t="str">
        <f t="shared" si="5"/>
        <v/>
      </c>
      <c r="R31" s="150">
        <f t="shared" si="6"/>
        <v>1.925925925925926</v>
      </c>
      <c r="S31" s="150">
        <f t="shared" si="7"/>
        <v>1.970873786407767</v>
      </c>
      <c r="T31" s="150" t="str">
        <f t="shared" si="8"/>
        <v/>
      </c>
      <c r="U31" s="152">
        <f t="shared" si="11"/>
        <v>-1</v>
      </c>
      <c r="V31" s="143"/>
      <c r="W31" s="102">
        <f t="shared" si="9"/>
        <v>0</v>
      </c>
      <c r="X31" s="102" t="str">
        <f t="shared" si="10"/>
        <v/>
      </c>
      <c r="Y31" s="102"/>
      <c r="Z31" s="102"/>
      <c r="AA31" s="102"/>
      <c r="AB31" s="102"/>
      <c r="AC31" s="102"/>
      <c r="AD31" s="102"/>
      <c r="AE31" s="102"/>
      <c r="AF31" s="138"/>
      <c r="AG31" s="138"/>
      <c r="AH31" s="102"/>
      <c r="AI31" s="102"/>
      <c r="AJ31" s="102"/>
      <c r="AK31" s="102"/>
      <c r="AL31" s="102"/>
      <c r="AM31" s="102"/>
    </row>
    <row r="32" spans="1:39">
      <c r="A32" s="143" t="s">
        <v>240</v>
      </c>
      <c r="B32" s="143" t="s">
        <v>365</v>
      </c>
      <c r="C32" s="145">
        <v>45795</v>
      </c>
      <c r="D32" s="143" t="s">
        <v>418</v>
      </c>
      <c r="E32" s="146" t="s">
        <v>393</v>
      </c>
      <c r="F32" s="147"/>
      <c r="G32" s="147">
        <v>-122</v>
      </c>
      <c r="H32" s="148">
        <v>-116</v>
      </c>
      <c r="I32" s="143"/>
      <c r="J32" s="143">
        <v>1</v>
      </c>
      <c r="K32" s="149" t="s">
        <v>311</v>
      </c>
      <c r="L32" s="150">
        <f t="shared" si="0"/>
        <v>-1</v>
      </c>
      <c r="M32" s="150">
        <f t="shared" si="1"/>
        <v>-1</v>
      </c>
      <c r="N32" s="151">
        <f t="shared" si="2"/>
        <v>-2.276867030965371E-2</v>
      </c>
      <c r="O32" s="151" t="str">
        <f t="shared" si="3"/>
        <v/>
      </c>
      <c r="P32" s="151" t="str">
        <f t="shared" si="4"/>
        <v/>
      </c>
      <c r="Q32" s="151" t="str">
        <f t="shared" si="5"/>
        <v/>
      </c>
      <c r="R32" s="150">
        <f t="shared" si="6"/>
        <v>1.819672131147541</v>
      </c>
      <c r="S32" s="150">
        <f t="shared" si="7"/>
        <v>1.8620689655172413</v>
      </c>
      <c r="T32" s="150" t="str">
        <f t="shared" si="8"/>
        <v/>
      </c>
      <c r="U32" s="152">
        <f t="shared" si="11"/>
        <v>-1</v>
      </c>
      <c r="V32" s="143"/>
      <c r="W32" s="102">
        <f t="shared" si="9"/>
        <v>0</v>
      </c>
      <c r="X32" s="102" t="str">
        <f t="shared" si="10"/>
        <v/>
      </c>
      <c r="Y32" s="102"/>
      <c r="Z32" s="102"/>
      <c r="AA32" s="102"/>
      <c r="AB32" s="102"/>
      <c r="AC32" s="102"/>
      <c r="AD32" s="102"/>
      <c r="AE32" s="102"/>
      <c r="AF32" s="138"/>
      <c r="AG32" s="138"/>
      <c r="AH32" s="102"/>
      <c r="AI32" s="102"/>
      <c r="AJ32" s="102"/>
      <c r="AK32" s="102"/>
      <c r="AL32" s="102"/>
      <c r="AM32" s="102"/>
    </row>
    <row r="33" spans="1:39">
      <c r="A33" s="143" t="s">
        <v>240</v>
      </c>
      <c r="B33" s="143" t="s">
        <v>365</v>
      </c>
      <c r="C33" s="145">
        <v>45795</v>
      </c>
      <c r="D33" s="143" t="s">
        <v>414</v>
      </c>
      <c r="E33" s="146" t="s">
        <v>401</v>
      </c>
      <c r="F33" s="147"/>
      <c r="G33" s="147">
        <v>-125</v>
      </c>
      <c r="H33" s="148">
        <v>-125</v>
      </c>
      <c r="I33" s="143"/>
      <c r="J33" s="143">
        <v>1</v>
      </c>
      <c r="K33" s="149" t="s">
        <v>350</v>
      </c>
      <c r="L33" s="150">
        <f t="shared" si="0"/>
        <v>0.8</v>
      </c>
      <c r="M33" s="150">
        <f t="shared" si="1"/>
        <v>0.8</v>
      </c>
      <c r="N33" s="151">
        <f t="shared" si="2"/>
        <v>0</v>
      </c>
      <c r="O33" s="151" t="str">
        <f t="shared" si="3"/>
        <v/>
      </c>
      <c r="P33" s="151" t="str">
        <f t="shared" si="4"/>
        <v/>
      </c>
      <c r="Q33" s="151" t="str">
        <f t="shared" si="5"/>
        <v/>
      </c>
      <c r="R33" s="150">
        <f t="shared" si="6"/>
        <v>1.8</v>
      </c>
      <c r="S33" s="150">
        <f t="shared" si="7"/>
        <v>1.8</v>
      </c>
      <c r="T33" s="150" t="str">
        <f t="shared" si="8"/>
        <v/>
      </c>
      <c r="U33" s="152">
        <f t="shared" si="11"/>
        <v>0.8</v>
      </c>
      <c r="V33" s="143"/>
      <c r="W33" s="102">
        <f t="shared" si="9"/>
        <v>1</v>
      </c>
      <c r="X33" s="102" t="str">
        <f t="shared" si="10"/>
        <v/>
      </c>
      <c r="Y33" s="102"/>
      <c r="Z33" s="102"/>
      <c r="AA33" s="102"/>
      <c r="AB33" s="102"/>
      <c r="AC33" s="102"/>
      <c r="AD33" s="102"/>
      <c r="AE33" s="102"/>
      <c r="AF33" s="138"/>
      <c r="AG33" s="138"/>
      <c r="AH33" s="102"/>
      <c r="AI33" s="102"/>
      <c r="AJ33" s="102"/>
      <c r="AK33" s="102"/>
      <c r="AL33" s="102"/>
      <c r="AM33" s="102"/>
    </row>
    <row r="34" spans="1:39">
      <c r="A34" s="143" t="s">
        <v>240</v>
      </c>
      <c r="B34" s="143" t="s">
        <v>365</v>
      </c>
      <c r="C34" s="145">
        <v>45795</v>
      </c>
      <c r="D34" s="143" t="s">
        <v>419</v>
      </c>
      <c r="E34" s="146" t="s">
        <v>403</v>
      </c>
      <c r="F34" s="147"/>
      <c r="G34" s="147">
        <v>-125</v>
      </c>
      <c r="H34" s="148">
        <v>-137</v>
      </c>
      <c r="I34" s="143"/>
      <c r="J34" s="143">
        <v>1</v>
      </c>
      <c r="K34" s="149" t="s">
        <v>350</v>
      </c>
      <c r="L34" s="150">
        <f t="shared" si="0"/>
        <v>0.8</v>
      </c>
      <c r="M34" s="150">
        <f t="shared" si="1"/>
        <v>0.72992700729927007</v>
      </c>
      <c r="N34" s="151">
        <f t="shared" si="2"/>
        <v>4.0506329113924086E-2</v>
      </c>
      <c r="O34" s="151" t="str">
        <f t="shared" si="3"/>
        <v/>
      </c>
      <c r="P34" s="151" t="str">
        <f t="shared" si="4"/>
        <v/>
      </c>
      <c r="Q34" s="151" t="str">
        <f t="shared" si="5"/>
        <v/>
      </c>
      <c r="R34" s="150">
        <f t="shared" si="6"/>
        <v>1.8</v>
      </c>
      <c r="S34" s="150">
        <f t="shared" si="7"/>
        <v>1.7299270072992701</v>
      </c>
      <c r="T34" s="150" t="str">
        <f t="shared" si="8"/>
        <v/>
      </c>
      <c r="U34" s="152">
        <f t="shared" si="11"/>
        <v>0.8</v>
      </c>
      <c r="V34" s="143"/>
      <c r="W34" s="102">
        <f t="shared" si="9"/>
        <v>1</v>
      </c>
      <c r="X34" s="102" t="str">
        <f t="shared" si="10"/>
        <v/>
      </c>
      <c r="Y34" s="102"/>
      <c r="Z34" s="102"/>
      <c r="AA34" s="102"/>
      <c r="AB34" s="102"/>
      <c r="AC34" s="102"/>
      <c r="AD34" s="102"/>
      <c r="AE34" s="102"/>
      <c r="AF34" s="138"/>
      <c r="AG34" s="138"/>
      <c r="AH34" s="102"/>
      <c r="AI34" s="102"/>
      <c r="AJ34" s="102"/>
      <c r="AK34" s="102"/>
      <c r="AL34" s="102"/>
      <c r="AM34" s="102"/>
    </row>
    <row r="35" spans="1:39">
      <c r="A35" s="143" t="s">
        <v>240</v>
      </c>
      <c r="B35" s="143" t="s">
        <v>361</v>
      </c>
      <c r="C35" s="145">
        <v>45796</v>
      </c>
      <c r="D35" s="143" t="s">
        <v>420</v>
      </c>
      <c r="E35" s="146" t="s">
        <v>421</v>
      </c>
      <c r="F35" s="147">
        <v>-152</v>
      </c>
      <c r="G35" s="147">
        <v>110</v>
      </c>
      <c r="H35" s="148">
        <v>104</v>
      </c>
      <c r="I35" s="143">
        <v>-119</v>
      </c>
      <c r="J35" s="143">
        <v>1</v>
      </c>
      <c r="K35" s="149" t="s">
        <v>350</v>
      </c>
      <c r="L35" s="150">
        <f t="shared" si="0"/>
        <v>1.1000000000000001</v>
      </c>
      <c r="M35" s="150">
        <f t="shared" si="1"/>
        <v>1.04</v>
      </c>
      <c r="N35" s="151">
        <f t="shared" si="2"/>
        <v>2.9411764705882366E-2</v>
      </c>
      <c r="O35" s="151">
        <f t="shared" si="3"/>
        <v>0.12890225390225379</v>
      </c>
      <c r="P35" s="151">
        <f t="shared" si="4"/>
        <v>0.60317460317460314</v>
      </c>
      <c r="Q35" s="151">
        <f t="shared" si="5"/>
        <v>0.47427234927234935</v>
      </c>
      <c r="R35" s="150">
        <f t="shared" si="6"/>
        <v>2.1</v>
      </c>
      <c r="S35" s="150">
        <f t="shared" si="7"/>
        <v>2.04</v>
      </c>
      <c r="T35" s="150">
        <f t="shared" si="8"/>
        <v>1.8403361344537816</v>
      </c>
      <c r="U35" s="152">
        <f t="shared" si="11"/>
        <v>1.1000000000000001</v>
      </c>
      <c r="V35" s="143"/>
      <c r="W35" s="102">
        <f t="shared" si="9"/>
        <v>1</v>
      </c>
      <c r="X35" s="153">
        <f t="shared" si="10"/>
        <v>1.1000000000000001</v>
      </c>
      <c r="Y35" s="102"/>
      <c r="Z35" s="102"/>
      <c r="AA35" s="102"/>
      <c r="AB35" s="102"/>
      <c r="AC35" s="102"/>
      <c r="AD35" s="102"/>
      <c r="AE35" s="102"/>
      <c r="AF35" s="138"/>
      <c r="AG35" s="138"/>
      <c r="AH35" s="102"/>
      <c r="AI35" s="102"/>
      <c r="AJ35" s="102"/>
      <c r="AK35" s="102"/>
      <c r="AL35" s="102"/>
      <c r="AM35" s="102"/>
    </row>
    <row r="36" spans="1:39">
      <c r="A36" s="143" t="s">
        <v>240</v>
      </c>
      <c r="B36" s="143" t="s">
        <v>365</v>
      </c>
      <c r="C36" s="145">
        <v>45796</v>
      </c>
      <c r="D36" s="143" t="s">
        <v>422</v>
      </c>
      <c r="E36" s="146" t="s">
        <v>423</v>
      </c>
      <c r="F36" s="147"/>
      <c r="G36" s="147">
        <v>-105</v>
      </c>
      <c r="H36" s="148">
        <v>-102</v>
      </c>
      <c r="I36" s="143"/>
      <c r="J36" s="143">
        <v>1</v>
      </c>
      <c r="K36" s="149" t="s">
        <v>351</v>
      </c>
      <c r="L36" s="150">
        <f t="shared" si="0"/>
        <v>0</v>
      </c>
      <c r="M36" s="150">
        <f t="shared" si="1"/>
        <v>0</v>
      </c>
      <c r="N36" s="151">
        <f t="shared" si="2"/>
        <v>-1.4144271570014157E-2</v>
      </c>
      <c r="O36" s="151" t="str">
        <f t="shared" si="3"/>
        <v/>
      </c>
      <c r="P36" s="151" t="str">
        <f t="shared" si="4"/>
        <v/>
      </c>
      <c r="Q36" s="151" t="str">
        <f t="shared" si="5"/>
        <v/>
      </c>
      <c r="R36" s="150">
        <f t="shared" si="6"/>
        <v>1.9523809523809523</v>
      </c>
      <c r="S36" s="150">
        <f t="shared" si="7"/>
        <v>1.9803921568627452</v>
      </c>
      <c r="T36" s="150" t="str">
        <f t="shared" si="8"/>
        <v/>
      </c>
      <c r="U36" s="152">
        <f t="shared" si="11"/>
        <v>0</v>
      </c>
      <c r="V36" s="143"/>
      <c r="W36" s="102">
        <f t="shared" si="9"/>
        <v>2</v>
      </c>
      <c r="X36" s="102" t="str">
        <f t="shared" si="10"/>
        <v/>
      </c>
      <c r="Y36" s="102"/>
      <c r="Z36" s="102"/>
      <c r="AA36" s="102"/>
      <c r="AB36" s="102"/>
      <c r="AC36" s="102"/>
      <c r="AD36" s="102"/>
      <c r="AE36" s="102"/>
      <c r="AF36" s="138"/>
      <c r="AG36" s="138"/>
      <c r="AH36" s="102"/>
      <c r="AI36" s="102"/>
      <c r="AJ36" s="102"/>
      <c r="AK36" s="102"/>
      <c r="AL36" s="102"/>
      <c r="AM36" s="102"/>
    </row>
    <row r="37" spans="1:39">
      <c r="A37" s="143" t="s">
        <v>240</v>
      </c>
      <c r="B37" s="143" t="s">
        <v>361</v>
      </c>
      <c r="C37" s="145">
        <v>45797</v>
      </c>
      <c r="D37" s="143" t="s">
        <v>422</v>
      </c>
      <c r="E37" s="146" t="s">
        <v>389</v>
      </c>
      <c r="F37" s="147">
        <v>105</v>
      </c>
      <c r="G37" s="147">
        <v>174</v>
      </c>
      <c r="H37" s="148">
        <v>173</v>
      </c>
      <c r="I37" s="143">
        <v>-204</v>
      </c>
      <c r="J37" s="143">
        <v>1</v>
      </c>
      <c r="K37" s="149" t="s">
        <v>311</v>
      </c>
      <c r="L37" s="150">
        <f t="shared" si="0"/>
        <v>-1</v>
      </c>
      <c r="M37" s="150">
        <f t="shared" si="1"/>
        <v>-1</v>
      </c>
      <c r="N37" s="151">
        <f t="shared" si="2"/>
        <v>3.6630036630036001E-3</v>
      </c>
      <c r="O37" s="151">
        <f t="shared" si="3"/>
        <v>0.13469425220665815</v>
      </c>
      <c r="P37" s="151">
        <f t="shared" si="4"/>
        <v>0.48780487804878048</v>
      </c>
      <c r="Q37" s="151">
        <f t="shared" si="5"/>
        <v>0.35311062584212233</v>
      </c>
      <c r="R37" s="150">
        <f t="shared" si="6"/>
        <v>2.74</v>
      </c>
      <c r="S37" s="150">
        <f t="shared" si="7"/>
        <v>2.73</v>
      </c>
      <c r="T37" s="150">
        <f t="shared" si="8"/>
        <v>1.4901960784313726</v>
      </c>
      <c r="U37" s="152">
        <f t="shared" si="11"/>
        <v>-1</v>
      </c>
      <c r="V37" s="143"/>
      <c r="W37" s="102">
        <f t="shared" si="9"/>
        <v>0</v>
      </c>
      <c r="X37" s="153">
        <f t="shared" si="10"/>
        <v>-1</v>
      </c>
      <c r="Y37" s="102"/>
      <c r="Z37" s="102"/>
      <c r="AA37" s="102"/>
      <c r="AB37" s="102"/>
      <c r="AC37" s="102"/>
      <c r="AD37" s="102"/>
      <c r="AE37" s="102"/>
      <c r="AF37" s="138"/>
      <c r="AG37" s="138"/>
      <c r="AH37" s="102"/>
      <c r="AI37" s="102"/>
      <c r="AJ37" s="102"/>
      <c r="AK37" s="102"/>
      <c r="AL37" s="102"/>
      <c r="AM37" s="102"/>
    </row>
    <row r="38" spans="1:39">
      <c r="A38" s="143" t="s">
        <v>240</v>
      </c>
      <c r="B38" s="143" t="s">
        <v>365</v>
      </c>
      <c r="C38" s="145">
        <v>45797</v>
      </c>
      <c r="D38" s="143" t="s">
        <v>424</v>
      </c>
      <c r="E38" s="146" t="s">
        <v>417</v>
      </c>
      <c r="F38" s="147"/>
      <c r="G38" s="147">
        <v>-125</v>
      </c>
      <c r="H38" s="148">
        <v>-120</v>
      </c>
      <c r="I38" s="143"/>
      <c r="J38" s="143">
        <v>1</v>
      </c>
      <c r="K38" s="149" t="s">
        <v>351</v>
      </c>
      <c r="L38" s="150">
        <f t="shared" si="0"/>
        <v>0</v>
      </c>
      <c r="M38" s="150">
        <f t="shared" si="1"/>
        <v>0</v>
      </c>
      <c r="N38" s="151">
        <f t="shared" si="2"/>
        <v>-1.8181818181818299E-2</v>
      </c>
      <c r="O38" s="151" t="str">
        <f t="shared" si="3"/>
        <v/>
      </c>
      <c r="P38" s="151" t="str">
        <f t="shared" si="4"/>
        <v/>
      </c>
      <c r="Q38" s="151" t="str">
        <f t="shared" si="5"/>
        <v/>
      </c>
      <c r="R38" s="150">
        <f t="shared" si="6"/>
        <v>1.8</v>
      </c>
      <c r="S38" s="150">
        <f t="shared" si="7"/>
        <v>1.8333333333333335</v>
      </c>
      <c r="T38" s="150" t="str">
        <f t="shared" si="8"/>
        <v/>
      </c>
      <c r="U38" s="152">
        <f t="shared" si="11"/>
        <v>0</v>
      </c>
      <c r="V38" s="143"/>
      <c r="W38" s="102">
        <f t="shared" si="9"/>
        <v>2</v>
      </c>
      <c r="X38" s="102" t="str">
        <f t="shared" si="10"/>
        <v/>
      </c>
      <c r="Y38" s="102"/>
      <c r="Z38" s="102"/>
      <c r="AA38" s="102"/>
      <c r="AB38" s="102"/>
      <c r="AC38" s="102"/>
      <c r="AD38" s="102"/>
      <c r="AE38" s="102"/>
      <c r="AF38" s="138"/>
      <c r="AG38" s="138"/>
      <c r="AH38" s="102"/>
      <c r="AI38" s="102"/>
      <c r="AJ38" s="102"/>
      <c r="AK38" s="102"/>
      <c r="AL38" s="102"/>
      <c r="AM38" s="102"/>
    </row>
    <row r="39" spans="1:39">
      <c r="A39" s="143" t="s">
        <v>240</v>
      </c>
      <c r="B39" s="143" t="s">
        <v>365</v>
      </c>
      <c r="C39" s="145">
        <v>45797</v>
      </c>
      <c r="D39" s="143" t="s">
        <v>425</v>
      </c>
      <c r="E39" s="146" t="s">
        <v>393</v>
      </c>
      <c r="F39" s="147"/>
      <c r="G39" s="147">
        <v>-115</v>
      </c>
      <c r="H39" s="148">
        <v>-123</v>
      </c>
      <c r="I39" s="143"/>
      <c r="J39" s="143">
        <v>1</v>
      </c>
      <c r="K39" s="149" t="s">
        <v>311</v>
      </c>
      <c r="L39" s="150">
        <f t="shared" si="0"/>
        <v>-1</v>
      </c>
      <c r="M39" s="150">
        <f t="shared" si="1"/>
        <v>-1</v>
      </c>
      <c r="N39" s="151">
        <f t="shared" si="2"/>
        <v>3.1195164749463784E-2</v>
      </c>
      <c r="O39" s="151" t="str">
        <f t="shared" si="3"/>
        <v/>
      </c>
      <c r="P39" s="151" t="str">
        <f t="shared" si="4"/>
        <v/>
      </c>
      <c r="Q39" s="151" t="str">
        <f t="shared" si="5"/>
        <v/>
      </c>
      <c r="R39" s="150">
        <f t="shared" si="6"/>
        <v>1.8695652173913042</v>
      </c>
      <c r="S39" s="150">
        <f t="shared" si="7"/>
        <v>1.8130081300813008</v>
      </c>
      <c r="T39" s="150" t="str">
        <f t="shared" si="8"/>
        <v/>
      </c>
      <c r="U39" s="152">
        <f t="shared" si="11"/>
        <v>-1</v>
      </c>
      <c r="V39" s="143"/>
      <c r="W39" s="102">
        <f t="shared" si="9"/>
        <v>0</v>
      </c>
      <c r="X39" s="102" t="str">
        <f t="shared" si="10"/>
        <v/>
      </c>
      <c r="Y39" s="102"/>
      <c r="Z39" s="102"/>
      <c r="AA39" s="102"/>
      <c r="AB39" s="102"/>
      <c r="AC39" s="102"/>
      <c r="AD39" s="102"/>
      <c r="AE39" s="102"/>
      <c r="AF39" s="138"/>
      <c r="AG39" s="138"/>
      <c r="AH39" s="102"/>
      <c r="AI39" s="102"/>
      <c r="AJ39" s="102"/>
      <c r="AK39" s="102"/>
      <c r="AL39" s="102"/>
      <c r="AM39" s="102"/>
    </row>
    <row r="40" spans="1:39">
      <c r="A40" s="143" t="s">
        <v>240</v>
      </c>
      <c r="B40" s="143" t="s">
        <v>365</v>
      </c>
      <c r="C40" s="145">
        <v>45798</v>
      </c>
      <c r="D40" s="143" t="s">
        <v>426</v>
      </c>
      <c r="E40" s="146" t="s">
        <v>417</v>
      </c>
      <c r="F40" s="147"/>
      <c r="G40" s="147">
        <v>-110</v>
      </c>
      <c r="H40" s="148">
        <v>131</v>
      </c>
      <c r="I40" s="143"/>
      <c r="J40" s="143">
        <v>1</v>
      </c>
      <c r="K40" s="149" t="s">
        <v>311</v>
      </c>
      <c r="L40" s="150">
        <f t="shared" si="0"/>
        <v>-1</v>
      </c>
      <c r="M40" s="150">
        <f t="shared" si="1"/>
        <v>-1</v>
      </c>
      <c r="N40" s="151">
        <f t="shared" si="2"/>
        <v>-0.17355371900826452</v>
      </c>
      <c r="O40" s="151" t="str">
        <f t="shared" si="3"/>
        <v/>
      </c>
      <c r="P40" s="151" t="str">
        <f t="shared" si="4"/>
        <v/>
      </c>
      <c r="Q40" s="151" t="str">
        <f t="shared" si="5"/>
        <v/>
      </c>
      <c r="R40" s="150">
        <f t="shared" si="6"/>
        <v>1.9090909090909092</v>
      </c>
      <c r="S40" s="150">
        <f t="shared" si="7"/>
        <v>2.31</v>
      </c>
      <c r="T40" s="150" t="str">
        <f t="shared" si="8"/>
        <v/>
      </c>
      <c r="U40" s="152">
        <f t="shared" si="11"/>
        <v>-1</v>
      </c>
      <c r="V40" s="143"/>
      <c r="W40" s="102">
        <f t="shared" si="9"/>
        <v>0</v>
      </c>
      <c r="X40" s="102" t="str">
        <f t="shared" si="10"/>
        <v/>
      </c>
      <c r="Y40" s="102"/>
      <c r="Z40" s="102"/>
      <c r="AA40" s="102"/>
      <c r="AB40" s="102"/>
      <c r="AC40" s="102"/>
      <c r="AD40" s="102"/>
      <c r="AE40" s="102"/>
      <c r="AF40" s="138"/>
      <c r="AG40" s="138"/>
      <c r="AH40" s="102"/>
      <c r="AI40" s="102"/>
      <c r="AJ40" s="102"/>
      <c r="AK40" s="102"/>
      <c r="AL40" s="102"/>
      <c r="AM40" s="102"/>
    </row>
    <row r="41" spans="1:39">
      <c r="A41" s="143" t="s">
        <v>240</v>
      </c>
      <c r="B41" s="143" t="s">
        <v>365</v>
      </c>
      <c r="C41" s="145">
        <v>45798</v>
      </c>
      <c r="D41" s="143" t="s">
        <v>427</v>
      </c>
      <c r="E41" s="146" t="s">
        <v>401</v>
      </c>
      <c r="F41" s="147"/>
      <c r="G41" s="147">
        <v>-115</v>
      </c>
      <c r="H41" s="148">
        <v>102</v>
      </c>
      <c r="I41" s="143"/>
      <c r="J41" s="143">
        <v>1</v>
      </c>
      <c r="K41" s="149" t="s">
        <v>350</v>
      </c>
      <c r="L41" s="150">
        <f t="shared" si="0"/>
        <v>0.86956521739130421</v>
      </c>
      <c r="M41" s="150">
        <f t="shared" si="1"/>
        <v>1.02</v>
      </c>
      <c r="N41" s="151">
        <f t="shared" si="2"/>
        <v>-7.4472664657770235E-2</v>
      </c>
      <c r="O41" s="151" t="str">
        <f t="shared" si="3"/>
        <v/>
      </c>
      <c r="P41" s="151" t="str">
        <f t="shared" si="4"/>
        <v/>
      </c>
      <c r="Q41" s="151" t="str">
        <f t="shared" si="5"/>
        <v/>
      </c>
      <c r="R41" s="150">
        <f t="shared" si="6"/>
        <v>1.8695652173913042</v>
      </c>
      <c r="S41" s="150">
        <f t="shared" si="7"/>
        <v>2.02</v>
      </c>
      <c r="T41" s="150" t="str">
        <f t="shared" si="8"/>
        <v/>
      </c>
      <c r="U41" s="152">
        <f t="shared" si="11"/>
        <v>0.86956521739130421</v>
      </c>
      <c r="V41" s="143"/>
      <c r="W41" s="102">
        <f t="shared" si="9"/>
        <v>1</v>
      </c>
      <c r="X41" s="102" t="str">
        <f t="shared" si="10"/>
        <v/>
      </c>
      <c r="Y41" s="102"/>
      <c r="Z41" s="102"/>
      <c r="AA41" s="102"/>
      <c r="AB41" s="102"/>
      <c r="AC41" s="102"/>
      <c r="AD41" s="102"/>
      <c r="AE41" s="102"/>
      <c r="AF41" s="138"/>
      <c r="AG41" s="138"/>
      <c r="AH41" s="102"/>
      <c r="AI41" s="102"/>
      <c r="AJ41" s="102"/>
      <c r="AK41" s="102"/>
      <c r="AL41" s="102"/>
      <c r="AM41" s="102"/>
    </row>
    <row r="42" spans="1:39">
      <c r="A42" s="143" t="s">
        <v>240</v>
      </c>
      <c r="B42" s="143" t="s">
        <v>365</v>
      </c>
      <c r="C42" s="145">
        <v>45798</v>
      </c>
      <c r="D42" s="143" t="s">
        <v>420</v>
      </c>
      <c r="E42" s="146" t="s">
        <v>428</v>
      </c>
      <c r="F42" s="147"/>
      <c r="G42" s="147">
        <v>-115</v>
      </c>
      <c r="H42" s="148">
        <v>-132</v>
      </c>
      <c r="I42" s="143"/>
      <c r="J42" s="143">
        <v>1</v>
      </c>
      <c r="K42" s="149" t="s">
        <v>311</v>
      </c>
      <c r="L42" s="150">
        <f t="shared" si="0"/>
        <v>-1</v>
      </c>
      <c r="M42" s="150">
        <f t="shared" si="1"/>
        <v>-1</v>
      </c>
      <c r="N42" s="151">
        <f t="shared" si="2"/>
        <v>6.3718140929535164E-2</v>
      </c>
      <c r="O42" s="151" t="str">
        <f t="shared" si="3"/>
        <v/>
      </c>
      <c r="P42" s="151" t="str">
        <f t="shared" si="4"/>
        <v/>
      </c>
      <c r="Q42" s="151" t="str">
        <f t="shared" si="5"/>
        <v/>
      </c>
      <c r="R42" s="150">
        <f t="shared" si="6"/>
        <v>1.8695652173913042</v>
      </c>
      <c r="S42" s="150">
        <f t="shared" si="7"/>
        <v>1.7575757575757576</v>
      </c>
      <c r="T42" s="150" t="str">
        <f t="shared" si="8"/>
        <v/>
      </c>
      <c r="U42" s="152">
        <f t="shared" si="11"/>
        <v>-1</v>
      </c>
      <c r="V42" s="143"/>
      <c r="W42" s="102">
        <f t="shared" si="9"/>
        <v>0</v>
      </c>
      <c r="X42" s="102" t="str">
        <f t="shared" si="10"/>
        <v/>
      </c>
      <c r="Y42" s="102"/>
      <c r="Z42" s="102"/>
      <c r="AA42" s="102"/>
      <c r="AB42" s="102"/>
      <c r="AC42" s="102"/>
      <c r="AD42" s="102"/>
      <c r="AE42" s="102"/>
      <c r="AF42" s="138"/>
      <c r="AG42" s="138"/>
      <c r="AH42" s="102"/>
      <c r="AI42" s="102"/>
      <c r="AJ42" s="102"/>
      <c r="AK42" s="102"/>
      <c r="AL42" s="102"/>
      <c r="AM42" s="102"/>
    </row>
    <row r="43" spans="1:39">
      <c r="A43" s="143" t="s">
        <v>240</v>
      </c>
      <c r="B43" s="143" t="s">
        <v>365</v>
      </c>
      <c r="C43" s="145">
        <v>45799</v>
      </c>
      <c r="D43" s="143" t="s">
        <v>425</v>
      </c>
      <c r="E43" s="146" t="s">
        <v>394</v>
      </c>
      <c r="F43" s="147"/>
      <c r="G43" s="147">
        <v>-104</v>
      </c>
      <c r="H43" s="148">
        <v>108</v>
      </c>
      <c r="I43" s="143"/>
      <c r="J43" s="143">
        <v>1</v>
      </c>
      <c r="K43" s="149" t="s">
        <v>311</v>
      </c>
      <c r="L43" s="150">
        <f t="shared" si="0"/>
        <v>-1</v>
      </c>
      <c r="M43" s="150">
        <f t="shared" si="1"/>
        <v>-1</v>
      </c>
      <c r="N43" s="151">
        <f t="shared" si="2"/>
        <v>-5.6952662721893511E-2</v>
      </c>
      <c r="O43" s="151" t="str">
        <f t="shared" si="3"/>
        <v/>
      </c>
      <c r="P43" s="151" t="str">
        <f t="shared" si="4"/>
        <v/>
      </c>
      <c r="Q43" s="151" t="str">
        <f t="shared" si="5"/>
        <v/>
      </c>
      <c r="R43" s="150">
        <f t="shared" si="6"/>
        <v>1.9615384615384617</v>
      </c>
      <c r="S43" s="150">
        <f t="shared" si="7"/>
        <v>2.08</v>
      </c>
      <c r="T43" s="150" t="str">
        <f t="shared" si="8"/>
        <v/>
      </c>
      <c r="U43" s="152">
        <f t="shared" ref="U43:U74" si="12">IF(K43="W",R43 - 1, IF(K43="L", -1, 0))</f>
        <v>-1</v>
      </c>
      <c r="V43" s="143"/>
      <c r="W43" s="102">
        <f t="shared" si="9"/>
        <v>0</v>
      </c>
      <c r="X43" s="102" t="str">
        <f t="shared" si="10"/>
        <v/>
      </c>
      <c r="Y43" s="102"/>
      <c r="Z43" s="102"/>
      <c r="AA43" s="102"/>
      <c r="AB43" s="102"/>
      <c r="AC43" s="102"/>
      <c r="AD43" s="102"/>
      <c r="AE43" s="102"/>
      <c r="AF43" s="138"/>
      <c r="AG43" s="138"/>
      <c r="AH43" s="102"/>
      <c r="AI43" s="102"/>
      <c r="AJ43" s="102"/>
      <c r="AK43" s="102"/>
      <c r="AL43" s="102"/>
      <c r="AM43" s="102"/>
    </row>
    <row r="44" spans="1:39">
      <c r="A44" s="143" t="s">
        <v>240</v>
      </c>
      <c r="B44" s="143" t="s">
        <v>365</v>
      </c>
      <c r="C44" s="145">
        <v>45799</v>
      </c>
      <c r="D44" s="143" t="s">
        <v>420</v>
      </c>
      <c r="E44" s="146" t="s">
        <v>416</v>
      </c>
      <c r="F44" s="147"/>
      <c r="G44" s="147">
        <v>-115</v>
      </c>
      <c r="H44" s="148">
        <v>-120</v>
      </c>
      <c r="I44" s="143"/>
      <c r="J44" s="143">
        <v>1</v>
      </c>
      <c r="K44" s="149" t="s">
        <v>311</v>
      </c>
      <c r="L44" s="150">
        <f t="shared" si="0"/>
        <v>-1</v>
      </c>
      <c r="M44" s="150">
        <f t="shared" si="1"/>
        <v>-1</v>
      </c>
      <c r="N44" s="151">
        <f t="shared" si="2"/>
        <v>1.9762845849802178E-2</v>
      </c>
      <c r="O44" s="151" t="str">
        <f t="shared" si="3"/>
        <v/>
      </c>
      <c r="P44" s="151" t="str">
        <f t="shared" si="4"/>
        <v/>
      </c>
      <c r="Q44" s="151" t="str">
        <f t="shared" si="5"/>
        <v/>
      </c>
      <c r="R44" s="150">
        <f t="shared" si="6"/>
        <v>1.8695652173913042</v>
      </c>
      <c r="S44" s="150">
        <f t="shared" si="7"/>
        <v>1.8333333333333335</v>
      </c>
      <c r="T44" s="150" t="str">
        <f t="shared" si="8"/>
        <v/>
      </c>
      <c r="U44" s="152">
        <f t="shared" si="12"/>
        <v>-1</v>
      </c>
      <c r="V44" s="143"/>
      <c r="W44" s="102">
        <f t="shared" si="9"/>
        <v>0</v>
      </c>
      <c r="X44" s="102" t="str">
        <f t="shared" si="10"/>
        <v/>
      </c>
      <c r="Y44" s="102"/>
      <c r="Z44" s="102"/>
      <c r="AA44" s="102"/>
      <c r="AB44" s="102"/>
      <c r="AC44" s="102"/>
      <c r="AD44" s="102"/>
      <c r="AE44" s="102"/>
      <c r="AF44" s="138"/>
      <c r="AG44" s="138"/>
      <c r="AH44" s="102"/>
      <c r="AI44" s="102"/>
      <c r="AJ44" s="102"/>
      <c r="AK44" s="102"/>
      <c r="AL44" s="102"/>
      <c r="AM44" s="102"/>
    </row>
    <row r="45" spans="1:39">
      <c r="A45" s="143" t="s">
        <v>240</v>
      </c>
      <c r="B45" s="143" t="s">
        <v>361</v>
      </c>
      <c r="C45" s="145">
        <v>45799</v>
      </c>
      <c r="D45" s="143" t="s">
        <v>429</v>
      </c>
      <c r="E45" s="146" t="s">
        <v>413</v>
      </c>
      <c r="F45" s="147">
        <v>110</v>
      </c>
      <c r="G45" s="147">
        <v>135</v>
      </c>
      <c r="H45" s="148">
        <v>120</v>
      </c>
      <c r="I45" s="143">
        <v>-139</v>
      </c>
      <c r="J45" s="143">
        <v>1</v>
      </c>
      <c r="K45" s="149" t="s">
        <v>350</v>
      </c>
      <c r="L45" s="150">
        <f t="shared" si="0"/>
        <v>1.35</v>
      </c>
      <c r="M45" s="150">
        <f t="shared" si="1"/>
        <v>1.2000000000000002</v>
      </c>
      <c r="N45" s="151">
        <f t="shared" si="2"/>
        <v>6.8181818181818135E-2</v>
      </c>
      <c r="O45" s="151">
        <f t="shared" si="3"/>
        <v>3.7497377805747856E-2</v>
      </c>
      <c r="P45" s="151">
        <f t="shared" si="4"/>
        <v>0.47619047619047616</v>
      </c>
      <c r="Q45" s="151">
        <f t="shared" si="5"/>
        <v>0.43869309838472831</v>
      </c>
      <c r="R45" s="150">
        <f t="shared" si="6"/>
        <v>2.35</v>
      </c>
      <c r="S45" s="150">
        <f t="shared" si="7"/>
        <v>2.2000000000000002</v>
      </c>
      <c r="T45" s="150">
        <f t="shared" si="8"/>
        <v>1.7194244604316546</v>
      </c>
      <c r="U45" s="152">
        <f t="shared" si="12"/>
        <v>1.35</v>
      </c>
      <c r="V45" s="143"/>
      <c r="W45" s="102">
        <f t="shared" si="9"/>
        <v>1</v>
      </c>
      <c r="X45" s="153">
        <f t="shared" si="10"/>
        <v>1.35</v>
      </c>
      <c r="Y45" s="102"/>
      <c r="Z45" s="102"/>
      <c r="AA45" s="102"/>
      <c r="AB45" s="102"/>
      <c r="AC45" s="102"/>
      <c r="AD45" s="102"/>
      <c r="AE45" s="102"/>
      <c r="AF45" s="138"/>
      <c r="AG45" s="138"/>
      <c r="AH45" s="102"/>
      <c r="AI45" s="102"/>
      <c r="AJ45" s="102"/>
      <c r="AK45" s="102"/>
      <c r="AL45" s="102"/>
      <c r="AM45" s="102"/>
    </row>
    <row r="46" spans="1:39">
      <c r="A46" s="143" t="s">
        <v>240</v>
      </c>
      <c r="B46" s="143" t="s">
        <v>361</v>
      </c>
      <c r="C46" s="145">
        <v>45800</v>
      </c>
      <c r="D46" s="143" t="s">
        <v>430</v>
      </c>
      <c r="E46" s="154" t="s">
        <v>431</v>
      </c>
      <c r="F46" s="147">
        <v>159</v>
      </c>
      <c r="G46" s="147">
        <v>-137</v>
      </c>
      <c r="H46" s="148">
        <v>-139</v>
      </c>
      <c r="I46" s="143">
        <v>121</v>
      </c>
      <c r="J46" s="143">
        <v>1</v>
      </c>
      <c r="K46" s="149" t="s">
        <v>350</v>
      </c>
      <c r="L46" s="150">
        <f t="shared" si="0"/>
        <v>0.72992700729927007</v>
      </c>
      <c r="M46" s="150">
        <f t="shared" si="1"/>
        <v>0.71942446043165464</v>
      </c>
      <c r="N46" s="151">
        <f t="shared" si="2"/>
        <v>6.1081757932992834E-3</v>
      </c>
      <c r="O46" s="151">
        <f t="shared" si="3"/>
        <v>-0.17632294643957258</v>
      </c>
      <c r="P46" s="151">
        <f t="shared" si="4"/>
        <v>0.38610038610038611</v>
      </c>
      <c r="Q46" s="151">
        <f t="shared" si="5"/>
        <v>0.56242333253995869</v>
      </c>
      <c r="R46" s="150">
        <f t="shared" si="6"/>
        <v>1.7299270072992701</v>
      </c>
      <c r="S46" s="150">
        <f t="shared" si="7"/>
        <v>1.7194244604316546</v>
      </c>
      <c r="T46" s="150">
        <f t="shared" si="8"/>
        <v>2.21</v>
      </c>
      <c r="U46" s="152">
        <f t="shared" si="12"/>
        <v>0.72992700729927007</v>
      </c>
      <c r="V46" s="143"/>
      <c r="W46" s="102">
        <f t="shared" si="9"/>
        <v>1</v>
      </c>
      <c r="X46" s="153">
        <f t="shared" si="10"/>
        <v>0.72992700729927007</v>
      </c>
      <c r="Y46" s="102"/>
      <c r="Z46" s="102"/>
      <c r="AA46" s="102"/>
      <c r="AB46" s="102"/>
      <c r="AC46" s="102"/>
      <c r="AD46" s="102"/>
      <c r="AE46" s="102"/>
      <c r="AF46" s="138"/>
      <c r="AG46" s="138"/>
      <c r="AH46" s="102"/>
      <c r="AI46" s="102"/>
      <c r="AJ46" s="102"/>
      <c r="AK46" s="102"/>
      <c r="AL46" s="102"/>
      <c r="AM46" s="102"/>
    </row>
    <row r="47" spans="1:39">
      <c r="A47" s="143" t="s">
        <v>240</v>
      </c>
      <c r="B47" s="143" t="s">
        <v>361</v>
      </c>
      <c r="C47" s="145">
        <v>45800</v>
      </c>
      <c r="D47" s="143" t="s">
        <v>432</v>
      </c>
      <c r="E47" s="146" t="s">
        <v>433</v>
      </c>
      <c r="F47" s="147">
        <v>-121</v>
      </c>
      <c r="G47" s="147">
        <v>-102</v>
      </c>
      <c r="H47" s="148">
        <v>-102</v>
      </c>
      <c r="I47" s="143">
        <v>-116</v>
      </c>
      <c r="J47" s="143">
        <v>1</v>
      </c>
      <c r="K47" s="149" t="s">
        <v>311</v>
      </c>
      <c r="L47" s="150">
        <f t="shared" si="0"/>
        <v>-1</v>
      </c>
      <c r="M47" s="150">
        <f t="shared" si="1"/>
        <v>-1</v>
      </c>
      <c r="N47" s="151">
        <f t="shared" si="2"/>
        <v>0</v>
      </c>
      <c r="O47" s="151">
        <f t="shared" si="3"/>
        <v>6.2908109683321722E-2</v>
      </c>
      <c r="P47" s="151">
        <f t="shared" si="4"/>
        <v>0.54751131221719462</v>
      </c>
      <c r="Q47" s="151">
        <f t="shared" si="5"/>
        <v>0.4846032025338729</v>
      </c>
      <c r="R47" s="150">
        <f t="shared" si="6"/>
        <v>1.9803921568627452</v>
      </c>
      <c r="S47" s="150">
        <f t="shared" si="7"/>
        <v>1.9803921568627452</v>
      </c>
      <c r="T47" s="150">
        <f t="shared" si="8"/>
        <v>1.8620689655172413</v>
      </c>
      <c r="U47" s="152">
        <f t="shared" si="12"/>
        <v>-1</v>
      </c>
      <c r="V47" s="143"/>
      <c r="W47" s="102">
        <f t="shared" si="9"/>
        <v>0</v>
      </c>
      <c r="X47" s="153">
        <f t="shared" si="10"/>
        <v>-1</v>
      </c>
      <c r="Y47" s="102"/>
      <c r="Z47" s="102"/>
      <c r="AA47" s="102"/>
      <c r="AB47" s="102"/>
      <c r="AC47" s="102"/>
      <c r="AD47" s="102"/>
      <c r="AE47" s="102"/>
      <c r="AF47" s="138"/>
      <c r="AG47" s="138"/>
      <c r="AH47" s="102"/>
      <c r="AI47" s="102"/>
      <c r="AJ47" s="102"/>
      <c r="AK47" s="102"/>
      <c r="AL47" s="102"/>
      <c r="AM47" s="102"/>
    </row>
    <row r="48" spans="1:39">
      <c r="A48" s="143" t="s">
        <v>240</v>
      </c>
      <c r="B48" s="143" t="s">
        <v>365</v>
      </c>
      <c r="C48" s="145">
        <v>45800</v>
      </c>
      <c r="D48" s="143" t="s">
        <v>434</v>
      </c>
      <c r="E48" s="154" t="s">
        <v>417</v>
      </c>
      <c r="F48" s="147"/>
      <c r="G48" s="147">
        <v>-110</v>
      </c>
      <c r="H48" s="148">
        <v>-106</v>
      </c>
      <c r="I48" s="143"/>
      <c r="J48" s="143">
        <v>1</v>
      </c>
      <c r="K48" s="149" t="s">
        <v>311</v>
      </c>
      <c r="L48" s="150">
        <f t="shared" si="0"/>
        <v>-1</v>
      </c>
      <c r="M48" s="150">
        <f t="shared" si="1"/>
        <v>-1</v>
      </c>
      <c r="N48" s="151">
        <f t="shared" si="2"/>
        <v>-1.7652250661959461E-2</v>
      </c>
      <c r="O48" s="151" t="str">
        <f t="shared" si="3"/>
        <v/>
      </c>
      <c r="P48" s="151" t="str">
        <f t="shared" si="4"/>
        <v/>
      </c>
      <c r="Q48" s="151" t="str">
        <f t="shared" si="5"/>
        <v/>
      </c>
      <c r="R48" s="150">
        <f t="shared" si="6"/>
        <v>1.9090909090909092</v>
      </c>
      <c r="S48" s="150">
        <f t="shared" si="7"/>
        <v>1.9433962264150944</v>
      </c>
      <c r="T48" s="150" t="str">
        <f t="shared" si="8"/>
        <v/>
      </c>
      <c r="U48" s="152">
        <f t="shared" si="12"/>
        <v>-1</v>
      </c>
      <c r="V48" s="143"/>
      <c r="W48" s="102">
        <f t="shared" si="9"/>
        <v>0</v>
      </c>
      <c r="X48" s="102" t="str">
        <f t="shared" si="10"/>
        <v/>
      </c>
      <c r="Y48" s="102"/>
      <c r="Z48" s="102"/>
      <c r="AA48" s="102"/>
      <c r="AB48" s="102"/>
      <c r="AC48" s="102"/>
      <c r="AD48" s="102"/>
      <c r="AE48" s="102"/>
      <c r="AF48" s="138"/>
      <c r="AG48" s="138"/>
      <c r="AH48" s="102"/>
      <c r="AI48" s="102"/>
      <c r="AJ48" s="102"/>
      <c r="AK48" s="102"/>
      <c r="AL48" s="102"/>
      <c r="AM48" s="102"/>
    </row>
    <row r="49" spans="1:39">
      <c r="A49" s="143" t="s">
        <v>240</v>
      </c>
      <c r="B49" s="143" t="s">
        <v>361</v>
      </c>
      <c r="C49" s="145">
        <v>45800</v>
      </c>
      <c r="D49" s="143" t="s">
        <v>435</v>
      </c>
      <c r="E49" s="154" t="s">
        <v>436</v>
      </c>
      <c r="F49" s="147">
        <v>113</v>
      </c>
      <c r="G49" s="147">
        <v>135</v>
      </c>
      <c r="H49" s="148">
        <v>166</v>
      </c>
      <c r="I49" s="143">
        <v>-196</v>
      </c>
      <c r="J49" s="143">
        <v>1</v>
      </c>
      <c r="K49" s="149" t="s">
        <v>351</v>
      </c>
      <c r="L49" s="150">
        <f t="shared" si="0"/>
        <v>0</v>
      </c>
      <c r="M49" s="150">
        <f t="shared" si="1"/>
        <v>0</v>
      </c>
      <c r="N49" s="151">
        <f t="shared" si="2"/>
        <v>-0.11654135338345871</v>
      </c>
      <c r="O49" s="151">
        <f t="shared" si="3"/>
        <v>0.1073420392506092</v>
      </c>
      <c r="P49" s="151">
        <f t="shared" si="4"/>
        <v>0.46948356807511737</v>
      </c>
      <c r="Q49" s="151">
        <f t="shared" si="5"/>
        <v>0.36214152882450817</v>
      </c>
      <c r="R49" s="150">
        <f t="shared" si="6"/>
        <v>2.35</v>
      </c>
      <c r="S49" s="150">
        <f t="shared" si="7"/>
        <v>2.66</v>
      </c>
      <c r="T49" s="150">
        <f t="shared" si="8"/>
        <v>1.510204081632653</v>
      </c>
      <c r="U49" s="152">
        <f t="shared" si="12"/>
        <v>0</v>
      </c>
      <c r="V49" s="143"/>
      <c r="W49" s="102">
        <f t="shared" si="9"/>
        <v>2</v>
      </c>
      <c r="X49" s="153">
        <f t="shared" si="10"/>
        <v>0</v>
      </c>
      <c r="Y49" s="102"/>
      <c r="Z49" s="102"/>
      <c r="AA49" s="102"/>
      <c r="AB49" s="102"/>
      <c r="AC49" s="102"/>
      <c r="AD49" s="102"/>
      <c r="AE49" s="102"/>
      <c r="AF49" s="138"/>
      <c r="AG49" s="138"/>
      <c r="AH49" s="102"/>
      <c r="AI49" s="102"/>
      <c r="AJ49" s="102"/>
      <c r="AK49" s="102"/>
      <c r="AL49" s="102"/>
      <c r="AM49" s="102"/>
    </row>
    <row r="50" spans="1:39">
      <c r="A50" s="143" t="s">
        <v>240</v>
      </c>
      <c r="B50" s="143" t="s">
        <v>361</v>
      </c>
      <c r="C50" s="145">
        <v>45800</v>
      </c>
      <c r="D50" s="143" t="s">
        <v>437</v>
      </c>
      <c r="E50" s="154" t="s">
        <v>411</v>
      </c>
      <c r="F50" s="147">
        <v>-110</v>
      </c>
      <c r="G50" s="147">
        <v>123</v>
      </c>
      <c r="H50" s="148">
        <v>110</v>
      </c>
      <c r="I50" s="143">
        <v>-127</v>
      </c>
      <c r="J50" s="143">
        <v>1</v>
      </c>
      <c r="K50" s="149" t="s">
        <v>311</v>
      </c>
      <c r="L50" s="150">
        <f t="shared" si="0"/>
        <v>-1</v>
      </c>
      <c r="M50" s="150">
        <f t="shared" si="1"/>
        <v>-1</v>
      </c>
      <c r="N50" s="151">
        <f t="shared" si="2"/>
        <v>6.1904761904761803E-2</v>
      </c>
      <c r="O50" s="151">
        <f t="shared" si="3"/>
        <v>6.4016127009847934E-2</v>
      </c>
      <c r="P50" s="151">
        <f t="shared" si="4"/>
        <v>0.52380952380952384</v>
      </c>
      <c r="Q50" s="151">
        <f t="shared" si="5"/>
        <v>0.4597933967996759</v>
      </c>
      <c r="R50" s="150">
        <f t="shared" si="6"/>
        <v>2.23</v>
      </c>
      <c r="S50" s="150">
        <f t="shared" si="7"/>
        <v>2.1</v>
      </c>
      <c r="T50" s="150">
        <f t="shared" si="8"/>
        <v>1.7874015748031495</v>
      </c>
      <c r="U50" s="152">
        <f t="shared" si="12"/>
        <v>-1</v>
      </c>
      <c r="V50" s="143"/>
      <c r="W50" s="102">
        <f t="shared" si="9"/>
        <v>0</v>
      </c>
      <c r="X50" s="153">
        <f t="shared" si="10"/>
        <v>-1</v>
      </c>
      <c r="Y50" s="102"/>
      <c r="Z50" s="102"/>
      <c r="AA50" s="102"/>
      <c r="AB50" s="102"/>
      <c r="AC50" s="102"/>
      <c r="AD50" s="102"/>
      <c r="AE50" s="102"/>
      <c r="AF50" s="138"/>
      <c r="AG50" s="138"/>
      <c r="AH50" s="102"/>
      <c r="AI50" s="102"/>
      <c r="AJ50" s="102"/>
      <c r="AK50" s="102"/>
      <c r="AL50" s="102"/>
      <c r="AM50" s="102"/>
    </row>
    <row r="51" spans="1:39">
      <c r="A51" s="143" t="s">
        <v>240</v>
      </c>
      <c r="B51" s="143" t="s">
        <v>361</v>
      </c>
      <c r="C51" s="145">
        <v>45800</v>
      </c>
      <c r="D51" s="143" t="s">
        <v>438</v>
      </c>
      <c r="E51" s="146" t="s">
        <v>439</v>
      </c>
      <c r="F51" s="147">
        <v>-207</v>
      </c>
      <c r="G51" s="147">
        <v>-157</v>
      </c>
      <c r="H51" s="148">
        <v>-156</v>
      </c>
      <c r="I51" s="143">
        <v>135</v>
      </c>
      <c r="J51" s="143">
        <v>1</v>
      </c>
      <c r="K51" s="149" t="s">
        <v>311</v>
      </c>
      <c r="L51" s="150">
        <f t="shared" si="0"/>
        <v>-1</v>
      </c>
      <c r="M51" s="150">
        <f t="shared" si="1"/>
        <v>-1</v>
      </c>
      <c r="N51" s="151">
        <f t="shared" si="2"/>
        <v>-2.4880573248408462E-3</v>
      </c>
      <c r="O51" s="151">
        <f t="shared" si="3"/>
        <v>8.5446028057185819E-2</v>
      </c>
      <c r="P51" s="151">
        <f t="shared" si="4"/>
        <v>0.67426710097719866</v>
      </c>
      <c r="Q51" s="151">
        <f t="shared" si="5"/>
        <v>0.58882107292001284</v>
      </c>
      <c r="R51" s="150">
        <f t="shared" si="6"/>
        <v>1.6369426751592355</v>
      </c>
      <c r="S51" s="150">
        <f t="shared" si="7"/>
        <v>1.641025641025641</v>
      </c>
      <c r="T51" s="150">
        <f t="shared" si="8"/>
        <v>2.35</v>
      </c>
      <c r="U51" s="152">
        <f t="shared" si="12"/>
        <v>-1</v>
      </c>
      <c r="V51" s="143"/>
      <c r="W51" s="102">
        <f t="shared" si="9"/>
        <v>0</v>
      </c>
      <c r="X51" s="153">
        <f t="shared" si="10"/>
        <v>-1</v>
      </c>
      <c r="Y51" s="102"/>
      <c r="Z51" s="102"/>
      <c r="AA51" s="102"/>
      <c r="AB51" s="102"/>
      <c r="AC51" s="102"/>
      <c r="AD51" s="102"/>
      <c r="AE51" s="102"/>
      <c r="AF51" s="138"/>
      <c r="AG51" s="138"/>
      <c r="AH51" s="102"/>
      <c r="AI51" s="102"/>
      <c r="AJ51" s="102"/>
      <c r="AK51" s="102"/>
      <c r="AL51" s="102"/>
      <c r="AM51" s="102"/>
    </row>
    <row r="52" spans="1:39">
      <c r="A52" s="143" t="s">
        <v>240</v>
      </c>
      <c r="B52" s="143" t="s">
        <v>361</v>
      </c>
      <c r="C52" s="145">
        <v>45801</v>
      </c>
      <c r="D52" s="143" t="s">
        <v>432</v>
      </c>
      <c r="E52" s="154" t="s">
        <v>433</v>
      </c>
      <c r="F52" s="147"/>
      <c r="G52" s="147">
        <v>-110</v>
      </c>
      <c r="H52" s="148">
        <v>102</v>
      </c>
      <c r="I52" s="143"/>
      <c r="J52" s="143">
        <v>1</v>
      </c>
      <c r="K52" s="149" t="s">
        <v>311</v>
      </c>
      <c r="L52" s="150">
        <f t="shared" si="0"/>
        <v>-1</v>
      </c>
      <c r="M52" s="150">
        <f t="shared" si="1"/>
        <v>-1</v>
      </c>
      <c r="N52" s="151">
        <f t="shared" si="2"/>
        <v>-5.4905490549054962E-2</v>
      </c>
      <c r="O52" s="151" t="str">
        <f t="shared" si="3"/>
        <v/>
      </c>
      <c r="P52" s="151" t="str">
        <f t="shared" si="4"/>
        <v/>
      </c>
      <c r="Q52" s="151" t="str">
        <f t="shared" si="5"/>
        <v/>
      </c>
      <c r="R52" s="150">
        <f t="shared" si="6"/>
        <v>1.9090909090909092</v>
      </c>
      <c r="S52" s="150">
        <f t="shared" si="7"/>
        <v>2.02</v>
      </c>
      <c r="T52" s="150" t="str">
        <f t="shared" si="8"/>
        <v/>
      </c>
      <c r="U52" s="152">
        <f t="shared" si="12"/>
        <v>-1</v>
      </c>
      <c r="V52" s="143"/>
      <c r="W52" s="102">
        <f t="shared" si="9"/>
        <v>0</v>
      </c>
      <c r="X52" s="153">
        <f t="shared" si="10"/>
        <v>-1</v>
      </c>
      <c r="Y52" s="102"/>
      <c r="Z52" s="102"/>
      <c r="AA52" s="102"/>
      <c r="AB52" s="102"/>
      <c r="AC52" s="102"/>
      <c r="AD52" s="102"/>
      <c r="AE52" s="102"/>
      <c r="AF52" s="138"/>
      <c r="AG52" s="138"/>
      <c r="AH52" s="102"/>
      <c r="AI52" s="102"/>
      <c r="AJ52" s="102"/>
      <c r="AK52" s="102"/>
      <c r="AL52" s="102"/>
      <c r="AM52" s="102"/>
    </row>
    <row r="53" spans="1:39">
      <c r="A53" s="143" t="s">
        <v>240</v>
      </c>
      <c r="B53" s="143" t="s">
        <v>361</v>
      </c>
      <c r="C53" s="145">
        <v>45801</v>
      </c>
      <c r="D53" s="143" t="s">
        <v>440</v>
      </c>
      <c r="E53" s="154" t="s">
        <v>441</v>
      </c>
      <c r="F53" s="147"/>
      <c r="G53" s="147">
        <v>-108</v>
      </c>
      <c r="H53" s="148">
        <v>-109</v>
      </c>
      <c r="I53" s="143"/>
      <c r="J53" s="143">
        <v>1</v>
      </c>
      <c r="K53" s="149" t="s">
        <v>350</v>
      </c>
      <c r="L53" s="150">
        <f t="shared" si="0"/>
        <v>0.92592592592592604</v>
      </c>
      <c r="M53" s="150">
        <f t="shared" si="1"/>
        <v>0.91743119266055051</v>
      </c>
      <c r="N53" s="151">
        <f t="shared" si="2"/>
        <v>4.4302675881623529E-3</v>
      </c>
      <c r="O53" s="151" t="str">
        <f t="shared" si="3"/>
        <v/>
      </c>
      <c r="P53" s="151" t="str">
        <f t="shared" si="4"/>
        <v/>
      </c>
      <c r="Q53" s="151" t="str">
        <f t="shared" si="5"/>
        <v/>
      </c>
      <c r="R53" s="150">
        <f t="shared" si="6"/>
        <v>1.925925925925926</v>
      </c>
      <c r="S53" s="150">
        <f t="shared" si="7"/>
        <v>1.9174311926605505</v>
      </c>
      <c r="T53" s="150" t="str">
        <f t="shared" si="8"/>
        <v/>
      </c>
      <c r="U53" s="152">
        <f t="shared" si="12"/>
        <v>0.92592592592592604</v>
      </c>
      <c r="V53" s="143"/>
      <c r="W53" s="102">
        <f t="shared" si="9"/>
        <v>1</v>
      </c>
      <c r="X53" s="153">
        <f t="shared" si="10"/>
        <v>0.92592592592592604</v>
      </c>
      <c r="Y53" s="102"/>
      <c r="Z53" s="102"/>
      <c r="AA53" s="102"/>
      <c r="AB53" s="102"/>
      <c r="AC53" s="102"/>
      <c r="AD53" s="102"/>
      <c r="AE53" s="102"/>
      <c r="AF53" s="138"/>
      <c r="AG53" s="138"/>
      <c r="AH53" s="102"/>
      <c r="AI53" s="102"/>
      <c r="AJ53" s="102"/>
      <c r="AK53" s="102"/>
      <c r="AL53" s="102"/>
      <c r="AM53" s="102"/>
    </row>
    <row r="54" spans="1:39">
      <c r="A54" s="143" t="s">
        <v>240</v>
      </c>
      <c r="B54" s="143" t="s">
        <v>361</v>
      </c>
      <c r="C54" s="145">
        <v>45801</v>
      </c>
      <c r="D54" s="143" t="s">
        <v>434</v>
      </c>
      <c r="E54" s="154" t="s">
        <v>413</v>
      </c>
      <c r="F54" s="147"/>
      <c r="G54" s="147">
        <v>110</v>
      </c>
      <c r="H54" s="148">
        <v>127</v>
      </c>
      <c r="I54" s="143"/>
      <c r="J54" s="143">
        <v>1</v>
      </c>
      <c r="K54" s="149" t="s">
        <v>350</v>
      </c>
      <c r="L54" s="150">
        <f t="shared" si="0"/>
        <v>1.1000000000000001</v>
      </c>
      <c r="M54" s="150">
        <f t="shared" si="1"/>
        <v>1.27</v>
      </c>
      <c r="N54" s="151">
        <f t="shared" si="2"/>
        <v>-7.4889867841409677E-2</v>
      </c>
      <c r="O54" s="151" t="str">
        <f t="shared" si="3"/>
        <v/>
      </c>
      <c r="P54" s="151" t="str">
        <f t="shared" si="4"/>
        <v/>
      </c>
      <c r="Q54" s="151" t="str">
        <f t="shared" si="5"/>
        <v/>
      </c>
      <c r="R54" s="150">
        <f t="shared" si="6"/>
        <v>2.1</v>
      </c>
      <c r="S54" s="150">
        <f t="shared" si="7"/>
        <v>2.27</v>
      </c>
      <c r="T54" s="150" t="str">
        <f t="shared" si="8"/>
        <v/>
      </c>
      <c r="U54" s="152">
        <f t="shared" si="12"/>
        <v>1.1000000000000001</v>
      </c>
      <c r="V54" s="143"/>
      <c r="W54" s="102">
        <f t="shared" si="9"/>
        <v>1</v>
      </c>
      <c r="X54" s="153">
        <f t="shared" si="10"/>
        <v>1.1000000000000001</v>
      </c>
      <c r="Y54" s="102"/>
      <c r="Z54" s="102"/>
      <c r="AA54" s="102"/>
      <c r="AB54" s="102"/>
      <c r="AC54" s="102"/>
      <c r="AD54" s="102"/>
      <c r="AE54" s="102"/>
      <c r="AF54" s="138"/>
      <c r="AG54" s="138"/>
      <c r="AH54" s="102"/>
      <c r="AI54" s="102"/>
      <c r="AJ54" s="102"/>
      <c r="AK54" s="102"/>
      <c r="AL54" s="102"/>
      <c r="AM54" s="102"/>
    </row>
    <row r="55" spans="1:39">
      <c r="A55" s="143" t="s">
        <v>240</v>
      </c>
      <c r="B55" s="143" t="s">
        <v>361</v>
      </c>
      <c r="C55" s="145">
        <v>45802</v>
      </c>
      <c r="D55" s="143" t="s">
        <v>442</v>
      </c>
      <c r="E55" s="154" t="s">
        <v>443</v>
      </c>
      <c r="F55" s="147"/>
      <c r="G55" s="147">
        <v>110</v>
      </c>
      <c r="H55" s="148">
        <v>112</v>
      </c>
      <c r="I55" s="143"/>
      <c r="J55" s="143">
        <v>1</v>
      </c>
      <c r="K55" s="149" t="s">
        <v>350</v>
      </c>
      <c r="L55" s="150">
        <f t="shared" si="0"/>
        <v>1.1000000000000001</v>
      </c>
      <c r="M55" s="150">
        <f t="shared" si="1"/>
        <v>1.1200000000000001</v>
      </c>
      <c r="N55" s="151">
        <f t="shared" si="2"/>
        <v>-9.4339622641509916E-3</v>
      </c>
      <c r="O55" s="151" t="str">
        <f t="shared" si="3"/>
        <v/>
      </c>
      <c r="P55" s="151" t="str">
        <f t="shared" si="4"/>
        <v/>
      </c>
      <c r="Q55" s="151" t="str">
        <f t="shared" si="5"/>
        <v/>
      </c>
      <c r="R55" s="150">
        <f t="shared" si="6"/>
        <v>2.1</v>
      </c>
      <c r="S55" s="150">
        <f t="shared" si="7"/>
        <v>2.12</v>
      </c>
      <c r="T55" s="150" t="str">
        <f t="shared" si="8"/>
        <v/>
      </c>
      <c r="U55" s="152">
        <f t="shared" si="12"/>
        <v>1.1000000000000001</v>
      </c>
      <c r="V55" s="143"/>
      <c r="W55" s="102">
        <f t="shared" si="9"/>
        <v>1</v>
      </c>
      <c r="X55" s="153">
        <f t="shared" si="10"/>
        <v>1.1000000000000001</v>
      </c>
      <c r="Y55" s="102"/>
      <c r="Z55" s="102"/>
      <c r="AA55" s="102"/>
      <c r="AB55" s="102"/>
      <c r="AC55" s="102"/>
      <c r="AD55" s="102"/>
      <c r="AE55" s="102"/>
      <c r="AF55" s="138"/>
      <c r="AG55" s="138"/>
      <c r="AH55" s="102"/>
      <c r="AI55" s="102"/>
      <c r="AJ55" s="102"/>
      <c r="AK55" s="102"/>
      <c r="AL55" s="102"/>
      <c r="AM55" s="102"/>
    </row>
    <row r="56" spans="1:39">
      <c r="A56" s="143" t="s">
        <v>240</v>
      </c>
      <c r="B56" s="143" t="s">
        <v>361</v>
      </c>
      <c r="C56" s="145">
        <v>45802</v>
      </c>
      <c r="D56" s="143" t="s">
        <v>440</v>
      </c>
      <c r="E56" s="154" t="s">
        <v>441</v>
      </c>
      <c r="F56" s="147"/>
      <c r="G56" s="147">
        <v>-110</v>
      </c>
      <c r="H56" s="148">
        <v>-114</v>
      </c>
      <c r="I56" s="143"/>
      <c r="J56" s="143">
        <v>1</v>
      </c>
      <c r="K56" s="149" t="s">
        <v>311</v>
      </c>
      <c r="L56" s="150">
        <f t="shared" si="0"/>
        <v>-1</v>
      </c>
      <c r="M56" s="150">
        <f t="shared" si="1"/>
        <v>-1</v>
      </c>
      <c r="N56" s="151">
        <f t="shared" si="2"/>
        <v>1.6992353440951423E-2</v>
      </c>
      <c r="O56" s="151" t="str">
        <f t="shared" si="3"/>
        <v/>
      </c>
      <c r="P56" s="151" t="str">
        <f t="shared" si="4"/>
        <v/>
      </c>
      <c r="Q56" s="151" t="str">
        <f t="shared" si="5"/>
        <v/>
      </c>
      <c r="R56" s="150">
        <f t="shared" si="6"/>
        <v>1.9090909090909092</v>
      </c>
      <c r="S56" s="150">
        <f t="shared" si="7"/>
        <v>1.8771929824561404</v>
      </c>
      <c r="T56" s="150" t="str">
        <f t="shared" si="8"/>
        <v/>
      </c>
      <c r="U56" s="152">
        <f t="shared" si="12"/>
        <v>-1</v>
      </c>
      <c r="V56" s="143"/>
      <c r="W56" s="102">
        <f t="shared" si="9"/>
        <v>0</v>
      </c>
      <c r="X56" s="153">
        <f t="shared" si="10"/>
        <v>-1</v>
      </c>
      <c r="Y56" s="102"/>
      <c r="Z56" s="102"/>
      <c r="AA56" s="102"/>
      <c r="AB56" s="102"/>
      <c r="AC56" s="102"/>
      <c r="AD56" s="102"/>
      <c r="AE56" s="102"/>
      <c r="AF56" s="138"/>
      <c r="AG56" s="138"/>
      <c r="AH56" s="102"/>
      <c r="AI56" s="102"/>
      <c r="AJ56" s="102"/>
      <c r="AK56" s="102"/>
      <c r="AL56" s="102"/>
      <c r="AM56" s="102"/>
    </row>
    <row r="57" spans="1:39">
      <c r="A57" s="143" t="s">
        <v>240</v>
      </c>
      <c r="B57" s="143" t="s">
        <v>361</v>
      </c>
      <c r="C57" s="145">
        <v>45803</v>
      </c>
      <c r="D57" s="143" t="s">
        <v>444</v>
      </c>
      <c r="E57" s="154" t="s">
        <v>445</v>
      </c>
      <c r="F57" s="147"/>
      <c r="G57" s="147">
        <v>100</v>
      </c>
      <c r="H57" s="148">
        <v>100</v>
      </c>
      <c r="I57" s="143"/>
      <c r="J57" s="143">
        <v>1</v>
      </c>
      <c r="K57" s="149" t="s">
        <v>350</v>
      </c>
      <c r="L57" s="150">
        <f t="shared" si="0"/>
        <v>1</v>
      </c>
      <c r="M57" s="150">
        <f t="shared" si="1"/>
        <v>1</v>
      </c>
      <c r="N57" s="151">
        <f t="shared" si="2"/>
        <v>0</v>
      </c>
      <c r="O57" s="151" t="str">
        <f t="shared" si="3"/>
        <v/>
      </c>
      <c r="P57" s="151" t="str">
        <f t="shared" si="4"/>
        <v/>
      </c>
      <c r="Q57" s="151" t="str">
        <f t="shared" si="5"/>
        <v/>
      </c>
      <c r="R57" s="150">
        <f t="shared" si="6"/>
        <v>2</v>
      </c>
      <c r="S57" s="150">
        <f t="shared" si="7"/>
        <v>2</v>
      </c>
      <c r="T57" s="150" t="str">
        <f t="shared" si="8"/>
        <v/>
      </c>
      <c r="U57" s="152">
        <f t="shared" si="12"/>
        <v>1</v>
      </c>
      <c r="V57" s="143"/>
      <c r="W57" s="102">
        <f t="shared" si="9"/>
        <v>1</v>
      </c>
      <c r="X57" s="153">
        <f t="shared" si="10"/>
        <v>1</v>
      </c>
      <c r="Y57" s="102"/>
      <c r="Z57" s="102"/>
      <c r="AA57" s="102"/>
      <c r="AB57" s="102"/>
      <c r="AC57" s="102"/>
      <c r="AD57" s="102"/>
      <c r="AE57" s="102"/>
      <c r="AF57" s="138"/>
      <c r="AG57" s="138"/>
      <c r="AH57" s="102"/>
      <c r="AI57" s="102"/>
      <c r="AJ57" s="102"/>
      <c r="AK57" s="102"/>
      <c r="AL57" s="102"/>
      <c r="AM57" s="102"/>
    </row>
    <row r="58" spans="1:39">
      <c r="A58" s="143" t="s">
        <v>240</v>
      </c>
      <c r="B58" s="143" t="s">
        <v>361</v>
      </c>
      <c r="C58" s="145">
        <v>45803</v>
      </c>
      <c r="D58" s="143" t="s">
        <v>446</v>
      </c>
      <c r="E58" s="154" t="s">
        <v>447</v>
      </c>
      <c r="F58" s="147"/>
      <c r="G58" s="147">
        <v>-102</v>
      </c>
      <c r="H58" s="148">
        <v>-111</v>
      </c>
      <c r="I58" s="143"/>
      <c r="J58" s="143">
        <v>1</v>
      </c>
      <c r="K58" s="149" t="s">
        <v>350</v>
      </c>
      <c r="L58" s="150">
        <f t="shared" si="0"/>
        <v>0.98039215686274517</v>
      </c>
      <c r="M58" s="150">
        <f t="shared" si="1"/>
        <v>0.90090090090090102</v>
      </c>
      <c r="N58" s="151">
        <f t="shared" si="2"/>
        <v>4.1817674937273459E-2</v>
      </c>
      <c r="O58" s="151" t="str">
        <f t="shared" si="3"/>
        <v/>
      </c>
      <c r="P58" s="151" t="str">
        <f t="shared" si="4"/>
        <v/>
      </c>
      <c r="Q58" s="151" t="str">
        <f t="shared" si="5"/>
        <v/>
      </c>
      <c r="R58" s="150">
        <f t="shared" si="6"/>
        <v>1.9803921568627452</v>
      </c>
      <c r="S58" s="150">
        <f t="shared" si="7"/>
        <v>1.900900900900901</v>
      </c>
      <c r="T58" s="150" t="str">
        <f t="shared" si="8"/>
        <v/>
      </c>
      <c r="U58" s="152">
        <f t="shared" si="12"/>
        <v>0.98039215686274517</v>
      </c>
      <c r="V58" s="143"/>
      <c r="W58" s="102">
        <f t="shared" si="9"/>
        <v>1</v>
      </c>
      <c r="X58" s="153">
        <f t="shared" si="10"/>
        <v>0.98039215686274517</v>
      </c>
      <c r="Y58" s="102"/>
      <c r="Z58" s="102"/>
      <c r="AA58" s="102"/>
      <c r="AB58" s="102"/>
      <c r="AC58" s="102"/>
      <c r="AD58" s="102"/>
      <c r="AE58" s="102"/>
      <c r="AF58" s="138"/>
      <c r="AG58" s="138"/>
      <c r="AH58" s="102"/>
      <c r="AI58" s="102"/>
      <c r="AJ58" s="102"/>
      <c r="AK58" s="102"/>
      <c r="AL58" s="102"/>
      <c r="AM58" s="102"/>
    </row>
    <row r="59" spans="1:39">
      <c r="A59" s="143" t="s">
        <v>240</v>
      </c>
      <c r="B59" s="143" t="s">
        <v>361</v>
      </c>
      <c r="C59" s="145">
        <v>45803</v>
      </c>
      <c r="D59" s="143" t="s">
        <v>448</v>
      </c>
      <c r="E59" s="154" t="s">
        <v>409</v>
      </c>
      <c r="F59" s="147"/>
      <c r="G59" s="147">
        <v>153</v>
      </c>
      <c r="H59" s="148">
        <v>152</v>
      </c>
      <c r="I59" s="143"/>
      <c r="J59" s="143">
        <v>1</v>
      </c>
      <c r="K59" s="149" t="s">
        <v>311</v>
      </c>
      <c r="L59" s="150">
        <f t="shared" si="0"/>
        <v>-1</v>
      </c>
      <c r="M59" s="150">
        <f t="shared" si="1"/>
        <v>-1</v>
      </c>
      <c r="N59" s="151">
        <f t="shared" si="2"/>
        <v>3.9682539682540686E-3</v>
      </c>
      <c r="O59" s="151" t="str">
        <f t="shared" si="3"/>
        <v/>
      </c>
      <c r="P59" s="151" t="str">
        <f t="shared" si="4"/>
        <v/>
      </c>
      <c r="Q59" s="151" t="str">
        <f t="shared" si="5"/>
        <v/>
      </c>
      <c r="R59" s="150">
        <f t="shared" si="6"/>
        <v>2.5300000000000002</v>
      </c>
      <c r="S59" s="150">
        <f t="shared" si="7"/>
        <v>2.52</v>
      </c>
      <c r="T59" s="150" t="str">
        <f t="shared" si="8"/>
        <v/>
      </c>
      <c r="U59" s="152">
        <f t="shared" si="12"/>
        <v>-1</v>
      </c>
      <c r="V59" s="143"/>
      <c r="W59" s="102">
        <f t="shared" si="9"/>
        <v>0</v>
      </c>
      <c r="X59" s="153">
        <f t="shared" si="10"/>
        <v>-1</v>
      </c>
      <c r="Y59" s="102"/>
      <c r="Z59" s="102"/>
      <c r="AA59" s="102"/>
      <c r="AB59" s="102"/>
      <c r="AC59" s="102"/>
      <c r="AD59" s="102"/>
      <c r="AE59" s="102"/>
      <c r="AF59" s="138"/>
      <c r="AG59" s="138"/>
      <c r="AH59" s="102"/>
      <c r="AI59" s="102"/>
      <c r="AJ59" s="102"/>
      <c r="AK59" s="102"/>
      <c r="AL59" s="102"/>
      <c r="AM59" s="102"/>
    </row>
    <row r="60" spans="1:39">
      <c r="A60" s="143" t="s">
        <v>240</v>
      </c>
      <c r="B60" s="143" t="s">
        <v>361</v>
      </c>
      <c r="C60" s="145">
        <v>45803</v>
      </c>
      <c r="D60" s="143" t="s">
        <v>449</v>
      </c>
      <c r="E60" s="154" t="s">
        <v>411</v>
      </c>
      <c r="F60" s="147"/>
      <c r="G60" s="147">
        <v>-115</v>
      </c>
      <c r="H60" s="148">
        <v>-123</v>
      </c>
      <c r="I60" s="143"/>
      <c r="J60" s="143">
        <v>1</v>
      </c>
      <c r="K60" s="149" t="s">
        <v>311</v>
      </c>
      <c r="L60" s="150">
        <f t="shared" si="0"/>
        <v>-1</v>
      </c>
      <c r="M60" s="150">
        <f t="shared" si="1"/>
        <v>-1</v>
      </c>
      <c r="N60" s="151">
        <f t="shared" si="2"/>
        <v>3.1195164749463784E-2</v>
      </c>
      <c r="O60" s="151" t="str">
        <f t="shared" si="3"/>
        <v/>
      </c>
      <c r="P60" s="151" t="str">
        <f t="shared" si="4"/>
        <v/>
      </c>
      <c r="Q60" s="151" t="str">
        <f t="shared" si="5"/>
        <v/>
      </c>
      <c r="R60" s="150">
        <f t="shared" si="6"/>
        <v>1.8695652173913042</v>
      </c>
      <c r="S60" s="150">
        <f t="shared" si="7"/>
        <v>1.8130081300813008</v>
      </c>
      <c r="T60" s="150" t="str">
        <f t="shared" si="8"/>
        <v/>
      </c>
      <c r="U60" s="152">
        <f t="shared" si="12"/>
        <v>-1</v>
      </c>
      <c r="V60" s="143"/>
      <c r="W60" s="102">
        <f t="shared" si="9"/>
        <v>0</v>
      </c>
      <c r="X60" s="153">
        <f t="shared" si="10"/>
        <v>-1</v>
      </c>
      <c r="Y60" s="102"/>
      <c r="Z60" s="102"/>
      <c r="AA60" s="102"/>
      <c r="AB60" s="102"/>
      <c r="AC60" s="102"/>
      <c r="AD60" s="102"/>
      <c r="AE60" s="102"/>
      <c r="AF60" s="138"/>
      <c r="AG60" s="138"/>
      <c r="AH60" s="102"/>
      <c r="AI60" s="102"/>
      <c r="AJ60" s="102"/>
      <c r="AK60" s="102"/>
      <c r="AL60" s="102"/>
      <c r="AM60" s="102"/>
    </row>
    <row r="61" spans="1:39">
      <c r="A61" s="143" t="s">
        <v>240</v>
      </c>
      <c r="B61" s="143" t="s">
        <v>361</v>
      </c>
      <c r="C61" s="145">
        <v>45803</v>
      </c>
      <c r="D61" s="143" t="s">
        <v>450</v>
      </c>
      <c r="E61" s="154" t="s">
        <v>451</v>
      </c>
      <c r="F61" s="147"/>
      <c r="G61" s="147">
        <v>140</v>
      </c>
      <c r="H61" s="148">
        <v>131</v>
      </c>
      <c r="I61" s="143"/>
      <c r="J61" s="143">
        <v>1</v>
      </c>
      <c r="K61" s="149" t="s">
        <v>350</v>
      </c>
      <c r="L61" s="150">
        <f t="shared" si="0"/>
        <v>1.4</v>
      </c>
      <c r="M61" s="150">
        <f t="shared" si="1"/>
        <v>1.31</v>
      </c>
      <c r="N61" s="151">
        <f t="shared" si="2"/>
        <v>3.8961038961038905E-2</v>
      </c>
      <c r="O61" s="151" t="str">
        <f t="shared" si="3"/>
        <v/>
      </c>
      <c r="P61" s="151" t="str">
        <f t="shared" si="4"/>
        <v/>
      </c>
      <c r="Q61" s="151" t="str">
        <f t="shared" si="5"/>
        <v/>
      </c>
      <c r="R61" s="150">
        <f t="shared" si="6"/>
        <v>2.4</v>
      </c>
      <c r="S61" s="150">
        <f t="shared" si="7"/>
        <v>2.31</v>
      </c>
      <c r="T61" s="150" t="str">
        <f t="shared" si="8"/>
        <v/>
      </c>
      <c r="U61" s="152">
        <f t="shared" si="12"/>
        <v>1.4</v>
      </c>
      <c r="V61" s="143"/>
      <c r="W61" s="102">
        <f t="shared" si="9"/>
        <v>1</v>
      </c>
      <c r="X61" s="153">
        <f t="shared" si="10"/>
        <v>1.4</v>
      </c>
      <c r="Y61" s="102"/>
      <c r="Z61" s="102"/>
      <c r="AA61" s="102"/>
      <c r="AB61" s="102"/>
      <c r="AC61" s="102"/>
      <c r="AD61" s="102"/>
      <c r="AE61" s="102"/>
      <c r="AF61" s="138"/>
      <c r="AG61" s="138"/>
      <c r="AH61" s="102"/>
      <c r="AI61" s="102"/>
      <c r="AJ61" s="102"/>
      <c r="AK61" s="102"/>
      <c r="AL61" s="102"/>
      <c r="AM61" s="102"/>
    </row>
    <row r="62" spans="1:39">
      <c r="A62" s="143" t="s">
        <v>240</v>
      </c>
      <c r="B62" s="143" t="s">
        <v>361</v>
      </c>
      <c r="C62" s="145">
        <v>45804</v>
      </c>
      <c r="D62" s="143" t="s">
        <v>452</v>
      </c>
      <c r="E62" s="154" t="s">
        <v>397</v>
      </c>
      <c r="F62" s="147">
        <v>122</v>
      </c>
      <c r="G62" s="147">
        <v>183</v>
      </c>
      <c r="H62" s="148">
        <v>211</v>
      </c>
      <c r="I62" s="143">
        <v>-256</v>
      </c>
      <c r="J62" s="143">
        <v>1</v>
      </c>
      <c r="K62" s="149" t="s">
        <v>311</v>
      </c>
      <c r="L62" s="150">
        <f t="shared" si="0"/>
        <v>-1</v>
      </c>
      <c r="M62" s="150">
        <f t="shared" si="1"/>
        <v>-1</v>
      </c>
      <c r="N62" s="151">
        <f t="shared" si="2"/>
        <v>-9.0032154340836029E-2</v>
      </c>
      <c r="O62" s="151">
        <f t="shared" si="3"/>
        <v>0.14146558723700786</v>
      </c>
      <c r="P62" s="151">
        <f t="shared" si="4"/>
        <v>0.45045045045045046</v>
      </c>
      <c r="Q62" s="151">
        <f t="shared" si="5"/>
        <v>0.3089848632134426</v>
      </c>
      <c r="R62" s="150">
        <f t="shared" si="6"/>
        <v>2.83</v>
      </c>
      <c r="S62" s="150">
        <f t="shared" si="7"/>
        <v>3.11</v>
      </c>
      <c r="T62" s="150">
        <f t="shared" si="8"/>
        <v>1.390625</v>
      </c>
      <c r="U62" s="152">
        <f t="shared" si="12"/>
        <v>-1</v>
      </c>
      <c r="V62" s="143"/>
      <c r="W62" s="102">
        <f t="shared" si="9"/>
        <v>0</v>
      </c>
      <c r="X62" s="153">
        <f t="shared" si="10"/>
        <v>-1</v>
      </c>
      <c r="Y62" s="102"/>
      <c r="Z62" s="102"/>
      <c r="AA62" s="102"/>
      <c r="AB62" s="102"/>
      <c r="AC62" s="102"/>
      <c r="AD62" s="102"/>
      <c r="AE62" s="102"/>
      <c r="AF62" s="138"/>
      <c r="AG62" s="138"/>
      <c r="AH62" s="102"/>
      <c r="AI62" s="102"/>
      <c r="AJ62" s="102"/>
      <c r="AK62" s="102"/>
      <c r="AL62" s="102"/>
      <c r="AM62" s="102"/>
    </row>
    <row r="63" spans="1:39">
      <c r="A63" s="143" t="s">
        <v>240</v>
      </c>
      <c r="B63" s="143" t="s">
        <v>361</v>
      </c>
      <c r="C63" s="145">
        <v>45804</v>
      </c>
      <c r="D63" s="143" t="s">
        <v>453</v>
      </c>
      <c r="E63" s="154" t="s">
        <v>454</v>
      </c>
      <c r="F63" s="147">
        <v>112</v>
      </c>
      <c r="G63" s="147">
        <v>186</v>
      </c>
      <c r="H63" s="148">
        <v>198</v>
      </c>
      <c r="I63" s="143">
        <v>-238</v>
      </c>
      <c r="J63" s="143">
        <v>1</v>
      </c>
      <c r="K63" s="149" t="s">
        <v>311</v>
      </c>
      <c r="L63" s="150">
        <f t="shared" si="0"/>
        <v>-1</v>
      </c>
      <c r="M63" s="150">
        <f t="shared" si="1"/>
        <v>-1</v>
      </c>
      <c r="N63" s="151">
        <f t="shared" si="2"/>
        <v>-4.026845637583884E-2</v>
      </c>
      <c r="O63" s="151">
        <f t="shared" si="3"/>
        <v>0.14894497161631687</v>
      </c>
      <c r="P63" s="151">
        <f t="shared" si="4"/>
        <v>0.47169811320754718</v>
      </c>
      <c r="Q63" s="151">
        <f t="shared" si="5"/>
        <v>0.32275314159123031</v>
      </c>
      <c r="R63" s="150">
        <f t="shared" si="6"/>
        <v>2.8600000000000003</v>
      </c>
      <c r="S63" s="150">
        <f t="shared" si="7"/>
        <v>2.98</v>
      </c>
      <c r="T63" s="150">
        <f t="shared" si="8"/>
        <v>1.4201680672268908</v>
      </c>
      <c r="U63" s="152">
        <f t="shared" si="12"/>
        <v>-1</v>
      </c>
      <c r="V63" s="143"/>
      <c r="W63" s="102">
        <f t="shared" si="9"/>
        <v>0</v>
      </c>
      <c r="X63" s="153">
        <f t="shared" si="10"/>
        <v>-1</v>
      </c>
      <c r="Y63" s="102"/>
      <c r="Z63" s="102"/>
      <c r="AA63" s="102"/>
      <c r="AB63" s="102"/>
      <c r="AC63" s="102"/>
      <c r="AD63" s="102"/>
      <c r="AE63" s="102"/>
      <c r="AF63" s="138"/>
      <c r="AG63" s="138"/>
      <c r="AH63" s="102"/>
      <c r="AI63" s="102"/>
      <c r="AJ63" s="102"/>
      <c r="AK63" s="102"/>
      <c r="AL63" s="102"/>
      <c r="AM63" s="102"/>
    </row>
    <row r="64" spans="1:39">
      <c r="A64" s="143" t="s">
        <v>240</v>
      </c>
      <c r="B64" s="143" t="s">
        <v>361</v>
      </c>
      <c r="C64" s="145">
        <v>45804</v>
      </c>
      <c r="D64" s="143" t="s">
        <v>450</v>
      </c>
      <c r="E64" s="154" t="s">
        <v>451</v>
      </c>
      <c r="F64" s="147">
        <v>101</v>
      </c>
      <c r="G64" s="147">
        <v>130</v>
      </c>
      <c r="H64" s="148">
        <v>138</v>
      </c>
      <c r="I64" s="143">
        <v>-159</v>
      </c>
      <c r="J64" s="143">
        <v>1</v>
      </c>
      <c r="K64" s="149" t="s">
        <v>351</v>
      </c>
      <c r="L64" s="150">
        <f t="shared" si="0"/>
        <v>0</v>
      </c>
      <c r="M64" s="150">
        <f t="shared" si="1"/>
        <v>0</v>
      </c>
      <c r="N64" s="151">
        <f t="shared" si="2"/>
        <v>-3.3613445378151342E-2</v>
      </c>
      <c r="O64" s="151">
        <f t="shared" si="3"/>
        <v>9.1186938140398466E-2</v>
      </c>
      <c r="P64" s="151">
        <f t="shared" si="4"/>
        <v>0.49751243781094528</v>
      </c>
      <c r="Q64" s="151">
        <f t="shared" si="5"/>
        <v>0.40632549967054682</v>
      </c>
      <c r="R64" s="150">
        <f t="shared" si="6"/>
        <v>2.2999999999999998</v>
      </c>
      <c r="S64" s="150">
        <f t="shared" si="7"/>
        <v>2.38</v>
      </c>
      <c r="T64" s="150">
        <f t="shared" si="8"/>
        <v>1.6289308176100628</v>
      </c>
      <c r="U64" s="152">
        <f t="shared" si="12"/>
        <v>0</v>
      </c>
      <c r="V64" s="143"/>
      <c r="W64" s="102">
        <f t="shared" si="9"/>
        <v>2</v>
      </c>
      <c r="X64" s="153">
        <f t="shared" si="10"/>
        <v>0</v>
      </c>
      <c r="Y64" s="102"/>
      <c r="Z64" s="102"/>
      <c r="AA64" s="102"/>
      <c r="AB64" s="102"/>
      <c r="AC64" s="102"/>
      <c r="AD64" s="102"/>
      <c r="AE64" s="102"/>
      <c r="AF64" s="138"/>
      <c r="AG64" s="138"/>
      <c r="AH64" s="102"/>
      <c r="AI64" s="102"/>
      <c r="AJ64" s="102"/>
      <c r="AK64" s="102"/>
      <c r="AL64" s="102"/>
      <c r="AM64" s="102"/>
    </row>
    <row r="65" spans="1:39">
      <c r="A65" s="143" t="s">
        <v>240</v>
      </c>
      <c r="B65" s="143" t="s">
        <v>361</v>
      </c>
      <c r="C65" s="145">
        <v>45805</v>
      </c>
      <c r="D65" s="143" t="s">
        <v>455</v>
      </c>
      <c r="E65" s="154" t="s">
        <v>406</v>
      </c>
      <c r="F65" s="147">
        <v>-103</v>
      </c>
      <c r="G65" s="147">
        <v>128</v>
      </c>
      <c r="H65" s="148">
        <v>131</v>
      </c>
      <c r="I65" s="143">
        <v>-154</v>
      </c>
      <c r="J65" s="143">
        <v>1</v>
      </c>
      <c r="K65" s="149" t="s">
        <v>350</v>
      </c>
      <c r="L65" s="150">
        <f t="shared" si="0"/>
        <v>1.2800000000000002</v>
      </c>
      <c r="M65" s="150">
        <f t="shared" si="1"/>
        <v>1.31</v>
      </c>
      <c r="N65" s="151">
        <f t="shared" si="2"/>
        <v>-1.2987012987012941E-2</v>
      </c>
      <c r="O65" s="151">
        <f t="shared" si="3"/>
        <v>9.0818165087243108E-2</v>
      </c>
      <c r="P65" s="151">
        <f t="shared" si="4"/>
        <v>0.5073891625615764</v>
      </c>
      <c r="Q65" s="151">
        <f t="shared" si="5"/>
        <v>0.41657099747433329</v>
      </c>
      <c r="R65" s="150">
        <f t="shared" si="6"/>
        <v>2.2800000000000002</v>
      </c>
      <c r="S65" s="150">
        <f t="shared" si="7"/>
        <v>2.31</v>
      </c>
      <c r="T65" s="150">
        <f t="shared" si="8"/>
        <v>1.6493506493506493</v>
      </c>
      <c r="U65" s="152">
        <f t="shared" si="12"/>
        <v>1.2800000000000002</v>
      </c>
      <c r="V65" s="143"/>
      <c r="W65" s="102">
        <f t="shared" si="9"/>
        <v>1</v>
      </c>
      <c r="X65" s="153">
        <f t="shared" si="10"/>
        <v>1.2800000000000002</v>
      </c>
      <c r="Y65" s="102"/>
      <c r="Z65" s="102"/>
      <c r="AA65" s="102"/>
      <c r="AB65" s="102"/>
      <c r="AC65" s="102"/>
      <c r="AD65" s="102"/>
      <c r="AE65" s="102"/>
      <c r="AF65" s="138"/>
      <c r="AG65" s="138"/>
      <c r="AH65" s="102"/>
      <c r="AI65" s="102"/>
      <c r="AJ65" s="102"/>
      <c r="AK65" s="102"/>
      <c r="AL65" s="102"/>
      <c r="AM65" s="102"/>
    </row>
    <row r="66" spans="1:39">
      <c r="A66" s="143" t="s">
        <v>240</v>
      </c>
      <c r="B66" s="143" t="s">
        <v>361</v>
      </c>
      <c r="C66" s="145">
        <v>45805</v>
      </c>
      <c r="D66" s="143" t="s">
        <v>453</v>
      </c>
      <c r="E66" s="154" t="s">
        <v>454</v>
      </c>
      <c r="F66" s="147">
        <v>-140</v>
      </c>
      <c r="G66" s="147">
        <v>161</v>
      </c>
      <c r="H66" s="148">
        <v>156</v>
      </c>
      <c r="I66" s="143">
        <v>-185</v>
      </c>
      <c r="J66" s="143">
        <v>1</v>
      </c>
      <c r="K66" s="149" t="s">
        <v>350</v>
      </c>
      <c r="L66" s="150">
        <f t="shared" si="0"/>
        <v>1.6100000000000003</v>
      </c>
      <c r="M66" s="150">
        <f t="shared" si="1"/>
        <v>1.56</v>
      </c>
      <c r="N66" s="151">
        <f t="shared" si="2"/>
        <v>1.9531250000000111E-2</v>
      </c>
      <c r="O66" s="151">
        <f t="shared" si="3"/>
        <v>0.20764126900430624</v>
      </c>
      <c r="P66" s="151">
        <f t="shared" si="4"/>
        <v>0.58333333333333337</v>
      </c>
      <c r="Q66" s="151">
        <f t="shared" si="5"/>
        <v>0.37569206432902713</v>
      </c>
      <c r="R66" s="150">
        <f t="shared" si="6"/>
        <v>2.6100000000000003</v>
      </c>
      <c r="S66" s="150">
        <f t="shared" si="7"/>
        <v>2.56</v>
      </c>
      <c r="T66" s="150">
        <f t="shared" si="8"/>
        <v>1.5405405405405406</v>
      </c>
      <c r="U66" s="152">
        <f t="shared" si="12"/>
        <v>1.6100000000000003</v>
      </c>
      <c r="V66" s="143"/>
      <c r="W66" s="102">
        <f t="shared" si="9"/>
        <v>1</v>
      </c>
      <c r="X66" s="153">
        <f t="shared" si="10"/>
        <v>1.6100000000000003</v>
      </c>
      <c r="Y66" s="102"/>
      <c r="Z66" s="102"/>
      <c r="AA66" s="102"/>
      <c r="AB66" s="102"/>
      <c r="AC66" s="102"/>
      <c r="AD66" s="102"/>
      <c r="AE66" s="102"/>
      <c r="AF66" s="138"/>
      <c r="AG66" s="138"/>
      <c r="AH66" s="102"/>
      <c r="AI66" s="102"/>
      <c r="AJ66" s="102"/>
      <c r="AK66" s="102"/>
      <c r="AL66" s="102"/>
      <c r="AM66" s="102"/>
    </row>
    <row r="67" spans="1:39">
      <c r="A67" s="143" t="s">
        <v>240</v>
      </c>
      <c r="B67" s="143" t="s">
        <v>361</v>
      </c>
      <c r="C67" s="145">
        <v>45805</v>
      </c>
      <c r="D67" s="143" t="s">
        <v>448</v>
      </c>
      <c r="E67" s="154" t="s">
        <v>409</v>
      </c>
      <c r="F67" s="147">
        <v>-127</v>
      </c>
      <c r="G67" s="147">
        <v>-107</v>
      </c>
      <c r="H67" s="148">
        <v>-116</v>
      </c>
      <c r="I67" s="143">
        <v>100</v>
      </c>
      <c r="J67" s="143">
        <v>1</v>
      </c>
      <c r="K67" s="149" t="s">
        <v>350</v>
      </c>
      <c r="L67" s="150">
        <f t="shared" si="0"/>
        <v>0.93457943925233655</v>
      </c>
      <c r="M67" s="150">
        <f t="shared" si="1"/>
        <v>0.86206896551724133</v>
      </c>
      <c r="N67" s="151">
        <f t="shared" si="2"/>
        <v>3.894080996884753E-2</v>
      </c>
      <c r="O67" s="151">
        <f t="shared" si="3"/>
        <v>4.1614222781623744E-2</v>
      </c>
      <c r="P67" s="151">
        <f t="shared" si="4"/>
        <v>0.55947136563876654</v>
      </c>
      <c r="Q67" s="151">
        <f t="shared" si="5"/>
        <v>0.51785714285714279</v>
      </c>
      <c r="R67" s="150">
        <f t="shared" si="6"/>
        <v>1.9345794392523366</v>
      </c>
      <c r="S67" s="150">
        <f t="shared" si="7"/>
        <v>1.8620689655172413</v>
      </c>
      <c r="T67" s="150">
        <f t="shared" si="8"/>
        <v>2</v>
      </c>
      <c r="U67" s="152">
        <f t="shared" si="12"/>
        <v>0.93457943925233655</v>
      </c>
      <c r="V67" s="143"/>
      <c r="W67" s="102">
        <f t="shared" si="9"/>
        <v>1</v>
      </c>
      <c r="X67" s="153">
        <f t="shared" si="10"/>
        <v>0.93457943925233655</v>
      </c>
      <c r="Y67" s="102"/>
      <c r="Z67" s="102"/>
      <c r="AA67" s="102"/>
      <c r="AB67" s="102"/>
      <c r="AC67" s="102"/>
      <c r="AD67" s="102"/>
      <c r="AE67" s="102"/>
      <c r="AF67" s="138"/>
      <c r="AG67" s="138"/>
      <c r="AH67" s="102"/>
      <c r="AI67" s="102"/>
      <c r="AJ67" s="102"/>
      <c r="AK67" s="102"/>
      <c r="AL67" s="102"/>
      <c r="AM67" s="102"/>
    </row>
    <row r="68" spans="1:39">
      <c r="A68" s="143" t="s">
        <v>240</v>
      </c>
      <c r="B68" s="143" t="s">
        <v>361</v>
      </c>
      <c r="C68" s="145">
        <v>45805</v>
      </c>
      <c r="D68" s="143" t="s">
        <v>456</v>
      </c>
      <c r="E68" s="154" t="s">
        <v>411</v>
      </c>
      <c r="F68" s="147">
        <v>-126</v>
      </c>
      <c r="G68" s="147">
        <v>108</v>
      </c>
      <c r="H68" s="148">
        <v>-119</v>
      </c>
      <c r="I68" s="143">
        <v>104</v>
      </c>
      <c r="J68" s="143">
        <v>1</v>
      </c>
      <c r="K68" s="149" t="s">
        <v>350</v>
      </c>
      <c r="L68" s="150">
        <f t="shared" si="0"/>
        <v>1.08</v>
      </c>
      <c r="M68" s="150">
        <f t="shared" si="1"/>
        <v>0.84033613445378164</v>
      </c>
      <c r="N68" s="151">
        <f t="shared" si="2"/>
        <v>0.13022831050228303</v>
      </c>
      <c r="O68" s="151">
        <f t="shared" si="3"/>
        <v>3.179447316615458E-2</v>
      </c>
      <c r="P68" s="151">
        <f t="shared" si="4"/>
        <v>0.55752212389380529</v>
      </c>
      <c r="Q68" s="151">
        <f t="shared" si="5"/>
        <v>0.52572765072765071</v>
      </c>
      <c r="R68" s="150">
        <f t="shared" si="6"/>
        <v>2.08</v>
      </c>
      <c r="S68" s="150">
        <f t="shared" si="7"/>
        <v>1.8403361344537816</v>
      </c>
      <c r="T68" s="150">
        <f t="shared" si="8"/>
        <v>2.04</v>
      </c>
      <c r="U68" s="152">
        <f t="shared" si="12"/>
        <v>1.08</v>
      </c>
      <c r="V68" s="143"/>
      <c r="W68" s="102">
        <f t="shared" si="9"/>
        <v>1</v>
      </c>
      <c r="X68" s="153">
        <f t="shared" si="10"/>
        <v>1.08</v>
      </c>
      <c r="Y68" s="102"/>
      <c r="Z68" s="102"/>
      <c r="AA68" s="102"/>
      <c r="AB68" s="102"/>
      <c r="AC68" s="102"/>
      <c r="AD68" s="102"/>
      <c r="AE68" s="102"/>
      <c r="AF68" s="138"/>
      <c r="AG68" s="138"/>
      <c r="AH68" s="102"/>
      <c r="AI68" s="102"/>
      <c r="AJ68" s="102"/>
      <c r="AK68" s="102"/>
      <c r="AL68" s="102"/>
      <c r="AM68" s="102"/>
    </row>
    <row r="69" spans="1:39">
      <c r="A69" s="143" t="s">
        <v>240</v>
      </c>
      <c r="B69" s="143" t="s">
        <v>361</v>
      </c>
      <c r="C69" s="145">
        <v>45805</v>
      </c>
      <c r="D69" s="143" t="s">
        <v>457</v>
      </c>
      <c r="E69" s="154" t="s">
        <v>458</v>
      </c>
      <c r="F69" s="147">
        <v>-139</v>
      </c>
      <c r="G69" s="147">
        <v>-117</v>
      </c>
      <c r="H69" s="148">
        <v>-127</v>
      </c>
      <c r="I69" s="143">
        <v>110</v>
      </c>
      <c r="J69" s="143">
        <v>1</v>
      </c>
      <c r="K69" s="149" t="s">
        <v>350</v>
      </c>
      <c r="L69" s="150">
        <f t="shared" si="0"/>
        <v>0.85470085470085477</v>
      </c>
      <c r="M69" s="150">
        <f t="shared" si="1"/>
        <v>0.78740157480314954</v>
      </c>
      <c r="N69" s="151">
        <f t="shared" si="2"/>
        <v>3.7652020030874693E-2</v>
      </c>
      <c r="O69" s="151">
        <f t="shared" si="3"/>
        <v>4.1383354958671736E-2</v>
      </c>
      <c r="P69" s="151">
        <f t="shared" si="4"/>
        <v>0.58158995815899583</v>
      </c>
      <c r="Q69" s="151">
        <f t="shared" si="5"/>
        <v>0.5402066032003241</v>
      </c>
      <c r="R69" s="150">
        <f t="shared" si="6"/>
        <v>1.8547008547008548</v>
      </c>
      <c r="S69" s="150">
        <f t="shared" si="7"/>
        <v>1.7874015748031495</v>
      </c>
      <c r="T69" s="150">
        <f t="shared" si="8"/>
        <v>2.1</v>
      </c>
      <c r="U69" s="152">
        <f t="shared" si="12"/>
        <v>0.85470085470085477</v>
      </c>
      <c r="V69" s="143"/>
      <c r="W69" s="102">
        <f t="shared" si="9"/>
        <v>1</v>
      </c>
      <c r="X69" s="153">
        <f t="shared" si="10"/>
        <v>0.85470085470085477</v>
      </c>
      <c r="Y69" s="102"/>
      <c r="Z69" s="102"/>
      <c r="AA69" s="102"/>
      <c r="AB69" s="102"/>
      <c r="AC69" s="102"/>
      <c r="AD69" s="102"/>
      <c r="AE69" s="102"/>
      <c r="AF69" s="138"/>
      <c r="AG69" s="138"/>
      <c r="AH69" s="102"/>
      <c r="AI69" s="102"/>
      <c r="AJ69" s="102"/>
      <c r="AK69" s="102"/>
      <c r="AL69" s="102"/>
      <c r="AM69" s="102"/>
    </row>
    <row r="70" spans="1:39">
      <c r="A70" s="143" t="s">
        <v>240</v>
      </c>
      <c r="B70" s="143" t="s">
        <v>361</v>
      </c>
      <c r="C70" s="145">
        <v>45806</v>
      </c>
      <c r="D70" s="143" t="s">
        <v>459</v>
      </c>
      <c r="E70" s="154" t="s">
        <v>460</v>
      </c>
      <c r="F70" s="147">
        <v>-151</v>
      </c>
      <c r="G70" s="147">
        <v>-120</v>
      </c>
      <c r="H70" s="148">
        <v>-105</v>
      </c>
      <c r="I70" s="143">
        <v>-109</v>
      </c>
      <c r="J70" s="143">
        <v>1</v>
      </c>
      <c r="K70" s="149" t="s">
        <v>311</v>
      </c>
      <c r="L70" s="150">
        <f t="shared" si="0"/>
        <v>-1</v>
      </c>
      <c r="M70" s="150">
        <f t="shared" si="1"/>
        <v>-1</v>
      </c>
      <c r="N70" s="151">
        <f t="shared" si="2"/>
        <v>-6.0975609756097469E-2</v>
      </c>
      <c r="O70" s="151">
        <f t="shared" si="3"/>
        <v>0.1061093175278115</v>
      </c>
      <c r="P70" s="151">
        <f t="shared" si="4"/>
        <v>0.60159362549800799</v>
      </c>
      <c r="Q70" s="151">
        <f t="shared" si="5"/>
        <v>0.49548430797019649</v>
      </c>
      <c r="R70" s="150">
        <f t="shared" si="6"/>
        <v>1.8333333333333335</v>
      </c>
      <c r="S70" s="150">
        <f t="shared" si="7"/>
        <v>1.9523809523809523</v>
      </c>
      <c r="T70" s="150">
        <f t="shared" si="8"/>
        <v>1.9174311926605505</v>
      </c>
      <c r="U70" s="152">
        <f t="shared" si="12"/>
        <v>-1</v>
      </c>
      <c r="V70" s="143"/>
      <c r="W70" s="102">
        <f t="shared" si="9"/>
        <v>0</v>
      </c>
      <c r="X70" s="153">
        <f t="shared" si="10"/>
        <v>-1</v>
      </c>
      <c r="Y70" s="102"/>
      <c r="Z70" s="102"/>
      <c r="AA70" s="102"/>
      <c r="AB70" s="102"/>
      <c r="AC70" s="102"/>
      <c r="AD70" s="102"/>
      <c r="AE70" s="102"/>
      <c r="AF70" s="138"/>
      <c r="AG70" s="138"/>
      <c r="AH70" s="102"/>
      <c r="AI70" s="102"/>
      <c r="AJ70" s="102"/>
      <c r="AK70" s="102"/>
      <c r="AL70" s="102"/>
      <c r="AM70" s="102"/>
    </row>
    <row r="71" spans="1:39">
      <c r="A71" s="143" t="s">
        <v>240</v>
      </c>
      <c r="B71" s="143" t="s">
        <v>361</v>
      </c>
      <c r="C71" s="145">
        <v>45807</v>
      </c>
      <c r="D71" s="143" t="s">
        <v>461</v>
      </c>
      <c r="E71" s="154" t="s">
        <v>445</v>
      </c>
      <c r="F71" s="147"/>
      <c r="G71" s="147">
        <v>135</v>
      </c>
      <c r="H71" s="148">
        <v>121</v>
      </c>
      <c r="I71" s="143"/>
      <c r="J71" s="143">
        <v>1</v>
      </c>
      <c r="K71" s="149" t="s">
        <v>350</v>
      </c>
      <c r="L71" s="150">
        <f t="shared" si="0"/>
        <v>1.35</v>
      </c>
      <c r="M71" s="150">
        <f t="shared" si="1"/>
        <v>1.21</v>
      </c>
      <c r="N71" s="151">
        <f t="shared" si="2"/>
        <v>6.3348416289592757E-2</v>
      </c>
      <c r="O71" s="151" t="str">
        <f t="shared" si="3"/>
        <v/>
      </c>
      <c r="P71" s="151" t="str">
        <f t="shared" si="4"/>
        <v/>
      </c>
      <c r="Q71" s="151" t="str">
        <f t="shared" si="5"/>
        <v/>
      </c>
      <c r="R71" s="150">
        <f t="shared" si="6"/>
        <v>2.35</v>
      </c>
      <c r="S71" s="150">
        <f t="shared" si="7"/>
        <v>2.21</v>
      </c>
      <c r="T71" s="150" t="str">
        <f t="shared" si="8"/>
        <v/>
      </c>
      <c r="U71" s="152">
        <f t="shared" si="12"/>
        <v>1.35</v>
      </c>
      <c r="V71" s="143"/>
      <c r="W71" s="102">
        <f t="shared" si="9"/>
        <v>1</v>
      </c>
      <c r="X71" s="153">
        <f t="shared" si="10"/>
        <v>1.35</v>
      </c>
      <c r="Y71" s="102"/>
      <c r="Z71" s="102"/>
      <c r="AA71" s="102"/>
      <c r="AB71" s="102"/>
      <c r="AC71" s="102"/>
      <c r="AD71" s="102"/>
      <c r="AE71" s="102"/>
      <c r="AF71" s="138"/>
      <c r="AG71" s="138"/>
      <c r="AH71" s="102"/>
      <c r="AI71" s="102"/>
      <c r="AJ71" s="102"/>
      <c r="AK71" s="102"/>
      <c r="AL71" s="102"/>
      <c r="AM71" s="102"/>
    </row>
    <row r="72" spans="1:39">
      <c r="A72" s="143" t="s">
        <v>240</v>
      </c>
      <c r="B72" s="143" t="s">
        <v>361</v>
      </c>
      <c r="C72" s="145">
        <v>45807</v>
      </c>
      <c r="D72" s="143" t="s">
        <v>462</v>
      </c>
      <c r="E72" s="154" t="s">
        <v>463</v>
      </c>
      <c r="F72" s="147"/>
      <c r="G72" s="147">
        <v>-135</v>
      </c>
      <c r="H72" s="148">
        <v>-141</v>
      </c>
      <c r="I72" s="143"/>
      <c r="J72" s="143">
        <v>1</v>
      </c>
      <c r="K72" s="149" t="s">
        <v>350</v>
      </c>
      <c r="L72" s="150">
        <f t="shared" si="0"/>
        <v>0.7407407407407407</v>
      </c>
      <c r="M72" s="150">
        <f t="shared" si="1"/>
        <v>0.7092198581560285</v>
      </c>
      <c r="N72" s="151">
        <f t="shared" si="2"/>
        <v>1.8441678192715305E-2</v>
      </c>
      <c r="O72" s="151" t="str">
        <f t="shared" si="3"/>
        <v/>
      </c>
      <c r="P72" s="151" t="str">
        <f t="shared" si="4"/>
        <v/>
      </c>
      <c r="Q72" s="151" t="str">
        <f t="shared" si="5"/>
        <v/>
      </c>
      <c r="R72" s="150">
        <f t="shared" si="6"/>
        <v>1.7407407407407407</v>
      </c>
      <c r="S72" s="150">
        <f t="shared" si="7"/>
        <v>1.7092198581560285</v>
      </c>
      <c r="T72" s="150" t="str">
        <f t="shared" si="8"/>
        <v/>
      </c>
      <c r="U72" s="152">
        <f t="shared" si="12"/>
        <v>0.7407407407407407</v>
      </c>
      <c r="V72" s="143"/>
      <c r="W72" s="102">
        <f t="shared" si="9"/>
        <v>1</v>
      </c>
      <c r="X72" s="153">
        <f t="shared" si="10"/>
        <v>0.7407407407407407</v>
      </c>
      <c r="Y72" s="102"/>
      <c r="Z72" s="102"/>
      <c r="AA72" s="102"/>
      <c r="AB72" s="102"/>
      <c r="AC72" s="102"/>
      <c r="AD72" s="102"/>
      <c r="AE72" s="102"/>
      <c r="AF72" s="138"/>
      <c r="AG72" s="138"/>
      <c r="AH72" s="102"/>
      <c r="AI72" s="102"/>
      <c r="AJ72" s="102"/>
      <c r="AK72" s="102"/>
      <c r="AL72" s="102"/>
      <c r="AM72" s="102"/>
    </row>
    <row r="73" spans="1:39">
      <c r="A73" s="143" t="s">
        <v>240</v>
      </c>
      <c r="B73" s="143" t="s">
        <v>361</v>
      </c>
      <c r="C73" s="145">
        <v>45807</v>
      </c>
      <c r="D73" s="143" t="s">
        <v>464</v>
      </c>
      <c r="E73" s="154" t="s">
        <v>465</v>
      </c>
      <c r="F73" s="147"/>
      <c r="G73" s="147">
        <v>-145</v>
      </c>
      <c r="H73" s="148">
        <v>-152</v>
      </c>
      <c r="I73" s="143"/>
      <c r="J73" s="143">
        <v>1</v>
      </c>
      <c r="K73" s="149" t="s">
        <v>350</v>
      </c>
      <c r="L73" s="150">
        <f t="shared" si="0"/>
        <v>0.68965517241379315</v>
      </c>
      <c r="M73" s="150">
        <f t="shared" si="1"/>
        <v>0.65789473684210531</v>
      </c>
      <c r="N73" s="151">
        <f t="shared" si="2"/>
        <v>1.9157088122605324E-2</v>
      </c>
      <c r="O73" s="151" t="str">
        <f t="shared" si="3"/>
        <v/>
      </c>
      <c r="P73" s="151" t="str">
        <f t="shared" si="4"/>
        <v/>
      </c>
      <c r="Q73" s="151" t="str">
        <f t="shared" si="5"/>
        <v/>
      </c>
      <c r="R73" s="150">
        <f t="shared" si="6"/>
        <v>1.6896551724137931</v>
      </c>
      <c r="S73" s="150">
        <f t="shared" si="7"/>
        <v>1.6578947368421053</v>
      </c>
      <c r="T73" s="150" t="str">
        <f t="shared" si="8"/>
        <v/>
      </c>
      <c r="U73" s="152">
        <f t="shared" si="12"/>
        <v>0.68965517241379315</v>
      </c>
      <c r="V73" s="143"/>
      <c r="W73" s="102">
        <f t="shared" si="9"/>
        <v>1</v>
      </c>
      <c r="X73" s="153">
        <f t="shared" si="10"/>
        <v>0.68965517241379315</v>
      </c>
      <c r="Y73" s="102"/>
      <c r="Z73" s="102"/>
      <c r="AA73" s="102"/>
      <c r="AB73" s="102"/>
      <c r="AC73" s="102"/>
      <c r="AD73" s="102"/>
      <c r="AE73" s="102"/>
      <c r="AF73" s="138"/>
      <c r="AG73" s="138"/>
      <c r="AH73" s="102"/>
      <c r="AI73" s="102"/>
      <c r="AJ73" s="102"/>
      <c r="AK73" s="102"/>
      <c r="AL73" s="102"/>
      <c r="AM73" s="102"/>
    </row>
    <row r="74" spans="1:39">
      <c r="A74" s="143" t="s">
        <v>240</v>
      </c>
      <c r="B74" s="143" t="s">
        <v>361</v>
      </c>
      <c r="C74" s="145">
        <v>45807</v>
      </c>
      <c r="D74" s="143" t="s">
        <v>466</v>
      </c>
      <c r="E74" s="154" t="s">
        <v>458</v>
      </c>
      <c r="F74" s="147">
        <v>113</v>
      </c>
      <c r="G74" s="147">
        <v>145</v>
      </c>
      <c r="H74" s="148">
        <v>141</v>
      </c>
      <c r="I74" s="143"/>
      <c r="J74" s="143">
        <v>1</v>
      </c>
      <c r="K74" s="149" t="s">
        <v>350</v>
      </c>
      <c r="L74" s="150">
        <f t="shared" ref="L74:L137" si="13">IF(K74="","",IF(K74="W",R74*J74-J74,IF(K74="L",-J74,0)))</f>
        <v>1.4500000000000002</v>
      </c>
      <c r="M74" s="150">
        <f t="shared" ref="M74:M137" si="14">IF(K74="","",IF(K74="W",S74*J74-J74,IF(K74="L",-J74,0)))</f>
        <v>1.4100000000000001</v>
      </c>
      <c r="N74" s="151">
        <f t="shared" ref="N74:N137" si="15">IFERROR((1/S74-1/R74)/(1/R74),"")</f>
        <v>1.6597510373444025E-2</v>
      </c>
      <c r="O74" s="151" t="str">
        <f t="shared" ref="O74:O137" si="16">IFERROR(IF(Q74="","",P74 - Q74),"")</f>
        <v/>
      </c>
      <c r="P74" s="151">
        <f t="shared" ref="P74:P137" si="17">IF(F74="","",IF(F74 &lt; 0, -F74 / (-F74 + 100), 100 / (F74 + 100)))</f>
        <v>0.46948356807511737</v>
      </c>
      <c r="Q74" s="151" t="str">
        <f t="shared" ref="Q74:Q137" si="18">IFERROR((1/S74) / ((1/S74) + (1/T74)),"")</f>
        <v/>
      </c>
      <c r="R74" s="150">
        <f t="shared" ref="R74:R137" si="19">IFERROR(IF(G74&gt;0, G74/100 + 1, 100/ABS(G74) + 1),"")</f>
        <v>2.4500000000000002</v>
      </c>
      <c r="S74" s="150">
        <f t="shared" ref="S74:S137" si="20">IFERROR(IF(H74&gt;0, H74/100 + 1, 100/ABS(H74) + 1),"")</f>
        <v>2.41</v>
      </c>
      <c r="T74" s="150" t="str">
        <f t="shared" ref="T74:T137" si="21">IFERROR(IF(I74&gt;0, I74/100 + 1, 100/ABS(I74) + 1),"")</f>
        <v/>
      </c>
      <c r="U74" s="152">
        <f t="shared" si="12"/>
        <v>1.4500000000000002</v>
      </c>
      <c r="V74" s="143"/>
      <c r="W74" s="102">
        <f t="shared" ref="W74:W137" si="22">IF(K74="W",1,IF(K74="P",2,0))</f>
        <v>1</v>
      </c>
      <c r="X74" s="153">
        <f t="shared" ref="X74:X137" si="23">IF(B74=$D$3,U74,"")</f>
        <v>1.4500000000000002</v>
      </c>
      <c r="Y74" s="102"/>
      <c r="Z74" s="102"/>
      <c r="AA74" s="102"/>
      <c r="AB74" s="102"/>
      <c r="AC74" s="102"/>
      <c r="AD74" s="102"/>
      <c r="AE74" s="102"/>
      <c r="AF74" s="138"/>
      <c r="AG74" s="138"/>
      <c r="AH74" s="102"/>
      <c r="AI74" s="102"/>
      <c r="AJ74" s="102"/>
      <c r="AK74" s="102"/>
      <c r="AL74" s="102"/>
      <c r="AM74" s="102"/>
    </row>
    <row r="75" spans="1:39">
      <c r="A75" s="143" t="s">
        <v>240</v>
      </c>
      <c r="B75" s="143" t="s">
        <v>361</v>
      </c>
      <c r="C75" s="145">
        <v>45808</v>
      </c>
      <c r="D75" s="143" t="s">
        <v>467</v>
      </c>
      <c r="E75" s="154" t="s">
        <v>406</v>
      </c>
      <c r="F75" s="147">
        <v>124</v>
      </c>
      <c r="G75" s="147">
        <v>165</v>
      </c>
      <c r="H75" s="148">
        <v>170</v>
      </c>
      <c r="I75" s="143">
        <v>-200</v>
      </c>
      <c r="J75" s="143">
        <v>1</v>
      </c>
      <c r="K75" s="149" t="s">
        <v>311</v>
      </c>
      <c r="L75" s="150">
        <f t="shared" si="13"/>
        <v>-1</v>
      </c>
      <c r="M75" s="150">
        <f t="shared" si="14"/>
        <v>-1</v>
      </c>
      <c r="N75" s="151">
        <f t="shared" si="15"/>
        <v>-1.8518518518518642E-2</v>
      </c>
      <c r="O75" s="151">
        <f t="shared" si="16"/>
        <v>8.9285714285714302E-2</v>
      </c>
      <c r="P75" s="151">
        <f t="shared" si="17"/>
        <v>0.44642857142857145</v>
      </c>
      <c r="Q75" s="151">
        <f t="shared" si="18"/>
        <v>0.35714285714285715</v>
      </c>
      <c r="R75" s="150">
        <f t="shared" si="19"/>
        <v>2.65</v>
      </c>
      <c r="S75" s="150">
        <f t="shared" si="20"/>
        <v>2.7</v>
      </c>
      <c r="T75" s="150">
        <f t="shared" si="21"/>
        <v>1.5</v>
      </c>
      <c r="U75" s="152">
        <f t="shared" ref="U75:U96" si="24">IF(K75="W",R75 - 1, IF(K75="L", -1, 0))</f>
        <v>-1</v>
      </c>
      <c r="V75" s="143"/>
      <c r="W75" s="102">
        <f t="shared" si="22"/>
        <v>0</v>
      </c>
      <c r="X75" s="153">
        <f t="shared" si="23"/>
        <v>-1</v>
      </c>
      <c r="Y75" s="102"/>
      <c r="Z75" s="102"/>
      <c r="AA75" s="102"/>
      <c r="AB75" s="102"/>
      <c r="AC75" s="102"/>
      <c r="AD75" s="102"/>
      <c r="AE75" s="102"/>
      <c r="AF75" s="138"/>
      <c r="AG75" s="138"/>
      <c r="AH75" s="102"/>
      <c r="AI75" s="102"/>
      <c r="AJ75" s="102"/>
      <c r="AK75" s="102"/>
      <c r="AL75" s="102"/>
      <c r="AM75" s="102"/>
    </row>
    <row r="76" spans="1:39">
      <c r="A76" s="143" t="s">
        <v>240</v>
      </c>
      <c r="B76" s="143" t="s">
        <v>361</v>
      </c>
      <c r="C76" s="145">
        <v>45808</v>
      </c>
      <c r="D76" s="143" t="s">
        <v>468</v>
      </c>
      <c r="E76" s="154" t="s">
        <v>454</v>
      </c>
      <c r="F76" s="147">
        <v>-101</v>
      </c>
      <c r="G76" s="147">
        <v>125</v>
      </c>
      <c r="H76" s="148">
        <v>120</v>
      </c>
      <c r="I76" s="143">
        <v>-139</v>
      </c>
      <c r="J76" s="143">
        <v>1</v>
      </c>
      <c r="K76" s="149" t="s">
        <v>311</v>
      </c>
      <c r="L76" s="150">
        <f t="shared" si="13"/>
        <v>-1</v>
      </c>
      <c r="M76" s="150">
        <f t="shared" si="14"/>
        <v>-1</v>
      </c>
      <c r="N76" s="151">
        <f t="shared" si="15"/>
        <v>2.2727272727272749E-2</v>
      </c>
      <c r="O76" s="151">
        <f t="shared" si="16"/>
        <v>6.3794463804326462E-2</v>
      </c>
      <c r="P76" s="151">
        <f t="shared" si="17"/>
        <v>0.50248756218905477</v>
      </c>
      <c r="Q76" s="151">
        <f t="shared" si="18"/>
        <v>0.43869309838472831</v>
      </c>
      <c r="R76" s="150">
        <f t="shared" si="19"/>
        <v>2.25</v>
      </c>
      <c r="S76" s="150">
        <f t="shared" si="20"/>
        <v>2.2000000000000002</v>
      </c>
      <c r="T76" s="150">
        <f t="shared" si="21"/>
        <v>1.7194244604316546</v>
      </c>
      <c r="U76" s="152">
        <f t="shared" si="24"/>
        <v>-1</v>
      </c>
      <c r="V76" s="143"/>
      <c r="W76" s="102">
        <f t="shared" si="22"/>
        <v>0</v>
      </c>
      <c r="X76" s="153">
        <f t="shared" si="23"/>
        <v>-1</v>
      </c>
      <c r="Y76" s="102"/>
      <c r="Z76" s="102"/>
      <c r="AA76" s="102"/>
      <c r="AB76" s="102"/>
      <c r="AC76" s="102"/>
      <c r="AD76" s="102"/>
      <c r="AE76" s="102"/>
      <c r="AF76" s="138"/>
      <c r="AG76" s="138"/>
      <c r="AH76" s="102"/>
      <c r="AI76" s="102"/>
      <c r="AJ76" s="102"/>
      <c r="AK76" s="102"/>
      <c r="AL76" s="102"/>
      <c r="AM76" s="102"/>
    </row>
    <row r="77" spans="1:39">
      <c r="A77" s="143" t="s">
        <v>240</v>
      </c>
      <c r="B77" s="143" t="s">
        <v>361</v>
      </c>
      <c r="C77" s="145">
        <v>45808</v>
      </c>
      <c r="D77" s="143" t="s">
        <v>469</v>
      </c>
      <c r="E77" s="154" t="s">
        <v>409</v>
      </c>
      <c r="F77" s="147">
        <v>-125</v>
      </c>
      <c r="G77" s="147">
        <v>170</v>
      </c>
      <c r="H77" s="148">
        <v>167</v>
      </c>
      <c r="I77" s="143">
        <v>-196</v>
      </c>
      <c r="J77" s="143">
        <v>1</v>
      </c>
      <c r="K77" s="149" t="s">
        <v>350</v>
      </c>
      <c r="L77" s="150">
        <f t="shared" si="13"/>
        <v>1.7000000000000002</v>
      </c>
      <c r="M77" s="150">
        <f t="shared" si="14"/>
        <v>1.67</v>
      </c>
      <c r="N77" s="151">
        <f t="shared" si="15"/>
        <v>1.1235955056179903E-2</v>
      </c>
      <c r="O77" s="151">
        <f t="shared" si="16"/>
        <v>0.1942803517279913</v>
      </c>
      <c r="P77" s="151">
        <f t="shared" si="17"/>
        <v>0.55555555555555558</v>
      </c>
      <c r="Q77" s="151">
        <f t="shared" si="18"/>
        <v>0.36127520382756428</v>
      </c>
      <c r="R77" s="150">
        <f t="shared" si="19"/>
        <v>2.7</v>
      </c>
      <c r="S77" s="150">
        <f t="shared" si="20"/>
        <v>2.67</v>
      </c>
      <c r="T77" s="150">
        <f t="shared" si="21"/>
        <v>1.510204081632653</v>
      </c>
      <c r="U77" s="152">
        <f t="shared" si="24"/>
        <v>1.7000000000000002</v>
      </c>
      <c r="V77" s="143"/>
      <c r="W77" s="102">
        <f t="shared" si="22"/>
        <v>1</v>
      </c>
      <c r="X77" s="153">
        <f t="shared" si="23"/>
        <v>1.7000000000000002</v>
      </c>
      <c r="Y77" s="102"/>
      <c r="Z77" s="102"/>
      <c r="AA77" s="102"/>
      <c r="AB77" s="102"/>
      <c r="AC77" s="102"/>
      <c r="AD77" s="102"/>
      <c r="AE77" s="102"/>
      <c r="AF77" s="138"/>
      <c r="AG77" s="138"/>
      <c r="AH77" s="102"/>
      <c r="AI77" s="102"/>
      <c r="AJ77" s="102"/>
      <c r="AK77" s="102"/>
      <c r="AL77" s="102"/>
      <c r="AM77" s="102"/>
    </row>
    <row r="78" spans="1:39">
      <c r="A78" s="143" t="s">
        <v>240</v>
      </c>
      <c r="B78" s="143" t="s">
        <v>361</v>
      </c>
      <c r="C78" s="145">
        <v>45809</v>
      </c>
      <c r="D78" s="143" t="s">
        <v>461</v>
      </c>
      <c r="E78" s="146" t="s">
        <v>445</v>
      </c>
      <c r="F78" s="147"/>
      <c r="G78" s="147">
        <v>135</v>
      </c>
      <c r="H78" s="148">
        <v>108</v>
      </c>
      <c r="I78" s="143"/>
      <c r="J78" s="143">
        <v>1</v>
      </c>
      <c r="K78" s="149" t="s">
        <v>311</v>
      </c>
      <c r="L78" s="150">
        <f t="shared" si="13"/>
        <v>-1</v>
      </c>
      <c r="M78" s="150">
        <f t="shared" si="14"/>
        <v>-1</v>
      </c>
      <c r="N78" s="151">
        <f t="shared" si="15"/>
        <v>0.12980769230769221</v>
      </c>
      <c r="O78" s="151" t="str">
        <f t="shared" si="16"/>
        <v/>
      </c>
      <c r="P78" s="151" t="str">
        <f t="shared" si="17"/>
        <v/>
      </c>
      <c r="Q78" s="151" t="str">
        <f t="shared" si="18"/>
        <v/>
      </c>
      <c r="R78" s="150">
        <f t="shared" si="19"/>
        <v>2.35</v>
      </c>
      <c r="S78" s="150">
        <f t="shared" si="20"/>
        <v>2.08</v>
      </c>
      <c r="T78" s="150" t="str">
        <f t="shared" si="21"/>
        <v/>
      </c>
      <c r="U78" s="152">
        <f t="shared" si="24"/>
        <v>-1</v>
      </c>
      <c r="V78" s="143"/>
      <c r="W78" s="102">
        <f t="shared" si="22"/>
        <v>0</v>
      </c>
      <c r="X78" s="153">
        <f t="shared" si="23"/>
        <v>-1</v>
      </c>
      <c r="Y78" s="102"/>
      <c r="Z78" s="102"/>
      <c r="AA78" s="102"/>
      <c r="AB78" s="102"/>
      <c r="AC78" s="102"/>
      <c r="AD78" s="102"/>
      <c r="AE78" s="102"/>
      <c r="AF78" s="138"/>
      <c r="AG78" s="138"/>
      <c r="AH78" s="102"/>
      <c r="AI78" s="102"/>
      <c r="AJ78" s="102"/>
      <c r="AK78" s="102"/>
      <c r="AL78" s="102"/>
      <c r="AM78" s="102"/>
    </row>
    <row r="79" spans="1:39">
      <c r="A79" s="143" t="s">
        <v>240</v>
      </c>
      <c r="B79" s="143" t="s">
        <v>361</v>
      </c>
      <c r="C79" s="145">
        <v>45809</v>
      </c>
      <c r="D79" s="143" t="s">
        <v>470</v>
      </c>
      <c r="E79" s="146" t="s">
        <v>471</v>
      </c>
      <c r="F79" s="147"/>
      <c r="G79" s="147">
        <v>161</v>
      </c>
      <c r="H79" s="148">
        <v>156</v>
      </c>
      <c r="I79" s="143"/>
      <c r="J79" s="143">
        <v>1</v>
      </c>
      <c r="K79" s="149" t="s">
        <v>350</v>
      </c>
      <c r="L79" s="150">
        <f t="shared" si="13"/>
        <v>1.6100000000000003</v>
      </c>
      <c r="M79" s="150">
        <f t="shared" si="14"/>
        <v>1.56</v>
      </c>
      <c r="N79" s="151">
        <f t="shared" si="15"/>
        <v>1.9531250000000111E-2</v>
      </c>
      <c r="O79" s="151" t="str">
        <f t="shared" si="16"/>
        <v/>
      </c>
      <c r="P79" s="151" t="str">
        <f t="shared" si="17"/>
        <v/>
      </c>
      <c r="Q79" s="151" t="str">
        <f t="shared" si="18"/>
        <v/>
      </c>
      <c r="R79" s="150">
        <f t="shared" si="19"/>
        <v>2.6100000000000003</v>
      </c>
      <c r="S79" s="150">
        <f t="shared" si="20"/>
        <v>2.56</v>
      </c>
      <c r="T79" s="150" t="str">
        <f t="shared" si="21"/>
        <v/>
      </c>
      <c r="U79" s="152">
        <f t="shared" si="24"/>
        <v>1.6100000000000003</v>
      </c>
      <c r="V79" s="143"/>
      <c r="W79" s="102">
        <f t="shared" si="22"/>
        <v>1</v>
      </c>
      <c r="X79" s="153">
        <f t="shared" si="23"/>
        <v>1.6100000000000003</v>
      </c>
      <c r="Y79" s="102"/>
      <c r="Z79" s="102"/>
      <c r="AA79" s="102"/>
      <c r="AB79" s="102"/>
      <c r="AC79" s="102"/>
      <c r="AD79" s="102"/>
      <c r="AE79" s="102"/>
      <c r="AF79" s="138"/>
      <c r="AG79" s="138"/>
      <c r="AH79" s="102"/>
      <c r="AI79" s="102"/>
      <c r="AJ79" s="102"/>
      <c r="AK79" s="102"/>
      <c r="AL79" s="102"/>
      <c r="AM79" s="102"/>
    </row>
    <row r="80" spans="1:39">
      <c r="A80" s="143" t="s">
        <v>240</v>
      </c>
      <c r="B80" s="143" t="s">
        <v>361</v>
      </c>
      <c r="C80" s="145">
        <v>45809</v>
      </c>
      <c r="D80" s="143" t="s">
        <v>472</v>
      </c>
      <c r="E80" s="154" t="s">
        <v>421</v>
      </c>
      <c r="F80" s="147"/>
      <c r="G80" s="147">
        <v>133</v>
      </c>
      <c r="H80" s="148">
        <v>171</v>
      </c>
      <c r="I80" s="143"/>
      <c r="J80" s="143">
        <v>1</v>
      </c>
      <c r="K80" s="149" t="s">
        <v>311</v>
      </c>
      <c r="L80" s="150">
        <f t="shared" si="13"/>
        <v>-1</v>
      </c>
      <c r="M80" s="150">
        <f t="shared" si="14"/>
        <v>-1</v>
      </c>
      <c r="N80" s="151">
        <f t="shared" si="15"/>
        <v>-0.14022140221402216</v>
      </c>
      <c r="O80" s="151" t="str">
        <f t="shared" si="16"/>
        <v/>
      </c>
      <c r="P80" s="151" t="str">
        <f t="shared" si="17"/>
        <v/>
      </c>
      <c r="Q80" s="151" t="str">
        <f t="shared" si="18"/>
        <v/>
      </c>
      <c r="R80" s="150">
        <f t="shared" si="19"/>
        <v>2.33</v>
      </c>
      <c r="S80" s="150">
        <f t="shared" si="20"/>
        <v>2.71</v>
      </c>
      <c r="T80" s="150" t="str">
        <f t="shared" si="21"/>
        <v/>
      </c>
      <c r="U80" s="152">
        <f t="shared" si="24"/>
        <v>-1</v>
      </c>
      <c r="V80" s="143"/>
      <c r="W80" s="102">
        <f t="shared" si="22"/>
        <v>0</v>
      </c>
      <c r="X80" s="153">
        <f t="shared" si="23"/>
        <v>-1</v>
      </c>
      <c r="Y80" s="102"/>
      <c r="Z80" s="102"/>
      <c r="AA80" s="102"/>
      <c r="AB80" s="102"/>
      <c r="AC80" s="102"/>
      <c r="AD80" s="102"/>
      <c r="AE80" s="102"/>
      <c r="AF80" s="138"/>
      <c r="AG80" s="138"/>
      <c r="AH80" s="102"/>
      <c r="AI80" s="102"/>
      <c r="AJ80" s="102"/>
      <c r="AK80" s="102"/>
      <c r="AL80" s="102"/>
      <c r="AM80" s="102"/>
    </row>
    <row r="81" spans="1:39">
      <c r="A81" s="143" t="s">
        <v>240</v>
      </c>
      <c r="B81" s="143" t="s">
        <v>361</v>
      </c>
      <c r="C81" s="145">
        <v>45809</v>
      </c>
      <c r="D81" s="143" t="s">
        <v>462</v>
      </c>
      <c r="E81" s="146" t="s">
        <v>463</v>
      </c>
      <c r="F81" s="147"/>
      <c r="G81" s="147">
        <v>149</v>
      </c>
      <c r="H81" s="148">
        <v>161</v>
      </c>
      <c r="I81" s="143"/>
      <c r="J81" s="143">
        <v>1</v>
      </c>
      <c r="K81" s="149" t="s">
        <v>350</v>
      </c>
      <c r="L81" s="150">
        <f t="shared" si="13"/>
        <v>1.4900000000000002</v>
      </c>
      <c r="M81" s="150">
        <f t="shared" si="14"/>
        <v>1.6100000000000003</v>
      </c>
      <c r="N81" s="151">
        <f t="shared" si="15"/>
        <v>-4.5977011494252845E-2</v>
      </c>
      <c r="O81" s="151" t="str">
        <f t="shared" si="16"/>
        <v/>
      </c>
      <c r="P81" s="151" t="str">
        <f t="shared" si="17"/>
        <v/>
      </c>
      <c r="Q81" s="151" t="str">
        <f t="shared" si="18"/>
        <v/>
      </c>
      <c r="R81" s="150">
        <f t="shared" si="19"/>
        <v>2.4900000000000002</v>
      </c>
      <c r="S81" s="150">
        <f t="shared" si="20"/>
        <v>2.6100000000000003</v>
      </c>
      <c r="T81" s="150" t="str">
        <f t="shared" si="21"/>
        <v/>
      </c>
      <c r="U81" s="152">
        <f t="shared" si="24"/>
        <v>1.4900000000000002</v>
      </c>
      <c r="V81" s="143"/>
      <c r="W81" s="102">
        <f t="shared" si="22"/>
        <v>1</v>
      </c>
      <c r="X81" s="153">
        <f t="shared" si="23"/>
        <v>1.4900000000000002</v>
      </c>
      <c r="Y81" s="102"/>
      <c r="Z81" s="102"/>
      <c r="AA81" s="102"/>
      <c r="AB81" s="102"/>
      <c r="AC81" s="102"/>
      <c r="AD81" s="102"/>
      <c r="AE81" s="102"/>
      <c r="AF81" s="138"/>
      <c r="AG81" s="138"/>
      <c r="AH81" s="102"/>
      <c r="AI81" s="102"/>
      <c r="AJ81" s="102"/>
      <c r="AK81" s="102"/>
      <c r="AL81" s="102"/>
      <c r="AM81" s="102"/>
    </row>
    <row r="82" spans="1:39">
      <c r="A82" s="143" t="s">
        <v>240</v>
      </c>
      <c r="B82" s="143" t="s">
        <v>361</v>
      </c>
      <c r="C82" s="145">
        <v>45809</v>
      </c>
      <c r="D82" s="143" t="s">
        <v>469</v>
      </c>
      <c r="E82" s="146" t="s">
        <v>409</v>
      </c>
      <c r="F82" s="147"/>
      <c r="G82" s="147">
        <v>113</v>
      </c>
      <c r="H82" s="148">
        <v>108</v>
      </c>
      <c r="I82" s="143"/>
      <c r="J82" s="143">
        <v>1</v>
      </c>
      <c r="K82" s="149" t="s">
        <v>350</v>
      </c>
      <c r="L82" s="150">
        <f t="shared" si="13"/>
        <v>1.1299999999999999</v>
      </c>
      <c r="M82" s="150">
        <f t="shared" si="14"/>
        <v>1.08</v>
      </c>
      <c r="N82" s="151">
        <f t="shared" si="15"/>
        <v>2.4038461538461439E-2</v>
      </c>
      <c r="O82" s="151" t="str">
        <f t="shared" si="16"/>
        <v/>
      </c>
      <c r="P82" s="151" t="str">
        <f t="shared" si="17"/>
        <v/>
      </c>
      <c r="Q82" s="151" t="str">
        <f t="shared" si="18"/>
        <v/>
      </c>
      <c r="R82" s="150">
        <f t="shared" si="19"/>
        <v>2.13</v>
      </c>
      <c r="S82" s="150">
        <f t="shared" si="20"/>
        <v>2.08</v>
      </c>
      <c r="T82" s="150" t="str">
        <f t="shared" si="21"/>
        <v/>
      </c>
      <c r="U82" s="152">
        <f t="shared" si="24"/>
        <v>1.1299999999999999</v>
      </c>
      <c r="V82" s="143"/>
      <c r="W82" s="102">
        <f t="shared" si="22"/>
        <v>1</v>
      </c>
      <c r="X82" s="153">
        <f t="shared" si="23"/>
        <v>1.1299999999999999</v>
      </c>
      <c r="Y82" s="102"/>
      <c r="Z82" s="102"/>
      <c r="AA82" s="102"/>
      <c r="AB82" s="102"/>
      <c r="AC82" s="102"/>
      <c r="AD82" s="102"/>
      <c r="AE82" s="102"/>
      <c r="AF82" s="138"/>
      <c r="AG82" s="138"/>
      <c r="AH82" s="102"/>
      <c r="AI82" s="102"/>
      <c r="AJ82" s="102"/>
      <c r="AK82" s="102"/>
      <c r="AL82" s="102"/>
      <c r="AM82" s="102"/>
    </row>
    <row r="83" spans="1:39">
      <c r="A83" s="143" t="s">
        <v>240</v>
      </c>
      <c r="B83" s="143" t="s">
        <v>361</v>
      </c>
      <c r="C83" s="145">
        <v>45809</v>
      </c>
      <c r="D83" s="143" t="s">
        <v>473</v>
      </c>
      <c r="E83" s="154" t="s">
        <v>411</v>
      </c>
      <c r="F83" s="147"/>
      <c r="G83" s="147">
        <v>157</v>
      </c>
      <c r="H83" s="148">
        <v>171</v>
      </c>
      <c r="I83" s="143">
        <v>-200</v>
      </c>
      <c r="J83" s="143">
        <v>1</v>
      </c>
      <c r="K83" s="149" t="s">
        <v>311</v>
      </c>
      <c r="L83" s="150">
        <f t="shared" si="13"/>
        <v>-1</v>
      </c>
      <c r="M83" s="150">
        <f t="shared" si="14"/>
        <v>-1</v>
      </c>
      <c r="N83" s="151">
        <f t="shared" si="15"/>
        <v>-5.1660516605165935E-2</v>
      </c>
      <c r="O83" s="151" t="str">
        <f t="shared" si="16"/>
        <v/>
      </c>
      <c r="P83" s="151" t="str">
        <f t="shared" si="17"/>
        <v/>
      </c>
      <c r="Q83" s="151">
        <f t="shared" si="18"/>
        <v>0.35629453681710216</v>
      </c>
      <c r="R83" s="150">
        <f t="shared" si="19"/>
        <v>2.5700000000000003</v>
      </c>
      <c r="S83" s="150">
        <f t="shared" si="20"/>
        <v>2.71</v>
      </c>
      <c r="T83" s="150">
        <f t="shared" si="21"/>
        <v>1.5</v>
      </c>
      <c r="U83" s="152">
        <f t="shared" si="24"/>
        <v>-1</v>
      </c>
      <c r="V83" s="143"/>
      <c r="W83" s="102">
        <f t="shared" si="22"/>
        <v>0</v>
      </c>
      <c r="X83" s="153">
        <f t="shared" si="23"/>
        <v>-1</v>
      </c>
      <c r="Y83" s="102"/>
      <c r="Z83" s="102"/>
      <c r="AA83" s="102"/>
      <c r="AB83" s="102"/>
      <c r="AC83" s="102"/>
      <c r="AD83" s="102"/>
      <c r="AE83" s="102"/>
      <c r="AF83" s="138"/>
      <c r="AG83" s="138"/>
      <c r="AH83" s="102"/>
      <c r="AI83" s="102"/>
      <c r="AJ83" s="102"/>
      <c r="AK83" s="102"/>
      <c r="AL83" s="102"/>
      <c r="AM83" s="102"/>
    </row>
    <row r="84" spans="1:39">
      <c r="A84" s="143" t="s">
        <v>240</v>
      </c>
      <c r="B84" s="143" t="s">
        <v>361</v>
      </c>
      <c r="C84" s="145">
        <v>45809</v>
      </c>
      <c r="D84" s="143" t="s">
        <v>466</v>
      </c>
      <c r="E84" s="146" t="s">
        <v>458</v>
      </c>
      <c r="F84" s="147"/>
      <c r="G84" s="147">
        <v>165</v>
      </c>
      <c r="H84" s="148">
        <v>164</v>
      </c>
      <c r="I84" s="143"/>
      <c r="J84" s="143">
        <v>1</v>
      </c>
      <c r="K84" s="149" t="s">
        <v>311</v>
      </c>
      <c r="L84" s="150">
        <f t="shared" si="13"/>
        <v>-1</v>
      </c>
      <c r="M84" s="150">
        <f t="shared" si="14"/>
        <v>-1</v>
      </c>
      <c r="N84" s="151">
        <f t="shared" si="15"/>
        <v>3.7878787878788535E-3</v>
      </c>
      <c r="O84" s="151" t="str">
        <f t="shared" si="16"/>
        <v/>
      </c>
      <c r="P84" s="151" t="str">
        <f t="shared" si="17"/>
        <v/>
      </c>
      <c r="Q84" s="151" t="str">
        <f t="shared" si="18"/>
        <v/>
      </c>
      <c r="R84" s="150">
        <f t="shared" si="19"/>
        <v>2.65</v>
      </c>
      <c r="S84" s="150">
        <f t="shared" si="20"/>
        <v>2.6399999999999997</v>
      </c>
      <c r="T84" s="150" t="str">
        <f t="shared" si="21"/>
        <v/>
      </c>
      <c r="U84" s="152">
        <f t="shared" si="24"/>
        <v>-1</v>
      </c>
      <c r="V84" s="143"/>
      <c r="W84" s="102">
        <f t="shared" si="22"/>
        <v>0</v>
      </c>
      <c r="X84" s="153">
        <f t="shared" si="23"/>
        <v>-1</v>
      </c>
      <c r="Y84" s="102"/>
      <c r="Z84" s="102"/>
      <c r="AA84" s="102"/>
      <c r="AB84" s="102"/>
      <c r="AC84" s="102"/>
      <c r="AD84" s="102"/>
      <c r="AE84" s="102"/>
      <c r="AF84" s="138"/>
      <c r="AG84" s="138"/>
      <c r="AH84" s="102"/>
      <c r="AI84" s="102"/>
      <c r="AJ84" s="102"/>
      <c r="AK84" s="102"/>
      <c r="AL84" s="102"/>
      <c r="AM84" s="102"/>
    </row>
    <row r="85" spans="1:39">
      <c r="A85" s="143" t="s">
        <v>240</v>
      </c>
      <c r="B85" s="143" t="s">
        <v>361</v>
      </c>
      <c r="C85" s="145">
        <v>45809</v>
      </c>
      <c r="D85" s="143" t="s">
        <v>474</v>
      </c>
      <c r="E85" s="146" t="s">
        <v>413</v>
      </c>
      <c r="F85" s="147"/>
      <c r="G85" s="147">
        <v>203</v>
      </c>
      <c r="H85" s="148">
        <v>195</v>
      </c>
      <c r="I85" s="143"/>
      <c r="J85" s="143">
        <v>1</v>
      </c>
      <c r="K85" s="149" t="s">
        <v>311</v>
      </c>
      <c r="L85" s="150">
        <f t="shared" si="13"/>
        <v>-1</v>
      </c>
      <c r="M85" s="150">
        <f t="shared" si="14"/>
        <v>-1</v>
      </c>
      <c r="N85" s="151">
        <f t="shared" si="15"/>
        <v>2.7118644067796575E-2</v>
      </c>
      <c r="O85" s="151" t="str">
        <f t="shared" si="16"/>
        <v/>
      </c>
      <c r="P85" s="151" t="str">
        <f t="shared" si="17"/>
        <v/>
      </c>
      <c r="Q85" s="151" t="str">
        <f t="shared" si="18"/>
        <v/>
      </c>
      <c r="R85" s="150">
        <f t="shared" si="19"/>
        <v>3.03</v>
      </c>
      <c r="S85" s="150">
        <f t="shared" si="20"/>
        <v>2.95</v>
      </c>
      <c r="T85" s="150" t="str">
        <f t="shared" si="21"/>
        <v/>
      </c>
      <c r="U85" s="152">
        <f t="shared" si="24"/>
        <v>-1</v>
      </c>
      <c r="V85" s="143"/>
      <c r="W85" s="102">
        <f t="shared" si="22"/>
        <v>0</v>
      </c>
      <c r="X85" s="153">
        <f t="shared" si="23"/>
        <v>-1</v>
      </c>
      <c r="Y85" s="102"/>
      <c r="Z85" s="102"/>
      <c r="AA85" s="102"/>
      <c r="AB85" s="102"/>
      <c r="AC85" s="102"/>
      <c r="AD85" s="102"/>
      <c r="AE85" s="102"/>
      <c r="AF85" s="138"/>
      <c r="AG85" s="138"/>
      <c r="AH85" s="102"/>
      <c r="AI85" s="102"/>
      <c r="AJ85" s="102"/>
      <c r="AK85" s="102"/>
      <c r="AL85" s="102"/>
      <c r="AM85" s="102"/>
    </row>
    <row r="86" spans="1:39">
      <c r="A86" s="143" t="s">
        <v>240</v>
      </c>
      <c r="B86" s="143" t="s">
        <v>361</v>
      </c>
      <c r="C86" s="145">
        <v>45810</v>
      </c>
      <c r="D86" s="143" t="s">
        <v>475</v>
      </c>
      <c r="E86" s="146" t="s">
        <v>476</v>
      </c>
      <c r="F86" s="147">
        <v>107</v>
      </c>
      <c r="G86" s="147">
        <v>149</v>
      </c>
      <c r="H86" s="148">
        <v>163</v>
      </c>
      <c r="I86" s="143">
        <v>-192</v>
      </c>
      <c r="J86" s="143">
        <v>1</v>
      </c>
      <c r="K86" s="149" t="s">
        <v>351</v>
      </c>
      <c r="L86" s="150">
        <f t="shared" si="13"/>
        <v>0</v>
      </c>
      <c r="M86" s="150">
        <f t="shared" si="14"/>
        <v>0</v>
      </c>
      <c r="N86" s="151">
        <f t="shared" si="15"/>
        <v>-5.3231939163497888E-2</v>
      </c>
      <c r="O86" s="151">
        <f t="shared" si="16"/>
        <v>0.11669949673493574</v>
      </c>
      <c r="P86" s="151">
        <f t="shared" si="17"/>
        <v>0.48309178743961351</v>
      </c>
      <c r="Q86" s="151">
        <f t="shared" si="18"/>
        <v>0.36639229070467777</v>
      </c>
      <c r="R86" s="150">
        <f t="shared" si="19"/>
        <v>2.4900000000000002</v>
      </c>
      <c r="S86" s="150">
        <f t="shared" si="20"/>
        <v>2.63</v>
      </c>
      <c r="T86" s="150">
        <f t="shared" si="21"/>
        <v>1.5208333333333335</v>
      </c>
      <c r="U86" s="152">
        <f t="shared" si="24"/>
        <v>0</v>
      </c>
      <c r="V86" s="143"/>
      <c r="W86" s="102">
        <f t="shared" si="22"/>
        <v>2</v>
      </c>
      <c r="X86" s="153">
        <f t="shared" si="23"/>
        <v>0</v>
      </c>
      <c r="Y86" s="102"/>
      <c r="Z86" s="102"/>
      <c r="AA86" s="102"/>
      <c r="AB86" s="102"/>
      <c r="AC86" s="102"/>
      <c r="AD86" s="102"/>
      <c r="AE86" s="102"/>
      <c r="AF86" s="138"/>
      <c r="AG86" s="138"/>
      <c r="AH86" s="102"/>
      <c r="AI86" s="102"/>
      <c r="AJ86" s="102"/>
      <c r="AK86" s="102"/>
      <c r="AL86" s="102"/>
      <c r="AM86" s="102"/>
    </row>
    <row r="87" spans="1:39">
      <c r="A87" s="143" t="s">
        <v>240</v>
      </c>
      <c r="B87" s="143" t="s">
        <v>361</v>
      </c>
      <c r="C87" s="145">
        <v>45810</v>
      </c>
      <c r="D87" s="143" t="s">
        <v>477</v>
      </c>
      <c r="E87" s="146" t="s">
        <v>397</v>
      </c>
      <c r="F87" s="147">
        <v>100</v>
      </c>
      <c r="G87" s="147">
        <v>125</v>
      </c>
      <c r="H87" s="148">
        <v>116</v>
      </c>
      <c r="I87" s="143">
        <v>-133</v>
      </c>
      <c r="J87" s="143">
        <v>1</v>
      </c>
      <c r="K87" s="149" t="s">
        <v>311</v>
      </c>
      <c r="L87" s="150">
        <f t="shared" si="13"/>
        <v>-1</v>
      </c>
      <c r="M87" s="150">
        <f t="shared" si="14"/>
        <v>-1</v>
      </c>
      <c r="N87" s="151">
        <f t="shared" si="15"/>
        <v>4.1666666666666602E-2</v>
      </c>
      <c r="O87" s="151">
        <f t="shared" si="16"/>
        <v>5.216421926654885E-2</v>
      </c>
      <c r="P87" s="151">
        <f t="shared" si="17"/>
        <v>0.5</v>
      </c>
      <c r="Q87" s="151">
        <f t="shared" si="18"/>
        <v>0.44783578073345115</v>
      </c>
      <c r="R87" s="150">
        <f t="shared" si="19"/>
        <v>2.25</v>
      </c>
      <c r="S87" s="150">
        <f t="shared" si="20"/>
        <v>2.16</v>
      </c>
      <c r="T87" s="150">
        <f t="shared" si="21"/>
        <v>1.7518796992481203</v>
      </c>
      <c r="U87" s="152">
        <f t="shared" si="24"/>
        <v>-1</v>
      </c>
      <c r="V87" s="143"/>
      <c r="W87" s="102">
        <f t="shared" si="22"/>
        <v>0</v>
      </c>
      <c r="X87" s="153">
        <f t="shared" si="23"/>
        <v>-1</v>
      </c>
      <c r="Y87" s="102"/>
      <c r="Z87" s="102"/>
      <c r="AA87" s="102"/>
      <c r="AB87" s="102"/>
      <c r="AC87" s="102"/>
      <c r="AD87" s="102"/>
      <c r="AE87" s="102"/>
      <c r="AF87" s="138"/>
      <c r="AG87" s="138"/>
      <c r="AH87" s="102"/>
      <c r="AI87" s="102"/>
      <c r="AJ87" s="102"/>
      <c r="AK87" s="102"/>
      <c r="AL87" s="102"/>
      <c r="AM87" s="102"/>
    </row>
    <row r="88" spans="1:39">
      <c r="A88" s="143" t="s">
        <v>240</v>
      </c>
      <c r="B88" s="143" t="s">
        <v>361</v>
      </c>
      <c r="C88" s="145">
        <v>45811</v>
      </c>
      <c r="D88" s="143" t="s">
        <v>478</v>
      </c>
      <c r="E88" s="146" t="s">
        <v>463</v>
      </c>
      <c r="F88" s="147">
        <v>-237</v>
      </c>
      <c r="G88" s="147">
        <v>-190</v>
      </c>
      <c r="H88" s="148">
        <v>-196</v>
      </c>
      <c r="I88" s="143">
        <v>168</v>
      </c>
      <c r="J88" s="143">
        <v>1</v>
      </c>
      <c r="K88" s="149" t="s">
        <v>350</v>
      </c>
      <c r="L88" s="150">
        <f t="shared" si="13"/>
        <v>0.52631578947368407</v>
      </c>
      <c r="M88" s="150">
        <f t="shared" si="14"/>
        <v>0.51020408163265296</v>
      </c>
      <c r="N88" s="151">
        <f t="shared" si="15"/>
        <v>1.0668563300142125E-2</v>
      </c>
      <c r="O88" s="151">
        <f t="shared" si="16"/>
        <v>6.3677108787556613E-2</v>
      </c>
      <c r="P88" s="151">
        <f t="shared" si="17"/>
        <v>0.70326409495548958</v>
      </c>
      <c r="Q88" s="151">
        <f t="shared" si="18"/>
        <v>0.63958698616793297</v>
      </c>
      <c r="R88" s="150">
        <f t="shared" si="19"/>
        <v>1.5263157894736841</v>
      </c>
      <c r="S88" s="150">
        <f t="shared" si="20"/>
        <v>1.510204081632653</v>
      </c>
      <c r="T88" s="150">
        <f t="shared" si="21"/>
        <v>2.6799999999999997</v>
      </c>
      <c r="U88" s="152">
        <f t="shared" si="24"/>
        <v>0.52631578947368407</v>
      </c>
      <c r="V88" s="143"/>
      <c r="W88" s="102">
        <f t="shared" si="22"/>
        <v>1</v>
      </c>
      <c r="X88" s="153">
        <f t="shared" si="23"/>
        <v>0.52631578947368407</v>
      </c>
      <c r="Y88" s="102"/>
      <c r="Z88" s="102"/>
      <c r="AA88" s="102"/>
      <c r="AB88" s="102"/>
      <c r="AC88" s="102"/>
      <c r="AD88" s="102"/>
      <c r="AE88" s="102"/>
      <c r="AF88" s="138"/>
      <c r="AG88" s="138"/>
      <c r="AH88" s="102"/>
      <c r="AI88" s="102"/>
      <c r="AJ88" s="102"/>
      <c r="AK88" s="102"/>
      <c r="AL88" s="102"/>
      <c r="AM88" s="102"/>
    </row>
    <row r="89" spans="1:39">
      <c r="A89" s="143" t="s">
        <v>240</v>
      </c>
      <c r="B89" s="143" t="s">
        <v>361</v>
      </c>
      <c r="C89" s="145">
        <v>45812</v>
      </c>
      <c r="D89" s="143" t="s">
        <v>479</v>
      </c>
      <c r="E89" s="146" t="s">
        <v>389</v>
      </c>
      <c r="F89" s="147">
        <v>-134</v>
      </c>
      <c r="G89" s="147">
        <v>153</v>
      </c>
      <c r="H89" s="148">
        <v>156</v>
      </c>
      <c r="I89" s="143">
        <v>-182</v>
      </c>
      <c r="J89" s="143">
        <v>1</v>
      </c>
      <c r="K89" s="149" t="s">
        <v>350</v>
      </c>
      <c r="L89" s="150">
        <f t="shared" si="13"/>
        <v>1.5300000000000002</v>
      </c>
      <c r="M89" s="150">
        <f t="shared" si="14"/>
        <v>1.56</v>
      </c>
      <c r="N89" s="151">
        <f t="shared" si="15"/>
        <v>-1.1718749999999846E-2</v>
      </c>
      <c r="O89" s="151">
        <f t="shared" si="16"/>
        <v>0.19560389931552619</v>
      </c>
      <c r="P89" s="151">
        <f t="shared" si="17"/>
        <v>0.57264957264957261</v>
      </c>
      <c r="Q89" s="151">
        <f t="shared" si="18"/>
        <v>0.37704567333404643</v>
      </c>
      <c r="R89" s="150">
        <f t="shared" si="19"/>
        <v>2.5300000000000002</v>
      </c>
      <c r="S89" s="150">
        <f t="shared" si="20"/>
        <v>2.56</v>
      </c>
      <c r="T89" s="150">
        <f t="shared" si="21"/>
        <v>1.5494505494505495</v>
      </c>
      <c r="U89" s="152">
        <f t="shared" si="24"/>
        <v>1.5300000000000002</v>
      </c>
      <c r="V89" s="143"/>
      <c r="W89" s="102">
        <f t="shared" si="22"/>
        <v>1</v>
      </c>
      <c r="X89" s="153">
        <f t="shared" si="23"/>
        <v>1.5300000000000002</v>
      </c>
      <c r="Y89" s="102"/>
      <c r="Z89" s="102"/>
      <c r="AA89" s="102"/>
      <c r="AB89" s="102"/>
      <c r="AC89" s="102"/>
      <c r="AD89" s="102"/>
      <c r="AE89" s="102"/>
      <c r="AF89" s="138"/>
      <c r="AG89" s="138"/>
      <c r="AH89" s="102"/>
      <c r="AI89" s="102"/>
      <c r="AJ89" s="102"/>
      <c r="AK89" s="102"/>
      <c r="AL89" s="102"/>
      <c r="AM89" s="102"/>
    </row>
    <row r="90" spans="1:39">
      <c r="A90" s="143" t="s">
        <v>240</v>
      </c>
      <c r="B90" s="143" t="s">
        <v>361</v>
      </c>
      <c r="C90" s="145">
        <v>45812</v>
      </c>
      <c r="D90" s="143" t="s">
        <v>480</v>
      </c>
      <c r="E90" s="146" t="s">
        <v>391</v>
      </c>
      <c r="F90" s="147">
        <v>-109</v>
      </c>
      <c r="G90" s="147">
        <v>115</v>
      </c>
      <c r="H90" s="148">
        <v>119</v>
      </c>
      <c r="I90" s="143">
        <v>-137</v>
      </c>
      <c r="J90" s="143">
        <v>1</v>
      </c>
      <c r="K90" s="149" t="s">
        <v>350</v>
      </c>
      <c r="L90" s="150">
        <f t="shared" si="13"/>
        <v>1.1499999999999999</v>
      </c>
      <c r="M90" s="150">
        <f t="shared" si="14"/>
        <v>1.19</v>
      </c>
      <c r="N90" s="151">
        <f t="shared" si="15"/>
        <v>-1.8264840182648324E-2</v>
      </c>
      <c r="O90" s="151">
        <f t="shared" si="16"/>
        <v>8.0214972887831415E-2</v>
      </c>
      <c r="P90" s="151">
        <f t="shared" si="17"/>
        <v>0.52153110047846885</v>
      </c>
      <c r="Q90" s="151">
        <f t="shared" si="18"/>
        <v>0.44131612759063743</v>
      </c>
      <c r="R90" s="150">
        <f t="shared" si="19"/>
        <v>2.15</v>
      </c>
      <c r="S90" s="150">
        <f t="shared" si="20"/>
        <v>2.19</v>
      </c>
      <c r="T90" s="150">
        <f t="shared" si="21"/>
        <v>1.7299270072992701</v>
      </c>
      <c r="U90" s="152">
        <f t="shared" si="24"/>
        <v>1.1499999999999999</v>
      </c>
      <c r="V90" s="143"/>
      <c r="W90" s="102">
        <f t="shared" si="22"/>
        <v>1</v>
      </c>
      <c r="X90" s="153">
        <f t="shared" si="23"/>
        <v>1.1499999999999999</v>
      </c>
      <c r="Y90" s="102"/>
      <c r="Z90" s="102"/>
      <c r="AA90" s="102"/>
      <c r="AB90" s="102"/>
      <c r="AC90" s="102"/>
      <c r="AD90" s="102"/>
      <c r="AE90" s="102"/>
      <c r="AF90" s="138"/>
      <c r="AG90" s="138"/>
      <c r="AH90" s="102"/>
      <c r="AI90" s="102"/>
      <c r="AJ90" s="102"/>
      <c r="AK90" s="102"/>
      <c r="AL90" s="102"/>
      <c r="AM90" s="102"/>
    </row>
    <row r="91" spans="1:39">
      <c r="A91" s="143" t="s">
        <v>240</v>
      </c>
      <c r="B91" s="143" t="s">
        <v>361</v>
      </c>
      <c r="C91" s="145">
        <v>45812</v>
      </c>
      <c r="D91" s="143" t="s">
        <v>481</v>
      </c>
      <c r="E91" s="146" t="s">
        <v>458</v>
      </c>
      <c r="F91" s="147">
        <v>-177</v>
      </c>
      <c r="G91" s="147">
        <v>-120</v>
      </c>
      <c r="H91" s="148">
        <v>-120</v>
      </c>
      <c r="I91" s="143">
        <v>106</v>
      </c>
      <c r="J91" s="143">
        <v>1</v>
      </c>
      <c r="K91" s="149" t="s">
        <v>350</v>
      </c>
      <c r="L91" s="150">
        <f t="shared" si="13"/>
        <v>0.83333333333333348</v>
      </c>
      <c r="M91" s="150">
        <f t="shared" si="14"/>
        <v>0.83333333333333348</v>
      </c>
      <c r="N91" s="151">
        <f t="shared" si="15"/>
        <v>0</v>
      </c>
      <c r="O91" s="151">
        <f t="shared" si="16"/>
        <v>0.10987958063399439</v>
      </c>
      <c r="P91" s="151">
        <f t="shared" si="17"/>
        <v>0.63898916967509023</v>
      </c>
      <c r="Q91" s="151">
        <f t="shared" si="18"/>
        <v>0.52910958904109584</v>
      </c>
      <c r="R91" s="150">
        <f t="shared" si="19"/>
        <v>1.8333333333333335</v>
      </c>
      <c r="S91" s="150">
        <f t="shared" si="20"/>
        <v>1.8333333333333335</v>
      </c>
      <c r="T91" s="150">
        <f t="shared" si="21"/>
        <v>2.06</v>
      </c>
      <c r="U91" s="152">
        <f t="shared" si="24"/>
        <v>0.83333333333333348</v>
      </c>
      <c r="V91" s="143"/>
      <c r="W91" s="102">
        <f t="shared" si="22"/>
        <v>1</v>
      </c>
      <c r="X91" s="153">
        <f t="shared" si="23"/>
        <v>0.83333333333333348</v>
      </c>
      <c r="Y91" s="102"/>
      <c r="Z91" s="102"/>
      <c r="AA91" s="102"/>
      <c r="AB91" s="102"/>
      <c r="AC91" s="102"/>
      <c r="AD91" s="102"/>
      <c r="AE91" s="102"/>
      <c r="AF91" s="138"/>
      <c r="AG91" s="138"/>
      <c r="AH91" s="102"/>
      <c r="AI91" s="102"/>
      <c r="AJ91" s="102"/>
      <c r="AK91" s="102"/>
      <c r="AL91" s="102"/>
      <c r="AM91" s="102"/>
    </row>
    <row r="92" spans="1:39">
      <c r="A92" s="143" t="s">
        <v>240</v>
      </c>
      <c r="B92" s="143" t="s">
        <v>361</v>
      </c>
      <c r="C92" s="145">
        <v>45813</v>
      </c>
      <c r="D92" s="143" t="s">
        <v>479</v>
      </c>
      <c r="E92" s="146" t="s">
        <v>389</v>
      </c>
      <c r="F92" s="147">
        <v>-113</v>
      </c>
      <c r="G92" s="147">
        <v>135</v>
      </c>
      <c r="H92" s="148">
        <v>120</v>
      </c>
      <c r="I92" s="143"/>
      <c r="J92" s="143">
        <v>1</v>
      </c>
      <c r="K92" s="149" t="s">
        <v>311</v>
      </c>
      <c r="L92" s="150">
        <f t="shared" si="13"/>
        <v>-1</v>
      </c>
      <c r="M92" s="150">
        <f t="shared" si="14"/>
        <v>-1</v>
      </c>
      <c r="N92" s="151">
        <f t="shared" si="15"/>
        <v>6.8181818181818135E-2</v>
      </c>
      <c r="O92" s="151" t="str">
        <f t="shared" si="16"/>
        <v/>
      </c>
      <c r="P92" s="151">
        <f t="shared" si="17"/>
        <v>0.53051643192488263</v>
      </c>
      <c r="Q92" s="151" t="str">
        <f t="shared" si="18"/>
        <v/>
      </c>
      <c r="R92" s="150">
        <f t="shared" si="19"/>
        <v>2.35</v>
      </c>
      <c r="S92" s="150">
        <f t="shared" si="20"/>
        <v>2.2000000000000002</v>
      </c>
      <c r="T92" s="150" t="str">
        <f t="shared" si="21"/>
        <v/>
      </c>
      <c r="U92" s="152">
        <f t="shared" si="24"/>
        <v>-1</v>
      </c>
      <c r="V92" s="143"/>
      <c r="W92" s="102">
        <f t="shared" si="22"/>
        <v>0</v>
      </c>
      <c r="X92" s="153">
        <f t="shared" si="23"/>
        <v>-1</v>
      </c>
      <c r="Y92" s="102"/>
      <c r="Z92" s="102"/>
      <c r="AA92" s="102"/>
      <c r="AB92" s="102"/>
      <c r="AC92" s="102"/>
      <c r="AD92" s="102"/>
      <c r="AE92" s="102"/>
      <c r="AF92" s="138"/>
      <c r="AG92" s="138"/>
      <c r="AH92" s="102"/>
      <c r="AI92" s="102"/>
      <c r="AJ92" s="102"/>
      <c r="AK92" s="102"/>
      <c r="AL92" s="102"/>
      <c r="AM92" s="102"/>
    </row>
    <row r="93" spans="1:39">
      <c r="A93" s="143" t="s">
        <v>240</v>
      </c>
      <c r="B93" s="143" t="s">
        <v>361</v>
      </c>
      <c r="C93" s="145">
        <v>45813</v>
      </c>
      <c r="D93" s="143" t="s">
        <v>480</v>
      </c>
      <c r="E93" s="146" t="s">
        <v>391</v>
      </c>
      <c r="F93" s="147">
        <v>-116</v>
      </c>
      <c r="G93" s="147">
        <v>115</v>
      </c>
      <c r="H93" s="148">
        <v>100</v>
      </c>
      <c r="I93" s="143">
        <v>-114</v>
      </c>
      <c r="J93" s="143">
        <v>1</v>
      </c>
      <c r="K93" s="149" t="s">
        <v>350</v>
      </c>
      <c r="L93" s="150">
        <f t="shared" si="13"/>
        <v>1.1499999999999999</v>
      </c>
      <c r="M93" s="150">
        <f t="shared" si="14"/>
        <v>1</v>
      </c>
      <c r="N93" s="151">
        <f t="shared" si="15"/>
        <v>7.5000000000000011E-2</v>
      </c>
      <c r="O93" s="151">
        <f t="shared" si="16"/>
        <v>5.287414110943528E-2</v>
      </c>
      <c r="P93" s="151">
        <f t="shared" si="17"/>
        <v>0.53703703703703709</v>
      </c>
      <c r="Q93" s="151">
        <f t="shared" si="18"/>
        <v>0.48416289592760181</v>
      </c>
      <c r="R93" s="150">
        <f t="shared" si="19"/>
        <v>2.15</v>
      </c>
      <c r="S93" s="150">
        <f t="shared" si="20"/>
        <v>2</v>
      </c>
      <c r="T93" s="150">
        <f t="shared" si="21"/>
        <v>1.8771929824561404</v>
      </c>
      <c r="U93" s="152">
        <f t="shared" si="24"/>
        <v>1.1499999999999999</v>
      </c>
      <c r="V93" s="143"/>
      <c r="W93" s="102">
        <f t="shared" si="22"/>
        <v>1</v>
      </c>
      <c r="X93" s="153">
        <f t="shared" si="23"/>
        <v>1.1499999999999999</v>
      </c>
      <c r="Y93" s="102"/>
      <c r="Z93" s="102"/>
      <c r="AA93" s="102"/>
      <c r="AB93" s="102"/>
      <c r="AC93" s="102"/>
      <c r="AD93" s="102"/>
      <c r="AE93" s="102"/>
      <c r="AF93" s="138"/>
      <c r="AG93" s="138"/>
      <c r="AH93" s="102"/>
      <c r="AI93" s="102"/>
      <c r="AJ93" s="102"/>
      <c r="AK93" s="102"/>
      <c r="AL93" s="102"/>
      <c r="AM93" s="102"/>
    </row>
    <row r="94" spans="1:39">
      <c r="A94" s="143" t="s">
        <v>241</v>
      </c>
      <c r="B94" s="143" t="s">
        <v>361</v>
      </c>
      <c r="C94" s="145">
        <v>45814</v>
      </c>
      <c r="D94" s="143" t="s">
        <v>482</v>
      </c>
      <c r="E94" s="146" t="s">
        <v>397</v>
      </c>
      <c r="F94" s="147">
        <v>-160</v>
      </c>
      <c r="G94" s="147">
        <v>-105</v>
      </c>
      <c r="H94" s="148">
        <v>-112</v>
      </c>
      <c r="I94" s="143">
        <v>-102</v>
      </c>
      <c r="J94" s="143">
        <v>1</v>
      </c>
      <c r="K94" s="149" t="s">
        <v>350</v>
      </c>
      <c r="L94" s="150">
        <f t="shared" si="13"/>
        <v>0.95238095238095233</v>
      </c>
      <c r="M94" s="150">
        <f t="shared" si="14"/>
        <v>0.89285714285714279</v>
      </c>
      <c r="N94" s="151">
        <f t="shared" si="15"/>
        <v>3.144654088050311E-2</v>
      </c>
      <c r="O94" s="151">
        <f t="shared" si="16"/>
        <v>0.10408466962435503</v>
      </c>
      <c r="P94" s="151">
        <f t="shared" si="17"/>
        <v>0.61538461538461542</v>
      </c>
      <c r="Q94" s="151">
        <f t="shared" si="18"/>
        <v>0.51129994576026039</v>
      </c>
      <c r="R94" s="150">
        <f t="shared" si="19"/>
        <v>1.9523809523809523</v>
      </c>
      <c r="S94" s="150">
        <f t="shared" si="20"/>
        <v>1.8928571428571428</v>
      </c>
      <c r="T94" s="150">
        <f t="shared" si="21"/>
        <v>1.9803921568627452</v>
      </c>
      <c r="U94" s="152">
        <f t="shared" si="24"/>
        <v>0.95238095238095233</v>
      </c>
      <c r="V94" s="143"/>
      <c r="W94" s="102">
        <f t="shared" si="22"/>
        <v>1</v>
      </c>
      <c r="X94" s="153">
        <f t="shared" si="23"/>
        <v>0.95238095238095233</v>
      </c>
      <c r="Y94" s="102"/>
      <c r="Z94" s="102"/>
      <c r="AA94" s="102"/>
      <c r="AB94" s="102"/>
      <c r="AC94" s="102"/>
      <c r="AD94" s="102"/>
      <c r="AE94" s="102"/>
      <c r="AF94" s="138"/>
      <c r="AG94" s="138"/>
      <c r="AH94" s="102"/>
      <c r="AI94" s="102"/>
      <c r="AJ94" s="102"/>
      <c r="AK94" s="102"/>
      <c r="AL94" s="102"/>
      <c r="AM94" s="102"/>
    </row>
    <row r="95" spans="1:39">
      <c r="A95" s="143" t="s">
        <v>248</v>
      </c>
      <c r="B95" s="143" t="s">
        <v>361</v>
      </c>
      <c r="C95" s="145">
        <v>45814</v>
      </c>
      <c r="D95" s="143" t="s">
        <v>483</v>
      </c>
      <c r="E95" s="146" t="s">
        <v>421</v>
      </c>
      <c r="F95" s="147">
        <v>-115</v>
      </c>
      <c r="G95" s="147">
        <v>118</v>
      </c>
      <c r="H95" s="148">
        <v>114</v>
      </c>
      <c r="I95" s="143">
        <v>-132</v>
      </c>
      <c r="J95" s="143">
        <v>1</v>
      </c>
      <c r="K95" s="149" t="s">
        <v>350</v>
      </c>
      <c r="L95" s="150">
        <f t="shared" si="13"/>
        <v>1.1799999999999997</v>
      </c>
      <c r="M95" s="150">
        <f t="shared" si="14"/>
        <v>1.1399999999999997</v>
      </c>
      <c r="N95" s="151">
        <f t="shared" si="15"/>
        <v>1.8691588785046662E-2</v>
      </c>
      <c r="O95" s="151">
        <f t="shared" si="16"/>
        <v>8.3942965215724585E-2</v>
      </c>
      <c r="P95" s="151">
        <f t="shared" si="17"/>
        <v>0.53488372093023251</v>
      </c>
      <c r="Q95" s="151">
        <f t="shared" si="18"/>
        <v>0.45094075571450792</v>
      </c>
      <c r="R95" s="150">
        <f t="shared" si="19"/>
        <v>2.1799999999999997</v>
      </c>
      <c r="S95" s="150">
        <f t="shared" si="20"/>
        <v>2.1399999999999997</v>
      </c>
      <c r="T95" s="150">
        <f t="shared" si="21"/>
        <v>1.7575757575757576</v>
      </c>
      <c r="U95" s="152">
        <f t="shared" si="24"/>
        <v>1.1799999999999997</v>
      </c>
      <c r="V95" s="143"/>
      <c r="W95" s="102">
        <f t="shared" si="22"/>
        <v>1</v>
      </c>
      <c r="X95" s="153">
        <f t="shared" si="23"/>
        <v>1.1799999999999997</v>
      </c>
      <c r="Y95" s="102"/>
      <c r="Z95" s="102"/>
      <c r="AA95" s="102"/>
      <c r="AB95" s="102"/>
      <c r="AC95" s="102"/>
      <c r="AD95" s="102"/>
      <c r="AE95" s="102"/>
      <c r="AF95" s="138"/>
      <c r="AG95" s="138"/>
      <c r="AH95" s="102"/>
      <c r="AI95" s="102"/>
      <c r="AJ95" s="102"/>
      <c r="AK95" s="102"/>
      <c r="AL95" s="102"/>
      <c r="AM95" s="102"/>
    </row>
    <row r="96" spans="1:39">
      <c r="A96" s="143" t="s">
        <v>240</v>
      </c>
      <c r="B96" s="143" t="s">
        <v>361</v>
      </c>
      <c r="C96" s="145">
        <v>45814</v>
      </c>
      <c r="D96" s="143" t="s">
        <v>484</v>
      </c>
      <c r="E96" s="146" t="s">
        <v>391</v>
      </c>
      <c r="F96" s="147">
        <v>-355</v>
      </c>
      <c r="G96" s="147">
        <v>-280</v>
      </c>
      <c r="H96" s="148">
        <v>-278</v>
      </c>
      <c r="I96" s="143">
        <v>225</v>
      </c>
      <c r="J96" s="143">
        <v>1</v>
      </c>
      <c r="K96" s="149" t="s">
        <v>351</v>
      </c>
      <c r="L96" s="150">
        <f t="shared" si="13"/>
        <v>0</v>
      </c>
      <c r="M96" s="150">
        <f t="shared" si="14"/>
        <v>0</v>
      </c>
      <c r="N96" s="151">
        <f t="shared" si="15"/>
        <v>-1.8896447467875285E-3</v>
      </c>
      <c r="O96" s="151">
        <f t="shared" si="16"/>
        <v>7.5186615959148217E-2</v>
      </c>
      <c r="P96" s="151">
        <f t="shared" si="17"/>
        <v>0.78021978021978022</v>
      </c>
      <c r="Q96" s="151">
        <f t="shared" si="18"/>
        <v>0.70503316426063201</v>
      </c>
      <c r="R96" s="150">
        <f t="shared" si="19"/>
        <v>1.3571428571428572</v>
      </c>
      <c r="S96" s="150">
        <f t="shared" si="20"/>
        <v>1.3597122302158273</v>
      </c>
      <c r="T96" s="150">
        <f t="shared" si="21"/>
        <v>3.25</v>
      </c>
      <c r="U96" s="152">
        <f t="shared" si="24"/>
        <v>0</v>
      </c>
      <c r="V96" s="143"/>
      <c r="W96" s="102">
        <f t="shared" si="22"/>
        <v>2</v>
      </c>
      <c r="X96" s="153">
        <f t="shared" si="23"/>
        <v>0</v>
      </c>
      <c r="Y96" s="102"/>
      <c r="Z96" s="102"/>
      <c r="AA96" s="102"/>
      <c r="AB96" s="102"/>
      <c r="AC96" s="102"/>
      <c r="AD96" s="102"/>
      <c r="AE96" s="102"/>
      <c r="AF96" s="138"/>
      <c r="AG96" s="138"/>
      <c r="AH96" s="102"/>
      <c r="AI96" s="102"/>
      <c r="AJ96" s="102"/>
      <c r="AK96" s="102"/>
      <c r="AL96" s="102"/>
      <c r="AM96" s="102"/>
    </row>
    <row r="97" spans="1:39">
      <c r="A97" s="143" t="s">
        <v>243</v>
      </c>
      <c r="B97" s="143" t="s">
        <v>361</v>
      </c>
      <c r="C97" s="145">
        <v>45815</v>
      </c>
      <c r="D97" s="143" t="s">
        <v>485</v>
      </c>
      <c r="E97" s="146" t="s">
        <v>445</v>
      </c>
      <c r="F97" s="147">
        <v>-177</v>
      </c>
      <c r="G97" s="147">
        <v>-113</v>
      </c>
      <c r="H97" s="148">
        <v>-110</v>
      </c>
      <c r="I97" s="143">
        <v>-104</v>
      </c>
      <c r="J97" s="143">
        <v>1</v>
      </c>
      <c r="K97" s="149" t="s">
        <v>311</v>
      </c>
      <c r="L97" s="150">
        <f t="shared" si="13"/>
        <v>-1</v>
      </c>
      <c r="M97" s="150">
        <f t="shared" si="14"/>
        <v>-1</v>
      </c>
      <c r="N97" s="151">
        <f t="shared" si="15"/>
        <v>-1.2642225031605506E-2</v>
      </c>
      <c r="O97" s="151">
        <f t="shared" si="16"/>
        <v>0.13221410192441263</v>
      </c>
      <c r="P97" s="151">
        <f t="shared" si="17"/>
        <v>0.63898916967509023</v>
      </c>
      <c r="Q97" s="151">
        <f t="shared" si="18"/>
        <v>0.5067750677506776</v>
      </c>
      <c r="R97" s="150">
        <f t="shared" si="19"/>
        <v>1.8849557522123894</v>
      </c>
      <c r="S97" s="150">
        <f t="shared" si="20"/>
        <v>1.9090909090909092</v>
      </c>
      <c r="T97" s="150">
        <f t="shared" si="21"/>
        <v>1.9615384615384617</v>
      </c>
      <c r="U97" s="152"/>
      <c r="V97" s="143"/>
      <c r="W97" s="102">
        <f t="shared" si="22"/>
        <v>0</v>
      </c>
      <c r="X97" s="153">
        <f t="shared" si="23"/>
        <v>0</v>
      </c>
      <c r="Y97" s="102"/>
      <c r="Z97" s="102"/>
      <c r="AA97" s="102"/>
      <c r="AB97" s="102"/>
      <c r="AC97" s="102"/>
      <c r="AD97" s="102"/>
      <c r="AE97" s="102"/>
      <c r="AF97" s="138"/>
      <c r="AG97" s="138"/>
      <c r="AH97" s="102"/>
      <c r="AI97" s="102"/>
      <c r="AJ97" s="102"/>
      <c r="AK97" s="102"/>
      <c r="AL97" s="102"/>
      <c r="AM97" s="102"/>
    </row>
    <row r="98" spans="1:39">
      <c r="A98" s="143" t="s">
        <v>238</v>
      </c>
      <c r="B98" s="143" t="s">
        <v>361</v>
      </c>
      <c r="C98" s="145">
        <v>45815</v>
      </c>
      <c r="D98" s="143" t="s">
        <v>485</v>
      </c>
      <c r="E98" s="146" t="s">
        <v>445</v>
      </c>
      <c r="F98" s="147">
        <v>-165</v>
      </c>
      <c r="G98" s="147">
        <v>-107</v>
      </c>
      <c r="H98" s="148">
        <v>-101</v>
      </c>
      <c r="I98" s="143">
        <v>102</v>
      </c>
      <c r="J98" s="143">
        <v>1</v>
      </c>
      <c r="K98" s="149" t="s">
        <v>350</v>
      </c>
      <c r="L98" s="150">
        <f t="shared" si="13"/>
        <v>0.93457943925233655</v>
      </c>
      <c r="M98" s="150">
        <f t="shared" si="14"/>
        <v>0.99009900990099009</v>
      </c>
      <c r="N98" s="151">
        <f t="shared" si="15"/>
        <v>-2.7897893709024815E-2</v>
      </c>
      <c r="O98" s="151">
        <f t="shared" si="16"/>
        <v>0.11891329848141663</v>
      </c>
      <c r="P98" s="151">
        <f t="shared" si="17"/>
        <v>0.62264150943396224</v>
      </c>
      <c r="Q98" s="151">
        <f t="shared" si="18"/>
        <v>0.50372821095254561</v>
      </c>
      <c r="R98" s="150">
        <f t="shared" si="19"/>
        <v>1.9345794392523366</v>
      </c>
      <c r="S98" s="150">
        <f t="shared" si="20"/>
        <v>1.9900990099009901</v>
      </c>
      <c r="T98" s="150">
        <f t="shared" si="21"/>
        <v>2.02</v>
      </c>
      <c r="U98" s="152">
        <f>IF(K98="W",R98  - 1, IF(K98="L", -1, 0))</f>
        <v>0.93457943925233655</v>
      </c>
      <c r="V98" s="143"/>
      <c r="W98" s="102">
        <f t="shared" si="22"/>
        <v>1</v>
      </c>
      <c r="X98" s="153">
        <f t="shared" si="23"/>
        <v>0.93457943925233655</v>
      </c>
      <c r="Y98" s="102"/>
      <c r="Z98" s="102"/>
      <c r="AA98" s="102"/>
      <c r="AB98" s="102"/>
      <c r="AC98" s="102"/>
      <c r="AD98" s="102"/>
      <c r="AE98" s="102"/>
      <c r="AF98" s="138"/>
      <c r="AG98" s="138"/>
      <c r="AH98" s="102"/>
      <c r="AI98" s="102"/>
      <c r="AJ98" s="102"/>
      <c r="AK98" s="102"/>
      <c r="AL98" s="102"/>
      <c r="AM98" s="102"/>
    </row>
    <row r="99" spans="1:39">
      <c r="A99" s="143" t="s">
        <v>241</v>
      </c>
      <c r="B99" s="143" t="s">
        <v>361</v>
      </c>
      <c r="C99" s="145">
        <v>45815</v>
      </c>
      <c r="D99" s="143" t="s">
        <v>486</v>
      </c>
      <c r="E99" s="146" t="s">
        <v>487</v>
      </c>
      <c r="F99" s="147">
        <v>-151</v>
      </c>
      <c r="G99" s="147">
        <v>-120</v>
      </c>
      <c r="H99" s="148">
        <v>-120</v>
      </c>
      <c r="I99" s="143">
        <v>104</v>
      </c>
      <c r="J99" s="143">
        <v>1</v>
      </c>
      <c r="K99" s="149" t="s">
        <v>350</v>
      </c>
      <c r="L99" s="150">
        <f t="shared" si="13"/>
        <v>0.83333333333333348</v>
      </c>
      <c r="M99" s="150">
        <f t="shared" si="14"/>
        <v>0.83333333333333348</v>
      </c>
      <c r="N99" s="151">
        <f t="shared" si="15"/>
        <v>0</v>
      </c>
      <c r="O99" s="151">
        <f t="shared" si="16"/>
        <v>7.4915484362035545E-2</v>
      </c>
      <c r="P99" s="151">
        <f t="shared" si="17"/>
        <v>0.60159362549800799</v>
      </c>
      <c r="Q99" s="151">
        <f t="shared" si="18"/>
        <v>0.52667814113597244</v>
      </c>
      <c r="R99" s="150">
        <f t="shared" si="19"/>
        <v>1.8333333333333335</v>
      </c>
      <c r="S99" s="150">
        <f t="shared" si="20"/>
        <v>1.8333333333333335</v>
      </c>
      <c r="T99" s="150">
        <f t="shared" si="21"/>
        <v>2.04</v>
      </c>
      <c r="U99" s="152">
        <f>IF(K99="W",R99 - 1, IF(K99="L", -1, 0))</f>
        <v>0.83333333333333348</v>
      </c>
      <c r="V99" s="143"/>
      <c r="W99" s="102">
        <f t="shared" si="22"/>
        <v>1</v>
      </c>
      <c r="X99" s="153">
        <f t="shared" si="23"/>
        <v>0.83333333333333348</v>
      </c>
      <c r="Y99" s="102"/>
      <c r="Z99" s="102"/>
      <c r="AA99" s="102"/>
      <c r="AB99" s="102"/>
      <c r="AC99" s="102"/>
      <c r="AD99" s="102"/>
      <c r="AE99" s="102"/>
      <c r="AF99" s="138"/>
      <c r="AG99" s="138"/>
      <c r="AH99" s="102"/>
      <c r="AI99" s="102"/>
      <c r="AJ99" s="102"/>
      <c r="AK99" s="102"/>
      <c r="AL99" s="102"/>
      <c r="AM99" s="102"/>
    </row>
    <row r="100" spans="1:39">
      <c r="A100" s="143" t="s">
        <v>238</v>
      </c>
      <c r="B100" s="143" t="s">
        <v>361</v>
      </c>
      <c r="C100" s="145">
        <v>45815</v>
      </c>
      <c r="D100" s="143" t="s">
        <v>488</v>
      </c>
      <c r="E100" s="146" t="s">
        <v>447</v>
      </c>
      <c r="F100" s="147">
        <v>-111</v>
      </c>
      <c r="G100" s="147">
        <v>110</v>
      </c>
      <c r="H100" s="148">
        <v>110</v>
      </c>
      <c r="I100" s="143">
        <v>-127</v>
      </c>
      <c r="J100" s="143">
        <v>1</v>
      </c>
      <c r="K100" s="149" t="s">
        <v>350</v>
      </c>
      <c r="L100" s="150">
        <f t="shared" si="13"/>
        <v>1.1000000000000001</v>
      </c>
      <c r="M100" s="150">
        <f t="shared" si="14"/>
        <v>1.1000000000000001</v>
      </c>
      <c r="N100" s="151">
        <f t="shared" si="15"/>
        <v>0</v>
      </c>
      <c r="O100" s="151">
        <f t="shared" si="16"/>
        <v>6.6272953911224564E-2</v>
      </c>
      <c r="P100" s="151">
        <f t="shared" si="17"/>
        <v>0.52606635071090047</v>
      </c>
      <c r="Q100" s="151">
        <f t="shared" si="18"/>
        <v>0.4597933967996759</v>
      </c>
      <c r="R100" s="150">
        <f t="shared" si="19"/>
        <v>2.1</v>
      </c>
      <c r="S100" s="150">
        <f t="shared" si="20"/>
        <v>2.1</v>
      </c>
      <c r="T100" s="150">
        <f t="shared" si="21"/>
        <v>1.7874015748031495</v>
      </c>
      <c r="U100" s="152">
        <f>IF(K100="W",R100 - 1, IF(K100="L", -1, 0))</f>
        <v>1.1000000000000001</v>
      </c>
      <c r="V100" s="143"/>
      <c r="W100" s="102">
        <f t="shared" si="22"/>
        <v>1</v>
      </c>
      <c r="X100" s="153">
        <f t="shared" si="23"/>
        <v>1.1000000000000001</v>
      </c>
      <c r="Y100" s="102"/>
      <c r="Z100" s="102"/>
      <c r="AA100" s="102"/>
      <c r="AB100" s="102"/>
      <c r="AC100" s="102"/>
      <c r="AD100" s="102"/>
      <c r="AE100" s="102"/>
      <c r="AF100" s="138"/>
      <c r="AG100" s="138"/>
      <c r="AH100" s="102"/>
      <c r="AI100" s="102"/>
      <c r="AJ100" s="102"/>
      <c r="AK100" s="102"/>
      <c r="AL100" s="102"/>
      <c r="AM100" s="102"/>
    </row>
    <row r="101" spans="1:39">
      <c r="A101" s="143" t="s">
        <v>248</v>
      </c>
      <c r="B101" s="143" t="s">
        <v>361</v>
      </c>
      <c r="C101" s="145">
        <v>45815</v>
      </c>
      <c r="D101" s="143" t="s">
        <v>489</v>
      </c>
      <c r="E101" s="146" t="s">
        <v>463</v>
      </c>
      <c r="F101" s="147">
        <v>-135</v>
      </c>
      <c r="G101" s="147">
        <v>108</v>
      </c>
      <c r="H101" s="148">
        <v>108</v>
      </c>
      <c r="I101" s="143">
        <v>-127</v>
      </c>
      <c r="J101" s="143">
        <v>1</v>
      </c>
      <c r="K101" s="149" t="s">
        <v>311</v>
      </c>
      <c r="L101" s="150">
        <f t="shared" si="13"/>
        <v>-1</v>
      </c>
      <c r="M101" s="150">
        <f t="shared" si="14"/>
        <v>-1</v>
      </c>
      <c r="N101" s="151">
        <f t="shared" si="15"/>
        <v>0</v>
      </c>
      <c r="O101" s="151">
        <f t="shared" si="16"/>
        <v>0.11229689852767144</v>
      </c>
      <c r="P101" s="151">
        <f t="shared" si="17"/>
        <v>0.57446808510638303</v>
      </c>
      <c r="Q101" s="151">
        <f t="shared" si="18"/>
        <v>0.46217118657871159</v>
      </c>
      <c r="R101" s="150">
        <f t="shared" si="19"/>
        <v>2.08</v>
      </c>
      <c r="S101" s="150">
        <f t="shared" si="20"/>
        <v>2.08</v>
      </c>
      <c r="T101" s="150">
        <f t="shared" si="21"/>
        <v>1.7874015748031495</v>
      </c>
      <c r="U101" s="152">
        <f>IF(K101="W",R101 - 1, IF(K101="L", -1, 0))</f>
        <v>-1</v>
      </c>
      <c r="V101" s="143"/>
      <c r="W101" s="102">
        <f t="shared" si="22"/>
        <v>0</v>
      </c>
      <c r="X101" s="153">
        <f t="shared" si="23"/>
        <v>-1</v>
      </c>
      <c r="Y101" s="102"/>
      <c r="Z101" s="102"/>
      <c r="AA101" s="102"/>
      <c r="AB101" s="102"/>
      <c r="AC101" s="102"/>
      <c r="AD101" s="102"/>
      <c r="AE101" s="102"/>
      <c r="AF101" s="138"/>
      <c r="AG101" s="138"/>
      <c r="AH101" s="102"/>
      <c r="AI101" s="102"/>
      <c r="AJ101" s="102"/>
      <c r="AK101" s="102"/>
      <c r="AL101" s="102"/>
      <c r="AM101" s="102"/>
    </row>
    <row r="102" spans="1:39">
      <c r="A102" s="143" t="s">
        <v>240</v>
      </c>
      <c r="B102" s="143" t="s">
        <v>361</v>
      </c>
      <c r="C102" s="145">
        <v>45815</v>
      </c>
      <c r="D102" s="143" t="s">
        <v>490</v>
      </c>
      <c r="E102" s="146" t="s">
        <v>413</v>
      </c>
      <c r="F102" s="147">
        <v>104</v>
      </c>
      <c r="G102" s="147">
        <v>157</v>
      </c>
      <c r="H102" s="148">
        <v>143</v>
      </c>
      <c r="I102" s="143">
        <v>-167</v>
      </c>
      <c r="J102" s="143">
        <v>1</v>
      </c>
      <c r="K102" s="149" t="s">
        <v>311</v>
      </c>
      <c r="L102" s="150">
        <f t="shared" si="13"/>
        <v>-1</v>
      </c>
      <c r="M102" s="150">
        <f t="shared" si="14"/>
        <v>-1</v>
      </c>
      <c r="N102" s="151">
        <f t="shared" si="15"/>
        <v>5.7613168724280149E-2</v>
      </c>
      <c r="O102" s="151">
        <f t="shared" si="16"/>
        <v>9.3352987514174479E-2</v>
      </c>
      <c r="P102" s="151">
        <f t="shared" si="17"/>
        <v>0.49019607843137253</v>
      </c>
      <c r="Q102" s="151">
        <f t="shared" si="18"/>
        <v>0.39684309091719805</v>
      </c>
      <c r="R102" s="150">
        <f t="shared" si="19"/>
        <v>2.5700000000000003</v>
      </c>
      <c r="S102" s="150">
        <f t="shared" si="20"/>
        <v>2.4299999999999997</v>
      </c>
      <c r="T102" s="150">
        <f t="shared" si="21"/>
        <v>1.5988023952095807</v>
      </c>
      <c r="U102" s="152"/>
      <c r="V102" s="143"/>
      <c r="W102" s="102">
        <f t="shared" si="22"/>
        <v>0</v>
      </c>
      <c r="X102" s="153">
        <f t="shared" si="23"/>
        <v>0</v>
      </c>
      <c r="Y102" s="102"/>
      <c r="Z102" s="102"/>
      <c r="AA102" s="102"/>
      <c r="AB102" s="102"/>
      <c r="AC102" s="102"/>
      <c r="AD102" s="102"/>
      <c r="AE102" s="102"/>
      <c r="AF102" s="138"/>
      <c r="AG102" s="138"/>
      <c r="AH102" s="102"/>
      <c r="AI102" s="102"/>
      <c r="AJ102" s="102"/>
      <c r="AK102" s="102"/>
      <c r="AL102" s="102"/>
      <c r="AM102" s="102"/>
    </row>
    <row r="103" spans="1:39">
      <c r="A103" s="143" t="s">
        <v>240</v>
      </c>
      <c r="B103" s="143" t="s">
        <v>361</v>
      </c>
      <c r="C103" s="145">
        <v>45816</v>
      </c>
      <c r="D103" s="143" t="s">
        <v>489</v>
      </c>
      <c r="E103" s="146" t="s">
        <v>406</v>
      </c>
      <c r="F103" s="147"/>
      <c r="G103" s="147">
        <v>186</v>
      </c>
      <c r="H103" s="148">
        <v>204</v>
      </c>
      <c r="I103" s="143"/>
      <c r="J103" s="143">
        <v>1</v>
      </c>
      <c r="K103" s="149" t="s">
        <v>311</v>
      </c>
      <c r="L103" s="150">
        <f t="shared" si="13"/>
        <v>-1</v>
      </c>
      <c r="M103" s="150">
        <f t="shared" si="14"/>
        <v>-1</v>
      </c>
      <c r="N103" s="151">
        <f t="shared" si="15"/>
        <v>-5.9210526315789366E-2</v>
      </c>
      <c r="O103" s="151" t="str">
        <f t="shared" si="16"/>
        <v/>
      </c>
      <c r="P103" s="151" t="str">
        <f t="shared" si="17"/>
        <v/>
      </c>
      <c r="Q103" s="151" t="str">
        <f t="shared" si="18"/>
        <v/>
      </c>
      <c r="R103" s="150">
        <f t="shared" si="19"/>
        <v>2.8600000000000003</v>
      </c>
      <c r="S103" s="150">
        <f t="shared" si="20"/>
        <v>3.04</v>
      </c>
      <c r="T103" s="150" t="str">
        <f t="shared" si="21"/>
        <v/>
      </c>
      <c r="U103" s="152">
        <f>IF(K103="W",R103  - 1, IF(K103="L", -1, 0))</f>
        <v>-1</v>
      </c>
      <c r="V103" s="143"/>
      <c r="W103" s="102">
        <f t="shared" si="22"/>
        <v>0</v>
      </c>
      <c r="X103" s="153">
        <f t="shared" si="23"/>
        <v>-1</v>
      </c>
      <c r="Y103" s="102"/>
      <c r="Z103" s="102"/>
      <c r="AA103" s="102"/>
      <c r="AB103" s="102"/>
      <c r="AC103" s="102"/>
      <c r="AD103" s="102"/>
      <c r="AE103" s="102"/>
      <c r="AF103" s="138"/>
      <c r="AG103" s="138"/>
      <c r="AH103" s="102"/>
      <c r="AI103" s="102"/>
      <c r="AJ103" s="102"/>
      <c r="AK103" s="102"/>
      <c r="AL103" s="102"/>
      <c r="AM103" s="102"/>
    </row>
    <row r="104" spans="1:39">
      <c r="A104" s="143" t="s">
        <v>243</v>
      </c>
      <c r="B104" s="143" t="s">
        <v>361</v>
      </c>
      <c r="C104" s="145">
        <v>45816</v>
      </c>
      <c r="D104" s="143" t="s">
        <v>491</v>
      </c>
      <c r="E104" s="146" t="s">
        <v>492</v>
      </c>
      <c r="F104" s="147"/>
      <c r="G104" s="147">
        <v>-186</v>
      </c>
      <c r="H104" s="148">
        <v>-200</v>
      </c>
      <c r="I104" s="143"/>
      <c r="J104" s="143">
        <v>1</v>
      </c>
      <c r="K104" s="149" t="s">
        <v>350</v>
      </c>
      <c r="L104" s="150">
        <f t="shared" si="13"/>
        <v>0.5376344086021505</v>
      </c>
      <c r="M104" s="150">
        <f t="shared" si="14"/>
        <v>0.5</v>
      </c>
      <c r="N104" s="151">
        <f t="shared" si="15"/>
        <v>2.5089605734767029E-2</v>
      </c>
      <c r="O104" s="151" t="str">
        <f t="shared" si="16"/>
        <v/>
      </c>
      <c r="P104" s="151" t="str">
        <f t="shared" si="17"/>
        <v/>
      </c>
      <c r="Q104" s="151" t="str">
        <f t="shared" si="18"/>
        <v/>
      </c>
      <c r="R104" s="150">
        <f t="shared" si="19"/>
        <v>1.5376344086021505</v>
      </c>
      <c r="S104" s="150">
        <f t="shared" si="20"/>
        <v>1.5</v>
      </c>
      <c r="T104" s="150" t="str">
        <f t="shared" si="21"/>
        <v/>
      </c>
      <c r="U104" s="152">
        <f t="shared" ref="U104:U167" si="25">IF(K104="W",R104 - 1, IF(K104="L", -1, 0))</f>
        <v>0.5376344086021505</v>
      </c>
      <c r="V104" s="143"/>
      <c r="W104" s="102">
        <f t="shared" si="22"/>
        <v>1</v>
      </c>
      <c r="X104" s="153">
        <f t="shared" si="23"/>
        <v>0.5376344086021505</v>
      </c>
      <c r="Y104" s="102"/>
      <c r="Z104" s="102"/>
      <c r="AA104" s="102"/>
      <c r="AB104" s="102"/>
      <c r="AC104" s="102"/>
      <c r="AD104" s="102"/>
      <c r="AE104" s="102"/>
      <c r="AF104" s="138"/>
      <c r="AG104" s="138"/>
      <c r="AH104" s="102"/>
      <c r="AI104" s="102"/>
      <c r="AJ104" s="102"/>
      <c r="AK104" s="102"/>
      <c r="AL104" s="102"/>
      <c r="AM104" s="102"/>
    </row>
    <row r="105" spans="1:39">
      <c r="A105" s="143" t="s">
        <v>243</v>
      </c>
      <c r="B105" s="143" t="s">
        <v>361</v>
      </c>
      <c r="C105" s="145">
        <v>45817</v>
      </c>
      <c r="D105" s="143" t="s">
        <v>493</v>
      </c>
      <c r="E105" s="146" t="s">
        <v>389</v>
      </c>
      <c r="F105" s="147">
        <v>-227</v>
      </c>
      <c r="G105" s="147">
        <v>-165</v>
      </c>
      <c r="H105" s="148">
        <v>-179</v>
      </c>
      <c r="I105" s="143">
        <v>154</v>
      </c>
      <c r="J105" s="143">
        <v>1</v>
      </c>
      <c r="K105" s="149" t="s">
        <v>350</v>
      </c>
      <c r="L105" s="150">
        <f t="shared" si="13"/>
        <v>0.60606060606060597</v>
      </c>
      <c r="M105" s="150">
        <f t="shared" si="14"/>
        <v>0.55865921787709505</v>
      </c>
      <c r="N105" s="151">
        <f t="shared" si="15"/>
        <v>3.04116433148689E-2</v>
      </c>
      <c r="O105" s="151">
        <f t="shared" si="16"/>
        <v>7.4474748154304216E-2</v>
      </c>
      <c r="P105" s="151">
        <f t="shared" si="17"/>
        <v>0.6941896024464832</v>
      </c>
      <c r="Q105" s="151">
        <f t="shared" si="18"/>
        <v>0.61971485429217898</v>
      </c>
      <c r="R105" s="150">
        <f t="shared" si="19"/>
        <v>1.606060606060606</v>
      </c>
      <c r="S105" s="150">
        <f t="shared" si="20"/>
        <v>1.558659217877095</v>
      </c>
      <c r="T105" s="150">
        <f t="shared" si="21"/>
        <v>2.54</v>
      </c>
      <c r="U105" s="152">
        <f t="shared" si="25"/>
        <v>0.60606060606060597</v>
      </c>
      <c r="V105" s="143"/>
      <c r="W105" s="102">
        <f t="shared" si="22"/>
        <v>1</v>
      </c>
      <c r="X105" s="153">
        <f t="shared" si="23"/>
        <v>0.60606060606060597</v>
      </c>
      <c r="Y105" s="102"/>
      <c r="Z105" s="102"/>
      <c r="AA105" s="102"/>
      <c r="AB105" s="102"/>
      <c r="AC105" s="102"/>
      <c r="AD105" s="102"/>
      <c r="AE105" s="102"/>
      <c r="AF105" s="138"/>
      <c r="AG105" s="138"/>
      <c r="AH105" s="102"/>
      <c r="AI105" s="102"/>
      <c r="AJ105" s="102"/>
      <c r="AK105" s="102"/>
      <c r="AL105" s="102"/>
      <c r="AM105" s="102"/>
    </row>
    <row r="106" spans="1:39">
      <c r="A106" s="143" t="s">
        <v>248</v>
      </c>
      <c r="B106" s="143" t="s">
        <v>361</v>
      </c>
      <c r="C106" s="145">
        <v>45817</v>
      </c>
      <c r="D106" s="143" t="s">
        <v>494</v>
      </c>
      <c r="E106" s="146" t="s">
        <v>397</v>
      </c>
      <c r="F106" s="147">
        <v>-162</v>
      </c>
      <c r="G106" s="147">
        <v>126</v>
      </c>
      <c r="H106" s="148">
        <v>108</v>
      </c>
      <c r="I106" s="143">
        <v>-123</v>
      </c>
      <c r="J106" s="143">
        <v>1</v>
      </c>
      <c r="K106" s="149" t="s">
        <v>311</v>
      </c>
      <c r="L106" s="150">
        <f t="shared" si="13"/>
        <v>-1</v>
      </c>
      <c r="M106" s="150">
        <f t="shared" si="14"/>
        <v>-1</v>
      </c>
      <c r="N106" s="151">
        <f t="shared" si="15"/>
        <v>8.6538461538461384E-2</v>
      </c>
      <c r="O106" s="151">
        <f t="shared" si="16"/>
        <v>0.15261181442940042</v>
      </c>
      <c r="P106" s="151">
        <f t="shared" si="17"/>
        <v>0.61832061068702293</v>
      </c>
      <c r="Q106" s="151">
        <f t="shared" si="18"/>
        <v>0.46570879625762251</v>
      </c>
      <c r="R106" s="150">
        <f t="shared" si="19"/>
        <v>2.2599999999999998</v>
      </c>
      <c r="S106" s="150">
        <f t="shared" si="20"/>
        <v>2.08</v>
      </c>
      <c r="T106" s="150">
        <f t="shared" si="21"/>
        <v>1.8130081300813008</v>
      </c>
      <c r="U106" s="152">
        <f t="shared" si="25"/>
        <v>-1</v>
      </c>
      <c r="V106" s="143"/>
      <c r="W106" s="102">
        <f t="shared" si="22"/>
        <v>0</v>
      </c>
      <c r="X106" s="153">
        <f t="shared" si="23"/>
        <v>-1</v>
      </c>
      <c r="Y106" s="102"/>
      <c r="Z106" s="102"/>
      <c r="AA106" s="102"/>
      <c r="AB106" s="102"/>
      <c r="AC106" s="102"/>
      <c r="AD106" s="102"/>
      <c r="AE106" s="102"/>
      <c r="AF106" s="138"/>
      <c r="AG106" s="138"/>
      <c r="AH106" s="102"/>
      <c r="AI106" s="102"/>
      <c r="AJ106" s="102"/>
      <c r="AK106" s="102"/>
      <c r="AL106" s="102"/>
      <c r="AM106" s="102"/>
    </row>
    <row r="107" spans="1:39">
      <c r="A107" s="143" t="s">
        <v>243</v>
      </c>
      <c r="B107" s="143" t="s">
        <v>361</v>
      </c>
      <c r="C107" s="145">
        <v>45818</v>
      </c>
      <c r="D107" s="143" t="s">
        <v>495</v>
      </c>
      <c r="E107" s="146" t="s">
        <v>454</v>
      </c>
      <c r="F107" s="147">
        <v>-157</v>
      </c>
      <c r="G107" s="147">
        <v>125</v>
      </c>
      <c r="H107" s="148">
        <v>112</v>
      </c>
      <c r="I107" s="143">
        <v>-128</v>
      </c>
      <c r="J107" s="143">
        <v>1</v>
      </c>
      <c r="K107" s="149" t="s">
        <v>350</v>
      </c>
      <c r="L107" s="150">
        <f t="shared" si="13"/>
        <v>1.25</v>
      </c>
      <c r="M107" s="150">
        <f t="shared" si="14"/>
        <v>1.1200000000000001</v>
      </c>
      <c r="N107" s="151">
        <f t="shared" si="15"/>
        <v>6.1320754716981077E-2</v>
      </c>
      <c r="O107" s="151">
        <f t="shared" si="16"/>
        <v>0.15431051356631431</v>
      </c>
      <c r="P107" s="151">
        <f t="shared" si="17"/>
        <v>0.6108949416342413</v>
      </c>
      <c r="Q107" s="151">
        <f t="shared" si="18"/>
        <v>0.45658442806792698</v>
      </c>
      <c r="R107" s="150">
        <f t="shared" si="19"/>
        <v>2.25</v>
      </c>
      <c r="S107" s="150">
        <f t="shared" si="20"/>
        <v>2.12</v>
      </c>
      <c r="T107" s="150">
        <f t="shared" si="21"/>
        <v>1.78125</v>
      </c>
      <c r="U107" s="152">
        <f t="shared" si="25"/>
        <v>1.25</v>
      </c>
      <c r="V107" s="143"/>
      <c r="W107" s="102">
        <f t="shared" si="22"/>
        <v>1</v>
      </c>
      <c r="X107" s="153">
        <f t="shared" si="23"/>
        <v>1.25</v>
      </c>
      <c r="Y107" s="102"/>
      <c r="Z107" s="102"/>
      <c r="AA107" s="102"/>
      <c r="AB107" s="102"/>
      <c r="AC107" s="102"/>
      <c r="AD107" s="102"/>
      <c r="AE107" s="102"/>
      <c r="AF107" s="138"/>
      <c r="AG107" s="138"/>
      <c r="AH107" s="102"/>
      <c r="AI107" s="102"/>
      <c r="AJ107" s="102"/>
      <c r="AK107" s="102"/>
      <c r="AL107" s="102"/>
      <c r="AM107" s="102"/>
    </row>
    <row r="108" spans="1:39">
      <c r="A108" s="143" t="s">
        <v>238</v>
      </c>
      <c r="B108" s="143" t="s">
        <v>361</v>
      </c>
      <c r="C108" s="145">
        <v>45818</v>
      </c>
      <c r="D108" s="143" t="s">
        <v>496</v>
      </c>
      <c r="E108" s="146" t="s">
        <v>445</v>
      </c>
      <c r="F108" s="147">
        <v>-280</v>
      </c>
      <c r="G108" s="147">
        <v>-111</v>
      </c>
      <c r="H108" s="148">
        <v>-139</v>
      </c>
      <c r="I108" s="143">
        <v>120</v>
      </c>
      <c r="J108" s="143">
        <v>1</v>
      </c>
      <c r="K108" s="149" t="s">
        <v>350</v>
      </c>
      <c r="L108" s="150">
        <f t="shared" si="13"/>
        <v>0.90090090090090102</v>
      </c>
      <c r="M108" s="150">
        <f t="shared" si="14"/>
        <v>0.71942446043165464</v>
      </c>
      <c r="N108" s="151">
        <f t="shared" si="15"/>
        <v>0.10554487541935247</v>
      </c>
      <c r="O108" s="151">
        <f t="shared" si="16"/>
        <v>0.17553520364788622</v>
      </c>
      <c r="P108" s="151">
        <f t="shared" si="17"/>
        <v>0.73684210526315785</v>
      </c>
      <c r="Q108" s="151">
        <f t="shared" si="18"/>
        <v>0.56130690161527164</v>
      </c>
      <c r="R108" s="150">
        <f t="shared" si="19"/>
        <v>1.900900900900901</v>
      </c>
      <c r="S108" s="150">
        <f t="shared" si="20"/>
        <v>1.7194244604316546</v>
      </c>
      <c r="T108" s="150">
        <f t="shared" si="21"/>
        <v>2.2000000000000002</v>
      </c>
      <c r="U108" s="152">
        <f t="shared" si="25"/>
        <v>0.90090090090090102</v>
      </c>
      <c r="V108" s="143"/>
      <c r="W108" s="102">
        <f t="shared" si="22"/>
        <v>1</v>
      </c>
      <c r="X108" s="153">
        <f t="shared" si="23"/>
        <v>0.90090090090090102</v>
      </c>
      <c r="Y108" s="102"/>
      <c r="Z108" s="102"/>
      <c r="AA108" s="102"/>
      <c r="AB108" s="102"/>
      <c r="AC108" s="102"/>
      <c r="AD108" s="102"/>
      <c r="AE108" s="102"/>
      <c r="AF108" s="138"/>
      <c r="AG108" s="138"/>
      <c r="AH108" s="102"/>
      <c r="AI108" s="102"/>
      <c r="AJ108" s="102"/>
      <c r="AK108" s="102"/>
      <c r="AL108" s="102"/>
      <c r="AM108" s="102"/>
    </row>
    <row r="109" spans="1:39">
      <c r="A109" s="143" t="s">
        <v>240</v>
      </c>
      <c r="B109" s="143" t="s">
        <v>361</v>
      </c>
      <c r="C109" s="145">
        <v>45818</v>
      </c>
      <c r="D109" s="143" t="s">
        <v>497</v>
      </c>
      <c r="E109" s="146" t="s">
        <v>441</v>
      </c>
      <c r="F109" s="147">
        <v>116</v>
      </c>
      <c r="G109" s="147">
        <v>185</v>
      </c>
      <c r="H109" s="148">
        <v>183</v>
      </c>
      <c r="I109" s="143">
        <v>-217</v>
      </c>
      <c r="J109" s="143">
        <v>1</v>
      </c>
      <c r="K109" s="149" t="s">
        <v>311</v>
      </c>
      <c r="L109" s="150">
        <f t="shared" si="13"/>
        <v>-1</v>
      </c>
      <c r="M109" s="150">
        <f t="shared" si="14"/>
        <v>-1</v>
      </c>
      <c r="N109" s="151">
        <f t="shared" si="15"/>
        <v>7.067137809187371E-3</v>
      </c>
      <c r="O109" s="151">
        <f t="shared" si="16"/>
        <v>0.122509096072907</v>
      </c>
      <c r="P109" s="151">
        <f t="shared" si="17"/>
        <v>0.46296296296296297</v>
      </c>
      <c r="Q109" s="151">
        <f t="shared" si="18"/>
        <v>0.34045386689005597</v>
      </c>
      <c r="R109" s="150">
        <f t="shared" si="19"/>
        <v>2.85</v>
      </c>
      <c r="S109" s="150">
        <f t="shared" si="20"/>
        <v>2.83</v>
      </c>
      <c r="T109" s="150">
        <f t="shared" si="21"/>
        <v>1.4608294930875576</v>
      </c>
      <c r="U109" s="152">
        <f t="shared" si="25"/>
        <v>-1</v>
      </c>
      <c r="V109" s="143"/>
      <c r="W109" s="102">
        <f t="shared" si="22"/>
        <v>0</v>
      </c>
      <c r="X109" s="153">
        <f t="shared" si="23"/>
        <v>-1</v>
      </c>
      <c r="Y109" s="102"/>
      <c r="Z109" s="102"/>
      <c r="AA109" s="102"/>
      <c r="AB109" s="102"/>
      <c r="AC109" s="102"/>
      <c r="AD109" s="102"/>
      <c r="AE109" s="102"/>
      <c r="AF109" s="138"/>
      <c r="AG109" s="138"/>
      <c r="AH109" s="102"/>
      <c r="AI109" s="102"/>
      <c r="AJ109" s="102"/>
      <c r="AK109" s="102"/>
      <c r="AL109" s="102"/>
      <c r="AM109" s="102"/>
    </row>
    <row r="110" spans="1:39">
      <c r="A110" s="143" t="s">
        <v>238</v>
      </c>
      <c r="B110" s="143" t="s">
        <v>361</v>
      </c>
      <c r="C110" s="145">
        <v>45818</v>
      </c>
      <c r="D110" s="143" t="s">
        <v>498</v>
      </c>
      <c r="E110" s="146" t="s">
        <v>409</v>
      </c>
      <c r="F110" s="147">
        <v>-162</v>
      </c>
      <c r="G110" s="147">
        <v>-131</v>
      </c>
      <c r="H110" s="148">
        <v>-139</v>
      </c>
      <c r="I110" s="143">
        <v>120</v>
      </c>
      <c r="J110" s="143">
        <v>1</v>
      </c>
      <c r="K110" s="149" t="s">
        <v>311</v>
      </c>
      <c r="L110" s="150">
        <f t="shared" si="13"/>
        <v>-1</v>
      </c>
      <c r="M110" s="150">
        <f t="shared" si="14"/>
        <v>-1</v>
      </c>
      <c r="N110" s="151">
        <f t="shared" si="15"/>
        <v>2.5551758280366692E-2</v>
      </c>
      <c r="O110" s="151">
        <f t="shared" si="16"/>
        <v>5.7013709071751295E-2</v>
      </c>
      <c r="P110" s="151">
        <f t="shared" si="17"/>
        <v>0.61832061068702293</v>
      </c>
      <c r="Q110" s="151">
        <f t="shared" si="18"/>
        <v>0.56130690161527164</v>
      </c>
      <c r="R110" s="150">
        <f t="shared" si="19"/>
        <v>1.7633587786259541</v>
      </c>
      <c r="S110" s="150">
        <f t="shared" si="20"/>
        <v>1.7194244604316546</v>
      </c>
      <c r="T110" s="150">
        <f t="shared" si="21"/>
        <v>2.2000000000000002</v>
      </c>
      <c r="U110" s="152">
        <f t="shared" si="25"/>
        <v>-1</v>
      </c>
      <c r="V110" s="143"/>
      <c r="W110" s="102">
        <f t="shared" si="22"/>
        <v>0</v>
      </c>
      <c r="X110" s="153">
        <f t="shared" si="23"/>
        <v>-1</v>
      </c>
      <c r="Y110" s="102"/>
      <c r="Z110" s="102"/>
      <c r="AA110" s="102"/>
      <c r="AB110" s="102"/>
      <c r="AC110" s="102"/>
      <c r="AD110" s="102"/>
      <c r="AE110" s="102"/>
      <c r="AF110" s="138"/>
      <c r="AG110" s="138"/>
      <c r="AH110" s="102"/>
      <c r="AI110" s="102"/>
      <c r="AJ110" s="102"/>
      <c r="AK110" s="102"/>
      <c r="AL110" s="102"/>
      <c r="AM110" s="102"/>
    </row>
    <row r="111" spans="1:39">
      <c r="A111" s="143" t="s">
        <v>243</v>
      </c>
      <c r="B111" s="143" t="s">
        <v>361</v>
      </c>
      <c r="C111" s="145">
        <v>45818</v>
      </c>
      <c r="D111" s="143" t="s">
        <v>499</v>
      </c>
      <c r="E111" s="146" t="s">
        <v>411</v>
      </c>
      <c r="F111" s="147">
        <v>-135</v>
      </c>
      <c r="G111" s="147">
        <v>-105</v>
      </c>
      <c r="H111" s="148">
        <v>-110</v>
      </c>
      <c r="I111" s="143">
        <v>-104</v>
      </c>
      <c r="J111" s="143">
        <v>1</v>
      </c>
      <c r="K111" s="149" t="s">
        <v>311</v>
      </c>
      <c r="L111" s="150">
        <f t="shared" si="13"/>
        <v>-1</v>
      </c>
      <c r="M111" s="150">
        <f t="shared" si="14"/>
        <v>-1</v>
      </c>
      <c r="N111" s="151">
        <f t="shared" si="15"/>
        <v>2.2675736961451278E-2</v>
      </c>
      <c r="O111" s="151">
        <f t="shared" si="16"/>
        <v>6.7693017355705432E-2</v>
      </c>
      <c r="P111" s="151">
        <f t="shared" si="17"/>
        <v>0.57446808510638303</v>
      </c>
      <c r="Q111" s="151">
        <f t="shared" si="18"/>
        <v>0.5067750677506776</v>
      </c>
      <c r="R111" s="150">
        <f t="shared" si="19"/>
        <v>1.9523809523809523</v>
      </c>
      <c r="S111" s="150">
        <f t="shared" si="20"/>
        <v>1.9090909090909092</v>
      </c>
      <c r="T111" s="150">
        <f t="shared" si="21"/>
        <v>1.9615384615384617</v>
      </c>
      <c r="U111" s="152">
        <f t="shared" si="25"/>
        <v>-1</v>
      </c>
      <c r="V111" s="143"/>
      <c r="W111" s="102">
        <f t="shared" si="22"/>
        <v>0</v>
      </c>
      <c r="X111" s="153">
        <f t="shared" si="23"/>
        <v>-1</v>
      </c>
      <c r="Y111" s="102"/>
      <c r="Z111" s="102"/>
      <c r="AA111" s="102"/>
      <c r="AB111" s="102"/>
      <c r="AC111" s="102"/>
      <c r="AD111" s="102"/>
      <c r="AE111" s="102"/>
      <c r="AF111" s="138"/>
      <c r="AG111" s="138"/>
      <c r="AH111" s="102"/>
      <c r="AI111" s="102"/>
      <c r="AJ111" s="102"/>
      <c r="AK111" s="102"/>
      <c r="AL111" s="102"/>
      <c r="AM111" s="102"/>
    </row>
    <row r="112" spans="1:39">
      <c r="A112" s="143" t="s">
        <v>238</v>
      </c>
      <c r="B112" s="143" t="s">
        <v>361</v>
      </c>
      <c r="C112" s="145">
        <v>45818</v>
      </c>
      <c r="D112" s="143" t="s">
        <v>500</v>
      </c>
      <c r="E112" s="146" t="s">
        <v>458</v>
      </c>
      <c r="F112" s="147">
        <v>-156</v>
      </c>
      <c r="G112" s="147">
        <v>-106</v>
      </c>
      <c r="H112" s="148">
        <v>-105</v>
      </c>
      <c r="I112" s="143">
        <v>-109</v>
      </c>
      <c r="J112" s="143">
        <v>1</v>
      </c>
      <c r="K112" s="149" t="s">
        <v>311</v>
      </c>
      <c r="L112" s="150">
        <f t="shared" si="13"/>
        <v>-1</v>
      </c>
      <c r="M112" s="150">
        <f t="shared" si="14"/>
        <v>-1</v>
      </c>
      <c r="N112" s="151">
        <f t="shared" si="15"/>
        <v>-4.6019328117809146E-3</v>
      </c>
      <c r="O112" s="151">
        <f t="shared" si="16"/>
        <v>0.11389069202980351</v>
      </c>
      <c r="P112" s="151">
        <f t="shared" si="17"/>
        <v>0.609375</v>
      </c>
      <c r="Q112" s="151">
        <f t="shared" si="18"/>
        <v>0.49548430797019649</v>
      </c>
      <c r="R112" s="150">
        <f t="shared" si="19"/>
        <v>1.9433962264150944</v>
      </c>
      <c r="S112" s="150">
        <f t="shared" si="20"/>
        <v>1.9523809523809523</v>
      </c>
      <c r="T112" s="150">
        <f t="shared" si="21"/>
        <v>1.9174311926605505</v>
      </c>
      <c r="U112" s="152">
        <f t="shared" si="25"/>
        <v>-1</v>
      </c>
      <c r="V112" s="143"/>
      <c r="W112" s="102">
        <f t="shared" si="22"/>
        <v>0</v>
      </c>
      <c r="X112" s="153">
        <f t="shared" si="23"/>
        <v>-1</v>
      </c>
      <c r="Y112" s="102"/>
      <c r="Z112" s="102"/>
      <c r="AA112" s="102"/>
      <c r="AB112" s="102"/>
      <c r="AC112" s="102"/>
      <c r="AD112" s="102"/>
      <c r="AE112" s="102"/>
      <c r="AF112" s="138"/>
      <c r="AG112" s="138"/>
      <c r="AH112" s="102"/>
      <c r="AI112" s="102"/>
      <c r="AJ112" s="102"/>
      <c r="AK112" s="102"/>
      <c r="AL112" s="102"/>
      <c r="AM112" s="102"/>
    </row>
    <row r="113" spans="1:39">
      <c r="A113" s="143" t="s">
        <v>241</v>
      </c>
      <c r="B113" s="143" t="s">
        <v>361</v>
      </c>
      <c r="C113" s="145">
        <v>45818</v>
      </c>
      <c r="D113" s="143" t="s">
        <v>501</v>
      </c>
      <c r="E113" s="146" t="s">
        <v>439</v>
      </c>
      <c r="F113" s="147">
        <v>-161</v>
      </c>
      <c r="G113" s="147">
        <v>-110</v>
      </c>
      <c r="H113" s="148">
        <v>-109</v>
      </c>
      <c r="I113" s="143">
        <v>-105</v>
      </c>
      <c r="J113" s="143">
        <v>1</v>
      </c>
      <c r="K113" s="149" t="s">
        <v>350</v>
      </c>
      <c r="L113" s="150">
        <f t="shared" si="13"/>
        <v>0.90909090909090917</v>
      </c>
      <c r="M113" s="150">
        <f t="shared" si="14"/>
        <v>0.91743119266055051</v>
      </c>
      <c r="N113" s="151">
        <f t="shared" si="15"/>
        <v>-4.3497172683777093E-3</v>
      </c>
      <c r="O113" s="151">
        <f t="shared" si="16"/>
        <v>0.1123425455180892</v>
      </c>
      <c r="P113" s="151">
        <f t="shared" si="17"/>
        <v>0.61685823754789271</v>
      </c>
      <c r="Q113" s="151">
        <f t="shared" si="18"/>
        <v>0.50451569202980351</v>
      </c>
      <c r="R113" s="150">
        <f t="shared" si="19"/>
        <v>1.9090909090909092</v>
      </c>
      <c r="S113" s="150">
        <f t="shared" si="20"/>
        <v>1.9174311926605505</v>
      </c>
      <c r="T113" s="150">
        <f t="shared" si="21"/>
        <v>1.9523809523809523</v>
      </c>
      <c r="U113" s="152">
        <f t="shared" si="25"/>
        <v>0.90909090909090917</v>
      </c>
      <c r="V113" s="143"/>
      <c r="W113" s="102">
        <f t="shared" si="22"/>
        <v>1</v>
      </c>
      <c r="X113" s="153">
        <f t="shared" si="23"/>
        <v>0.90909090909090917</v>
      </c>
      <c r="Y113" s="102"/>
      <c r="Z113" s="102"/>
      <c r="AA113" s="102"/>
      <c r="AB113" s="102"/>
      <c r="AC113" s="102"/>
      <c r="AD113" s="102"/>
      <c r="AE113" s="102"/>
      <c r="AF113" s="138"/>
      <c r="AG113" s="138"/>
      <c r="AH113" s="102"/>
      <c r="AI113" s="102"/>
      <c r="AJ113" s="102"/>
      <c r="AK113" s="102"/>
      <c r="AL113" s="102"/>
      <c r="AM113" s="102"/>
    </row>
    <row r="114" spans="1:39">
      <c r="A114" s="143" t="s">
        <v>240</v>
      </c>
      <c r="B114" s="143" t="s">
        <v>361</v>
      </c>
      <c r="C114" s="145">
        <v>45819</v>
      </c>
      <c r="D114" s="143" t="s">
        <v>493</v>
      </c>
      <c r="E114" s="146" t="s">
        <v>502</v>
      </c>
      <c r="F114" s="147">
        <v>-150</v>
      </c>
      <c r="G114" s="147">
        <v>-115</v>
      </c>
      <c r="H114" s="148">
        <v>-120</v>
      </c>
      <c r="I114" s="143">
        <v>104</v>
      </c>
      <c r="J114" s="143">
        <v>1</v>
      </c>
      <c r="K114" s="149" t="s">
        <v>350</v>
      </c>
      <c r="L114" s="150">
        <f t="shared" si="13"/>
        <v>0.86956521739130421</v>
      </c>
      <c r="M114" s="150">
        <f t="shared" si="14"/>
        <v>0.83333333333333348</v>
      </c>
      <c r="N114" s="151">
        <f t="shared" si="15"/>
        <v>1.9762845849802178E-2</v>
      </c>
      <c r="O114" s="151">
        <f t="shared" si="16"/>
        <v>7.3321858864027534E-2</v>
      </c>
      <c r="P114" s="151">
        <f t="shared" si="17"/>
        <v>0.6</v>
      </c>
      <c r="Q114" s="151">
        <f t="shared" si="18"/>
        <v>0.52667814113597244</v>
      </c>
      <c r="R114" s="150">
        <f t="shared" si="19"/>
        <v>1.8695652173913042</v>
      </c>
      <c r="S114" s="150">
        <f t="shared" si="20"/>
        <v>1.8333333333333335</v>
      </c>
      <c r="T114" s="150">
        <f t="shared" si="21"/>
        <v>2.04</v>
      </c>
      <c r="U114" s="152">
        <f t="shared" si="25"/>
        <v>0.86956521739130421</v>
      </c>
      <c r="V114" s="143"/>
      <c r="W114" s="102">
        <f t="shared" si="22"/>
        <v>1</v>
      </c>
      <c r="X114" s="153">
        <f t="shared" si="23"/>
        <v>0.86956521739130421</v>
      </c>
      <c r="Y114" s="102"/>
      <c r="Z114" s="102"/>
      <c r="AA114" s="102"/>
      <c r="AB114" s="102"/>
      <c r="AC114" s="102"/>
      <c r="AD114" s="102"/>
      <c r="AE114" s="102"/>
      <c r="AF114" s="138"/>
      <c r="AG114" s="138"/>
      <c r="AH114" s="102"/>
      <c r="AI114" s="102"/>
      <c r="AJ114" s="102"/>
      <c r="AK114" s="102"/>
      <c r="AL114" s="102"/>
      <c r="AM114" s="102"/>
    </row>
    <row r="115" spans="1:39">
      <c r="A115" s="143" t="s">
        <v>243</v>
      </c>
      <c r="B115" s="143" t="s">
        <v>361</v>
      </c>
      <c r="C115" s="145">
        <v>45819</v>
      </c>
      <c r="D115" s="143" t="s">
        <v>494</v>
      </c>
      <c r="E115" s="146" t="s">
        <v>397</v>
      </c>
      <c r="F115" s="147">
        <v>-119</v>
      </c>
      <c r="G115" s="147">
        <v>106</v>
      </c>
      <c r="H115" s="148">
        <v>123</v>
      </c>
      <c r="I115" s="143">
        <v>-141</v>
      </c>
      <c r="J115" s="143">
        <v>1</v>
      </c>
      <c r="K115" s="149" t="s">
        <v>350</v>
      </c>
      <c r="L115" s="150">
        <f t="shared" si="13"/>
        <v>1.06</v>
      </c>
      <c r="M115" s="150">
        <f t="shared" si="14"/>
        <v>1.23</v>
      </c>
      <c r="N115" s="151">
        <f t="shared" si="15"/>
        <v>-7.6233183856502212E-2</v>
      </c>
      <c r="O115" s="151">
        <f t="shared" si="16"/>
        <v>0.10948093447201257</v>
      </c>
      <c r="P115" s="151">
        <f t="shared" si="17"/>
        <v>0.54337899543378998</v>
      </c>
      <c r="Q115" s="151">
        <f t="shared" si="18"/>
        <v>0.43389806096177741</v>
      </c>
      <c r="R115" s="150">
        <f t="shared" si="19"/>
        <v>2.06</v>
      </c>
      <c r="S115" s="150">
        <f t="shared" si="20"/>
        <v>2.23</v>
      </c>
      <c r="T115" s="150">
        <f t="shared" si="21"/>
        <v>1.7092198581560285</v>
      </c>
      <c r="U115" s="152">
        <f t="shared" si="25"/>
        <v>1.06</v>
      </c>
      <c r="V115" s="143"/>
      <c r="W115" s="102">
        <f t="shared" si="22"/>
        <v>1</v>
      </c>
      <c r="X115" s="153">
        <f t="shared" si="23"/>
        <v>1.06</v>
      </c>
      <c r="Y115" s="102"/>
      <c r="Z115" s="102"/>
      <c r="AA115" s="102"/>
      <c r="AB115" s="102"/>
      <c r="AC115" s="102"/>
      <c r="AD115" s="102"/>
      <c r="AE115" s="102"/>
      <c r="AF115" s="138"/>
      <c r="AG115" s="138"/>
      <c r="AH115" s="102"/>
      <c r="AI115" s="102"/>
      <c r="AJ115" s="102"/>
      <c r="AK115" s="102"/>
      <c r="AL115" s="102"/>
      <c r="AM115" s="102"/>
    </row>
    <row r="116" spans="1:39">
      <c r="A116" s="143" t="s">
        <v>241</v>
      </c>
      <c r="B116" s="143" t="s">
        <v>361</v>
      </c>
      <c r="C116" s="145">
        <v>45819</v>
      </c>
      <c r="D116" s="143" t="s">
        <v>495</v>
      </c>
      <c r="E116" s="146" t="s">
        <v>454</v>
      </c>
      <c r="F116" s="147">
        <v>-132</v>
      </c>
      <c r="G116" s="147">
        <v>120</v>
      </c>
      <c r="H116" s="148">
        <v>108</v>
      </c>
      <c r="I116" s="143">
        <v>-123</v>
      </c>
      <c r="J116" s="143">
        <v>1</v>
      </c>
      <c r="K116" s="149" t="s">
        <v>311</v>
      </c>
      <c r="L116" s="150">
        <f t="shared" si="13"/>
        <v>-1</v>
      </c>
      <c r="M116" s="150">
        <f t="shared" si="14"/>
        <v>-1</v>
      </c>
      <c r="N116" s="151">
        <f t="shared" si="15"/>
        <v>5.7692307692307633E-2</v>
      </c>
      <c r="O116" s="151">
        <f t="shared" si="16"/>
        <v>0.10325672098375682</v>
      </c>
      <c r="P116" s="151">
        <f t="shared" si="17"/>
        <v>0.56896551724137934</v>
      </c>
      <c r="Q116" s="151">
        <f t="shared" si="18"/>
        <v>0.46570879625762251</v>
      </c>
      <c r="R116" s="150">
        <f t="shared" si="19"/>
        <v>2.2000000000000002</v>
      </c>
      <c r="S116" s="150">
        <f t="shared" si="20"/>
        <v>2.08</v>
      </c>
      <c r="T116" s="150">
        <f t="shared" si="21"/>
        <v>1.8130081300813008</v>
      </c>
      <c r="U116" s="152">
        <f t="shared" si="25"/>
        <v>-1</v>
      </c>
      <c r="V116" s="143"/>
      <c r="W116" s="102">
        <f t="shared" si="22"/>
        <v>0</v>
      </c>
      <c r="X116" s="153">
        <f t="shared" si="23"/>
        <v>-1</v>
      </c>
      <c r="Y116" s="102"/>
      <c r="Z116" s="102"/>
      <c r="AA116" s="102"/>
      <c r="AB116" s="102"/>
      <c r="AC116" s="102"/>
      <c r="AD116" s="102"/>
      <c r="AE116" s="102"/>
      <c r="AF116" s="138"/>
      <c r="AG116" s="138"/>
      <c r="AH116" s="102"/>
      <c r="AI116" s="102"/>
      <c r="AJ116" s="102"/>
      <c r="AK116" s="102"/>
      <c r="AL116" s="102"/>
      <c r="AM116" s="102"/>
    </row>
    <row r="117" spans="1:39">
      <c r="A117" s="143" t="s">
        <v>243</v>
      </c>
      <c r="B117" s="143" t="s">
        <v>361</v>
      </c>
      <c r="C117" s="145">
        <v>45819</v>
      </c>
      <c r="D117" s="143" t="s">
        <v>503</v>
      </c>
      <c r="E117" s="146" t="s">
        <v>445</v>
      </c>
      <c r="F117" s="147">
        <v>-174</v>
      </c>
      <c r="G117" s="147">
        <v>-132</v>
      </c>
      <c r="H117" s="148">
        <v>-143</v>
      </c>
      <c r="I117" s="143">
        <v>124</v>
      </c>
      <c r="J117" s="143">
        <v>1</v>
      </c>
      <c r="K117" s="149" t="s">
        <v>311</v>
      </c>
      <c r="L117" s="150">
        <f t="shared" si="13"/>
        <v>-1</v>
      </c>
      <c r="M117" s="150">
        <f t="shared" si="14"/>
        <v>-1</v>
      </c>
      <c r="N117" s="151">
        <f t="shared" si="15"/>
        <v>3.429355281207145E-2</v>
      </c>
      <c r="O117" s="151">
        <f t="shared" si="16"/>
        <v>6.6407653064133321E-2</v>
      </c>
      <c r="P117" s="151">
        <f t="shared" si="17"/>
        <v>0.63503649635036497</v>
      </c>
      <c r="Q117" s="151">
        <f t="shared" si="18"/>
        <v>0.56862884328623164</v>
      </c>
      <c r="R117" s="150">
        <f t="shared" si="19"/>
        <v>1.7575757575757576</v>
      </c>
      <c r="S117" s="150">
        <f t="shared" si="20"/>
        <v>1.6993006993006992</v>
      </c>
      <c r="T117" s="150">
        <f t="shared" si="21"/>
        <v>2.2400000000000002</v>
      </c>
      <c r="U117" s="152">
        <f t="shared" si="25"/>
        <v>-1</v>
      </c>
      <c r="V117" s="143"/>
      <c r="W117" s="102">
        <f t="shared" si="22"/>
        <v>0</v>
      </c>
      <c r="X117" s="153">
        <f t="shared" si="23"/>
        <v>-1</v>
      </c>
      <c r="Y117" s="102"/>
      <c r="Z117" s="102"/>
      <c r="AA117" s="102"/>
      <c r="AB117" s="102"/>
      <c r="AC117" s="102"/>
      <c r="AD117" s="102"/>
      <c r="AE117" s="102"/>
      <c r="AF117" s="138"/>
      <c r="AG117" s="138"/>
      <c r="AH117" s="102"/>
      <c r="AI117" s="102"/>
      <c r="AJ117" s="102"/>
      <c r="AK117" s="102"/>
      <c r="AL117" s="102"/>
      <c r="AM117" s="102"/>
    </row>
    <row r="118" spans="1:39">
      <c r="A118" s="143" t="s">
        <v>238</v>
      </c>
      <c r="B118" s="143" t="s">
        <v>361</v>
      </c>
      <c r="C118" s="145">
        <v>45819</v>
      </c>
      <c r="D118" s="143" t="s">
        <v>498</v>
      </c>
      <c r="E118" s="146" t="s">
        <v>409</v>
      </c>
      <c r="F118" s="147">
        <v>-179</v>
      </c>
      <c r="G118" s="147">
        <v>-139</v>
      </c>
      <c r="H118" s="148">
        <v>-145</v>
      </c>
      <c r="I118" s="143">
        <v>125</v>
      </c>
      <c r="J118" s="143">
        <v>1</v>
      </c>
      <c r="K118" s="149" t="s">
        <v>350</v>
      </c>
      <c r="L118" s="150">
        <f t="shared" si="13"/>
        <v>0.71942446043165464</v>
      </c>
      <c r="M118" s="150">
        <f t="shared" si="14"/>
        <v>0.68965517241379315</v>
      </c>
      <c r="N118" s="151">
        <f t="shared" si="15"/>
        <v>1.7618558214652719E-2</v>
      </c>
      <c r="O118" s="151">
        <f t="shared" si="16"/>
        <v>7.0461087190105243E-2</v>
      </c>
      <c r="P118" s="151">
        <f t="shared" si="17"/>
        <v>0.64157706093189959</v>
      </c>
      <c r="Q118" s="151">
        <f t="shared" si="18"/>
        <v>0.57111597374179435</v>
      </c>
      <c r="R118" s="150">
        <f t="shared" si="19"/>
        <v>1.7194244604316546</v>
      </c>
      <c r="S118" s="150">
        <f t="shared" si="20"/>
        <v>1.6896551724137931</v>
      </c>
      <c r="T118" s="150">
        <f t="shared" si="21"/>
        <v>2.25</v>
      </c>
      <c r="U118" s="152">
        <f t="shared" si="25"/>
        <v>0.71942446043165464</v>
      </c>
      <c r="V118" s="143"/>
      <c r="W118" s="102">
        <f t="shared" si="22"/>
        <v>1</v>
      </c>
      <c r="X118" s="153">
        <f t="shared" si="23"/>
        <v>0.71942446043165464</v>
      </c>
      <c r="Y118" s="102"/>
      <c r="Z118" s="102"/>
      <c r="AA118" s="102"/>
      <c r="AB118" s="102"/>
      <c r="AC118" s="102"/>
      <c r="AD118" s="102"/>
      <c r="AE118" s="102"/>
      <c r="AF118" s="138"/>
      <c r="AG118" s="138"/>
      <c r="AH118" s="102"/>
      <c r="AI118" s="102"/>
      <c r="AJ118" s="102"/>
      <c r="AK118" s="102"/>
      <c r="AL118" s="102"/>
      <c r="AM118" s="102"/>
    </row>
    <row r="119" spans="1:39">
      <c r="A119" s="143" t="s">
        <v>241</v>
      </c>
      <c r="B119" s="143" t="s">
        <v>361</v>
      </c>
      <c r="C119" s="145">
        <v>45819</v>
      </c>
      <c r="D119" s="143" t="s">
        <v>500</v>
      </c>
      <c r="E119" s="146" t="s">
        <v>458</v>
      </c>
      <c r="F119" s="147">
        <v>-132</v>
      </c>
      <c r="G119" s="147">
        <v>-105</v>
      </c>
      <c r="H119" s="148">
        <v>104</v>
      </c>
      <c r="I119" s="143">
        <v>-120</v>
      </c>
      <c r="J119" s="143">
        <v>1</v>
      </c>
      <c r="K119" s="149" t="s">
        <v>311</v>
      </c>
      <c r="L119" s="150">
        <f t="shared" si="13"/>
        <v>-1</v>
      </c>
      <c r="M119" s="150">
        <f t="shared" si="14"/>
        <v>-1</v>
      </c>
      <c r="N119" s="151">
        <f t="shared" si="15"/>
        <v>-4.2950513538748895E-2</v>
      </c>
      <c r="O119" s="151">
        <f t="shared" si="16"/>
        <v>9.5643658377351837E-2</v>
      </c>
      <c r="P119" s="151">
        <f t="shared" si="17"/>
        <v>0.56896551724137934</v>
      </c>
      <c r="Q119" s="151">
        <f t="shared" si="18"/>
        <v>0.4733218588640275</v>
      </c>
      <c r="R119" s="150">
        <f t="shared" si="19"/>
        <v>1.9523809523809523</v>
      </c>
      <c r="S119" s="150">
        <f t="shared" si="20"/>
        <v>2.04</v>
      </c>
      <c r="T119" s="150">
        <f t="shared" si="21"/>
        <v>1.8333333333333335</v>
      </c>
      <c r="U119" s="152">
        <f t="shared" si="25"/>
        <v>-1</v>
      </c>
      <c r="V119" s="143"/>
      <c r="W119" s="102">
        <f t="shared" si="22"/>
        <v>0</v>
      </c>
      <c r="X119" s="153">
        <f t="shared" si="23"/>
        <v>-1</v>
      </c>
      <c r="Y119" s="102"/>
      <c r="Z119" s="102"/>
      <c r="AA119" s="102"/>
      <c r="AB119" s="102"/>
      <c r="AC119" s="102"/>
      <c r="AD119" s="102"/>
      <c r="AE119" s="102"/>
      <c r="AF119" s="138"/>
      <c r="AG119" s="138"/>
      <c r="AH119" s="102"/>
      <c r="AI119" s="102"/>
      <c r="AJ119" s="102"/>
      <c r="AK119" s="102"/>
      <c r="AL119" s="102"/>
      <c r="AM119" s="102"/>
    </row>
    <row r="120" spans="1:39">
      <c r="A120" s="143" t="s">
        <v>238</v>
      </c>
      <c r="B120" s="143" t="s">
        <v>361</v>
      </c>
      <c r="C120" s="145">
        <v>45820</v>
      </c>
      <c r="D120" s="143" t="s">
        <v>504</v>
      </c>
      <c r="E120" s="146" t="s">
        <v>471</v>
      </c>
      <c r="F120" s="147">
        <v>-390</v>
      </c>
      <c r="G120" s="147">
        <v>-216</v>
      </c>
      <c r="H120" s="148">
        <v>-244</v>
      </c>
      <c r="I120" s="143">
        <v>202</v>
      </c>
      <c r="J120" s="143">
        <v>1</v>
      </c>
      <c r="K120" s="149" t="s">
        <v>350</v>
      </c>
      <c r="L120" s="150">
        <f t="shared" si="13"/>
        <v>0.46296296296296302</v>
      </c>
      <c r="M120" s="150">
        <f t="shared" si="14"/>
        <v>0.4098360655737705</v>
      </c>
      <c r="N120" s="151">
        <f t="shared" si="15"/>
        <v>3.7683031869078468E-2</v>
      </c>
      <c r="O120" s="151">
        <f t="shared" si="16"/>
        <v>0.11417756355743391</v>
      </c>
      <c r="P120" s="151">
        <f t="shared" si="17"/>
        <v>0.79591836734693877</v>
      </c>
      <c r="Q120" s="151">
        <f t="shared" si="18"/>
        <v>0.68174080378950486</v>
      </c>
      <c r="R120" s="150">
        <f t="shared" si="19"/>
        <v>1.462962962962963</v>
      </c>
      <c r="S120" s="150">
        <f t="shared" si="20"/>
        <v>1.4098360655737705</v>
      </c>
      <c r="T120" s="150">
        <f t="shared" si="21"/>
        <v>3.02</v>
      </c>
      <c r="U120" s="152">
        <f t="shared" si="25"/>
        <v>0.46296296296296302</v>
      </c>
      <c r="V120" s="143"/>
      <c r="W120" s="102">
        <f t="shared" si="22"/>
        <v>1</v>
      </c>
      <c r="X120" s="153">
        <f t="shared" si="23"/>
        <v>0.46296296296296302</v>
      </c>
      <c r="Y120" s="102"/>
      <c r="Z120" s="102"/>
      <c r="AA120" s="102"/>
      <c r="AB120" s="102"/>
      <c r="AC120" s="102"/>
      <c r="AD120" s="102"/>
      <c r="AE120" s="102"/>
      <c r="AF120" s="138"/>
      <c r="AG120" s="138"/>
      <c r="AH120" s="102"/>
      <c r="AI120" s="102"/>
      <c r="AJ120" s="102"/>
      <c r="AK120" s="102"/>
      <c r="AL120" s="102"/>
      <c r="AM120" s="102"/>
    </row>
    <row r="121" spans="1:39">
      <c r="A121" s="143" t="s">
        <v>240</v>
      </c>
      <c r="B121" s="143" t="s">
        <v>361</v>
      </c>
      <c r="C121" s="145">
        <v>45820</v>
      </c>
      <c r="D121" s="143" t="s">
        <v>505</v>
      </c>
      <c r="E121" s="146" t="s">
        <v>409</v>
      </c>
      <c r="F121" s="147">
        <v>108</v>
      </c>
      <c r="G121" s="147">
        <v>165</v>
      </c>
      <c r="H121" s="148">
        <v>161</v>
      </c>
      <c r="I121" s="143">
        <v>-189</v>
      </c>
      <c r="J121" s="143">
        <v>1</v>
      </c>
      <c r="K121" s="149" t="s">
        <v>311</v>
      </c>
      <c r="L121" s="150">
        <f t="shared" si="13"/>
        <v>-1</v>
      </c>
      <c r="M121" s="150">
        <f t="shared" si="14"/>
        <v>-1</v>
      </c>
      <c r="N121" s="151">
        <f t="shared" si="15"/>
        <v>1.5325670498084107E-2</v>
      </c>
      <c r="O121" s="151">
        <f t="shared" si="16"/>
        <v>0.11134101361191062</v>
      </c>
      <c r="P121" s="151">
        <f t="shared" si="17"/>
        <v>0.48076923076923078</v>
      </c>
      <c r="Q121" s="151">
        <f t="shared" si="18"/>
        <v>0.36942821715732016</v>
      </c>
      <c r="R121" s="150">
        <f t="shared" si="19"/>
        <v>2.65</v>
      </c>
      <c r="S121" s="150">
        <f t="shared" si="20"/>
        <v>2.6100000000000003</v>
      </c>
      <c r="T121" s="150">
        <f t="shared" si="21"/>
        <v>1.5291005291005291</v>
      </c>
      <c r="U121" s="152">
        <f t="shared" si="25"/>
        <v>-1</v>
      </c>
      <c r="V121" s="143"/>
      <c r="W121" s="102">
        <f t="shared" si="22"/>
        <v>0</v>
      </c>
      <c r="X121" s="153">
        <f t="shared" si="23"/>
        <v>-1</v>
      </c>
      <c r="Y121" s="102"/>
      <c r="Z121" s="102"/>
      <c r="AA121" s="102"/>
      <c r="AB121" s="102"/>
      <c r="AC121" s="102"/>
      <c r="AD121" s="102"/>
      <c r="AE121" s="102"/>
      <c r="AF121" s="138"/>
      <c r="AG121" s="138"/>
      <c r="AH121" s="102"/>
      <c r="AI121" s="102"/>
      <c r="AJ121" s="102"/>
      <c r="AK121" s="102"/>
      <c r="AL121" s="102"/>
      <c r="AM121" s="102"/>
    </row>
    <row r="122" spans="1:39">
      <c r="A122" s="143" t="s">
        <v>243</v>
      </c>
      <c r="B122" s="143" t="s">
        <v>361</v>
      </c>
      <c r="C122" s="145">
        <v>45820</v>
      </c>
      <c r="D122" s="143" t="s">
        <v>501</v>
      </c>
      <c r="E122" s="146" t="s">
        <v>439</v>
      </c>
      <c r="F122" s="147">
        <v>-101</v>
      </c>
      <c r="G122" s="147">
        <v>133</v>
      </c>
      <c r="H122" s="148">
        <v>124</v>
      </c>
      <c r="I122" s="143">
        <v>-143</v>
      </c>
      <c r="J122" s="143">
        <v>1</v>
      </c>
      <c r="K122" s="149" t="s">
        <v>350</v>
      </c>
      <c r="L122" s="150">
        <f t="shared" si="13"/>
        <v>1.33</v>
      </c>
      <c r="M122" s="150">
        <f t="shared" si="14"/>
        <v>1.2400000000000002</v>
      </c>
      <c r="N122" s="151">
        <f t="shared" si="15"/>
        <v>4.0178571428571327E-2</v>
      </c>
      <c r="O122" s="151">
        <f t="shared" si="16"/>
        <v>7.111640547528647E-2</v>
      </c>
      <c r="P122" s="151">
        <f t="shared" si="17"/>
        <v>0.50248756218905477</v>
      </c>
      <c r="Q122" s="151">
        <f t="shared" si="18"/>
        <v>0.4313711567137683</v>
      </c>
      <c r="R122" s="150">
        <f t="shared" si="19"/>
        <v>2.33</v>
      </c>
      <c r="S122" s="150">
        <f t="shared" si="20"/>
        <v>2.2400000000000002</v>
      </c>
      <c r="T122" s="150">
        <f t="shared" si="21"/>
        <v>1.6993006993006992</v>
      </c>
      <c r="U122" s="152">
        <f t="shared" si="25"/>
        <v>1.33</v>
      </c>
      <c r="V122" s="143"/>
      <c r="W122" s="102">
        <f t="shared" si="22"/>
        <v>1</v>
      </c>
      <c r="X122" s="153">
        <f t="shared" si="23"/>
        <v>1.33</v>
      </c>
      <c r="Y122" s="102"/>
      <c r="Z122" s="102"/>
      <c r="AA122" s="102"/>
      <c r="AB122" s="102"/>
      <c r="AC122" s="102"/>
      <c r="AD122" s="102"/>
      <c r="AE122" s="102"/>
      <c r="AF122" s="138"/>
      <c r="AG122" s="138"/>
      <c r="AH122" s="102"/>
      <c r="AI122" s="102"/>
      <c r="AJ122" s="102"/>
      <c r="AK122" s="102"/>
      <c r="AL122" s="102"/>
      <c r="AM122" s="102"/>
    </row>
    <row r="123" spans="1:39">
      <c r="A123" s="143" t="s">
        <v>245</v>
      </c>
      <c r="B123" s="143" t="s">
        <v>361</v>
      </c>
      <c r="C123" s="145">
        <v>45821</v>
      </c>
      <c r="D123" s="143" t="s">
        <v>506</v>
      </c>
      <c r="E123" s="146" t="s">
        <v>445</v>
      </c>
      <c r="F123" s="147"/>
      <c r="G123" s="147">
        <v>110</v>
      </c>
      <c r="H123" s="148">
        <v>104</v>
      </c>
      <c r="I123" s="143"/>
      <c r="J123" s="143">
        <v>1</v>
      </c>
      <c r="K123" s="149" t="s">
        <v>311</v>
      </c>
      <c r="L123" s="150">
        <f t="shared" si="13"/>
        <v>-1</v>
      </c>
      <c r="M123" s="150">
        <f t="shared" si="14"/>
        <v>-1</v>
      </c>
      <c r="N123" s="151">
        <f t="shared" si="15"/>
        <v>2.9411764705882366E-2</v>
      </c>
      <c r="O123" s="151" t="str">
        <f t="shared" si="16"/>
        <v/>
      </c>
      <c r="P123" s="151" t="str">
        <f t="shared" si="17"/>
        <v/>
      </c>
      <c r="Q123" s="151" t="str">
        <f t="shared" si="18"/>
        <v/>
      </c>
      <c r="R123" s="150">
        <f t="shared" si="19"/>
        <v>2.1</v>
      </c>
      <c r="S123" s="150">
        <f t="shared" si="20"/>
        <v>2.04</v>
      </c>
      <c r="T123" s="150" t="str">
        <f t="shared" si="21"/>
        <v/>
      </c>
      <c r="U123" s="152">
        <f t="shared" si="25"/>
        <v>-1</v>
      </c>
      <c r="V123" s="143"/>
      <c r="W123" s="102">
        <f t="shared" si="22"/>
        <v>0</v>
      </c>
      <c r="X123" s="153">
        <f t="shared" si="23"/>
        <v>-1</v>
      </c>
      <c r="Y123" s="102"/>
      <c r="Z123" s="102"/>
      <c r="AA123" s="102"/>
      <c r="AB123" s="102"/>
      <c r="AC123" s="102"/>
      <c r="AD123" s="102"/>
      <c r="AE123" s="102"/>
      <c r="AF123" s="138"/>
      <c r="AG123" s="138"/>
      <c r="AH123" s="102"/>
      <c r="AI123" s="102"/>
      <c r="AJ123" s="102"/>
      <c r="AK123" s="102"/>
      <c r="AL123" s="102"/>
      <c r="AM123" s="102"/>
    </row>
    <row r="124" spans="1:39">
      <c r="A124" s="143" t="s">
        <v>240</v>
      </c>
      <c r="B124" s="143" t="s">
        <v>361</v>
      </c>
      <c r="C124" s="145">
        <v>45821</v>
      </c>
      <c r="D124" s="143" t="s">
        <v>507</v>
      </c>
      <c r="E124" s="146" t="s">
        <v>508</v>
      </c>
      <c r="F124" s="147"/>
      <c r="G124" s="147">
        <v>245</v>
      </c>
      <c r="H124" s="148">
        <v>239</v>
      </c>
      <c r="I124" s="143"/>
      <c r="J124" s="143">
        <v>0.5</v>
      </c>
      <c r="K124" s="149" t="s">
        <v>350</v>
      </c>
      <c r="L124" s="150">
        <f t="shared" si="13"/>
        <v>1.2250000000000001</v>
      </c>
      <c r="M124" s="150">
        <f t="shared" si="14"/>
        <v>1.1950000000000001</v>
      </c>
      <c r="N124" s="151">
        <f t="shared" si="15"/>
        <v>1.7699115044247735E-2</v>
      </c>
      <c r="O124" s="151" t="str">
        <f t="shared" si="16"/>
        <v/>
      </c>
      <c r="P124" s="151" t="str">
        <f t="shared" si="17"/>
        <v/>
      </c>
      <c r="Q124" s="151" t="str">
        <f t="shared" si="18"/>
        <v/>
      </c>
      <c r="R124" s="150">
        <f t="shared" si="19"/>
        <v>3.45</v>
      </c>
      <c r="S124" s="150">
        <f t="shared" si="20"/>
        <v>3.39</v>
      </c>
      <c r="T124" s="150" t="str">
        <f t="shared" si="21"/>
        <v/>
      </c>
      <c r="U124" s="152">
        <f t="shared" si="25"/>
        <v>2.4500000000000002</v>
      </c>
      <c r="V124" s="143"/>
      <c r="W124" s="102">
        <f t="shared" si="22"/>
        <v>1</v>
      </c>
      <c r="X124" s="153">
        <f t="shared" si="23"/>
        <v>2.4500000000000002</v>
      </c>
      <c r="Y124" s="102"/>
      <c r="Z124" s="102"/>
      <c r="AA124" s="102"/>
      <c r="AB124" s="102"/>
      <c r="AC124" s="102"/>
      <c r="AD124" s="102"/>
      <c r="AE124" s="102"/>
      <c r="AF124" s="138"/>
      <c r="AG124" s="138"/>
      <c r="AH124" s="102"/>
      <c r="AI124" s="102"/>
      <c r="AJ124" s="102"/>
      <c r="AK124" s="102"/>
      <c r="AL124" s="102"/>
      <c r="AM124" s="102"/>
    </row>
    <row r="125" spans="1:39">
      <c r="A125" s="143" t="s">
        <v>240</v>
      </c>
      <c r="B125" s="143" t="s">
        <v>361</v>
      </c>
      <c r="C125" s="145">
        <v>45821</v>
      </c>
      <c r="D125" s="143" t="s">
        <v>509</v>
      </c>
      <c r="E125" s="146" t="s">
        <v>421</v>
      </c>
      <c r="F125" s="147"/>
      <c r="G125" s="147">
        <v>140</v>
      </c>
      <c r="H125" s="148">
        <v>166</v>
      </c>
      <c r="I125" s="143"/>
      <c r="J125" s="143">
        <v>1</v>
      </c>
      <c r="K125" s="149" t="s">
        <v>311</v>
      </c>
      <c r="L125" s="150">
        <f t="shared" si="13"/>
        <v>-1</v>
      </c>
      <c r="M125" s="150">
        <f t="shared" si="14"/>
        <v>-1</v>
      </c>
      <c r="N125" s="151">
        <f t="shared" si="15"/>
        <v>-9.7744360902255731E-2</v>
      </c>
      <c r="O125" s="151" t="str">
        <f t="shared" si="16"/>
        <v/>
      </c>
      <c r="P125" s="151" t="str">
        <f t="shared" si="17"/>
        <v/>
      </c>
      <c r="Q125" s="151" t="str">
        <f t="shared" si="18"/>
        <v/>
      </c>
      <c r="R125" s="150">
        <f t="shared" si="19"/>
        <v>2.4</v>
      </c>
      <c r="S125" s="150">
        <f t="shared" si="20"/>
        <v>2.66</v>
      </c>
      <c r="T125" s="150" t="str">
        <f t="shared" si="21"/>
        <v/>
      </c>
      <c r="U125" s="152">
        <f t="shared" si="25"/>
        <v>-1</v>
      </c>
      <c r="V125" s="143"/>
      <c r="W125" s="102">
        <f t="shared" si="22"/>
        <v>0</v>
      </c>
      <c r="X125" s="153">
        <f t="shared" si="23"/>
        <v>-1</v>
      </c>
      <c r="Y125" s="102"/>
      <c r="Z125" s="102"/>
      <c r="AA125" s="102"/>
      <c r="AB125" s="102"/>
      <c r="AC125" s="102"/>
      <c r="AD125" s="102"/>
      <c r="AE125" s="102"/>
      <c r="AF125" s="138"/>
      <c r="AG125" s="138"/>
      <c r="AH125" s="102"/>
      <c r="AI125" s="102"/>
      <c r="AJ125" s="102"/>
      <c r="AK125" s="102"/>
      <c r="AL125" s="102"/>
      <c r="AM125" s="102"/>
    </row>
    <row r="126" spans="1:39">
      <c r="A126" s="143" t="s">
        <v>240</v>
      </c>
      <c r="B126" s="143" t="s">
        <v>361</v>
      </c>
      <c r="C126" s="145">
        <v>45821</v>
      </c>
      <c r="D126" s="143" t="s">
        <v>510</v>
      </c>
      <c r="E126" s="146" t="s">
        <v>511</v>
      </c>
      <c r="F126" s="147"/>
      <c r="G126" s="147">
        <v>130</v>
      </c>
      <c r="H126" s="148">
        <v>129</v>
      </c>
      <c r="I126" s="143"/>
      <c r="J126" s="143">
        <v>1</v>
      </c>
      <c r="K126" s="149" t="s">
        <v>350</v>
      </c>
      <c r="L126" s="150">
        <f t="shared" si="13"/>
        <v>1.2999999999999998</v>
      </c>
      <c r="M126" s="150">
        <f t="shared" si="14"/>
        <v>1.29</v>
      </c>
      <c r="N126" s="151">
        <f t="shared" si="15"/>
        <v>4.3668122270741792E-3</v>
      </c>
      <c r="O126" s="151" t="str">
        <f t="shared" si="16"/>
        <v/>
      </c>
      <c r="P126" s="151" t="str">
        <f t="shared" si="17"/>
        <v/>
      </c>
      <c r="Q126" s="151" t="str">
        <f t="shared" si="18"/>
        <v/>
      </c>
      <c r="R126" s="150">
        <f t="shared" si="19"/>
        <v>2.2999999999999998</v>
      </c>
      <c r="S126" s="150">
        <f t="shared" si="20"/>
        <v>2.29</v>
      </c>
      <c r="T126" s="150" t="str">
        <f t="shared" si="21"/>
        <v/>
      </c>
      <c r="U126" s="152">
        <f t="shared" si="25"/>
        <v>1.2999999999999998</v>
      </c>
      <c r="V126" s="143"/>
      <c r="W126" s="102">
        <f t="shared" si="22"/>
        <v>1</v>
      </c>
      <c r="X126" s="153">
        <f t="shared" si="23"/>
        <v>1.2999999999999998</v>
      </c>
      <c r="Y126" s="102"/>
      <c r="Z126" s="102"/>
      <c r="AA126" s="102"/>
      <c r="AB126" s="102"/>
      <c r="AC126" s="102"/>
      <c r="AD126" s="102"/>
      <c r="AE126" s="102"/>
      <c r="AF126" s="138"/>
      <c r="AG126" s="138"/>
      <c r="AH126" s="102"/>
      <c r="AI126" s="102"/>
      <c r="AJ126" s="102"/>
      <c r="AK126" s="102"/>
      <c r="AL126" s="102"/>
      <c r="AM126" s="102"/>
    </row>
    <row r="127" spans="1:39">
      <c r="A127" s="143" t="s">
        <v>238</v>
      </c>
      <c r="B127" s="143" t="s">
        <v>361</v>
      </c>
      <c r="C127" s="145">
        <v>45821</v>
      </c>
      <c r="D127" s="143" t="s">
        <v>512</v>
      </c>
      <c r="E127" s="146" t="s">
        <v>411</v>
      </c>
      <c r="F127" s="147"/>
      <c r="G127" s="147">
        <v>136</v>
      </c>
      <c r="H127" s="148">
        <v>161</v>
      </c>
      <c r="I127" s="143"/>
      <c r="J127" s="143">
        <v>1</v>
      </c>
      <c r="K127" s="149" t="s">
        <v>351</v>
      </c>
      <c r="L127" s="150">
        <f t="shared" si="13"/>
        <v>0</v>
      </c>
      <c r="M127" s="150">
        <f t="shared" si="14"/>
        <v>0</v>
      </c>
      <c r="N127" s="151">
        <f t="shared" si="15"/>
        <v>-9.5785440613026768E-2</v>
      </c>
      <c r="O127" s="151" t="str">
        <f t="shared" si="16"/>
        <v/>
      </c>
      <c r="P127" s="151" t="str">
        <f t="shared" si="17"/>
        <v/>
      </c>
      <c r="Q127" s="151" t="str">
        <f t="shared" si="18"/>
        <v/>
      </c>
      <c r="R127" s="150">
        <f t="shared" si="19"/>
        <v>2.3600000000000003</v>
      </c>
      <c r="S127" s="150">
        <f t="shared" si="20"/>
        <v>2.6100000000000003</v>
      </c>
      <c r="T127" s="150" t="str">
        <f t="shared" si="21"/>
        <v/>
      </c>
      <c r="U127" s="152">
        <f t="shared" si="25"/>
        <v>0</v>
      </c>
      <c r="V127" s="143"/>
      <c r="W127" s="102">
        <f t="shared" si="22"/>
        <v>2</v>
      </c>
      <c r="X127" s="153">
        <f t="shared" si="23"/>
        <v>0</v>
      </c>
      <c r="Y127" s="102"/>
      <c r="Z127" s="102"/>
      <c r="AA127" s="102"/>
      <c r="AB127" s="102"/>
      <c r="AC127" s="102"/>
      <c r="AD127" s="102"/>
      <c r="AE127" s="102"/>
      <c r="AF127" s="138"/>
      <c r="AG127" s="138"/>
      <c r="AH127" s="102"/>
      <c r="AI127" s="102"/>
      <c r="AJ127" s="102"/>
      <c r="AK127" s="102"/>
      <c r="AL127" s="102"/>
      <c r="AM127" s="102"/>
    </row>
    <row r="128" spans="1:39">
      <c r="A128" s="143" t="s">
        <v>241</v>
      </c>
      <c r="B128" s="143" t="s">
        <v>361</v>
      </c>
      <c r="C128" s="145">
        <v>45821</v>
      </c>
      <c r="D128" s="143" t="s">
        <v>513</v>
      </c>
      <c r="E128" s="146" t="s">
        <v>451</v>
      </c>
      <c r="F128" s="147"/>
      <c r="G128" s="147">
        <v>105</v>
      </c>
      <c r="H128" s="148">
        <v>-110</v>
      </c>
      <c r="I128" s="143"/>
      <c r="J128" s="143">
        <v>1</v>
      </c>
      <c r="K128" s="149" t="s">
        <v>311</v>
      </c>
      <c r="L128" s="150">
        <f t="shared" si="13"/>
        <v>-1</v>
      </c>
      <c r="M128" s="150">
        <f t="shared" si="14"/>
        <v>-1</v>
      </c>
      <c r="N128" s="151">
        <f t="shared" si="15"/>
        <v>7.3809523809523769E-2</v>
      </c>
      <c r="O128" s="151" t="str">
        <f t="shared" si="16"/>
        <v/>
      </c>
      <c r="P128" s="151" t="str">
        <f t="shared" si="17"/>
        <v/>
      </c>
      <c r="Q128" s="151" t="str">
        <f t="shared" si="18"/>
        <v/>
      </c>
      <c r="R128" s="150">
        <f t="shared" si="19"/>
        <v>2.0499999999999998</v>
      </c>
      <c r="S128" s="150">
        <f t="shared" si="20"/>
        <v>1.9090909090909092</v>
      </c>
      <c r="T128" s="150" t="str">
        <f t="shared" si="21"/>
        <v/>
      </c>
      <c r="U128" s="152">
        <f t="shared" si="25"/>
        <v>-1</v>
      </c>
      <c r="V128" s="143"/>
      <c r="W128" s="102">
        <f t="shared" si="22"/>
        <v>0</v>
      </c>
      <c r="X128" s="153">
        <f t="shared" si="23"/>
        <v>-1</v>
      </c>
      <c r="Y128" s="102"/>
      <c r="Z128" s="102"/>
      <c r="AA128" s="102"/>
      <c r="AB128" s="102"/>
      <c r="AC128" s="102"/>
      <c r="AD128" s="102"/>
      <c r="AE128" s="102"/>
      <c r="AF128" s="138"/>
      <c r="AG128" s="138"/>
      <c r="AH128" s="102"/>
      <c r="AI128" s="102"/>
      <c r="AJ128" s="102"/>
      <c r="AK128" s="102"/>
      <c r="AL128" s="102"/>
      <c r="AM128" s="102"/>
    </row>
    <row r="129" spans="1:39">
      <c r="A129" s="143" t="s">
        <v>240</v>
      </c>
      <c r="B129" s="143" t="s">
        <v>361</v>
      </c>
      <c r="C129" s="145">
        <v>45821</v>
      </c>
      <c r="D129" s="143" t="s">
        <v>514</v>
      </c>
      <c r="E129" s="146" t="s">
        <v>413</v>
      </c>
      <c r="F129" s="147"/>
      <c r="G129" s="147">
        <v>100</v>
      </c>
      <c r="H129" s="148">
        <v>102</v>
      </c>
      <c r="I129" s="143"/>
      <c r="J129" s="143">
        <v>1</v>
      </c>
      <c r="K129" s="149" t="s">
        <v>311</v>
      </c>
      <c r="L129" s="150">
        <f t="shared" si="13"/>
        <v>-1</v>
      </c>
      <c r="M129" s="150">
        <f t="shared" si="14"/>
        <v>-1</v>
      </c>
      <c r="N129" s="151">
        <f t="shared" si="15"/>
        <v>-9.9009900990099098E-3</v>
      </c>
      <c r="O129" s="151" t="str">
        <f t="shared" si="16"/>
        <v/>
      </c>
      <c r="P129" s="151" t="str">
        <f t="shared" si="17"/>
        <v/>
      </c>
      <c r="Q129" s="151" t="str">
        <f t="shared" si="18"/>
        <v/>
      </c>
      <c r="R129" s="150">
        <f t="shared" si="19"/>
        <v>2</v>
      </c>
      <c r="S129" s="150">
        <f t="shared" si="20"/>
        <v>2.02</v>
      </c>
      <c r="T129" s="150" t="str">
        <f t="shared" si="21"/>
        <v/>
      </c>
      <c r="U129" s="152">
        <f t="shared" si="25"/>
        <v>-1</v>
      </c>
      <c r="V129" s="143"/>
      <c r="W129" s="102">
        <f t="shared" si="22"/>
        <v>0</v>
      </c>
      <c r="X129" s="153">
        <f t="shared" si="23"/>
        <v>-1</v>
      </c>
      <c r="Y129" s="102"/>
      <c r="Z129" s="102"/>
      <c r="AA129" s="102"/>
      <c r="AB129" s="102"/>
      <c r="AC129" s="102"/>
      <c r="AD129" s="102"/>
      <c r="AE129" s="102"/>
      <c r="AF129" s="138"/>
      <c r="AG129" s="138"/>
      <c r="AH129" s="102"/>
      <c r="AI129" s="102"/>
      <c r="AJ129" s="102"/>
      <c r="AK129" s="102"/>
      <c r="AL129" s="102"/>
      <c r="AM129" s="102"/>
    </row>
    <row r="130" spans="1:39">
      <c r="A130" s="143" t="s">
        <v>240</v>
      </c>
      <c r="B130" s="143" t="s">
        <v>361</v>
      </c>
      <c r="C130" s="145">
        <v>45824</v>
      </c>
      <c r="D130" s="143" t="s">
        <v>515</v>
      </c>
      <c r="E130" s="146" t="s">
        <v>465</v>
      </c>
      <c r="F130" s="147"/>
      <c r="G130" s="147">
        <v>-175</v>
      </c>
      <c r="H130" s="148">
        <v>-185</v>
      </c>
      <c r="I130" s="143"/>
      <c r="J130" s="143">
        <v>1</v>
      </c>
      <c r="K130" s="149" t="s">
        <v>311</v>
      </c>
      <c r="L130" s="150">
        <f t="shared" si="13"/>
        <v>-1</v>
      </c>
      <c r="M130" s="150">
        <f t="shared" si="14"/>
        <v>-1</v>
      </c>
      <c r="N130" s="151">
        <f t="shared" si="15"/>
        <v>2.0050125313283255E-2</v>
      </c>
      <c r="O130" s="151" t="str">
        <f t="shared" si="16"/>
        <v/>
      </c>
      <c r="P130" s="151" t="str">
        <f t="shared" si="17"/>
        <v/>
      </c>
      <c r="Q130" s="151" t="str">
        <f t="shared" si="18"/>
        <v/>
      </c>
      <c r="R130" s="150">
        <f t="shared" si="19"/>
        <v>1.5714285714285714</v>
      </c>
      <c r="S130" s="150">
        <f t="shared" si="20"/>
        <v>1.5405405405405406</v>
      </c>
      <c r="T130" s="150" t="str">
        <f t="shared" si="21"/>
        <v/>
      </c>
      <c r="U130" s="152">
        <f t="shared" si="25"/>
        <v>-1</v>
      </c>
      <c r="V130" s="143"/>
      <c r="W130" s="102">
        <f t="shared" si="22"/>
        <v>0</v>
      </c>
      <c r="X130" s="153">
        <f t="shared" si="23"/>
        <v>-1</v>
      </c>
      <c r="Y130" s="102"/>
      <c r="Z130" s="102"/>
      <c r="AA130" s="102"/>
      <c r="AB130" s="102"/>
      <c r="AC130" s="102"/>
      <c r="AD130" s="102"/>
      <c r="AE130" s="102"/>
      <c r="AF130" s="138"/>
      <c r="AG130" s="138"/>
      <c r="AH130" s="102"/>
      <c r="AI130" s="102"/>
      <c r="AJ130" s="102"/>
      <c r="AK130" s="102"/>
      <c r="AL130" s="102"/>
      <c r="AM130" s="102"/>
    </row>
    <row r="131" spans="1:39">
      <c r="A131" s="143" t="s">
        <v>238</v>
      </c>
      <c r="B131" s="143" t="s">
        <v>361</v>
      </c>
      <c r="C131" s="145">
        <v>45825</v>
      </c>
      <c r="D131" s="143" t="s">
        <v>516</v>
      </c>
      <c r="E131" s="146" t="s">
        <v>421</v>
      </c>
      <c r="F131" s="147"/>
      <c r="G131" s="147">
        <v>203</v>
      </c>
      <c r="H131" s="148">
        <v>210</v>
      </c>
      <c r="I131" s="143"/>
      <c r="J131" s="143">
        <v>1</v>
      </c>
      <c r="K131" s="149" t="s">
        <v>350</v>
      </c>
      <c r="L131" s="150">
        <f t="shared" si="13"/>
        <v>2.0299999999999998</v>
      </c>
      <c r="M131" s="150">
        <f t="shared" si="14"/>
        <v>2.1</v>
      </c>
      <c r="N131" s="151">
        <f t="shared" si="15"/>
        <v>-2.2580645161290342E-2</v>
      </c>
      <c r="O131" s="151" t="str">
        <f t="shared" si="16"/>
        <v/>
      </c>
      <c r="P131" s="151" t="str">
        <f t="shared" si="17"/>
        <v/>
      </c>
      <c r="Q131" s="151" t="str">
        <f t="shared" si="18"/>
        <v/>
      </c>
      <c r="R131" s="150">
        <f t="shared" si="19"/>
        <v>3.03</v>
      </c>
      <c r="S131" s="150">
        <f t="shared" si="20"/>
        <v>3.1</v>
      </c>
      <c r="T131" s="150" t="str">
        <f t="shared" si="21"/>
        <v/>
      </c>
      <c r="U131" s="152">
        <f t="shared" si="25"/>
        <v>2.0299999999999998</v>
      </c>
      <c r="V131" s="143"/>
      <c r="W131" s="102">
        <f t="shared" si="22"/>
        <v>1</v>
      </c>
      <c r="X131" s="153">
        <f t="shared" si="23"/>
        <v>2.0299999999999998</v>
      </c>
      <c r="Y131" s="102"/>
      <c r="Z131" s="102"/>
      <c r="AA131" s="102"/>
      <c r="AB131" s="102"/>
      <c r="AC131" s="102"/>
      <c r="AD131" s="102"/>
      <c r="AE131" s="102"/>
      <c r="AF131" s="138"/>
      <c r="AG131" s="138"/>
      <c r="AH131" s="102"/>
      <c r="AI131" s="102"/>
      <c r="AJ131" s="102"/>
      <c r="AK131" s="102"/>
      <c r="AL131" s="102"/>
      <c r="AM131" s="102"/>
    </row>
    <row r="132" spans="1:39">
      <c r="A132" s="143" t="s">
        <v>240</v>
      </c>
      <c r="B132" s="143" t="s">
        <v>361</v>
      </c>
      <c r="C132" s="145">
        <v>45825</v>
      </c>
      <c r="D132" s="143" t="s">
        <v>517</v>
      </c>
      <c r="E132" s="146" t="s">
        <v>447</v>
      </c>
      <c r="F132" s="147"/>
      <c r="G132" s="147">
        <v>156</v>
      </c>
      <c r="H132" s="148">
        <v>150</v>
      </c>
      <c r="I132" s="143"/>
      <c r="J132" s="143">
        <v>1</v>
      </c>
      <c r="K132" s="149" t="s">
        <v>311</v>
      </c>
      <c r="L132" s="150">
        <f t="shared" si="13"/>
        <v>-1</v>
      </c>
      <c r="M132" s="150">
        <f t="shared" si="14"/>
        <v>-1</v>
      </c>
      <c r="N132" s="151">
        <f t="shared" si="15"/>
        <v>2.4000000000000056E-2</v>
      </c>
      <c r="O132" s="151" t="str">
        <f t="shared" si="16"/>
        <v/>
      </c>
      <c r="P132" s="151" t="str">
        <f t="shared" si="17"/>
        <v/>
      </c>
      <c r="Q132" s="151" t="str">
        <f t="shared" si="18"/>
        <v/>
      </c>
      <c r="R132" s="150">
        <f t="shared" si="19"/>
        <v>2.56</v>
      </c>
      <c r="S132" s="150">
        <f t="shared" si="20"/>
        <v>2.5</v>
      </c>
      <c r="T132" s="150" t="str">
        <f t="shared" si="21"/>
        <v/>
      </c>
      <c r="U132" s="152">
        <f t="shared" si="25"/>
        <v>-1</v>
      </c>
      <c r="V132" s="143"/>
      <c r="W132" s="102">
        <f t="shared" si="22"/>
        <v>0</v>
      </c>
      <c r="X132" s="153">
        <f t="shared" si="23"/>
        <v>-1</v>
      </c>
      <c r="Y132" s="102"/>
      <c r="Z132" s="102"/>
      <c r="AA132" s="102"/>
      <c r="AB132" s="102"/>
      <c r="AC132" s="102"/>
      <c r="AD132" s="102"/>
      <c r="AE132" s="102"/>
      <c r="AF132" s="138"/>
      <c r="AG132" s="138"/>
      <c r="AH132" s="102"/>
      <c r="AI132" s="102"/>
      <c r="AJ132" s="102"/>
      <c r="AK132" s="102"/>
      <c r="AL132" s="102"/>
      <c r="AM132" s="102"/>
    </row>
    <row r="133" spans="1:39">
      <c r="A133" s="143" t="s">
        <v>238</v>
      </c>
      <c r="B133" s="143" t="s">
        <v>361</v>
      </c>
      <c r="C133" s="145">
        <v>45825</v>
      </c>
      <c r="D133" s="143" t="s">
        <v>518</v>
      </c>
      <c r="E133" s="146" t="s">
        <v>519</v>
      </c>
      <c r="F133" s="147"/>
      <c r="G133" s="147">
        <v>149</v>
      </c>
      <c r="H133" s="148">
        <v>156</v>
      </c>
      <c r="I133" s="143"/>
      <c r="J133" s="143">
        <v>1</v>
      </c>
      <c r="K133" s="149" t="s">
        <v>311</v>
      </c>
      <c r="L133" s="150">
        <f t="shared" si="13"/>
        <v>-1</v>
      </c>
      <c r="M133" s="150">
        <f t="shared" si="14"/>
        <v>-1</v>
      </c>
      <c r="N133" s="151">
        <f t="shared" si="15"/>
        <v>-2.7343749999999861E-2</v>
      </c>
      <c r="O133" s="151" t="str">
        <f t="shared" si="16"/>
        <v/>
      </c>
      <c r="P133" s="151" t="str">
        <f t="shared" si="17"/>
        <v/>
      </c>
      <c r="Q133" s="151" t="str">
        <f t="shared" si="18"/>
        <v/>
      </c>
      <c r="R133" s="150">
        <f t="shared" si="19"/>
        <v>2.4900000000000002</v>
      </c>
      <c r="S133" s="150">
        <f t="shared" si="20"/>
        <v>2.56</v>
      </c>
      <c r="T133" s="150" t="str">
        <f t="shared" si="21"/>
        <v/>
      </c>
      <c r="U133" s="152">
        <f t="shared" si="25"/>
        <v>-1</v>
      </c>
      <c r="V133" s="143"/>
      <c r="W133" s="102">
        <f t="shared" si="22"/>
        <v>0</v>
      </c>
      <c r="X133" s="153">
        <f t="shared" si="23"/>
        <v>-1</v>
      </c>
      <c r="Y133" s="102"/>
      <c r="Z133" s="102"/>
      <c r="AA133" s="102"/>
      <c r="AB133" s="102"/>
      <c r="AC133" s="102"/>
      <c r="AD133" s="102"/>
      <c r="AE133" s="102"/>
      <c r="AF133" s="138"/>
      <c r="AG133" s="138"/>
      <c r="AH133" s="102"/>
      <c r="AI133" s="102"/>
      <c r="AJ133" s="102"/>
      <c r="AK133" s="102"/>
      <c r="AL133" s="102"/>
      <c r="AM133" s="102"/>
    </row>
    <row r="134" spans="1:39">
      <c r="A134" s="143" t="s">
        <v>245</v>
      </c>
      <c r="B134" s="143" t="s">
        <v>361</v>
      </c>
      <c r="C134" s="145">
        <v>45825</v>
      </c>
      <c r="D134" s="143" t="s">
        <v>520</v>
      </c>
      <c r="E134" s="146" t="s">
        <v>492</v>
      </c>
      <c r="F134" s="147"/>
      <c r="G134" s="147">
        <v>-115</v>
      </c>
      <c r="H134" s="148">
        <v>-101</v>
      </c>
      <c r="I134" s="143"/>
      <c r="J134" s="143">
        <v>1</v>
      </c>
      <c r="K134" s="149" t="s">
        <v>311</v>
      </c>
      <c r="L134" s="150">
        <f t="shared" si="13"/>
        <v>-1</v>
      </c>
      <c r="M134" s="150">
        <f t="shared" si="14"/>
        <v>-1</v>
      </c>
      <c r="N134" s="151">
        <f t="shared" si="15"/>
        <v>-6.0566731559593363E-2</v>
      </c>
      <c r="O134" s="151" t="str">
        <f t="shared" si="16"/>
        <v/>
      </c>
      <c r="P134" s="151" t="str">
        <f t="shared" si="17"/>
        <v/>
      </c>
      <c r="Q134" s="151" t="str">
        <f t="shared" si="18"/>
        <v/>
      </c>
      <c r="R134" s="150">
        <f t="shared" si="19"/>
        <v>1.8695652173913042</v>
      </c>
      <c r="S134" s="150">
        <f t="shared" si="20"/>
        <v>1.9900990099009901</v>
      </c>
      <c r="T134" s="150" t="str">
        <f t="shared" si="21"/>
        <v/>
      </c>
      <c r="U134" s="152">
        <f t="shared" si="25"/>
        <v>-1</v>
      </c>
      <c r="V134" s="143"/>
      <c r="W134" s="102">
        <f t="shared" si="22"/>
        <v>0</v>
      </c>
      <c r="X134" s="153">
        <f t="shared" si="23"/>
        <v>-1</v>
      </c>
      <c r="Y134" s="102"/>
      <c r="Z134" s="102"/>
      <c r="AA134" s="102"/>
      <c r="AB134" s="102"/>
      <c r="AC134" s="102"/>
      <c r="AD134" s="102"/>
      <c r="AE134" s="102"/>
      <c r="AF134" s="138"/>
      <c r="AG134" s="138"/>
      <c r="AH134" s="102"/>
      <c r="AI134" s="102"/>
      <c r="AJ134" s="102"/>
      <c r="AK134" s="102"/>
      <c r="AL134" s="102"/>
      <c r="AM134" s="102"/>
    </row>
    <row r="135" spans="1:39">
      <c r="A135" s="143" t="s">
        <v>238</v>
      </c>
      <c r="B135" s="143" t="s">
        <v>361</v>
      </c>
      <c r="C135" s="145">
        <v>45825</v>
      </c>
      <c r="D135" s="143" t="s">
        <v>521</v>
      </c>
      <c r="E135" s="146" t="s">
        <v>391</v>
      </c>
      <c r="F135" s="147"/>
      <c r="G135" s="147">
        <v>127</v>
      </c>
      <c r="H135" s="148">
        <v>127</v>
      </c>
      <c r="I135" s="143"/>
      <c r="J135" s="143">
        <v>1</v>
      </c>
      <c r="K135" s="149" t="s">
        <v>350</v>
      </c>
      <c r="L135" s="150">
        <f t="shared" si="13"/>
        <v>1.27</v>
      </c>
      <c r="M135" s="150">
        <f t="shared" si="14"/>
        <v>1.27</v>
      </c>
      <c r="N135" s="151">
        <f t="shared" si="15"/>
        <v>0</v>
      </c>
      <c r="O135" s="151" t="str">
        <f t="shared" si="16"/>
        <v/>
      </c>
      <c r="P135" s="151" t="str">
        <f t="shared" si="17"/>
        <v/>
      </c>
      <c r="Q135" s="151" t="str">
        <f t="shared" si="18"/>
        <v/>
      </c>
      <c r="R135" s="150">
        <f t="shared" si="19"/>
        <v>2.27</v>
      </c>
      <c r="S135" s="150">
        <f t="shared" si="20"/>
        <v>2.27</v>
      </c>
      <c r="T135" s="150" t="str">
        <f t="shared" si="21"/>
        <v/>
      </c>
      <c r="U135" s="152">
        <f t="shared" si="25"/>
        <v>1.27</v>
      </c>
      <c r="V135" s="143"/>
      <c r="W135" s="102">
        <f t="shared" si="22"/>
        <v>1</v>
      </c>
      <c r="X135" s="153">
        <f t="shared" si="23"/>
        <v>1.27</v>
      </c>
      <c r="Y135" s="102"/>
      <c r="Z135" s="102"/>
      <c r="AA135" s="102"/>
      <c r="AB135" s="102"/>
      <c r="AC135" s="102"/>
      <c r="AD135" s="102"/>
      <c r="AE135" s="102"/>
      <c r="AF135" s="138"/>
      <c r="AG135" s="138"/>
      <c r="AH135" s="102"/>
      <c r="AI135" s="102"/>
      <c r="AJ135" s="102"/>
      <c r="AK135" s="102"/>
      <c r="AL135" s="102"/>
      <c r="AM135" s="102"/>
    </row>
    <row r="136" spans="1:39">
      <c r="A136" s="143" t="s">
        <v>240</v>
      </c>
      <c r="B136" s="143" t="s">
        <v>361</v>
      </c>
      <c r="C136" s="145">
        <v>45825</v>
      </c>
      <c r="D136" s="143" t="s">
        <v>522</v>
      </c>
      <c r="E136" s="146" t="s">
        <v>409</v>
      </c>
      <c r="F136" s="147"/>
      <c r="G136" s="147">
        <v>165</v>
      </c>
      <c r="H136" s="148">
        <v>162</v>
      </c>
      <c r="I136" s="143"/>
      <c r="J136" s="143">
        <v>1</v>
      </c>
      <c r="K136" s="149" t="s">
        <v>351</v>
      </c>
      <c r="L136" s="150">
        <f t="shared" si="13"/>
        <v>0</v>
      </c>
      <c r="M136" s="150">
        <f t="shared" si="14"/>
        <v>0</v>
      </c>
      <c r="N136" s="151">
        <f t="shared" si="15"/>
        <v>1.1450381679389159E-2</v>
      </c>
      <c r="O136" s="151" t="str">
        <f t="shared" si="16"/>
        <v/>
      </c>
      <c r="P136" s="151" t="str">
        <f t="shared" si="17"/>
        <v/>
      </c>
      <c r="Q136" s="151" t="str">
        <f t="shared" si="18"/>
        <v/>
      </c>
      <c r="R136" s="150">
        <f t="shared" si="19"/>
        <v>2.65</v>
      </c>
      <c r="S136" s="150">
        <f t="shared" si="20"/>
        <v>2.62</v>
      </c>
      <c r="T136" s="150" t="str">
        <f t="shared" si="21"/>
        <v/>
      </c>
      <c r="U136" s="152">
        <f t="shared" si="25"/>
        <v>0</v>
      </c>
      <c r="V136" s="143"/>
      <c r="W136" s="102">
        <f t="shared" si="22"/>
        <v>2</v>
      </c>
      <c r="X136" s="153">
        <f t="shared" si="23"/>
        <v>0</v>
      </c>
      <c r="Y136" s="102"/>
      <c r="Z136" s="102"/>
      <c r="AA136" s="102"/>
      <c r="AB136" s="102"/>
      <c r="AC136" s="102"/>
      <c r="AD136" s="102"/>
      <c r="AE136" s="102"/>
      <c r="AF136" s="138"/>
      <c r="AG136" s="138"/>
      <c r="AH136" s="102"/>
      <c r="AI136" s="102"/>
      <c r="AJ136" s="102"/>
      <c r="AK136" s="102"/>
      <c r="AL136" s="102"/>
      <c r="AM136" s="102"/>
    </row>
    <row r="137" spans="1:39">
      <c r="A137" s="143" t="s">
        <v>245</v>
      </c>
      <c r="B137" s="143" t="s">
        <v>361</v>
      </c>
      <c r="C137" s="145">
        <v>45827</v>
      </c>
      <c r="D137" s="143" t="s">
        <v>520</v>
      </c>
      <c r="E137" s="146" t="s">
        <v>445</v>
      </c>
      <c r="F137" s="147">
        <v>-144</v>
      </c>
      <c r="G137" s="147">
        <v>-115</v>
      </c>
      <c r="H137" s="148">
        <v>-109</v>
      </c>
      <c r="I137" s="143">
        <v>-105</v>
      </c>
      <c r="J137" s="143">
        <v>1</v>
      </c>
      <c r="K137" s="149" t="s">
        <v>311</v>
      </c>
      <c r="L137" s="150">
        <f t="shared" si="13"/>
        <v>-1</v>
      </c>
      <c r="M137" s="150">
        <f t="shared" si="14"/>
        <v>-1</v>
      </c>
      <c r="N137" s="151">
        <f t="shared" si="15"/>
        <v>-2.4963594757645317E-2</v>
      </c>
      <c r="O137" s="151">
        <f t="shared" si="16"/>
        <v>8.5648242396425989E-2</v>
      </c>
      <c r="P137" s="151">
        <f t="shared" si="17"/>
        <v>0.5901639344262295</v>
      </c>
      <c r="Q137" s="151">
        <f t="shared" si="18"/>
        <v>0.50451569202980351</v>
      </c>
      <c r="R137" s="150">
        <f t="shared" si="19"/>
        <v>1.8695652173913042</v>
      </c>
      <c r="S137" s="150">
        <f t="shared" si="20"/>
        <v>1.9174311926605505</v>
      </c>
      <c r="T137" s="150">
        <f t="shared" si="21"/>
        <v>1.9523809523809523</v>
      </c>
      <c r="U137" s="152">
        <f t="shared" si="25"/>
        <v>-1</v>
      </c>
      <c r="V137" s="143"/>
      <c r="W137" s="102">
        <f t="shared" si="22"/>
        <v>0</v>
      </c>
      <c r="X137" s="153">
        <f t="shared" si="23"/>
        <v>-1</v>
      </c>
      <c r="Y137" s="102"/>
      <c r="Z137" s="102"/>
      <c r="AA137" s="102"/>
      <c r="AB137" s="102"/>
      <c r="AC137" s="102"/>
      <c r="AD137" s="102"/>
      <c r="AE137" s="102"/>
      <c r="AF137" s="138"/>
      <c r="AG137" s="138"/>
      <c r="AH137" s="102"/>
      <c r="AI137" s="102"/>
      <c r="AJ137" s="102"/>
      <c r="AK137" s="102"/>
      <c r="AL137" s="102"/>
      <c r="AM137" s="102"/>
    </row>
    <row r="138" spans="1:39">
      <c r="A138" s="143" t="s">
        <v>241</v>
      </c>
      <c r="B138" s="143" t="s">
        <v>361</v>
      </c>
      <c r="C138" s="145">
        <v>45827</v>
      </c>
      <c r="D138" s="143" t="s">
        <v>523</v>
      </c>
      <c r="E138" s="146" t="s">
        <v>487</v>
      </c>
      <c r="F138" s="147">
        <v>-173</v>
      </c>
      <c r="G138" s="147">
        <v>-118</v>
      </c>
      <c r="H138" s="148">
        <v>-130</v>
      </c>
      <c r="I138" s="143">
        <v>112</v>
      </c>
      <c r="J138" s="143">
        <v>1</v>
      </c>
      <c r="K138" s="149" t="s">
        <v>311</v>
      </c>
      <c r="L138" s="150">
        <f t="shared" ref="L138:L201" si="26">IF(K138="","",IF(K138="W",R138*J138-J138,IF(K138="L",-J138,0)))</f>
        <v>-1</v>
      </c>
      <c r="M138" s="150">
        <f t="shared" ref="M138:M201" si="27">IF(K138="","",IF(K138="W",S138*J138-J138,IF(K138="L",-J138,0)))</f>
        <v>-1</v>
      </c>
      <c r="N138" s="151">
        <f t="shared" ref="N138:N201" si="28">IFERROR((1/S138-1/R138)/(1/R138),"")</f>
        <v>4.4215180545320733E-2</v>
      </c>
      <c r="O138" s="151">
        <f t="shared" ref="O138:O201" si="29">IFERROR(IF(Q138="","",P138 - Q138),"")</f>
        <v>8.860469699077278E-2</v>
      </c>
      <c r="P138" s="151">
        <f t="shared" ref="P138:P201" si="30">IF(F138="","",IF(F138 &lt; 0, -F138 / (-F138 + 100), 100 / (F138 + 100)))</f>
        <v>0.63369963369963367</v>
      </c>
      <c r="Q138" s="151">
        <f t="shared" ref="Q138:Q201" si="31">IFERROR((1/S138) / ((1/S138) + (1/T138)),"")</f>
        <v>0.54509493670886089</v>
      </c>
      <c r="R138" s="150">
        <f t="shared" ref="R138:R201" si="32">IFERROR(IF(G138&gt;0, G138/100 + 1, 100/ABS(G138) + 1),"")</f>
        <v>1.847457627118644</v>
      </c>
      <c r="S138" s="150">
        <f t="shared" ref="S138:S201" si="33">IFERROR(IF(H138&gt;0, H138/100 + 1, 100/ABS(H138) + 1),"")</f>
        <v>1.7692307692307692</v>
      </c>
      <c r="T138" s="150">
        <f t="shared" ref="T138:T201" si="34">IFERROR(IF(I138&gt;0, I138/100 + 1, 100/ABS(I138) + 1),"")</f>
        <v>2.12</v>
      </c>
      <c r="U138" s="152">
        <f t="shared" si="25"/>
        <v>-1</v>
      </c>
      <c r="V138" s="143"/>
      <c r="W138" s="102">
        <f t="shared" ref="W138:W201" si="35">IF(K138="W",1,IF(K138="P",2,0))</f>
        <v>0</v>
      </c>
      <c r="X138" s="153">
        <f t="shared" ref="X138:X201" si="36">IF(B138=$D$3,U138,"")</f>
        <v>-1</v>
      </c>
      <c r="Y138" s="102"/>
      <c r="Z138" s="102"/>
      <c r="AA138" s="102"/>
      <c r="AB138" s="102"/>
      <c r="AC138" s="102"/>
      <c r="AD138" s="102"/>
      <c r="AE138" s="102"/>
      <c r="AF138" s="138"/>
      <c r="AG138" s="138"/>
      <c r="AH138" s="102"/>
      <c r="AI138" s="102"/>
      <c r="AJ138" s="102"/>
      <c r="AK138" s="102"/>
      <c r="AL138" s="102"/>
      <c r="AM138" s="102"/>
    </row>
    <row r="139" spans="1:39">
      <c r="A139" s="143" t="s">
        <v>243</v>
      </c>
      <c r="B139" s="143" t="s">
        <v>361</v>
      </c>
      <c r="C139" s="145">
        <v>45827</v>
      </c>
      <c r="D139" s="143" t="s">
        <v>518</v>
      </c>
      <c r="E139" s="146" t="s">
        <v>519</v>
      </c>
      <c r="F139" s="147">
        <v>-152</v>
      </c>
      <c r="G139" s="147">
        <v>108</v>
      </c>
      <c r="H139" s="148">
        <v>-114</v>
      </c>
      <c r="I139" s="143">
        <v>-102</v>
      </c>
      <c r="J139" s="143">
        <v>1</v>
      </c>
      <c r="K139" s="149" t="s">
        <v>350</v>
      </c>
      <c r="L139" s="150">
        <f t="shared" si="26"/>
        <v>1.08</v>
      </c>
      <c r="M139" s="150">
        <f t="shared" si="27"/>
        <v>0.87719298245614041</v>
      </c>
      <c r="N139" s="151">
        <f t="shared" si="28"/>
        <v>0.10803738317757008</v>
      </c>
      <c r="O139" s="151">
        <f t="shared" si="29"/>
        <v>8.9798466202960614E-2</v>
      </c>
      <c r="P139" s="151">
        <f t="shared" si="30"/>
        <v>0.60317460317460314</v>
      </c>
      <c r="Q139" s="151">
        <f t="shared" si="31"/>
        <v>0.51337613697164253</v>
      </c>
      <c r="R139" s="150">
        <f t="shared" si="32"/>
        <v>2.08</v>
      </c>
      <c r="S139" s="150">
        <f t="shared" si="33"/>
        <v>1.8771929824561404</v>
      </c>
      <c r="T139" s="150">
        <f t="shared" si="34"/>
        <v>1.9803921568627452</v>
      </c>
      <c r="U139" s="152">
        <f t="shared" si="25"/>
        <v>1.08</v>
      </c>
      <c r="V139" s="143"/>
      <c r="W139" s="102">
        <f t="shared" si="35"/>
        <v>1</v>
      </c>
      <c r="X139" s="153">
        <f t="shared" si="36"/>
        <v>1.08</v>
      </c>
      <c r="Y139" s="102"/>
      <c r="Z139" s="102"/>
      <c r="AA139" s="102"/>
      <c r="AB139" s="102"/>
      <c r="AC139" s="102"/>
      <c r="AD139" s="102"/>
      <c r="AE139" s="102"/>
      <c r="AF139" s="138"/>
      <c r="AG139" s="138"/>
      <c r="AH139" s="102"/>
      <c r="AI139" s="102"/>
      <c r="AJ139" s="102"/>
      <c r="AK139" s="102"/>
      <c r="AL139" s="102"/>
      <c r="AM139" s="102"/>
    </row>
    <row r="140" spans="1:39">
      <c r="A140" s="143" t="s">
        <v>238</v>
      </c>
      <c r="B140" s="143" t="s">
        <v>361</v>
      </c>
      <c r="C140" s="145">
        <v>45827</v>
      </c>
      <c r="D140" s="143" t="s">
        <v>521</v>
      </c>
      <c r="E140" s="146" t="s">
        <v>391</v>
      </c>
      <c r="F140" s="147">
        <v>-116</v>
      </c>
      <c r="G140" s="147">
        <v>126</v>
      </c>
      <c r="H140" s="148">
        <v>114</v>
      </c>
      <c r="I140" s="143">
        <v>-132</v>
      </c>
      <c r="J140" s="143">
        <v>1</v>
      </c>
      <c r="K140" s="149" t="s">
        <v>311</v>
      </c>
      <c r="L140" s="150">
        <f t="shared" si="26"/>
        <v>-1</v>
      </c>
      <c r="M140" s="150">
        <f t="shared" si="27"/>
        <v>-1</v>
      </c>
      <c r="N140" s="151">
        <f t="shared" si="28"/>
        <v>5.6074766355140256E-2</v>
      </c>
      <c r="O140" s="151">
        <f t="shared" si="29"/>
        <v>8.6096281322529167E-2</v>
      </c>
      <c r="P140" s="151">
        <f t="shared" si="30"/>
        <v>0.53703703703703709</v>
      </c>
      <c r="Q140" s="151">
        <f t="shared" si="31"/>
        <v>0.45094075571450792</v>
      </c>
      <c r="R140" s="150">
        <f t="shared" si="32"/>
        <v>2.2599999999999998</v>
      </c>
      <c r="S140" s="150">
        <f t="shared" si="33"/>
        <v>2.1399999999999997</v>
      </c>
      <c r="T140" s="150">
        <f t="shared" si="34"/>
        <v>1.7575757575757576</v>
      </c>
      <c r="U140" s="152">
        <f t="shared" si="25"/>
        <v>-1</v>
      </c>
      <c r="V140" s="143"/>
      <c r="W140" s="102">
        <f t="shared" si="35"/>
        <v>0</v>
      </c>
      <c r="X140" s="153">
        <f t="shared" si="36"/>
        <v>-1</v>
      </c>
      <c r="Y140" s="102"/>
      <c r="Z140" s="102"/>
      <c r="AA140" s="102"/>
      <c r="AB140" s="102"/>
      <c r="AC140" s="102"/>
      <c r="AD140" s="102"/>
      <c r="AE140" s="102"/>
      <c r="AF140" s="138"/>
      <c r="AG140" s="138"/>
      <c r="AH140" s="102"/>
      <c r="AI140" s="102"/>
      <c r="AJ140" s="102"/>
      <c r="AK140" s="102"/>
      <c r="AL140" s="102"/>
      <c r="AM140" s="102"/>
    </row>
    <row r="141" spans="1:39">
      <c r="A141" s="143" t="s">
        <v>238</v>
      </c>
      <c r="B141" s="143" t="s">
        <v>361</v>
      </c>
      <c r="C141" s="145">
        <v>45828</v>
      </c>
      <c r="D141" s="143" t="s">
        <v>524</v>
      </c>
      <c r="E141" s="146" t="s">
        <v>525</v>
      </c>
      <c r="F141" s="147"/>
      <c r="G141" s="147">
        <v>230</v>
      </c>
      <c r="H141" s="148">
        <v>234</v>
      </c>
      <c r="I141" s="143"/>
      <c r="J141" s="143">
        <v>1</v>
      </c>
      <c r="K141" s="149" t="s">
        <v>311</v>
      </c>
      <c r="L141" s="150">
        <f t="shared" si="26"/>
        <v>-1</v>
      </c>
      <c r="M141" s="150">
        <f t="shared" si="27"/>
        <v>-1</v>
      </c>
      <c r="N141" s="151">
        <f t="shared" si="28"/>
        <v>-1.197604790419155E-2</v>
      </c>
      <c r="O141" s="151" t="str">
        <f t="shared" si="29"/>
        <v/>
      </c>
      <c r="P141" s="151" t="str">
        <f t="shared" si="30"/>
        <v/>
      </c>
      <c r="Q141" s="151" t="str">
        <f t="shared" si="31"/>
        <v/>
      </c>
      <c r="R141" s="150">
        <f t="shared" si="32"/>
        <v>3.3</v>
      </c>
      <c r="S141" s="150">
        <f t="shared" si="33"/>
        <v>3.34</v>
      </c>
      <c r="T141" s="150" t="str">
        <f t="shared" si="34"/>
        <v/>
      </c>
      <c r="U141" s="152">
        <f t="shared" si="25"/>
        <v>-1</v>
      </c>
      <c r="V141" s="143"/>
      <c r="W141" s="102">
        <f t="shared" si="35"/>
        <v>0</v>
      </c>
      <c r="X141" s="153">
        <f t="shared" si="36"/>
        <v>-1</v>
      </c>
      <c r="Y141" s="102"/>
      <c r="Z141" s="102"/>
      <c r="AA141" s="102"/>
      <c r="AB141" s="102"/>
      <c r="AC141" s="102"/>
      <c r="AD141" s="102"/>
      <c r="AE141" s="102"/>
      <c r="AF141" s="138"/>
      <c r="AG141" s="138"/>
      <c r="AH141" s="102"/>
      <c r="AI141" s="102"/>
      <c r="AJ141" s="102"/>
      <c r="AK141" s="102"/>
      <c r="AL141" s="102"/>
      <c r="AM141" s="102"/>
    </row>
    <row r="142" spans="1:39">
      <c r="A142" s="143" t="s">
        <v>240</v>
      </c>
      <c r="B142" s="143" t="s">
        <v>361</v>
      </c>
      <c r="C142" s="145">
        <v>45828</v>
      </c>
      <c r="D142" s="143" t="s">
        <v>526</v>
      </c>
      <c r="E142" s="146" t="s">
        <v>445</v>
      </c>
      <c r="F142" s="147"/>
      <c r="G142" s="147">
        <v>120</v>
      </c>
      <c r="H142" s="148">
        <v>108</v>
      </c>
      <c r="I142" s="143"/>
      <c r="J142" s="143">
        <v>1</v>
      </c>
      <c r="K142" s="149" t="s">
        <v>311</v>
      </c>
      <c r="L142" s="150">
        <f t="shared" si="26"/>
        <v>-1</v>
      </c>
      <c r="M142" s="150">
        <f t="shared" si="27"/>
        <v>-1</v>
      </c>
      <c r="N142" s="151">
        <f t="shared" si="28"/>
        <v>5.7692307692307633E-2</v>
      </c>
      <c r="O142" s="151" t="str">
        <f t="shared" si="29"/>
        <v/>
      </c>
      <c r="P142" s="151" t="str">
        <f t="shared" si="30"/>
        <v/>
      </c>
      <c r="Q142" s="151" t="str">
        <f t="shared" si="31"/>
        <v/>
      </c>
      <c r="R142" s="150">
        <f t="shared" si="32"/>
        <v>2.2000000000000002</v>
      </c>
      <c r="S142" s="150">
        <f t="shared" si="33"/>
        <v>2.08</v>
      </c>
      <c r="T142" s="150" t="str">
        <f t="shared" si="34"/>
        <v/>
      </c>
      <c r="U142" s="152">
        <f t="shared" si="25"/>
        <v>-1</v>
      </c>
      <c r="V142" s="143"/>
      <c r="W142" s="102">
        <f t="shared" si="35"/>
        <v>0</v>
      </c>
      <c r="X142" s="153">
        <f t="shared" si="36"/>
        <v>-1</v>
      </c>
      <c r="Y142" s="102"/>
      <c r="Z142" s="102"/>
      <c r="AA142" s="102"/>
      <c r="AB142" s="102"/>
      <c r="AC142" s="102"/>
      <c r="AD142" s="102"/>
      <c r="AE142" s="102"/>
      <c r="AF142" s="138"/>
      <c r="AG142" s="138"/>
      <c r="AH142" s="102"/>
      <c r="AI142" s="102"/>
      <c r="AJ142" s="102"/>
      <c r="AK142" s="102"/>
      <c r="AL142" s="102"/>
      <c r="AM142" s="102"/>
    </row>
    <row r="143" spans="1:39">
      <c r="A143" s="143" t="s">
        <v>241</v>
      </c>
      <c r="B143" s="143" t="s">
        <v>361</v>
      </c>
      <c r="C143" s="145">
        <v>45828</v>
      </c>
      <c r="D143" s="143" t="s">
        <v>527</v>
      </c>
      <c r="E143" s="146" t="s">
        <v>487</v>
      </c>
      <c r="F143" s="147"/>
      <c r="G143" s="147">
        <v>-155</v>
      </c>
      <c r="H143" s="148">
        <v>-179</v>
      </c>
      <c r="I143" s="143"/>
      <c r="J143" s="143">
        <v>1</v>
      </c>
      <c r="K143" s="149" t="s">
        <v>350</v>
      </c>
      <c r="L143" s="150">
        <f t="shared" si="26"/>
        <v>0.64516129032258052</v>
      </c>
      <c r="M143" s="150">
        <f t="shared" si="27"/>
        <v>0.55865921787709505</v>
      </c>
      <c r="N143" s="151">
        <f t="shared" si="28"/>
        <v>5.5497745404092767E-2</v>
      </c>
      <c r="O143" s="151" t="str">
        <f t="shared" si="29"/>
        <v/>
      </c>
      <c r="P143" s="151" t="str">
        <f t="shared" si="30"/>
        <v/>
      </c>
      <c r="Q143" s="151" t="str">
        <f t="shared" si="31"/>
        <v/>
      </c>
      <c r="R143" s="150">
        <f t="shared" si="32"/>
        <v>1.6451612903225805</v>
      </c>
      <c r="S143" s="150">
        <f t="shared" si="33"/>
        <v>1.558659217877095</v>
      </c>
      <c r="T143" s="150" t="str">
        <f t="shared" si="34"/>
        <v/>
      </c>
      <c r="U143" s="152">
        <f t="shared" si="25"/>
        <v>0.64516129032258052</v>
      </c>
      <c r="V143" s="143"/>
      <c r="W143" s="102">
        <f t="shared" si="35"/>
        <v>1</v>
      </c>
      <c r="X143" s="153">
        <f t="shared" si="36"/>
        <v>0.64516129032258052</v>
      </c>
      <c r="Y143" s="102"/>
      <c r="Z143" s="102"/>
      <c r="AA143" s="102"/>
      <c r="AB143" s="102"/>
      <c r="AC143" s="102"/>
      <c r="AD143" s="102"/>
      <c r="AE143" s="102"/>
      <c r="AF143" s="138"/>
      <c r="AG143" s="138"/>
      <c r="AH143" s="102"/>
      <c r="AI143" s="102"/>
      <c r="AJ143" s="102"/>
      <c r="AK143" s="102"/>
      <c r="AL143" s="102"/>
      <c r="AM143" s="102"/>
    </row>
    <row r="144" spans="1:39">
      <c r="A144" s="143" t="s">
        <v>240</v>
      </c>
      <c r="B144" s="143" t="s">
        <v>361</v>
      </c>
      <c r="C144" s="145">
        <v>45829</v>
      </c>
      <c r="D144" s="143" t="s">
        <v>528</v>
      </c>
      <c r="E144" s="146" t="s">
        <v>529</v>
      </c>
      <c r="F144" s="147"/>
      <c r="G144" s="147">
        <v>-102</v>
      </c>
      <c r="H144" s="148">
        <v>-109</v>
      </c>
      <c r="I144" s="143"/>
      <c r="J144" s="143">
        <v>1</v>
      </c>
      <c r="K144" s="149" t="s">
        <v>351</v>
      </c>
      <c r="L144" s="150">
        <f t="shared" si="26"/>
        <v>0</v>
      </c>
      <c r="M144" s="150">
        <f t="shared" si="27"/>
        <v>0</v>
      </c>
      <c r="N144" s="151">
        <f t="shared" si="28"/>
        <v>3.2836100947555937E-2</v>
      </c>
      <c r="O144" s="151" t="str">
        <f t="shared" si="29"/>
        <v/>
      </c>
      <c r="P144" s="151" t="str">
        <f t="shared" si="30"/>
        <v/>
      </c>
      <c r="Q144" s="151" t="str">
        <f t="shared" si="31"/>
        <v/>
      </c>
      <c r="R144" s="150">
        <f t="shared" si="32"/>
        <v>1.9803921568627452</v>
      </c>
      <c r="S144" s="150">
        <f t="shared" si="33"/>
        <v>1.9174311926605505</v>
      </c>
      <c r="T144" s="150" t="str">
        <f t="shared" si="34"/>
        <v/>
      </c>
      <c r="U144" s="152">
        <f t="shared" si="25"/>
        <v>0</v>
      </c>
      <c r="V144" s="143"/>
      <c r="W144" s="102">
        <f t="shared" si="35"/>
        <v>2</v>
      </c>
      <c r="X144" s="153">
        <f t="shared" si="36"/>
        <v>0</v>
      </c>
      <c r="Y144" s="102"/>
      <c r="Z144" s="102"/>
      <c r="AA144" s="102"/>
      <c r="AB144" s="102"/>
      <c r="AC144" s="102"/>
      <c r="AD144" s="102"/>
      <c r="AE144" s="102"/>
      <c r="AF144" s="138"/>
      <c r="AG144" s="138"/>
      <c r="AH144" s="102"/>
      <c r="AI144" s="102"/>
      <c r="AJ144" s="102"/>
      <c r="AK144" s="102"/>
      <c r="AL144" s="102"/>
      <c r="AM144" s="102"/>
    </row>
    <row r="145" spans="1:39">
      <c r="A145" s="143" t="s">
        <v>240</v>
      </c>
      <c r="B145" s="143" t="s">
        <v>361</v>
      </c>
      <c r="C145" s="145">
        <v>45829</v>
      </c>
      <c r="D145" s="143" t="s">
        <v>530</v>
      </c>
      <c r="E145" s="146" t="s">
        <v>389</v>
      </c>
      <c r="F145" s="147"/>
      <c r="G145" s="147">
        <v>-205</v>
      </c>
      <c r="H145" s="148">
        <v>-222</v>
      </c>
      <c r="I145" s="143"/>
      <c r="J145" s="143">
        <v>1</v>
      </c>
      <c r="K145" s="149" t="s">
        <v>350</v>
      </c>
      <c r="L145" s="150">
        <f t="shared" si="26"/>
        <v>0.48780487804878048</v>
      </c>
      <c r="M145" s="150">
        <f t="shared" si="27"/>
        <v>0.45045045045045051</v>
      </c>
      <c r="N145" s="151">
        <f t="shared" si="28"/>
        <v>2.5753673685805181E-2</v>
      </c>
      <c r="O145" s="151" t="str">
        <f t="shared" si="29"/>
        <v/>
      </c>
      <c r="P145" s="151" t="str">
        <f t="shared" si="30"/>
        <v/>
      </c>
      <c r="Q145" s="151" t="str">
        <f t="shared" si="31"/>
        <v/>
      </c>
      <c r="R145" s="150">
        <f t="shared" si="32"/>
        <v>1.4878048780487805</v>
      </c>
      <c r="S145" s="150">
        <f t="shared" si="33"/>
        <v>1.4504504504504505</v>
      </c>
      <c r="T145" s="150" t="str">
        <f t="shared" si="34"/>
        <v/>
      </c>
      <c r="U145" s="152">
        <f t="shared" si="25"/>
        <v>0.48780487804878048</v>
      </c>
      <c r="V145" s="143"/>
      <c r="W145" s="102">
        <f t="shared" si="35"/>
        <v>1</v>
      </c>
      <c r="X145" s="153">
        <f t="shared" si="36"/>
        <v>0.48780487804878048</v>
      </c>
      <c r="Y145" s="102"/>
      <c r="Z145" s="102"/>
      <c r="AA145" s="102"/>
      <c r="AB145" s="102"/>
      <c r="AC145" s="102"/>
      <c r="AD145" s="102"/>
      <c r="AE145" s="102"/>
      <c r="AF145" s="138"/>
      <c r="AG145" s="138"/>
      <c r="AH145" s="102"/>
      <c r="AI145" s="102"/>
      <c r="AJ145" s="102"/>
      <c r="AK145" s="102"/>
      <c r="AL145" s="102"/>
      <c r="AM145" s="102"/>
    </row>
    <row r="146" spans="1:39">
      <c r="A146" s="143" t="s">
        <v>238</v>
      </c>
      <c r="B146" s="143" t="s">
        <v>361</v>
      </c>
      <c r="C146" s="145">
        <v>45829</v>
      </c>
      <c r="D146" s="143" t="s">
        <v>531</v>
      </c>
      <c r="E146" s="146" t="s">
        <v>441</v>
      </c>
      <c r="F146" s="147"/>
      <c r="G146" s="147">
        <v>131</v>
      </c>
      <c r="H146" s="148">
        <v>125</v>
      </c>
      <c r="I146" s="143"/>
      <c r="J146" s="143">
        <v>1</v>
      </c>
      <c r="K146" s="149" t="s">
        <v>311</v>
      </c>
      <c r="L146" s="150">
        <f t="shared" si="26"/>
        <v>-1</v>
      </c>
      <c r="M146" s="150">
        <f t="shared" si="27"/>
        <v>-1</v>
      </c>
      <c r="N146" s="151">
        <f t="shared" si="28"/>
        <v>2.666666666666662E-2</v>
      </c>
      <c r="O146" s="151" t="str">
        <f t="shared" si="29"/>
        <v/>
      </c>
      <c r="P146" s="151" t="str">
        <f t="shared" si="30"/>
        <v/>
      </c>
      <c r="Q146" s="151" t="str">
        <f t="shared" si="31"/>
        <v/>
      </c>
      <c r="R146" s="150">
        <f t="shared" si="32"/>
        <v>2.31</v>
      </c>
      <c r="S146" s="150">
        <f t="shared" si="33"/>
        <v>2.25</v>
      </c>
      <c r="T146" s="150" t="str">
        <f t="shared" si="34"/>
        <v/>
      </c>
      <c r="U146" s="152">
        <f t="shared" si="25"/>
        <v>-1</v>
      </c>
      <c r="V146" s="143"/>
      <c r="W146" s="102">
        <f t="shared" si="35"/>
        <v>0</v>
      </c>
      <c r="X146" s="153">
        <f t="shared" si="36"/>
        <v>-1</v>
      </c>
      <c r="Y146" s="102"/>
      <c r="Z146" s="102"/>
      <c r="AA146" s="102"/>
      <c r="AB146" s="102"/>
      <c r="AC146" s="102"/>
      <c r="AD146" s="102"/>
      <c r="AE146" s="102"/>
      <c r="AF146" s="138"/>
      <c r="AG146" s="138"/>
      <c r="AH146" s="102"/>
      <c r="AI146" s="102"/>
      <c r="AJ146" s="102"/>
      <c r="AK146" s="102"/>
      <c r="AL146" s="102"/>
      <c r="AM146" s="102"/>
    </row>
    <row r="147" spans="1:39">
      <c r="A147" s="143" t="s">
        <v>240</v>
      </c>
      <c r="B147" s="143" t="s">
        <v>361</v>
      </c>
      <c r="C147" s="145">
        <v>45829</v>
      </c>
      <c r="D147" s="143" t="s">
        <v>532</v>
      </c>
      <c r="E147" s="146" t="s">
        <v>519</v>
      </c>
      <c r="F147" s="147"/>
      <c r="G147" s="147">
        <v>110</v>
      </c>
      <c r="H147" s="148">
        <v>108</v>
      </c>
      <c r="I147" s="143"/>
      <c r="J147" s="143">
        <v>1</v>
      </c>
      <c r="K147" s="149" t="s">
        <v>350</v>
      </c>
      <c r="L147" s="150">
        <f t="shared" si="26"/>
        <v>1.1000000000000001</v>
      </c>
      <c r="M147" s="150">
        <f t="shared" si="27"/>
        <v>1.08</v>
      </c>
      <c r="N147" s="151">
        <f t="shared" si="28"/>
        <v>9.6153846153845812E-3</v>
      </c>
      <c r="O147" s="151" t="str">
        <f t="shared" si="29"/>
        <v/>
      </c>
      <c r="P147" s="151" t="str">
        <f t="shared" si="30"/>
        <v/>
      </c>
      <c r="Q147" s="151" t="str">
        <f t="shared" si="31"/>
        <v/>
      </c>
      <c r="R147" s="150">
        <f t="shared" si="32"/>
        <v>2.1</v>
      </c>
      <c r="S147" s="150">
        <f t="shared" si="33"/>
        <v>2.08</v>
      </c>
      <c r="T147" s="150" t="str">
        <f t="shared" si="34"/>
        <v/>
      </c>
      <c r="U147" s="152">
        <f t="shared" si="25"/>
        <v>1.1000000000000001</v>
      </c>
      <c r="V147" s="143"/>
      <c r="W147" s="102">
        <f t="shared" si="35"/>
        <v>1</v>
      </c>
      <c r="X147" s="153">
        <f t="shared" si="36"/>
        <v>1.1000000000000001</v>
      </c>
      <c r="Y147" s="102"/>
      <c r="Z147" s="102"/>
      <c r="AA147" s="102"/>
      <c r="AB147" s="102"/>
      <c r="AC147" s="102"/>
      <c r="AD147" s="102"/>
      <c r="AE147" s="102"/>
      <c r="AF147" s="138"/>
      <c r="AG147" s="138"/>
      <c r="AH147" s="102"/>
      <c r="AI147" s="102"/>
      <c r="AJ147" s="102"/>
      <c r="AK147" s="102"/>
      <c r="AL147" s="102"/>
      <c r="AM147" s="102"/>
    </row>
    <row r="148" spans="1:39">
      <c r="A148" s="143" t="s">
        <v>238</v>
      </c>
      <c r="B148" s="143" t="s">
        <v>361</v>
      </c>
      <c r="C148" s="145">
        <v>45829</v>
      </c>
      <c r="D148" s="143" t="s">
        <v>533</v>
      </c>
      <c r="E148" s="146" t="s">
        <v>460</v>
      </c>
      <c r="F148" s="147"/>
      <c r="G148" s="147">
        <v>-111</v>
      </c>
      <c r="H148" s="148">
        <v>102</v>
      </c>
      <c r="I148" s="143"/>
      <c r="J148" s="143">
        <v>1</v>
      </c>
      <c r="K148" s="149" t="s">
        <v>311</v>
      </c>
      <c r="L148" s="150">
        <f t="shared" si="26"/>
        <v>-1</v>
      </c>
      <c r="M148" s="150">
        <f t="shared" si="27"/>
        <v>-1</v>
      </c>
      <c r="N148" s="151">
        <f t="shared" si="28"/>
        <v>-5.8959950049058955E-2</v>
      </c>
      <c r="O148" s="151" t="str">
        <f t="shared" si="29"/>
        <v/>
      </c>
      <c r="P148" s="151" t="str">
        <f t="shared" si="30"/>
        <v/>
      </c>
      <c r="Q148" s="151" t="str">
        <f t="shared" si="31"/>
        <v/>
      </c>
      <c r="R148" s="150">
        <f t="shared" si="32"/>
        <v>1.900900900900901</v>
      </c>
      <c r="S148" s="150">
        <f t="shared" si="33"/>
        <v>2.02</v>
      </c>
      <c r="T148" s="150" t="str">
        <f t="shared" si="34"/>
        <v/>
      </c>
      <c r="U148" s="152">
        <f t="shared" si="25"/>
        <v>-1</v>
      </c>
      <c r="V148" s="143"/>
      <c r="W148" s="102">
        <f t="shared" si="35"/>
        <v>0</v>
      </c>
      <c r="X148" s="153">
        <f t="shared" si="36"/>
        <v>-1</v>
      </c>
      <c r="Y148" s="102"/>
      <c r="Z148" s="102"/>
      <c r="AA148" s="102"/>
      <c r="AB148" s="102"/>
      <c r="AC148" s="102"/>
      <c r="AD148" s="102"/>
      <c r="AE148" s="102"/>
      <c r="AF148" s="138"/>
      <c r="AG148" s="138"/>
      <c r="AH148" s="102"/>
      <c r="AI148" s="102"/>
      <c r="AJ148" s="102"/>
      <c r="AK148" s="102"/>
      <c r="AL148" s="102"/>
      <c r="AM148" s="102"/>
    </row>
    <row r="149" spans="1:39">
      <c r="A149" s="143" t="s">
        <v>240</v>
      </c>
      <c r="B149" s="143" t="s">
        <v>361</v>
      </c>
      <c r="C149" s="145">
        <v>45829</v>
      </c>
      <c r="D149" s="143" t="s">
        <v>534</v>
      </c>
      <c r="E149" s="146" t="s">
        <v>413</v>
      </c>
      <c r="F149" s="147"/>
      <c r="G149" s="147">
        <v>186</v>
      </c>
      <c r="H149" s="148">
        <v>204</v>
      </c>
      <c r="I149" s="143"/>
      <c r="J149" s="143">
        <v>1</v>
      </c>
      <c r="K149" s="149" t="s">
        <v>350</v>
      </c>
      <c r="L149" s="150">
        <f t="shared" si="26"/>
        <v>1.8600000000000003</v>
      </c>
      <c r="M149" s="150">
        <f t="shared" si="27"/>
        <v>2.04</v>
      </c>
      <c r="N149" s="151">
        <f t="shared" si="28"/>
        <v>-5.9210526315789366E-2</v>
      </c>
      <c r="O149" s="151" t="str">
        <f t="shared" si="29"/>
        <v/>
      </c>
      <c r="P149" s="151" t="str">
        <f t="shared" si="30"/>
        <v/>
      </c>
      <c r="Q149" s="151" t="str">
        <f t="shared" si="31"/>
        <v/>
      </c>
      <c r="R149" s="150">
        <f t="shared" si="32"/>
        <v>2.8600000000000003</v>
      </c>
      <c r="S149" s="150">
        <f t="shared" si="33"/>
        <v>3.04</v>
      </c>
      <c r="T149" s="150" t="str">
        <f t="shared" si="34"/>
        <v/>
      </c>
      <c r="U149" s="152">
        <f t="shared" si="25"/>
        <v>1.8600000000000003</v>
      </c>
      <c r="V149" s="143"/>
      <c r="W149" s="102">
        <f t="shared" si="35"/>
        <v>1</v>
      </c>
      <c r="X149" s="153">
        <f t="shared" si="36"/>
        <v>1.8600000000000003</v>
      </c>
      <c r="Y149" s="102"/>
      <c r="Z149" s="102"/>
      <c r="AA149" s="102"/>
      <c r="AB149" s="102"/>
      <c r="AC149" s="102"/>
      <c r="AD149" s="102"/>
      <c r="AE149" s="102"/>
      <c r="AF149" s="138"/>
      <c r="AG149" s="138"/>
      <c r="AH149" s="102"/>
      <c r="AI149" s="102"/>
      <c r="AJ149" s="102"/>
      <c r="AK149" s="102"/>
      <c r="AL149" s="102"/>
      <c r="AM149" s="102"/>
    </row>
    <row r="150" spans="1:39">
      <c r="A150" s="143" t="s">
        <v>243</v>
      </c>
      <c r="B150" s="143" t="s">
        <v>361</v>
      </c>
      <c r="C150" s="145">
        <v>45830</v>
      </c>
      <c r="D150" s="143" t="s">
        <v>524</v>
      </c>
      <c r="E150" s="146" t="s">
        <v>525</v>
      </c>
      <c r="F150" s="147"/>
      <c r="G150" s="147">
        <v>160</v>
      </c>
      <c r="H150" s="148">
        <v>163</v>
      </c>
      <c r="I150" s="143"/>
      <c r="J150" s="143">
        <v>1</v>
      </c>
      <c r="K150" s="149" t="s">
        <v>350</v>
      </c>
      <c r="L150" s="150">
        <f t="shared" si="26"/>
        <v>1.6</v>
      </c>
      <c r="M150" s="150">
        <f t="shared" si="27"/>
        <v>1.63</v>
      </c>
      <c r="N150" s="151">
        <f t="shared" si="28"/>
        <v>-1.140684410646371E-2</v>
      </c>
      <c r="O150" s="151" t="str">
        <f t="shared" si="29"/>
        <v/>
      </c>
      <c r="P150" s="151" t="str">
        <f t="shared" si="30"/>
        <v/>
      </c>
      <c r="Q150" s="151" t="str">
        <f t="shared" si="31"/>
        <v/>
      </c>
      <c r="R150" s="150">
        <f t="shared" si="32"/>
        <v>2.6</v>
      </c>
      <c r="S150" s="150">
        <f t="shared" si="33"/>
        <v>2.63</v>
      </c>
      <c r="T150" s="150" t="str">
        <f t="shared" si="34"/>
        <v/>
      </c>
      <c r="U150" s="152">
        <f t="shared" si="25"/>
        <v>1.6</v>
      </c>
      <c r="V150" s="143"/>
      <c r="W150" s="102">
        <f t="shared" si="35"/>
        <v>1</v>
      </c>
      <c r="X150" s="153">
        <f t="shared" si="36"/>
        <v>1.6</v>
      </c>
      <c r="Y150" s="102"/>
      <c r="Z150" s="102"/>
      <c r="AA150" s="102"/>
      <c r="AB150" s="102"/>
      <c r="AC150" s="102"/>
      <c r="AD150" s="102"/>
      <c r="AE150" s="102"/>
      <c r="AF150" s="138"/>
      <c r="AG150" s="138"/>
      <c r="AH150" s="102"/>
      <c r="AI150" s="102"/>
      <c r="AJ150" s="102"/>
      <c r="AK150" s="102"/>
      <c r="AL150" s="102"/>
      <c r="AM150" s="102"/>
    </row>
    <row r="151" spans="1:39">
      <c r="A151" s="143" t="s">
        <v>238</v>
      </c>
      <c r="B151" s="143" t="s">
        <v>361</v>
      </c>
      <c r="C151" s="145">
        <v>45830</v>
      </c>
      <c r="D151" s="143" t="s">
        <v>535</v>
      </c>
      <c r="E151" s="146" t="s">
        <v>406</v>
      </c>
      <c r="F151" s="147"/>
      <c r="G151" s="147">
        <v>142</v>
      </c>
      <c r="H151" s="148">
        <v>139</v>
      </c>
      <c r="I151" s="143"/>
      <c r="J151" s="143">
        <v>1</v>
      </c>
      <c r="K151" s="149" t="s">
        <v>351</v>
      </c>
      <c r="L151" s="150">
        <f t="shared" si="26"/>
        <v>0</v>
      </c>
      <c r="M151" s="150">
        <f t="shared" si="27"/>
        <v>0</v>
      </c>
      <c r="N151" s="151">
        <f t="shared" si="28"/>
        <v>1.2552301255230186E-2</v>
      </c>
      <c r="O151" s="151" t="str">
        <f t="shared" si="29"/>
        <v/>
      </c>
      <c r="P151" s="151" t="str">
        <f t="shared" si="30"/>
        <v/>
      </c>
      <c r="Q151" s="151" t="str">
        <f t="shared" si="31"/>
        <v/>
      </c>
      <c r="R151" s="150">
        <f t="shared" si="32"/>
        <v>2.42</v>
      </c>
      <c r="S151" s="150">
        <f t="shared" si="33"/>
        <v>2.3899999999999997</v>
      </c>
      <c r="T151" s="150" t="str">
        <f t="shared" si="34"/>
        <v/>
      </c>
      <c r="U151" s="152">
        <f t="shared" si="25"/>
        <v>0</v>
      </c>
      <c r="V151" s="143"/>
      <c r="W151" s="102">
        <f t="shared" si="35"/>
        <v>2</v>
      </c>
      <c r="X151" s="153">
        <f t="shared" si="36"/>
        <v>0</v>
      </c>
      <c r="Y151" s="102"/>
      <c r="Z151" s="102"/>
      <c r="AA151" s="102"/>
      <c r="AB151" s="102"/>
      <c r="AC151" s="102"/>
      <c r="AD151" s="102"/>
      <c r="AE151" s="102"/>
      <c r="AF151" s="138"/>
      <c r="AG151" s="138"/>
      <c r="AH151" s="102"/>
      <c r="AI151" s="102"/>
      <c r="AJ151" s="102"/>
      <c r="AK151" s="102"/>
      <c r="AL151" s="102"/>
      <c r="AM151" s="102"/>
    </row>
    <row r="152" spans="1:39">
      <c r="A152" s="143" t="s">
        <v>243</v>
      </c>
      <c r="B152" s="143" t="s">
        <v>361</v>
      </c>
      <c r="C152" s="145">
        <v>45830</v>
      </c>
      <c r="D152" s="143" t="s">
        <v>536</v>
      </c>
      <c r="E152" s="146" t="s">
        <v>454</v>
      </c>
      <c r="F152" s="147"/>
      <c r="G152" s="147">
        <v>163</v>
      </c>
      <c r="H152" s="148">
        <v>152</v>
      </c>
      <c r="I152" s="143"/>
      <c r="J152" s="143">
        <v>1</v>
      </c>
      <c r="K152" s="149" t="s">
        <v>351</v>
      </c>
      <c r="L152" s="150">
        <f t="shared" si="26"/>
        <v>0</v>
      </c>
      <c r="M152" s="150">
        <f t="shared" si="27"/>
        <v>0</v>
      </c>
      <c r="N152" s="151">
        <f t="shared" si="28"/>
        <v>4.365079365079351E-2</v>
      </c>
      <c r="O152" s="151" t="str">
        <f t="shared" si="29"/>
        <v/>
      </c>
      <c r="P152" s="151" t="str">
        <f t="shared" si="30"/>
        <v/>
      </c>
      <c r="Q152" s="151" t="str">
        <f t="shared" si="31"/>
        <v/>
      </c>
      <c r="R152" s="150">
        <f t="shared" si="32"/>
        <v>2.63</v>
      </c>
      <c r="S152" s="150">
        <f t="shared" si="33"/>
        <v>2.52</v>
      </c>
      <c r="T152" s="150" t="str">
        <f t="shared" si="34"/>
        <v/>
      </c>
      <c r="U152" s="152">
        <f t="shared" si="25"/>
        <v>0</v>
      </c>
      <c r="V152" s="143"/>
      <c r="W152" s="102">
        <f t="shared" si="35"/>
        <v>2</v>
      </c>
      <c r="X152" s="153">
        <f t="shared" si="36"/>
        <v>0</v>
      </c>
      <c r="Y152" s="102"/>
      <c r="Z152" s="102"/>
      <c r="AA152" s="102"/>
      <c r="AB152" s="102"/>
      <c r="AC152" s="102"/>
      <c r="AD152" s="102"/>
      <c r="AE152" s="102"/>
      <c r="AF152" s="138"/>
      <c r="AG152" s="138"/>
      <c r="AH152" s="102"/>
      <c r="AI152" s="102"/>
      <c r="AJ152" s="102"/>
      <c r="AK152" s="102"/>
      <c r="AL152" s="102"/>
      <c r="AM152" s="102"/>
    </row>
    <row r="153" spans="1:39">
      <c r="A153" s="143" t="s">
        <v>238</v>
      </c>
      <c r="B153" s="143" t="s">
        <v>361</v>
      </c>
      <c r="C153" s="145">
        <v>45830</v>
      </c>
      <c r="D153" s="143" t="s">
        <v>532</v>
      </c>
      <c r="E153" s="146" t="s">
        <v>519</v>
      </c>
      <c r="F153" s="147"/>
      <c r="G153" s="147">
        <v>111</v>
      </c>
      <c r="H153" s="148">
        <v>120</v>
      </c>
      <c r="I153" s="143"/>
      <c r="J153" s="143">
        <v>1</v>
      </c>
      <c r="K153" s="149" t="s">
        <v>350</v>
      </c>
      <c r="L153" s="150">
        <f t="shared" si="26"/>
        <v>1.1100000000000003</v>
      </c>
      <c r="M153" s="150">
        <f t="shared" si="27"/>
        <v>1.2000000000000002</v>
      </c>
      <c r="N153" s="151">
        <f t="shared" si="28"/>
        <v>-4.0909090909090846E-2</v>
      </c>
      <c r="O153" s="151" t="str">
        <f t="shared" si="29"/>
        <v/>
      </c>
      <c r="P153" s="151" t="str">
        <f t="shared" si="30"/>
        <v/>
      </c>
      <c r="Q153" s="151" t="str">
        <f t="shared" si="31"/>
        <v/>
      </c>
      <c r="R153" s="150">
        <f t="shared" si="32"/>
        <v>2.1100000000000003</v>
      </c>
      <c r="S153" s="150">
        <f t="shared" si="33"/>
        <v>2.2000000000000002</v>
      </c>
      <c r="T153" s="150" t="str">
        <f t="shared" si="34"/>
        <v/>
      </c>
      <c r="U153" s="152">
        <f t="shared" si="25"/>
        <v>1.1100000000000003</v>
      </c>
      <c r="V153" s="143"/>
      <c r="W153" s="102">
        <f t="shared" si="35"/>
        <v>1</v>
      </c>
      <c r="X153" s="153">
        <f t="shared" si="36"/>
        <v>1.1100000000000003</v>
      </c>
      <c r="Y153" s="102"/>
      <c r="Z153" s="102"/>
      <c r="AA153" s="102"/>
      <c r="AB153" s="102"/>
      <c r="AC153" s="102"/>
      <c r="AD153" s="102"/>
      <c r="AE153" s="102"/>
      <c r="AF153" s="138"/>
      <c r="AG153" s="138"/>
      <c r="AH153" s="102"/>
      <c r="AI153" s="102"/>
      <c r="AJ153" s="102"/>
      <c r="AK153" s="102"/>
      <c r="AL153" s="102"/>
      <c r="AM153" s="102"/>
    </row>
    <row r="154" spans="1:39">
      <c r="A154" s="143" t="s">
        <v>243</v>
      </c>
      <c r="B154" s="143" t="s">
        <v>361</v>
      </c>
      <c r="C154" s="145">
        <v>45830</v>
      </c>
      <c r="D154" s="143" t="s">
        <v>537</v>
      </c>
      <c r="E154" s="146" t="s">
        <v>465</v>
      </c>
      <c r="F154" s="147"/>
      <c r="G154" s="147">
        <v>-130</v>
      </c>
      <c r="H154" s="148">
        <v>-143</v>
      </c>
      <c r="I154" s="143"/>
      <c r="J154" s="143">
        <v>1</v>
      </c>
      <c r="K154" s="149" t="s">
        <v>350</v>
      </c>
      <c r="L154" s="150">
        <f t="shared" si="26"/>
        <v>0.76923076923076916</v>
      </c>
      <c r="M154" s="150">
        <f t="shared" si="27"/>
        <v>0.69930069930069916</v>
      </c>
      <c r="N154" s="151">
        <f t="shared" si="28"/>
        <v>4.1152263374485645E-2</v>
      </c>
      <c r="O154" s="151" t="str">
        <f t="shared" si="29"/>
        <v/>
      </c>
      <c r="P154" s="151" t="str">
        <f t="shared" si="30"/>
        <v/>
      </c>
      <c r="Q154" s="151" t="str">
        <f t="shared" si="31"/>
        <v/>
      </c>
      <c r="R154" s="150">
        <f t="shared" si="32"/>
        <v>1.7692307692307692</v>
      </c>
      <c r="S154" s="150">
        <f t="shared" si="33"/>
        <v>1.6993006993006992</v>
      </c>
      <c r="T154" s="150" t="str">
        <f t="shared" si="34"/>
        <v/>
      </c>
      <c r="U154" s="152">
        <f t="shared" si="25"/>
        <v>0.76923076923076916</v>
      </c>
      <c r="V154" s="143"/>
      <c r="W154" s="102">
        <f t="shared" si="35"/>
        <v>1</v>
      </c>
      <c r="X154" s="153">
        <f t="shared" si="36"/>
        <v>0.76923076923076916</v>
      </c>
      <c r="Y154" s="102"/>
      <c r="Z154" s="102"/>
      <c r="AA154" s="102"/>
      <c r="AB154" s="102"/>
      <c r="AC154" s="102"/>
      <c r="AD154" s="102"/>
      <c r="AE154" s="102"/>
      <c r="AF154" s="138"/>
      <c r="AG154" s="138"/>
      <c r="AH154" s="102"/>
      <c r="AI154" s="102"/>
      <c r="AJ154" s="102"/>
      <c r="AK154" s="102"/>
      <c r="AL154" s="102"/>
      <c r="AM154" s="102"/>
    </row>
    <row r="155" spans="1:39">
      <c r="A155" s="143" t="s">
        <v>238</v>
      </c>
      <c r="B155" s="143" t="s">
        <v>361</v>
      </c>
      <c r="C155" s="145">
        <v>45831</v>
      </c>
      <c r="D155" s="143" t="s">
        <v>538</v>
      </c>
      <c r="E155" s="146" t="s">
        <v>454</v>
      </c>
      <c r="F155" s="147">
        <v>-152</v>
      </c>
      <c r="G155" s="147">
        <v>114</v>
      </c>
      <c r="H155" s="148">
        <v>104</v>
      </c>
      <c r="I155" s="143">
        <v>-119</v>
      </c>
      <c r="J155" s="143">
        <v>1</v>
      </c>
      <c r="K155" s="149" t="s">
        <v>311</v>
      </c>
      <c r="L155" s="150">
        <f t="shared" si="26"/>
        <v>-1</v>
      </c>
      <c r="M155" s="150">
        <f t="shared" si="27"/>
        <v>-1</v>
      </c>
      <c r="N155" s="151">
        <f t="shared" si="28"/>
        <v>4.9019607843137095E-2</v>
      </c>
      <c r="O155" s="151">
        <f t="shared" si="29"/>
        <v>0.12890225390225379</v>
      </c>
      <c r="P155" s="151">
        <f t="shared" si="30"/>
        <v>0.60317460317460314</v>
      </c>
      <c r="Q155" s="151">
        <f t="shared" si="31"/>
        <v>0.47427234927234935</v>
      </c>
      <c r="R155" s="150">
        <f t="shared" si="32"/>
        <v>2.1399999999999997</v>
      </c>
      <c r="S155" s="150">
        <f t="shared" si="33"/>
        <v>2.04</v>
      </c>
      <c r="T155" s="150">
        <f t="shared" si="34"/>
        <v>1.8403361344537816</v>
      </c>
      <c r="U155" s="152">
        <f t="shared" si="25"/>
        <v>-1</v>
      </c>
      <c r="V155" s="143"/>
      <c r="W155" s="102">
        <f t="shared" si="35"/>
        <v>0</v>
      </c>
      <c r="X155" s="153">
        <f t="shared" si="36"/>
        <v>-1</v>
      </c>
      <c r="Y155" s="102"/>
      <c r="Z155" s="102"/>
      <c r="AA155" s="102"/>
      <c r="AB155" s="102"/>
      <c r="AC155" s="102"/>
      <c r="AD155" s="102"/>
      <c r="AE155" s="102"/>
      <c r="AF155" s="138"/>
      <c r="AG155" s="138"/>
      <c r="AH155" s="102"/>
      <c r="AI155" s="102"/>
      <c r="AJ155" s="102"/>
      <c r="AK155" s="102"/>
      <c r="AL155" s="102"/>
      <c r="AM155" s="102"/>
    </row>
    <row r="156" spans="1:39">
      <c r="A156" s="143" t="s">
        <v>240</v>
      </c>
      <c r="B156" s="143" t="s">
        <v>361</v>
      </c>
      <c r="C156" s="145">
        <v>45831</v>
      </c>
      <c r="D156" s="143" t="s">
        <v>539</v>
      </c>
      <c r="E156" s="146" t="s">
        <v>465</v>
      </c>
      <c r="F156" s="147">
        <v>-183</v>
      </c>
      <c r="G156" s="147">
        <v>-140</v>
      </c>
      <c r="H156" s="148">
        <v>-143</v>
      </c>
      <c r="I156" s="143">
        <v>124</v>
      </c>
      <c r="J156" s="143">
        <v>1</v>
      </c>
      <c r="K156" s="149" t="s">
        <v>350</v>
      </c>
      <c r="L156" s="150">
        <f t="shared" si="26"/>
        <v>0.71428571428571441</v>
      </c>
      <c r="M156" s="150">
        <f t="shared" si="27"/>
        <v>0.69930069930069916</v>
      </c>
      <c r="N156" s="151">
        <f t="shared" si="28"/>
        <v>8.8183421516757794E-3</v>
      </c>
      <c r="O156" s="151">
        <f t="shared" si="29"/>
        <v>7.8014266254404441E-2</v>
      </c>
      <c r="P156" s="151">
        <f t="shared" si="30"/>
        <v>0.64664310954063609</v>
      </c>
      <c r="Q156" s="151">
        <f t="shared" si="31"/>
        <v>0.56862884328623164</v>
      </c>
      <c r="R156" s="150">
        <f t="shared" si="32"/>
        <v>1.7142857142857144</v>
      </c>
      <c r="S156" s="150">
        <f t="shared" si="33"/>
        <v>1.6993006993006992</v>
      </c>
      <c r="T156" s="150">
        <f t="shared" si="34"/>
        <v>2.2400000000000002</v>
      </c>
      <c r="U156" s="152">
        <f t="shared" si="25"/>
        <v>0.71428571428571441</v>
      </c>
      <c r="V156" s="143"/>
      <c r="W156" s="102">
        <f t="shared" si="35"/>
        <v>1</v>
      </c>
      <c r="X156" s="153">
        <f t="shared" si="36"/>
        <v>0.71428571428571441</v>
      </c>
      <c r="Y156" s="102"/>
      <c r="Z156" s="102"/>
      <c r="AA156" s="102"/>
      <c r="AB156" s="102"/>
      <c r="AC156" s="102"/>
      <c r="AD156" s="102"/>
      <c r="AE156" s="102"/>
      <c r="AF156" s="138"/>
      <c r="AG156" s="138"/>
      <c r="AH156" s="102"/>
      <c r="AI156" s="102"/>
      <c r="AJ156" s="102"/>
      <c r="AK156" s="102"/>
      <c r="AL156" s="102"/>
      <c r="AM156" s="102"/>
    </row>
    <row r="157" spans="1:39">
      <c r="A157" s="143" t="s">
        <v>238</v>
      </c>
      <c r="B157" s="143" t="s">
        <v>361</v>
      </c>
      <c r="C157" s="145">
        <v>45831</v>
      </c>
      <c r="D157" s="143" t="s">
        <v>540</v>
      </c>
      <c r="E157" s="146" t="s">
        <v>411</v>
      </c>
      <c r="F157" s="147">
        <v>-141</v>
      </c>
      <c r="G157" s="147">
        <v>-102</v>
      </c>
      <c r="H157" s="148">
        <v>102</v>
      </c>
      <c r="I157" s="143">
        <v>-118</v>
      </c>
      <c r="J157" s="143">
        <v>1</v>
      </c>
      <c r="K157" s="149" t="s">
        <v>350</v>
      </c>
      <c r="L157" s="150">
        <f t="shared" si="26"/>
        <v>0.98039215686274517</v>
      </c>
      <c r="M157" s="150">
        <f t="shared" si="27"/>
        <v>1.02</v>
      </c>
      <c r="N157" s="151">
        <f t="shared" si="28"/>
        <v>-1.9607843137254919E-2</v>
      </c>
      <c r="O157" s="151">
        <f t="shared" si="29"/>
        <v>0.10736919131689376</v>
      </c>
      <c r="P157" s="151">
        <f t="shared" si="30"/>
        <v>0.58506224066390045</v>
      </c>
      <c r="Q157" s="151">
        <f t="shared" si="31"/>
        <v>0.47769304934700668</v>
      </c>
      <c r="R157" s="150">
        <f t="shared" si="32"/>
        <v>1.9803921568627452</v>
      </c>
      <c r="S157" s="150">
        <f t="shared" si="33"/>
        <v>2.02</v>
      </c>
      <c r="T157" s="150">
        <f t="shared" si="34"/>
        <v>1.847457627118644</v>
      </c>
      <c r="U157" s="152">
        <f t="shared" si="25"/>
        <v>0.98039215686274517</v>
      </c>
      <c r="V157" s="143"/>
      <c r="W157" s="102">
        <f t="shared" si="35"/>
        <v>1</v>
      </c>
      <c r="X157" s="153">
        <f t="shared" si="36"/>
        <v>0.98039215686274517</v>
      </c>
      <c r="Y157" s="102"/>
      <c r="Z157" s="102"/>
      <c r="AA157" s="102"/>
      <c r="AB157" s="102"/>
      <c r="AC157" s="102"/>
      <c r="AD157" s="102"/>
      <c r="AE157" s="102"/>
      <c r="AF157" s="138"/>
      <c r="AG157" s="138"/>
      <c r="AH157" s="102"/>
      <c r="AI157" s="102"/>
      <c r="AJ157" s="102"/>
      <c r="AK157" s="102"/>
      <c r="AL157" s="102"/>
      <c r="AM157" s="102"/>
    </row>
    <row r="158" spans="1:39">
      <c r="A158" s="143" t="s">
        <v>240</v>
      </c>
      <c r="B158" s="143" t="s">
        <v>361</v>
      </c>
      <c r="C158" s="145">
        <v>45831</v>
      </c>
      <c r="D158" s="143" t="s">
        <v>541</v>
      </c>
      <c r="E158" s="146" t="s">
        <v>413</v>
      </c>
      <c r="F158" s="147">
        <v>-115</v>
      </c>
      <c r="G158" s="147">
        <v>130</v>
      </c>
      <c r="H158" s="148">
        <v>133</v>
      </c>
      <c r="I158" s="143">
        <v>-154</v>
      </c>
      <c r="J158" s="143">
        <v>1</v>
      </c>
      <c r="K158" s="149" t="s">
        <v>350</v>
      </c>
      <c r="L158" s="150">
        <f t="shared" si="26"/>
        <v>1.2999999999999998</v>
      </c>
      <c r="M158" s="150">
        <f t="shared" si="27"/>
        <v>1.33</v>
      </c>
      <c r="N158" s="151">
        <f t="shared" si="28"/>
        <v>-1.2875536480686765E-2</v>
      </c>
      <c r="O158" s="151">
        <f t="shared" si="29"/>
        <v>0.1204063866395762</v>
      </c>
      <c r="P158" s="151">
        <f t="shared" si="30"/>
        <v>0.53488372093023251</v>
      </c>
      <c r="Q158" s="151">
        <f t="shared" si="31"/>
        <v>0.41447733429065631</v>
      </c>
      <c r="R158" s="150">
        <f t="shared" si="32"/>
        <v>2.2999999999999998</v>
      </c>
      <c r="S158" s="150">
        <f t="shared" si="33"/>
        <v>2.33</v>
      </c>
      <c r="T158" s="150">
        <f t="shared" si="34"/>
        <v>1.6493506493506493</v>
      </c>
      <c r="U158" s="152">
        <f t="shared" si="25"/>
        <v>1.2999999999999998</v>
      </c>
      <c r="V158" s="143"/>
      <c r="W158" s="102">
        <f t="shared" si="35"/>
        <v>1</v>
      </c>
      <c r="X158" s="153">
        <f t="shared" si="36"/>
        <v>1.2999999999999998</v>
      </c>
      <c r="Y158" s="102"/>
      <c r="Z158" s="102"/>
      <c r="AA158" s="102"/>
      <c r="AB158" s="102"/>
      <c r="AC158" s="102"/>
      <c r="AD158" s="102"/>
      <c r="AE158" s="102"/>
      <c r="AF158" s="138"/>
      <c r="AG158" s="138"/>
      <c r="AH158" s="102"/>
      <c r="AI158" s="102"/>
      <c r="AJ158" s="102"/>
      <c r="AK158" s="102"/>
      <c r="AL158" s="102"/>
      <c r="AM158" s="102"/>
    </row>
    <row r="159" spans="1:39">
      <c r="A159" s="143" t="s">
        <v>238</v>
      </c>
      <c r="B159" s="143" t="s">
        <v>361</v>
      </c>
      <c r="C159" s="145">
        <v>45832</v>
      </c>
      <c r="D159" s="143" t="s">
        <v>542</v>
      </c>
      <c r="E159" s="146" t="s">
        <v>397</v>
      </c>
      <c r="F159" s="147">
        <v>148</v>
      </c>
      <c r="G159" s="147">
        <v>253</v>
      </c>
      <c r="H159" s="148">
        <v>276</v>
      </c>
      <c r="I159" s="143">
        <v>-345</v>
      </c>
      <c r="J159" s="143">
        <v>1</v>
      </c>
      <c r="K159" s="149" t="s">
        <v>311</v>
      </c>
      <c r="L159" s="150">
        <f t="shared" si="26"/>
        <v>-1</v>
      </c>
      <c r="M159" s="150">
        <f t="shared" si="27"/>
        <v>-1</v>
      </c>
      <c r="N159" s="151">
        <f t="shared" si="28"/>
        <v>-6.117021276595748E-2</v>
      </c>
      <c r="O159" s="151">
        <f t="shared" si="29"/>
        <v>0.14780163012283321</v>
      </c>
      <c r="P159" s="151">
        <f t="shared" si="30"/>
        <v>0.40322580645161288</v>
      </c>
      <c r="Q159" s="151">
        <f t="shared" si="31"/>
        <v>0.25542417632877967</v>
      </c>
      <c r="R159" s="150">
        <f t="shared" si="32"/>
        <v>3.53</v>
      </c>
      <c r="S159" s="150">
        <f t="shared" si="33"/>
        <v>3.76</v>
      </c>
      <c r="T159" s="150">
        <f t="shared" si="34"/>
        <v>1.2898550724637681</v>
      </c>
      <c r="U159" s="152">
        <f t="shared" si="25"/>
        <v>-1</v>
      </c>
      <c r="V159" s="143"/>
      <c r="W159" s="102">
        <f t="shared" si="35"/>
        <v>0</v>
      </c>
      <c r="X159" s="153">
        <f t="shared" si="36"/>
        <v>-1</v>
      </c>
      <c r="Y159" s="102"/>
      <c r="Z159" s="102"/>
      <c r="AA159" s="102"/>
      <c r="AB159" s="102"/>
      <c r="AC159" s="102"/>
      <c r="AD159" s="102"/>
      <c r="AE159" s="102"/>
      <c r="AF159" s="138"/>
      <c r="AG159" s="138"/>
      <c r="AH159" s="102"/>
      <c r="AI159" s="102"/>
      <c r="AJ159" s="102"/>
      <c r="AK159" s="102"/>
      <c r="AL159" s="102"/>
      <c r="AM159" s="102"/>
    </row>
    <row r="160" spans="1:39">
      <c r="A160" s="143" t="s">
        <v>240</v>
      </c>
      <c r="B160" s="143" t="s">
        <v>361</v>
      </c>
      <c r="C160" s="145">
        <v>45832</v>
      </c>
      <c r="D160" s="143" t="s">
        <v>543</v>
      </c>
      <c r="E160" s="146" t="s">
        <v>447</v>
      </c>
      <c r="F160" s="147">
        <v>-105</v>
      </c>
      <c r="G160" s="147">
        <v>145</v>
      </c>
      <c r="H160" s="148">
        <v>140</v>
      </c>
      <c r="I160" s="143">
        <v>-161</v>
      </c>
      <c r="J160" s="143">
        <v>1</v>
      </c>
      <c r="K160" s="149" t="s">
        <v>350</v>
      </c>
      <c r="L160" s="150">
        <f t="shared" si="26"/>
        <v>1.4500000000000002</v>
      </c>
      <c r="M160" s="150">
        <f t="shared" si="27"/>
        <v>1.4</v>
      </c>
      <c r="N160" s="151">
        <f t="shared" si="28"/>
        <v>2.0833333333333495E-2</v>
      </c>
      <c r="O160" s="151">
        <f t="shared" si="29"/>
        <v>0.10904405614955137</v>
      </c>
      <c r="P160" s="151">
        <f t="shared" si="30"/>
        <v>0.51219512195121952</v>
      </c>
      <c r="Q160" s="151">
        <f t="shared" si="31"/>
        <v>0.40315106580166815</v>
      </c>
      <c r="R160" s="150">
        <f t="shared" si="32"/>
        <v>2.4500000000000002</v>
      </c>
      <c r="S160" s="150">
        <f t="shared" si="33"/>
        <v>2.4</v>
      </c>
      <c r="T160" s="150">
        <f t="shared" si="34"/>
        <v>1.6211180124223601</v>
      </c>
      <c r="U160" s="152">
        <f t="shared" si="25"/>
        <v>1.4500000000000002</v>
      </c>
      <c r="V160" s="143"/>
      <c r="W160" s="102">
        <f t="shared" si="35"/>
        <v>1</v>
      </c>
      <c r="X160" s="153">
        <f t="shared" si="36"/>
        <v>1.4500000000000002</v>
      </c>
      <c r="Y160" s="102"/>
      <c r="Z160" s="102"/>
      <c r="AA160" s="102"/>
      <c r="AB160" s="102"/>
      <c r="AC160" s="102"/>
      <c r="AD160" s="102"/>
      <c r="AE160" s="102"/>
      <c r="AF160" s="138"/>
      <c r="AG160" s="138"/>
      <c r="AH160" s="102"/>
      <c r="AI160" s="102"/>
      <c r="AJ160" s="102"/>
      <c r="AK160" s="102"/>
      <c r="AL160" s="102"/>
      <c r="AM160" s="102"/>
    </row>
    <row r="161" spans="1:39">
      <c r="A161" s="143" t="s">
        <v>238</v>
      </c>
      <c r="B161" s="143" t="s">
        <v>361</v>
      </c>
      <c r="C161" s="145">
        <v>45832</v>
      </c>
      <c r="D161" s="143" t="s">
        <v>544</v>
      </c>
      <c r="E161" s="146" t="s">
        <v>460</v>
      </c>
      <c r="F161" s="147">
        <v>-109</v>
      </c>
      <c r="G161" s="147">
        <v>131</v>
      </c>
      <c r="H161" s="148">
        <v>127</v>
      </c>
      <c r="I161" s="143">
        <v>-147</v>
      </c>
      <c r="J161" s="143">
        <v>1</v>
      </c>
      <c r="K161" s="149" t="s">
        <v>351</v>
      </c>
      <c r="L161" s="150">
        <f t="shared" si="26"/>
        <v>0</v>
      </c>
      <c r="M161" s="150">
        <f t="shared" si="27"/>
        <v>0</v>
      </c>
      <c r="N161" s="151">
        <f t="shared" si="28"/>
        <v>1.7621145374449306E-2</v>
      </c>
      <c r="O161" s="151">
        <f t="shared" si="29"/>
        <v>9.6175058528375046E-2</v>
      </c>
      <c r="P161" s="151">
        <f t="shared" si="30"/>
        <v>0.52153110047846885</v>
      </c>
      <c r="Q161" s="151">
        <f t="shared" si="31"/>
        <v>0.4253560419500938</v>
      </c>
      <c r="R161" s="150">
        <f t="shared" si="32"/>
        <v>2.31</v>
      </c>
      <c r="S161" s="150">
        <f t="shared" si="33"/>
        <v>2.27</v>
      </c>
      <c r="T161" s="150">
        <f t="shared" si="34"/>
        <v>1.6802721088435373</v>
      </c>
      <c r="U161" s="152">
        <f t="shared" si="25"/>
        <v>0</v>
      </c>
      <c r="V161" s="143"/>
      <c r="W161" s="102">
        <f t="shared" si="35"/>
        <v>2</v>
      </c>
      <c r="X161" s="153">
        <f t="shared" si="36"/>
        <v>0</v>
      </c>
      <c r="Y161" s="102"/>
      <c r="Z161" s="102"/>
      <c r="AA161" s="102"/>
      <c r="AB161" s="102"/>
      <c r="AC161" s="102"/>
      <c r="AD161" s="102"/>
      <c r="AE161" s="102"/>
      <c r="AF161" s="138"/>
      <c r="AG161" s="138"/>
      <c r="AH161" s="102"/>
      <c r="AI161" s="102"/>
      <c r="AJ161" s="102"/>
      <c r="AK161" s="102"/>
      <c r="AL161" s="102"/>
      <c r="AM161" s="102"/>
    </row>
    <row r="162" spans="1:39">
      <c r="A162" s="143" t="s">
        <v>240</v>
      </c>
      <c r="B162" s="143" t="s">
        <v>361</v>
      </c>
      <c r="C162" s="145">
        <v>45833</v>
      </c>
      <c r="D162" s="143" t="s">
        <v>545</v>
      </c>
      <c r="E162" s="146" t="s">
        <v>406</v>
      </c>
      <c r="F162" s="147">
        <v>-121</v>
      </c>
      <c r="G162" s="147">
        <v>115</v>
      </c>
      <c r="H162" s="148">
        <v>116</v>
      </c>
      <c r="I162" s="143">
        <v>-133</v>
      </c>
      <c r="J162" s="143">
        <v>1</v>
      </c>
      <c r="K162" s="149" t="s">
        <v>311</v>
      </c>
      <c r="L162" s="150">
        <f t="shared" si="26"/>
        <v>-1</v>
      </c>
      <c r="M162" s="150">
        <f t="shared" si="27"/>
        <v>-1</v>
      </c>
      <c r="N162" s="151">
        <f t="shared" si="28"/>
        <v>-4.6296296296297309E-3</v>
      </c>
      <c r="O162" s="151">
        <f t="shared" si="29"/>
        <v>9.9675531483743474E-2</v>
      </c>
      <c r="P162" s="151">
        <f t="shared" si="30"/>
        <v>0.54751131221719462</v>
      </c>
      <c r="Q162" s="151">
        <f t="shared" si="31"/>
        <v>0.44783578073345115</v>
      </c>
      <c r="R162" s="150">
        <f t="shared" si="32"/>
        <v>2.15</v>
      </c>
      <c r="S162" s="150">
        <f t="shared" si="33"/>
        <v>2.16</v>
      </c>
      <c r="T162" s="150">
        <f t="shared" si="34"/>
        <v>1.7518796992481203</v>
      </c>
      <c r="U162" s="152">
        <f t="shared" si="25"/>
        <v>-1</v>
      </c>
      <c r="V162" s="143"/>
      <c r="W162" s="102">
        <f t="shared" si="35"/>
        <v>0</v>
      </c>
      <c r="X162" s="153">
        <f t="shared" si="36"/>
        <v>-1</v>
      </c>
      <c r="Y162" s="102"/>
      <c r="Z162" s="102"/>
      <c r="AA162" s="102"/>
      <c r="AB162" s="102"/>
      <c r="AC162" s="102"/>
      <c r="AD162" s="102"/>
      <c r="AE162" s="102"/>
      <c r="AF162" s="138"/>
      <c r="AG162" s="138"/>
      <c r="AH162" s="102"/>
      <c r="AI162" s="102"/>
      <c r="AJ162" s="102"/>
      <c r="AK162" s="102"/>
      <c r="AL162" s="102"/>
      <c r="AM162" s="102"/>
    </row>
    <row r="163" spans="1:39">
      <c r="A163" s="143" t="s">
        <v>238</v>
      </c>
      <c r="B163" s="143" t="s">
        <v>361</v>
      </c>
      <c r="C163" s="145">
        <v>45833</v>
      </c>
      <c r="D163" s="143" t="s">
        <v>539</v>
      </c>
      <c r="E163" s="146" t="s">
        <v>492</v>
      </c>
      <c r="F163" s="147">
        <v>-167</v>
      </c>
      <c r="G163" s="147">
        <v>-122</v>
      </c>
      <c r="H163" s="148">
        <v>-119</v>
      </c>
      <c r="I163" s="143">
        <v>104</v>
      </c>
      <c r="J163" s="143">
        <v>1</v>
      </c>
      <c r="K163" s="149" t="s">
        <v>351</v>
      </c>
      <c r="L163" s="150">
        <f t="shared" si="26"/>
        <v>0</v>
      </c>
      <c r="M163" s="150">
        <f t="shared" si="27"/>
        <v>0</v>
      </c>
      <c r="N163" s="151">
        <f t="shared" si="28"/>
        <v>-1.1228385358185537E-2</v>
      </c>
      <c r="O163" s="151">
        <f t="shared" si="29"/>
        <v>9.9740514066356756E-2</v>
      </c>
      <c r="P163" s="151">
        <f t="shared" si="30"/>
        <v>0.62546816479400746</v>
      </c>
      <c r="Q163" s="151">
        <f t="shared" si="31"/>
        <v>0.52572765072765071</v>
      </c>
      <c r="R163" s="150">
        <f t="shared" si="32"/>
        <v>1.819672131147541</v>
      </c>
      <c r="S163" s="150">
        <f t="shared" si="33"/>
        <v>1.8403361344537816</v>
      </c>
      <c r="T163" s="150">
        <f t="shared" si="34"/>
        <v>2.04</v>
      </c>
      <c r="U163" s="152">
        <f t="shared" si="25"/>
        <v>0</v>
      </c>
      <c r="V163" s="143"/>
      <c r="W163" s="102">
        <f t="shared" si="35"/>
        <v>2</v>
      </c>
      <c r="X163" s="153">
        <f t="shared" si="36"/>
        <v>0</v>
      </c>
      <c r="Y163" s="102"/>
      <c r="Z163" s="102"/>
      <c r="AA163" s="102"/>
      <c r="AB163" s="102"/>
      <c r="AC163" s="102"/>
      <c r="AD163" s="102"/>
      <c r="AE163" s="102"/>
      <c r="AF163" s="138"/>
      <c r="AG163" s="138"/>
      <c r="AH163" s="102"/>
      <c r="AI163" s="102"/>
      <c r="AJ163" s="102"/>
      <c r="AK163" s="102"/>
      <c r="AL163" s="102"/>
      <c r="AM163" s="102"/>
    </row>
    <row r="164" spans="1:39">
      <c r="A164" s="143" t="s">
        <v>240</v>
      </c>
      <c r="B164" s="143" t="s">
        <v>361</v>
      </c>
      <c r="C164" s="145">
        <v>45833</v>
      </c>
      <c r="D164" s="143" t="s">
        <v>544</v>
      </c>
      <c r="E164" s="146" t="s">
        <v>460</v>
      </c>
      <c r="F164" s="147">
        <v>-201</v>
      </c>
      <c r="G164" s="147">
        <v>-165</v>
      </c>
      <c r="H164" s="148">
        <v>-189</v>
      </c>
      <c r="I164" s="143">
        <v>160</v>
      </c>
      <c r="J164" s="143">
        <v>1</v>
      </c>
      <c r="K164" s="149" t="s">
        <v>311</v>
      </c>
      <c r="L164" s="150">
        <f t="shared" si="26"/>
        <v>-1</v>
      </c>
      <c r="M164" s="150">
        <f t="shared" si="27"/>
        <v>-1</v>
      </c>
      <c r="N164" s="151">
        <f t="shared" si="28"/>
        <v>5.0330292544825322E-2</v>
      </c>
      <c r="O164" s="151">
        <f t="shared" si="29"/>
        <v>3.8096997706261848E-2</v>
      </c>
      <c r="P164" s="151">
        <f t="shared" si="30"/>
        <v>0.66777408637873759</v>
      </c>
      <c r="Q164" s="151">
        <f t="shared" si="31"/>
        <v>0.62967708867247574</v>
      </c>
      <c r="R164" s="150">
        <f t="shared" si="32"/>
        <v>1.606060606060606</v>
      </c>
      <c r="S164" s="150">
        <f t="shared" si="33"/>
        <v>1.5291005291005291</v>
      </c>
      <c r="T164" s="150">
        <f t="shared" si="34"/>
        <v>2.6</v>
      </c>
      <c r="U164" s="152">
        <f t="shared" si="25"/>
        <v>-1</v>
      </c>
      <c r="V164" s="143"/>
      <c r="W164" s="102">
        <f t="shared" si="35"/>
        <v>0</v>
      </c>
      <c r="X164" s="153">
        <f t="shared" si="36"/>
        <v>-1</v>
      </c>
      <c r="Y164" s="102"/>
      <c r="Z164" s="102"/>
      <c r="AA164" s="102"/>
      <c r="AB164" s="102"/>
      <c r="AC164" s="102"/>
      <c r="AD164" s="102"/>
      <c r="AE164" s="102"/>
      <c r="AF164" s="138"/>
      <c r="AG164" s="138"/>
      <c r="AH164" s="102"/>
      <c r="AI164" s="102"/>
      <c r="AJ164" s="102"/>
      <c r="AK164" s="102"/>
      <c r="AL164" s="102"/>
      <c r="AM164" s="102"/>
    </row>
    <row r="165" spans="1:39">
      <c r="A165" s="143" t="s">
        <v>243</v>
      </c>
      <c r="B165" s="143" t="s">
        <v>361</v>
      </c>
      <c r="C165" s="145">
        <v>45833</v>
      </c>
      <c r="D165" s="143" t="s">
        <v>546</v>
      </c>
      <c r="E165" s="146" t="s">
        <v>458</v>
      </c>
      <c r="F165" s="147">
        <v>-173</v>
      </c>
      <c r="G165" s="147">
        <v>-132</v>
      </c>
      <c r="H165" s="148">
        <v>-141</v>
      </c>
      <c r="I165" s="143">
        <v>122</v>
      </c>
      <c r="J165" s="143">
        <v>1</v>
      </c>
      <c r="K165" s="149" t="s">
        <v>350</v>
      </c>
      <c r="L165" s="150">
        <f t="shared" si="26"/>
        <v>0.75757575757575757</v>
      </c>
      <c r="M165" s="150">
        <f t="shared" si="27"/>
        <v>0.7092198581560285</v>
      </c>
      <c r="N165" s="151">
        <f t="shared" si="28"/>
        <v>2.8291210863824783E-2</v>
      </c>
      <c r="O165" s="151">
        <f t="shared" si="29"/>
        <v>6.8701980185320144E-2</v>
      </c>
      <c r="P165" s="151">
        <f t="shared" si="30"/>
        <v>0.63369963369963367</v>
      </c>
      <c r="Q165" s="151">
        <f t="shared" si="31"/>
        <v>0.56499765351431352</v>
      </c>
      <c r="R165" s="150">
        <f t="shared" si="32"/>
        <v>1.7575757575757576</v>
      </c>
      <c r="S165" s="150">
        <f t="shared" si="33"/>
        <v>1.7092198581560285</v>
      </c>
      <c r="T165" s="150">
        <f t="shared" si="34"/>
        <v>2.2199999999999998</v>
      </c>
      <c r="U165" s="152">
        <f t="shared" si="25"/>
        <v>0.75757575757575757</v>
      </c>
      <c r="V165" s="143"/>
      <c r="W165" s="102">
        <f t="shared" si="35"/>
        <v>1</v>
      </c>
      <c r="X165" s="153">
        <f t="shared" si="36"/>
        <v>0.75757575757575757</v>
      </c>
      <c r="Y165" s="102"/>
      <c r="Z165" s="102"/>
      <c r="AA165" s="102"/>
      <c r="AB165" s="102"/>
      <c r="AC165" s="102"/>
      <c r="AD165" s="102"/>
      <c r="AE165" s="102"/>
      <c r="AF165" s="138"/>
      <c r="AG165" s="138"/>
      <c r="AH165" s="102"/>
      <c r="AI165" s="102"/>
      <c r="AJ165" s="102"/>
      <c r="AK165" s="102"/>
      <c r="AL165" s="102"/>
      <c r="AM165" s="102"/>
    </row>
    <row r="166" spans="1:39">
      <c r="A166" s="143" t="s">
        <v>248</v>
      </c>
      <c r="B166" s="143" t="s">
        <v>361</v>
      </c>
      <c r="C166" s="145">
        <v>45834</v>
      </c>
      <c r="D166" s="143" t="s">
        <v>544</v>
      </c>
      <c r="E166" s="146" t="s">
        <v>487</v>
      </c>
      <c r="F166" s="147">
        <v>-168</v>
      </c>
      <c r="G166" s="147">
        <v>-140</v>
      </c>
      <c r="H166" s="148">
        <v>-154</v>
      </c>
      <c r="I166" s="143">
        <v>133</v>
      </c>
      <c r="J166" s="143">
        <v>1</v>
      </c>
      <c r="K166" s="149" t="s">
        <v>350</v>
      </c>
      <c r="L166" s="150">
        <f t="shared" si="26"/>
        <v>0.71428571428571441</v>
      </c>
      <c r="M166" s="150">
        <f t="shared" si="27"/>
        <v>0.64935064935064934</v>
      </c>
      <c r="N166" s="151">
        <f t="shared" si="28"/>
        <v>3.9370078740157667E-2</v>
      </c>
      <c r="O166" s="151">
        <f t="shared" si="29"/>
        <v>4.134300593244733E-2</v>
      </c>
      <c r="P166" s="151">
        <f t="shared" si="30"/>
        <v>0.62686567164179108</v>
      </c>
      <c r="Q166" s="151">
        <f t="shared" si="31"/>
        <v>0.58552266570934375</v>
      </c>
      <c r="R166" s="150">
        <f t="shared" si="32"/>
        <v>1.7142857142857144</v>
      </c>
      <c r="S166" s="150">
        <f t="shared" si="33"/>
        <v>1.6493506493506493</v>
      </c>
      <c r="T166" s="150">
        <f t="shared" si="34"/>
        <v>2.33</v>
      </c>
      <c r="U166" s="152">
        <f t="shared" si="25"/>
        <v>0.71428571428571441</v>
      </c>
      <c r="V166" s="143"/>
      <c r="W166" s="102">
        <f t="shared" si="35"/>
        <v>1</v>
      </c>
      <c r="X166" s="153">
        <f t="shared" si="36"/>
        <v>0.71428571428571441</v>
      </c>
      <c r="Y166" s="102"/>
      <c r="Z166" s="102"/>
      <c r="AA166" s="102"/>
      <c r="AB166" s="102"/>
      <c r="AC166" s="102"/>
      <c r="AD166" s="102"/>
      <c r="AE166" s="102"/>
      <c r="AF166" s="138"/>
      <c r="AG166" s="138"/>
      <c r="AH166" s="102"/>
      <c r="AI166" s="102"/>
      <c r="AJ166" s="102"/>
      <c r="AK166" s="102"/>
      <c r="AL166" s="102"/>
      <c r="AM166" s="102"/>
    </row>
    <row r="167" spans="1:39">
      <c r="A167" s="143" t="s">
        <v>238</v>
      </c>
      <c r="B167" s="143" t="s">
        <v>361</v>
      </c>
      <c r="C167" s="145">
        <v>45834</v>
      </c>
      <c r="D167" s="143" t="s">
        <v>547</v>
      </c>
      <c r="E167" s="146" t="s">
        <v>451</v>
      </c>
      <c r="F167" s="147">
        <v>-124</v>
      </c>
      <c r="G167" s="147">
        <v>106</v>
      </c>
      <c r="H167" s="148">
        <v>112</v>
      </c>
      <c r="I167" s="143">
        <v>-128</v>
      </c>
      <c r="J167" s="143">
        <v>1</v>
      </c>
      <c r="K167" s="149" t="s">
        <v>350</v>
      </c>
      <c r="L167" s="150">
        <f t="shared" si="26"/>
        <v>1.06</v>
      </c>
      <c r="M167" s="150">
        <f t="shared" si="27"/>
        <v>1.1200000000000001</v>
      </c>
      <c r="N167" s="151">
        <f t="shared" si="28"/>
        <v>-2.8301886792452945E-2</v>
      </c>
      <c r="O167" s="151">
        <f t="shared" si="29"/>
        <v>9.6987000503501619E-2</v>
      </c>
      <c r="P167" s="151">
        <f t="shared" si="30"/>
        <v>0.5535714285714286</v>
      </c>
      <c r="Q167" s="151">
        <f t="shared" si="31"/>
        <v>0.45658442806792698</v>
      </c>
      <c r="R167" s="150">
        <f t="shared" si="32"/>
        <v>2.06</v>
      </c>
      <c r="S167" s="150">
        <f t="shared" si="33"/>
        <v>2.12</v>
      </c>
      <c r="T167" s="150">
        <f t="shared" si="34"/>
        <v>1.78125</v>
      </c>
      <c r="U167" s="152">
        <f t="shared" si="25"/>
        <v>1.06</v>
      </c>
      <c r="V167" s="143"/>
      <c r="W167" s="102">
        <f t="shared" si="35"/>
        <v>1</v>
      </c>
      <c r="X167" s="153">
        <f t="shared" si="36"/>
        <v>1.06</v>
      </c>
      <c r="Y167" s="102"/>
      <c r="Z167" s="102"/>
      <c r="AA167" s="102"/>
      <c r="AB167" s="102"/>
      <c r="AC167" s="102"/>
      <c r="AD167" s="102"/>
      <c r="AE167" s="102"/>
      <c r="AF167" s="138"/>
      <c r="AG167" s="138"/>
      <c r="AH167" s="102"/>
      <c r="AI167" s="102"/>
      <c r="AJ167" s="102"/>
      <c r="AK167" s="102"/>
      <c r="AL167" s="102"/>
      <c r="AM167" s="102"/>
    </row>
    <row r="168" spans="1:39">
      <c r="A168" s="143" t="s">
        <v>238</v>
      </c>
      <c r="B168" s="143" t="s">
        <v>361</v>
      </c>
      <c r="C168" s="145">
        <v>45835</v>
      </c>
      <c r="D168" s="143" t="s">
        <v>548</v>
      </c>
      <c r="E168" s="146" t="s">
        <v>433</v>
      </c>
      <c r="F168" s="147">
        <v>-125</v>
      </c>
      <c r="G168" s="147">
        <v>100</v>
      </c>
      <c r="H168" s="148">
        <v>-110</v>
      </c>
      <c r="I168" s="143">
        <v>-104</v>
      </c>
      <c r="J168" s="143">
        <v>1</v>
      </c>
      <c r="K168" s="149" t="s">
        <v>311</v>
      </c>
      <c r="L168" s="150">
        <f t="shared" si="26"/>
        <v>-1</v>
      </c>
      <c r="M168" s="150">
        <f t="shared" si="27"/>
        <v>-1</v>
      </c>
      <c r="N168" s="151">
        <f t="shared" si="28"/>
        <v>4.7619047619047672E-2</v>
      </c>
      <c r="O168" s="151">
        <f t="shared" si="29"/>
        <v>4.8780487804877981E-2</v>
      </c>
      <c r="P168" s="151">
        <f t="shared" si="30"/>
        <v>0.55555555555555558</v>
      </c>
      <c r="Q168" s="151">
        <f t="shared" si="31"/>
        <v>0.5067750677506776</v>
      </c>
      <c r="R168" s="150">
        <f t="shared" si="32"/>
        <v>2</v>
      </c>
      <c r="S168" s="150">
        <f t="shared" si="33"/>
        <v>1.9090909090909092</v>
      </c>
      <c r="T168" s="150">
        <f t="shared" si="34"/>
        <v>1.9615384615384617</v>
      </c>
      <c r="U168" s="152">
        <f t="shared" ref="U168:U231" si="37">IF(K168="W",R168 - 1, IF(K168="L", -1, 0))</f>
        <v>-1</v>
      </c>
      <c r="V168" s="143"/>
      <c r="W168" s="102">
        <f t="shared" si="35"/>
        <v>0</v>
      </c>
      <c r="X168" s="153">
        <f t="shared" si="36"/>
        <v>-1</v>
      </c>
      <c r="Y168" s="102"/>
      <c r="Z168" s="102"/>
      <c r="AA168" s="102"/>
      <c r="AB168" s="102"/>
      <c r="AC168" s="102"/>
      <c r="AD168" s="102"/>
      <c r="AE168" s="102"/>
      <c r="AF168" s="138"/>
      <c r="AG168" s="138"/>
      <c r="AH168" s="102"/>
      <c r="AI168" s="102"/>
      <c r="AJ168" s="102"/>
      <c r="AK168" s="102"/>
      <c r="AL168" s="102"/>
      <c r="AM168" s="102"/>
    </row>
    <row r="169" spans="1:39">
      <c r="A169" s="143" t="s">
        <v>240</v>
      </c>
      <c r="B169" s="143" t="s">
        <v>361</v>
      </c>
      <c r="C169" s="145">
        <v>45835</v>
      </c>
      <c r="D169" s="143" t="s">
        <v>549</v>
      </c>
      <c r="E169" s="146" t="s">
        <v>441</v>
      </c>
      <c r="F169" s="147">
        <v>-108</v>
      </c>
      <c r="G169" s="147">
        <v>115</v>
      </c>
      <c r="H169" s="148">
        <v>125</v>
      </c>
      <c r="I169" s="143">
        <v>-145</v>
      </c>
      <c r="J169" s="143">
        <v>1</v>
      </c>
      <c r="K169" s="149" t="s">
        <v>311</v>
      </c>
      <c r="L169" s="150">
        <f t="shared" si="26"/>
        <v>-1</v>
      </c>
      <c r="M169" s="150">
        <f t="shared" si="27"/>
        <v>-1</v>
      </c>
      <c r="N169" s="151">
        <f t="shared" si="28"/>
        <v>-4.4444444444444481E-2</v>
      </c>
      <c r="O169" s="151">
        <f t="shared" si="29"/>
        <v>9.0346742972563621E-2</v>
      </c>
      <c r="P169" s="151">
        <f t="shared" si="30"/>
        <v>0.51923076923076927</v>
      </c>
      <c r="Q169" s="151">
        <f t="shared" si="31"/>
        <v>0.42888402625820565</v>
      </c>
      <c r="R169" s="150">
        <f t="shared" si="32"/>
        <v>2.15</v>
      </c>
      <c r="S169" s="150">
        <f t="shared" si="33"/>
        <v>2.25</v>
      </c>
      <c r="T169" s="150">
        <f t="shared" si="34"/>
        <v>1.6896551724137931</v>
      </c>
      <c r="U169" s="152">
        <f t="shared" si="37"/>
        <v>-1</v>
      </c>
      <c r="V169" s="143"/>
      <c r="W169" s="102">
        <f t="shared" si="35"/>
        <v>0</v>
      </c>
      <c r="X169" s="153">
        <f t="shared" si="36"/>
        <v>-1</v>
      </c>
      <c r="Y169" s="102"/>
      <c r="Z169" s="102"/>
      <c r="AA169" s="102"/>
      <c r="AB169" s="102"/>
      <c r="AC169" s="102"/>
      <c r="AD169" s="102"/>
      <c r="AE169" s="102"/>
      <c r="AF169" s="138"/>
      <c r="AG169" s="138"/>
      <c r="AH169" s="102"/>
      <c r="AI169" s="102"/>
      <c r="AJ169" s="102"/>
      <c r="AK169" s="102"/>
      <c r="AL169" s="102"/>
      <c r="AM169" s="102"/>
    </row>
    <row r="170" spans="1:39">
      <c r="A170" s="143" t="s">
        <v>238</v>
      </c>
      <c r="B170" s="143" t="s">
        <v>361</v>
      </c>
      <c r="C170" s="145">
        <v>45835</v>
      </c>
      <c r="D170" s="143" t="s">
        <v>550</v>
      </c>
      <c r="E170" s="146" t="s">
        <v>460</v>
      </c>
      <c r="F170" s="147">
        <v>100</v>
      </c>
      <c r="G170" s="147">
        <v>141</v>
      </c>
      <c r="H170" s="148">
        <v>149</v>
      </c>
      <c r="I170" s="143">
        <v>-175</v>
      </c>
      <c r="J170" s="143">
        <v>1</v>
      </c>
      <c r="K170" s="149" t="s">
        <v>350</v>
      </c>
      <c r="L170" s="150">
        <f t="shared" si="26"/>
        <v>1.4100000000000001</v>
      </c>
      <c r="M170" s="150">
        <f t="shared" si="27"/>
        <v>1.4900000000000002</v>
      </c>
      <c r="N170" s="151">
        <f t="shared" si="28"/>
        <v>-3.2128514056224966E-2</v>
      </c>
      <c r="O170" s="151">
        <f t="shared" si="29"/>
        <v>0.11308476960956743</v>
      </c>
      <c r="P170" s="151">
        <f t="shared" si="30"/>
        <v>0.5</v>
      </c>
      <c r="Q170" s="151">
        <f t="shared" si="31"/>
        <v>0.38691523039043257</v>
      </c>
      <c r="R170" s="150">
        <f t="shared" si="32"/>
        <v>2.41</v>
      </c>
      <c r="S170" s="150">
        <f t="shared" si="33"/>
        <v>2.4900000000000002</v>
      </c>
      <c r="T170" s="150">
        <f t="shared" si="34"/>
        <v>1.5714285714285714</v>
      </c>
      <c r="U170" s="152">
        <f t="shared" si="37"/>
        <v>1.4100000000000001</v>
      </c>
      <c r="V170" s="143"/>
      <c r="W170" s="102">
        <f t="shared" si="35"/>
        <v>1</v>
      </c>
      <c r="X170" s="153">
        <f t="shared" si="36"/>
        <v>1.4100000000000001</v>
      </c>
      <c r="Y170" s="102"/>
      <c r="Z170" s="102"/>
      <c r="AA170" s="102"/>
      <c r="AB170" s="102"/>
      <c r="AC170" s="102"/>
      <c r="AD170" s="102"/>
      <c r="AE170" s="102"/>
      <c r="AF170" s="138"/>
      <c r="AG170" s="138"/>
      <c r="AH170" s="102"/>
      <c r="AI170" s="102"/>
      <c r="AJ170" s="102"/>
      <c r="AK170" s="102"/>
      <c r="AL170" s="102"/>
      <c r="AM170" s="102"/>
    </row>
    <row r="171" spans="1:39">
      <c r="A171" s="143" t="s">
        <v>241</v>
      </c>
      <c r="B171" s="143" t="s">
        <v>361</v>
      </c>
      <c r="C171" s="145">
        <v>45835</v>
      </c>
      <c r="D171" s="143" t="s">
        <v>551</v>
      </c>
      <c r="E171" s="146" t="s">
        <v>411</v>
      </c>
      <c r="F171" s="147">
        <v>-152</v>
      </c>
      <c r="G171" s="147">
        <v>-125</v>
      </c>
      <c r="H171" s="148">
        <v>-139</v>
      </c>
      <c r="I171" s="143">
        <v>120</v>
      </c>
      <c r="J171" s="143">
        <v>1</v>
      </c>
      <c r="K171" s="149" t="s">
        <v>350</v>
      </c>
      <c r="L171" s="150">
        <f t="shared" si="26"/>
        <v>0.8</v>
      </c>
      <c r="M171" s="150">
        <f t="shared" si="27"/>
        <v>0.71942446043165464</v>
      </c>
      <c r="N171" s="151">
        <f t="shared" si="28"/>
        <v>4.6861924686192456E-2</v>
      </c>
      <c r="O171" s="151">
        <f t="shared" si="29"/>
        <v>4.1867701559331505E-2</v>
      </c>
      <c r="P171" s="151">
        <f t="shared" si="30"/>
        <v>0.60317460317460314</v>
      </c>
      <c r="Q171" s="151">
        <f t="shared" si="31"/>
        <v>0.56130690161527164</v>
      </c>
      <c r="R171" s="150">
        <f t="shared" si="32"/>
        <v>1.8</v>
      </c>
      <c r="S171" s="150">
        <f t="shared" si="33"/>
        <v>1.7194244604316546</v>
      </c>
      <c r="T171" s="150">
        <f t="shared" si="34"/>
        <v>2.2000000000000002</v>
      </c>
      <c r="U171" s="152">
        <f t="shared" si="37"/>
        <v>0.8</v>
      </c>
      <c r="V171" s="143"/>
      <c r="W171" s="102">
        <f t="shared" si="35"/>
        <v>1</v>
      </c>
      <c r="X171" s="153">
        <f t="shared" si="36"/>
        <v>0.8</v>
      </c>
      <c r="Y171" s="102"/>
      <c r="Z171" s="102"/>
      <c r="AA171" s="102"/>
      <c r="AB171" s="102"/>
      <c r="AC171" s="102"/>
      <c r="AD171" s="102"/>
      <c r="AE171" s="102"/>
      <c r="AF171" s="138"/>
      <c r="AG171" s="138"/>
      <c r="AH171" s="102"/>
      <c r="AI171" s="102"/>
      <c r="AJ171" s="102"/>
      <c r="AK171" s="102"/>
      <c r="AL171" s="102"/>
      <c r="AM171" s="102"/>
    </row>
    <row r="172" spans="1:39">
      <c r="A172" s="143" t="s">
        <v>240</v>
      </c>
      <c r="B172" s="143" t="s">
        <v>361</v>
      </c>
      <c r="C172" s="145">
        <v>45835</v>
      </c>
      <c r="D172" s="143" t="s">
        <v>552</v>
      </c>
      <c r="E172" s="146" t="s">
        <v>439</v>
      </c>
      <c r="F172" s="147">
        <v>-119</v>
      </c>
      <c r="G172" s="147">
        <v>105</v>
      </c>
      <c r="H172" s="148">
        <v>106</v>
      </c>
      <c r="I172" s="143">
        <v>-122</v>
      </c>
      <c r="J172" s="143">
        <v>1</v>
      </c>
      <c r="K172" s="149" t="s">
        <v>311</v>
      </c>
      <c r="L172" s="150">
        <f t="shared" si="26"/>
        <v>-1</v>
      </c>
      <c r="M172" s="150">
        <f t="shared" si="27"/>
        <v>-1</v>
      </c>
      <c r="N172" s="151">
        <f t="shared" si="28"/>
        <v>-4.8543689320389126E-3</v>
      </c>
      <c r="O172" s="151">
        <f t="shared" si="29"/>
        <v>7.4351698890225359E-2</v>
      </c>
      <c r="P172" s="151">
        <f t="shared" si="30"/>
        <v>0.54337899543378998</v>
      </c>
      <c r="Q172" s="151">
        <f t="shared" si="31"/>
        <v>0.46902729654356462</v>
      </c>
      <c r="R172" s="150">
        <f t="shared" si="32"/>
        <v>2.0499999999999998</v>
      </c>
      <c r="S172" s="150">
        <f t="shared" si="33"/>
        <v>2.06</v>
      </c>
      <c r="T172" s="150">
        <f t="shared" si="34"/>
        <v>1.819672131147541</v>
      </c>
      <c r="U172" s="152">
        <f t="shared" si="37"/>
        <v>-1</v>
      </c>
      <c r="V172" s="143"/>
      <c r="W172" s="102">
        <f t="shared" si="35"/>
        <v>0</v>
      </c>
      <c r="X172" s="153">
        <f t="shared" si="36"/>
        <v>-1</v>
      </c>
      <c r="Y172" s="102"/>
      <c r="Z172" s="102"/>
      <c r="AA172" s="102"/>
      <c r="AB172" s="102"/>
      <c r="AC172" s="102"/>
      <c r="AD172" s="102"/>
      <c r="AE172" s="102"/>
      <c r="AF172" s="138"/>
      <c r="AG172" s="138"/>
      <c r="AH172" s="102"/>
      <c r="AI172" s="102"/>
      <c r="AJ172" s="102"/>
      <c r="AK172" s="102"/>
      <c r="AL172" s="102"/>
      <c r="AM172" s="102"/>
    </row>
    <row r="173" spans="1:39">
      <c r="A173" s="143" t="s">
        <v>238</v>
      </c>
      <c r="B173" s="143" t="s">
        <v>361</v>
      </c>
      <c r="C173" s="145">
        <v>45835</v>
      </c>
      <c r="D173" s="143" t="s">
        <v>553</v>
      </c>
      <c r="E173" s="146" t="s">
        <v>451</v>
      </c>
      <c r="F173" s="147">
        <v>-118</v>
      </c>
      <c r="G173" s="147">
        <v>106</v>
      </c>
      <c r="H173" s="148">
        <v>110</v>
      </c>
      <c r="I173" s="143">
        <v>-128</v>
      </c>
      <c r="J173" s="143">
        <v>1</v>
      </c>
      <c r="K173" s="149" t="s">
        <v>350</v>
      </c>
      <c r="L173" s="150">
        <f t="shared" si="26"/>
        <v>1.06</v>
      </c>
      <c r="M173" s="150">
        <f t="shared" si="27"/>
        <v>1.1000000000000001</v>
      </c>
      <c r="N173" s="151">
        <f t="shared" si="28"/>
        <v>-1.9047619047619115E-2</v>
      </c>
      <c r="O173" s="151">
        <f t="shared" si="29"/>
        <v>8.2347205602091966E-2</v>
      </c>
      <c r="P173" s="151">
        <f t="shared" si="30"/>
        <v>0.54128440366972475</v>
      </c>
      <c r="Q173" s="151">
        <f t="shared" si="31"/>
        <v>0.45893719806763278</v>
      </c>
      <c r="R173" s="150">
        <f t="shared" si="32"/>
        <v>2.06</v>
      </c>
      <c r="S173" s="150">
        <f t="shared" si="33"/>
        <v>2.1</v>
      </c>
      <c r="T173" s="150">
        <f t="shared" si="34"/>
        <v>1.78125</v>
      </c>
      <c r="U173" s="152">
        <f t="shared" si="37"/>
        <v>1.06</v>
      </c>
      <c r="V173" s="143"/>
      <c r="W173" s="102">
        <f t="shared" si="35"/>
        <v>1</v>
      </c>
      <c r="X173" s="153">
        <f t="shared" si="36"/>
        <v>1.06</v>
      </c>
      <c r="Y173" s="102"/>
      <c r="Z173" s="102"/>
      <c r="AA173" s="102"/>
      <c r="AB173" s="102"/>
      <c r="AC173" s="102"/>
      <c r="AD173" s="102"/>
      <c r="AE173" s="102"/>
      <c r="AF173" s="138"/>
      <c r="AG173" s="138"/>
      <c r="AH173" s="102"/>
      <c r="AI173" s="102"/>
      <c r="AJ173" s="102"/>
      <c r="AK173" s="102"/>
      <c r="AL173" s="102"/>
      <c r="AM173" s="102"/>
    </row>
    <row r="174" spans="1:39">
      <c r="A174" s="143" t="s">
        <v>241</v>
      </c>
      <c r="B174" s="143" t="s">
        <v>361</v>
      </c>
      <c r="C174" s="145">
        <v>45835</v>
      </c>
      <c r="D174" s="143" t="s">
        <v>554</v>
      </c>
      <c r="E174" s="146" t="s">
        <v>413</v>
      </c>
      <c r="F174" s="147">
        <v>113</v>
      </c>
      <c r="G174" s="147">
        <v>145</v>
      </c>
      <c r="H174" s="148">
        <v>134</v>
      </c>
      <c r="I174" s="143">
        <v>-154</v>
      </c>
      <c r="J174" s="143">
        <v>1</v>
      </c>
      <c r="K174" s="149" t="s">
        <v>311</v>
      </c>
      <c r="L174" s="150">
        <f t="shared" si="26"/>
        <v>-1</v>
      </c>
      <c r="M174" s="150">
        <f t="shared" si="27"/>
        <v>-1</v>
      </c>
      <c r="N174" s="151">
        <f t="shared" si="28"/>
        <v>4.7008547008547216E-2</v>
      </c>
      <c r="O174" s="151">
        <f t="shared" si="29"/>
        <v>5.6045193180918551E-2</v>
      </c>
      <c r="P174" s="151">
        <f t="shared" si="30"/>
        <v>0.46948356807511737</v>
      </c>
      <c r="Q174" s="151">
        <f t="shared" si="31"/>
        <v>0.41343837489419882</v>
      </c>
      <c r="R174" s="150">
        <f t="shared" si="32"/>
        <v>2.4500000000000002</v>
      </c>
      <c r="S174" s="150">
        <f t="shared" si="33"/>
        <v>2.34</v>
      </c>
      <c r="T174" s="150">
        <f t="shared" si="34"/>
        <v>1.6493506493506493</v>
      </c>
      <c r="U174" s="152">
        <f t="shared" si="37"/>
        <v>-1</v>
      </c>
      <c r="V174" s="143"/>
      <c r="W174" s="102">
        <f t="shared" si="35"/>
        <v>0</v>
      </c>
      <c r="X174" s="153">
        <f t="shared" si="36"/>
        <v>-1</v>
      </c>
      <c r="Y174" s="102"/>
      <c r="Z174" s="102"/>
      <c r="AA174" s="102"/>
      <c r="AB174" s="102"/>
      <c r="AC174" s="102"/>
      <c r="AD174" s="102"/>
      <c r="AE174" s="102"/>
      <c r="AF174" s="138"/>
      <c r="AG174" s="138"/>
      <c r="AH174" s="102"/>
      <c r="AI174" s="102"/>
      <c r="AJ174" s="102"/>
      <c r="AK174" s="102"/>
      <c r="AL174" s="102"/>
      <c r="AM174" s="102"/>
    </row>
    <row r="175" spans="1:39">
      <c r="A175" s="143" t="s">
        <v>238</v>
      </c>
      <c r="B175" s="143" t="s">
        <v>361</v>
      </c>
      <c r="C175" s="145">
        <v>45836</v>
      </c>
      <c r="D175" s="143" t="s">
        <v>555</v>
      </c>
      <c r="E175" s="146" t="s">
        <v>454</v>
      </c>
      <c r="F175" s="147">
        <v>103</v>
      </c>
      <c r="G175" s="147">
        <v>132</v>
      </c>
      <c r="H175" s="148">
        <v>140</v>
      </c>
      <c r="I175" s="143">
        <v>-134</v>
      </c>
      <c r="J175" s="143">
        <v>1</v>
      </c>
      <c r="K175" s="149" t="s">
        <v>351</v>
      </c>
      <c r="L175" s="150">
        <f t="shared" si="26"/>
        <v>0</v>
      </c>
      <c r="M175" s="150">
        <f t="shared" si="27"/>
        <v>0</v>
      </c>
      <c r="N175" s="151">
        <f t="shared" si="28"/>
        <v>-3.3333333333333229E-2</v>
      </c>
      <c r="O175" s="151">
        <f t="shared" si="29"/>
        <v>7.1444530742959311E-2</v>
      </c>
      <c r="P175" s="151">
        <f t="shared" si="30"/>
        <v>0.49261083743842365</v>
      </c>
      <c r="Q175" s="151">
        <f t="shared" si="31"/>
        <v>0.42116630669546434</v>
      </c>
      <c r="R175" s="150">
        <f t="shared" si="32"/>
        <v>2.3200000000000003</v>
      </c>
      <c r="S175" s="150">
        <f t="shared" si="33"/>
        <v>2.4</v>
      </c>
      <c r="T175" s="150">
        <f t="shared" si="34"/>
        <v>1.7462686567164178</v>
      </c>
      <c r="U175" s="152">
        <f t="shared" si="37"/>
        <v>0</v>
      </c>
      <c r="V175" s="143"/>
      <c r="W175" s="102">
        <f t="shared" si="35"/>
        <v>2</v>
      </c>
      <c r="X175" s="153">
        <f t="shared" si="36"/>
        <v>0</v>
      </c>
      <c r="Y175" s="102"/>
      <c r="Z175" s="102"/>
      <c r="AA175" s="102"/>
      <c r="AB175" s="102"/>
      <c r="AC175" s="102"/>
      <c r="AD175" s="102"/>
      <c r="AE175" s="102"/>
      <c r="AF175" s="138"/>
      <c r="AG175" s="138"/>
      <c r="AH175" s="102"/>
      <c r="AI175" s="102"/>
      <c r="AJ175" s="102"/>
      <c r="AK175" s="102"/>
      <c r="AL175" s="102"/>
      <c r="AM175" s="102"/>
    </row>
    <row r="176" spans="1:39">
      <c r="A176" s="143" t="s">
        <v>241</v>
      </c>
      <c r="B176" s="143" t="s">
        <v>361</v>
      </c>
      <c r="C176" s="145">
        <v>45836</v>
      </c>
      <c r="D176" s="143" t="s">
        <v>552</v>
      </c>
      <c r="E176" s="146" t="s">
        <v>465</v>
      </c>
      <c r="F176" s="147">
        <v>-264</v>
      </c>
      <c r="G176" s="147">
        <v>-125</v>
      </c>
      <c r="H176" s="148">
        <v>-147</v>
      </c>
      <c r="I176" s="143">
        <v>129</v>
      </c>
      <c r="J176" s="143">
        <v>1</v>
      </c>
      <c r="K176" s="149" t="s">
        <v>311</v>
      </c>
      <c r="L176" s="150">
        <f t="shared" si="26"/>
        <v>-1</v>
      </c>
      <c r="M176" s="150">
        <f t="shared" si="27"/>
        <v>-1</v>
      </c>
      <c r="N176" s="151">
        <f t="shared" si="28"/>
        <v>7.1255060728745004E-2</v>
      </c>
      <c r="O176" s="151">
        <f t="shared" si="29"/>
        <v>0.14848806249179769</v>
      </c>
      <c r="P176" s="151">
        <f t="shared" si="30"/>
        <v>0.72527472527472525</v>
      </c>
      <c r="Q176" s="151">
        <f t="shared" si="31"/>
        <v>0.57678666278292756</v>
      </c>
      <c r="R176" s="150">
        <f t="shared" si="32"/>
        <v>1.8</v>
      </c>
      <c r="S176" s="150">
        <f t="shared" si="33"/>
        <v>1.6802721088435373</v>
      </c>
      <c r="T176" s="150">
        <f t="shared" si="34"/>
        <v>2.29</v>
      </c>
      <c r="U176" s="152">
        <f t="shared" si="37"/>
        <v>-1</v>
      </c>
      <c r="V176" s="143"/>
      <c r="W176" s="102">
        <f t="shared" si="35"/>
        <v>0</v>
      </c>
      <c r="X176" s="153">
        <f t="shared" si="36"/>
        <v>-1</v>
      </c>
      <c r="Y176" s="102"/>
      <c r="Z176" s="102"/>
      <c r="AA176" s="102"/>
      <c r="AB176" s="102"/>
      <c r="AC176" s="102"/>
      <c r="AD176" s="102"/>
      <c r="AE176" s="102"/>
      <c r="AF176" s="138"/>
      <c r="AG176" s="138"/>
      <c r="AH176" s="102"/>
      <c r="AI176" s="102"/>
      <c r="AJ176" s="102"/>
      <c r="AK176" s="102"/>
      <c r="AL176" s="102"/>
      <c r="AM176" s="102"/>
    </row>
    <row r="177" spans="1:39">
      <c r="A177" s="143" t="s">
        <v>240</v>
      </c>
      <c r="B177" s="143" t="s">
        <v>361</v>
      </c>
      <c r="C177" s="145">
        <v>45836</v>
      </c>
      <c r="D177" s="143" t="s">
        <v>551</v>
      </c>
      <c r="E177" s="146" t="s">
        <v>411</v>
      </c>
      <c r="F177" s="147">
        <v>-164</v>
      </c>
      <c r="G177" s="147">
        <v>105</v>
      </c>
      <c r="H177" s="148">
        <v>104</v>
      </c>
      <c r="I177" s="143">
        <v>-120</v>
      </c>
      <c r="J177" s="143">
        <v>1</v>
      </c>
      <c r="K177" s="149" t="s">
        <v>311</v>
      </c>
      <c r="L177" s="150">
        <f t="shared" si="26"/>
        <v>-1</v>
      </c>
      <c r="M177" s="150">
        <f t="shared" si="27"/>
        <v>-1</v>
      </c>
      <c r="N177" s="151">
        <f t="shared" si="28"/>
        <v>4.901960784313591E-3</v>
      </c>
      <c r="O177" s="151">
        <f t="shared" si="29"/>
        <v>0.14789026234809372</v>
      </c>
      <c r="P177" s="151">
        <f t="shared" si="30"/>
        <v>0.62121212121212122</v>
      </c>
      <c r="Q177" s="151">
        <f t="shared" si="31"/>
        <v>0.4733218588640275</v>
      </c>
      <c r="R177" s="150">
        <f t="shared" si="32"/>
        <v>2.0499999999999998</v>
      </c>
      <c r="S177" s="150">
        <f t="shared" si="33"/>
        <v>2.04</v>
      </c>
      <c r="T177" s="150">
        <f t="shared" si="34"/>
        <v>1.8333333333333335</v>
      </c>
      <c r="U177" s="152">
        <f t="shared" si="37"/>
        <v>-1</v>
      </c>
      <c r="V177" s="143"/>
      <c r="W177" s="102">
        <f t="shared" si="35"/>
        <v>0</v>
      </c>
      <c r="X177" s="153">
        <f t="shared" si="36"/>
        <v>-1</v>
      </c>
      <c r="Y177" s="102"/>
      <c r="Z177" s="102"/>
      <c r="AA177" s="102"/>
      <c r="AB177" s="102"/>
      <c r="AC177" s="102"/>
      <c r="AD177" s="102"/>
      <c r="AE177" s="102"/>
      <c r="AF177" s="138"/>
      <c r="AG177" s="138"/>
      <c r="AH177" s="102"/>
      <c r="AI177" s="102"/>
      <c r="AJ177" s="102"/>
      <c r="AK177" s="102"/>
      <c r="AL177" s="102"/>
      <c r="AM177" s="102"/>
    </row>
    <row r="178" spans="1:39">
      <c r="A178" s="143" t="s">
        <v>238</v>
      </c>
      <c r="B178" s="143" t="s">
        <v>361</v>
      </c>
      <c r="C178" s="145">
        <v>45836</v>
      </c>
      <c r="D178" s="143" t="s">
        <v>556</v>
      </c>
      <c r="E178" s="146" t="s">
        <v>458</v>
      </c>
      <c r="F178" s="147">
        <v>-136</v>
      </c>
      <c r="G178" s="147">
        <v>109</v>
      </c>
      <c r="H178" s="148">
        <v>102</v>
      </c>
      <c r="I178" s="143">
        <v>-118</v>
      </c>
      <c r="J178" s="143">
        <v>1</v>
      </c>
      <c r="K178" s="149" t="s">
        <v>350</v>
      </c>
      <c r="L178" s="150">
        <f t="shared" si="26"/>
        <v>1.0899999999999999</v>
      </c>
      <c r="M178" s="150">
        <f t="shared" si="27"/>
        <v>1.02</v>
      </c>
      <c r="N178" s="151">
        <f t="shared" si="28"/>
        <v>3.4653465346534525E-2</v>
      </c>
      <c r="O178" s="151">
        <f t="shared" si="29"/>
        <v>9.8578137093671303E-2</v>
      </c>
      <c r="P178" s="151">
        <f t="shared" si="30"/>
        <v>0.57627118644067798</v>
      </c>
      <c r="Q178" s="151">
        <f t="shared" si="31"/>
        <v>0.47769304934700668</v>
      </c>
      <c r="R178" s="150">
        <f t="shared" si="32"/>
        <v>2.09</v>
      </c>
      <c r="S178" s="150">
        <f t="shared" si="33"/>
        <v>2.02</v>
      </c>
      <c r="T178" s="150">
        <f t="shared" si="34"/>
        <v>1.847457627118644</v>
      </c>
      <c r="U178" s="152">
        <f t="shared" si="37"/>
        <v>1.0899999999999999</v>
      </c>
      <c r="V178" s="143"/>
      <c r="W178" s="102">
        <f t="shared" si="35"/>
        <v>1</v>
      </c>
      <c r="X178" s="153">
        <f t="shared" si="36"/>
        <v>1.0899999999999999</v>
      </c>
      <c r="Y178" s="102"/>
      <c r="Z178" s="102"/>
      <c r="AA178" s="102"/>
      <c r="AB178" s="102"/>
      <c r="AC178" s="102"/>
      <c r="AD178" s="102"/>
      <c r="AE178" s="102"/>
      <c r="AF178" s="138"/>
      <c r="AG178" s="138"/>
      <c r="AH178" s="102"/>
      <c r="AI178" s="102"/>
      <c r="AJ178" s="102"/>
      <c r="AK178" s="102"/>
      <c r="AL178" s="102"/>
      <c r="AM178" s="102"/>
    </row>
    <row r="179" spans="1:39">
      <c r="A179" s="143" t="s">
        <v>240</v>
      </c>
      <c r="B179" s="143" t="s">
        <v>361</v>
      </c>
      <c r="C179" s="145">
        <v>45837</v>
      </c>
      <c r="D179" s="143" t="s">
        <v>557</v>
      </c>
      <c r="E179" s="146" t="s">
        <v>447</v>
      </c>
      <c r="F179" s="147">
        <v>-104</v>
      </c>
      <c r="G179" s="147">
        <v>167</v>
      </c>
      <c r="H179" s="148">
        <v>131</v>
      </c>
      <c r="I179" s="143">
        <v>-192</v>
      </c>
      <c r="J179" s="143">
        <v>1</v>
      </c>
      <c r="K179" s="149" t="s">
        <v>311</v>
      </c>
      <c r="L179" s="150">
        <f t="shared" si="26"/>
        <v>-1</v>
      </c>
      <c r="M179" s="150">
        <f t="shared" si="27"/>
        <v>-1</v>
      </c>
      <c r="N179" s="151">
        <f t="shared" si="28"/>
        <v>0.15584415584415576</v>
      </c>
      <c r="O179" s="151">
        <f t="shared" si="29"/>
        <v>0.11280587936719166</v>
      </c>
      <c r="P179" s="151">
        <f t="shared" si="30"/>
        <v>0.50980392156862742</v>
      </c>
      <c r="Q179" s="151">
        <f t="shared" si="31"/>
        <v>0.39699804220143575</v>
      </c>
      <c r="R179" s="150">
        <f t="shared" si="32"/>
        <v>2.67</v>
      </c>
      <c r="S179" s="150">
        <f t="shared" si="33"/>
        <v>2.31</v>
      </c>
      <c r="T179" s="150">
        <f t="shared" si="34"/>
        <v>1.5208333333333335</v>
      </c>
      <c r="U179" s="152">
        <f t="shared" si="37"/>
        <v>-1</v>
      </c>
      <c r="V179" s="143"/>
      <c r="W179" s="102">
        <f t="shared" si="35"/>
        <v>0</v>
      </c>
      <c r="X179" s="153">
        <f t="shared" si="36"/>
        <v>-1</v>
      </c>
      <c r="Y179" s="102"/>
      <c r="Z179" s="102"/>
      <c r="AA179" s="102"/>
      <c r="AB179" s="102"/>
      <c r="AC179" s="102"/>
      <c r="AD179" s="102"/>
      <c r="AE179" s="102"/>
      <c r="AF179" s="138"/>
      <c r="AG179" s="138"/>
      <c r="AH179" s="102"/>
      <c r="AI179" s="102"/>
      <c r="AJ179" s="102"/>
      <c r="AK179" s="102"/>
      <c r="AL179" s="102"/>
      <c r="AM179" s="102"/>
    </row>
    <row r="180" spans="1:39">
      <c r="A180" s="143" t="s">
        <v>240</v>
      </c>
      <c r="B180" s="143" t="s">
        <v>361</v>
      </c>
      <c r="C180" s="145">
        <v>45837</v>
      </c>
      <c r="D180" s="143" t="s">
        <v>558</v>
      </c>
      <c r="E180" s="146" t="s">
        <v>492</v>
      </c>
      <c r="F180" s="147">
        <v>158</v>
      </c>
      <c r="G180" s="147">
        <v>227</v>
      </c>
      <c r="H180" s="148">
        <v>236</v>
      </c>
      <c r="I180" s="143">
        <v>-286</v>
      </c>
      <c r="J180" s="143">
        <v>1</v>
      </c>
      <c r="K180" s="149" t="s">
        <v>311</v>
      </c>
      <c r="L180" s="150">
        <f t="shared" si="26"/>
        <v>-1</v>
      </c>
      <c r="M180" s="150">
        <f t="shared" si="27"/>
        <v>-1</v>
      </c>
      <c r="N180" s="151">
        <f t="shared" si="28"/>
        <v>-2.6785714285714232E-2</v>
      </c>
      <c r="O180" s="151">
        <f t="shared" si="29"/>
        <v>0.10102565731710295</v>
      </c>
      <c r="P180" s="151">
        <f t="shared" si="30"/>
        <v>0.38759689922480622</v>
      </c>
      <c r="Q180" s="151">
        <f t="shared" si="31"/>
        <v>0.28657124190770328</v>
      </c>
      <c r="R180" s="150">
        <f t="shared" si="32"/>
        <v>3.27</v>
      </c>
      <c r="S180" s="150">
        <f t="shared" si="33"/>
        <v>3.36</v>
      </c>
      <c r="T180" s="150">
        <f t="shared" si="34"/>
        <v>1.3496503496503496</v>
      </c>
      <c r="U180" s="152">
        <f t="shared" si="37"/>
        <v>-1</v>
      </c>
      <c r="V180" s="143"/>
      <c r="W180" s="102">
        <f t="shared" si="35"/>
        <v>0</v>
      </c>
      <c r="X180" s="153">
        <f t="shared" si="36"/>
        <v>-1</v>
      </c>
      <c r="Y180" s="102"/>
      <c r="Z180" s="102"/>
      <c r="AA180" s="102"/>
      <c r="AB180" s="102"/>
      <c r="AC180" s="102"/>
      <c r="AD180" s="102"/>
      <c r="AE180" s="102"/>
      <c r="AF180" s="138"/>
      <c r="AG180" s="138"/>
      <c r="AH180" s="102"/>
      <c r="AI180" s="102"/>
      <c r="AJ180" s="102"/>
      <c r="AK180" s="102"/>
      <c r="AL180" s="102"/>
      <c r="AM180" s="102"/>
    </row>
    <row r="181" spans="1:39">
      <c r="A181" s="143" t="s">
        <v>238</v>
      </c>
      <c r="B181" s="143" t="s">
        <v>361</v>
      </c>
      <c r="C181" s="145">
        <v>45837</v>
      </c>
      <c r="D181" s="143" t="s">
        <v>550</v>
      </c>
      <c r="E181" s="146" t="s">
        <v>460</v>
      </c>
      <c r="F181" s="147">
        <v>-142</v>
      </c>
      <c r="G181" s="147">
        <v>142</v>
      </c>
      <c r="H181" s="148">
        <v>138</v>
      </c>
      <c r="I181" s="143">
        <v>-159</v>
      </c>
      <c r="J181" s="143">
        <v>1</v>
      </c>
      <c r="K181" s="149" t="s">
        <v>350</v>
      </c>
      <c r="L181" s="150">
        <f t="shared" si="26"/>
        <v>1.42</v>
      </c>
      <c r="M181" s="150">
        <f t="shared" si="27"/>
        <v>1.38</v>
      </c>
      <c r="N181" s="151">
        <f t="shared" si="28"/>
        <v>1.6806722689075616E-2</v>
      </c>
      <c r="O181" s="151">
        <f t="shared" si="29"/>
        <v>0.18045135983358546</v>
      </c>
      <c r="P181" s="151">
        <f t="shared" si="30"/>
        <v>0.58677685950413228</v>
      </c>
      <c r="Q181" s="151">
        <f t="shared" si="31"/>
        <v>0.40632549967054682</v>
      </c>
      <c r="R181" s="150">
        <f t="shared" si="32"/>
        <v>2.42</v>
      </c>
      <c r="S181" s="150">
        <f t="shared" si="33"/>
        <v>2.38</v>
      </c>
      <c r="T181" s="150">
        <f t="shared" si="34"/>
        <v>1.6289308176100628</v>
      </c>
      <c r="U181" s="152">
        <f t="shared" si="37"/>
        <v>1.42</v>
      </c>
      <c r="V181" s="143"/>
      <c r="W181" s="102">
        <f t="shared" si="35"/>
        <v>1</v>
      </c>
      <c r="X181" s="153">
        <f t="shared" si="36"/>
        <v>1.42</v>
      </c>
      <c r="Y181" s="102"/>
      <c r="Z181" s="102"/>
      <c r="AA181" s="102"/>
      <c r="AB181" s="102"/>
      <c r="AC181" s="102"/>
      <c r="AD181" s="102"/>
      <c r="AE181" s="102"/>
      <c r="AF181" s="138"/>
      <c r="AG181" s="138"/>
      <c r="AH181" s="102"/>
      <c r="AI181" s="102"/>
      <c r="AJ181" s="102"/>
      <c r="AK181" s="102"/>
      <c r="AL181" s="102"/>
      <c r="AM181" s="102"/>
    </row>
    <row r="182" spans="1:39">
      <c r="A182" s="143" t="s">
        <v>238</v>
      </c>
      <c r="B182" s="143" t="s">
        <v>361</v>
      </c>
      <c r="C182" s="145">
        <v>45837</v>
      </c>
      <c r="D182" s="143" t="s">
        <v>555</v>
      </c>
      <c r="E182" s="146" t="s">
        <v>559</v>
      </c>
      <c r="F182" s="147">
        <v>-151</v>
      </c>
      <c r="G182" s="147">
        <v>-117</v>
      </c>
      <c r="H182" s="148">
        <v>-118</v>
      </c>
      <c r="I182" s="143">
        <v>102</v>
      </c>
      <c r="J182" s="143">
        <v>1</v>
      </c>
      <c r="K182" s="149" t="s">
        <v>350</v>
      </c>
      <c r="L182" s="150">
        <f t="shared" si="26"/>
        <v>0.85470085470085477</v>
      </c>
      <c r="M182" s="150">
        <f t="shared" si="27"/>
        <v>0.84745762711864403</v>
      </c>
      <c r="N182" s="151">
        <f t="shared" si="28"/>
        <v>3.9206461224809436E-3</v>
      </c>
      <c r="O182" s="151">
        <f t="shared" si="29"/>
        <v>7.9286674845014837E-2</v>
      </c>
      <c r="P182" s="151">
        <f t="shared" si="30"/>
        <v>0.60159362549800799</v>
      </c>
      <c r="Q182" s="151">
        <f t="shared" si="31"/>
        <v>0.52230695065299315</v>
      </c>
      <c r="R182" s="150">
        <f t="shared" si="32"/>
        <v>1.8547008547008548</v>
      </c>
      <c r="S182" s="150">
        <f t="shared" si="33"/>
        <v>1.847457627118644</v>
      </c>
      <c r="T182" s="150">
        <f t="shared" si="34"/>
        <v>2.02</v>
      </c>
      <c r="U182" s="152">
        <f t="shared" si="37"/>
        <v>0.85470085470085477</v>
      </c>
      <c r="V182" s="143"/>
      <c r="W182" s="102">
        <f t="shared" si="35"/>
        <v>1</v>
      </c>
      <c r="X182" s="153">
        <f t="shared" si="36"/>
        <v>0.85470085470085477</v>
      </c>
      <c r="Y182" s="102"/>
      <c r="Z182" s="102"/>
      <c r="AA182" s="102"/>
      <c r="AB182" s="102"/>
      <c r="AC182" s="102"/>
      <c r="AD182" s="102"/>
      <c r="AE182" s="102"/>
      <c r="AF182" s="138"/>
      <c r="AG182" s="138"/>
      <c r="AH182" s="102"/>
      <c r="AI182" s="102"/>
      <c r="AJ182" s="102"/>
      <c r="AK182" s="102"/>
      <c r="AL182" s="102"/>
      <c r="AM182" s="102"/>
    </row>
    <row r="183" spans="1:39">
      <c r="A183" s="143" t="s">
        <v>238</v>
      </c>
      <c r="B183" s="143" t="s">
        <v>361</v>
      </c>
      <c r="C183" s="145">
        <v>45837</v>
      </c>
      <c r="D183" s="143" t="s">
        <v>554</v>
      </c>
      <c r="E183" s="146" t="s">
        <v>413</v>
      </c>
      <c r="F183" s="147">
        <v>-141</v>
      </c>
      <c r="G183" s="147">
        <v>115</v>
      </c>
      <c r="H183" s="148">
        <v>-105</v>
      </c>
      <c r="I183" s="143">
        <v>-109</v>
      </c>
      <c r="J183" s="143">
        <v>1</v>
      </c>
      <c r="K183" s="149" t="s">
        <v>350</v>
      </c>
      <c r="L183" s="150">
        <f t="shared" si="26"/>
        <v>1.1499999999999999</v>
      </c>
      <c r="M183" s="150">
        <f t="shared" si="27"/>
        <v>0.95238095238095233</v>
      </c>
      <c r="N183" s="151">
        <f t="shared" si="28"/>
        <v>0.10121951219512199</v>
      </c>
      <c r="O183" s="151">
        <f t="shared" si="29"/>
        <v>8.9577932693703954E-2</v>
      </c>
      <c r="P183" s="151">
        <f t="shared" si="30"/>
        <v>0.58506224066390045</v>
      </c>
      <c r="Q183" s="151">
        <f t="shared" si="31"/>
        <v>0.49548430797019649</v>
      </c>
      <c r="R183" s="150">
        <f t="shared" si="32"/>
        <v>2.15</v>
      </c>
      <c r="S183" s="150">
        <f t="shared" si="33"/>
        <v>1.9523809523809523</v>
      </c>
      <c r="T183" s="150">
        <f t="shared" si="34"/>
        <v>1.9174311926605505</v>
      </c>
      <c r="U183" s="152">
        <f t="shared" si="37"/>
        <v>1.1499999999999999</v>
      </c>
      <c r="V183" s="143"/>
      <c r="W183" s="102">
        <f t="shared" si="35"/>
        <v>1</v>
      </c>
      <c r="X183" s="153">
        <f t="shared" si="36"/>
        <v>1.1499999999999999</v>
      </c>
      <c r="Y183" s="102"/>
      <c r="Z183" s="102"/>
      <c r="AA183" s="102"/>
      <c r="AB183" s="102"/>
      <c r="AC183" s="102"/>
      <c r="AD183" s="102"/>
      <c r="AE183" s="102"/>
      <c r="AF183" s="138"/>
      <c r="AG183" s="138"/>
      <c r="AH183" s="102"/>
      <c r="AI183" s="102"/>
      <c r="AJ183" s="102"/>
      <c r="AK183" s="102"/>
      <c r="AL183" s="102"/>
      <c r="AM183" s="102"/>
    </row>
    <row r="184" spans="1:39">
      <c r="A184" s="143" t="s">
        <v>240</v>
      </c>
      <c r="B184" s="143" t="s">
        <v>361</v>
      </c>
      <c r="C184" s="145">
        <v>45838</v>
      </c>
      <c r="D184" s="143" t="s">
        <v>560</v>
      </c>
      <c r="E184" s="146" t="s">
        <v>389</v>
      </c>
      <c r="F184" s="147">
        <v>-124</v>
      </c>
      <c r="G184" s="147">
        <v>120</v>
      </c>
      <c r="H184" s="148">
        <v>135</v>
      </c>
      <c r="I184" s="143">
        <v>-159</v>
      </c>
      <c r="J184" s="143">
        <v>1</v>
      </c>
      <c r="K184" s="149" t="s">
        <v>350</v>
      </c>
      <c r="L184" s="150">
        <f t="shared" si="26"/>
        <v>1.2000000000000002</v>
      </c>
      <c r="M184" s="150">
        <f t="shared" si="27"/>
        <v>1.35</v>
      </c>
      <c r="N184" s="151">
        <f t="shared" si="28"/>
        <v>-6.382978723404252E-2</v>
      </c>
      <c r="O184" s="151">
        <f t="shared" si="29"/>
        <v>0.14418235088234305</v>
      </c>
      <c r="P184" s="151">
        <f t="shared" si="30"/>
        <v>0.5535714285714286</v>
      </c>
      <c r="Q184" s="151">
        <f t="shared" si="31"/>
        <v>0.40938907768908556</v>
      </c>
      <c r="R184" s="150">
        <f t="shared" si="32"/>
        <v>2.2000000000000002</v>
      </c>
      <c r="S184" s="150">
        <f t="shared" si="33"/>
        <v>2.35</v>
      </c>
      <c r="T184" s="150">
        <f t="shared" si="34"/>
        <v>1.6289308176100628</v>
      </c>
      <c r="U184" s="152">
        <f t="shared" si="37"/>
        <v>1.2000000000000002</v>
      </c>
      <c r="V184" s="143"/>
      <c r="W184" s="102">
        <f t="shared" si="35"/>
        <v>1</v>
      </c>
      <c r="X184" s="153">
        <f t="shared" si="36"/>
        <v>1.2000000000000002</v>
      </c>
      <c r="Y184" s="102"/>
      <c r="Z184" s="102"/>
      <c r="AA184" s="102"/>
      <c r="AB184" s="102"/>
      <c r="AC184" s="102"/>
      <c r="AD184" s="102"/>
      <c r="AE184" s="102"/>
      <c r="AF184" s="138"/>
      <c r="AG184" s="138"/>
      <c r="AH184" s="102"/>
      <c r="AI184" s="102"/>
      <c r="AJ184" s="102"/>
      <c r="AK184" s="102"/>
      <c r="AL184" s="102"/>
      <c r="AM184" s="102"/>
    </row>
    <row r="185" spans="1:39">
      <c r="A185" s="143" t="s">
        <v>240</v>
      </c>
      <c r="B185" s="143" t="s">
        <v>361</v>
      </c>
      <c r="C185" s="145">
        <v>45838</v>
      </c>
      <c r="D185" s="143" t="s">
        <v>561</v>
      </c>
      <c r="E185" s="146" t="s">
        <v>441</v>
      </c>
      <c r="F185" s="147">
        <v>-117</v>
      </c>
      <c r="G185" s="147">
        <v>130</v>
      </c>
      <c r="H185" s="148">
        <v>114</v>
      </c>
      <c r="I185" s="143">
        <v>-132</v>
      </c>
      <c r="J185" s="143">
        <v>1</v>
      </c>
      <c r="K185" s="149" t="s">
        <v>311</v>
      </c>
      <c r="L185" s="150">
        <f t="shared" si="26"/>
        <v>-1</v>
      </c>
      <c r="M185" s="150">
        <f t="shared" si="27"/>
        <v>-1</v>
      </c>
      <c r="N185" s="151">
        <f t="shared" si="28"/>
        <v>7.4766355140186924E-2</v>
      </c>
      <c r="O185" s="151">
        <f t="shared" si="29"/>
        <v>8.822975119793447E-2</v>
      </c>
      <c r="P185" s="151">
        <f t="shared" si="30"/>
        <v>0.53917050691244239</v>
      </c>
      <c r="Q185" s="151">
        <f t="shared" si="31"/>
        <v>0.45094075571450792</v>
      </c>
      <c r="R185" s="150">
        <f t="shared" si="32"/>
        <v>2.2999999999999998</v>
      </c>
      <c r="S185" s="150">
        <f t="shared" si="33"/>
        <v>2.1399999999999997</v>
      </c>
      <c r="T185" s="150">
        <f t="shared" si="34"/>
        <v>1.7575757575757576</v>
      </c>
      <c r="U185" s="152">
        <f t="shared" si="37"/>
        <v>-1</v>
      </c>
      <c r="V185" s="143"/>
      <c r="W185" s="102">
        <f t="shared" si="35"/>
        <v>0</v>
      </c>
      <c r="X185" s="153">
        <f t="shared" si="36"/>
        <v>-1</v>
      </c>
      <c r="Y185" s="102"/>
      <c r="Z185" s="102"/>
      <c r="AA185" s="102"/>
      <c r="AB185" s="102"/>
      <c r="AC185" s="102"/>
      <c r="AD185" s="102"/>
      <c r="AE185" s="102"/>
      <c r="AF185" s="138"/>
      <c r="AG185" s="138"/>
      <c r="AH185" s="102"/>
      <c r="AI185" s="102"/>
      <c r="AJ185" s="102"/>
      <c r="AK185" s="102"/>
      <c r="AL185" s="102"/>
      <c r="AM185" s="102"/>
    </row>
    <row r="186" spans="1:39">
      <c r="A186" s="143" t="s">
        <v>240</v>
      </c>
      <c r="B186" s="143" t="s">
        <v>361</v>
      </c>
      <c r="C186" s="145">
        <v>45839</v>
      </c>
      <c r="D186" s="143" t="s">
        <v>562</v>
      </c>
      <c r="E186" s="146" t="s">
        <v>433</v>
      </c>
      <c r="F186" s="147">
        <v>-213</v>
      </c>
      <c r="G186" s="147">
        <v>-170</v>
      </c>
      <c r="H186" s="148">
        <v>-192</v>
      </c>
      <c r="I186" s="143">
        <v>163</v>
      </c>
      <c r="J186" s="143">
        <v>1</v>
      </c>
      <c r="K186" s="149" t="s">
        <v>350</v>
      </c>
      <c r="L186" s="150">
        <f t="shared" si="26"/>
        <v>0.58823529411764719</v>
      </c>
      <c r="M186" s="150">
        <f t="shared" si="27"/>
        <v>0.52083333333333348</v>
      </c>
      <c r="N186" s="151">
        <f t="shared" si="28"/>
        <v>4.4319097502014598E-2</v>
      </c>
      <c r="O186" s="151">
        <f t="shared" si="29"/>
        <v>4.6903472813303981E-2</v>
      </c>
      <c r="P186" s="151">
        <f t="shared" si="30"/>
        <v>0.68051118210862616</v>
      </c>
      <c r="Q186" s="151">
        <f t="shared" si="31"/>
        <v>0.63360770929532217</v>
      </c>
      <c r="R186" s="150">
        <f t="shared" si="32"/>
        <v>1.5882352941176472</v>
      </c>
      <c r="S186" s="150">
        <f t="shared" si="33"/>
        <v>1.5208333333333335</v>
      </c>
      <c r="T186" s="150">
        <f t="shared" si="34"/>
        <v>2.63</v>
      </c>
      <c r="U186" s="152">
        <f t="shared" si="37"/>
        <v>0.58823529411764719</v>
      </c>
      <c r="V186" s="143"/>
      <c r="W186" s="102">
        <f t="shared" si="35"/>
        <v>1</v>
      </c>
      <c r="X186" s="153">
        <f t="shared" si="36"/>
        <v>0.58823529411764719</v>
      </c>
      <c r="Y186" s="102"/>
      <c r="Z186" s="102"/>
      <c r="AA186" s="102"/>
      <c r="AB186" s="102"/>
      <c r="AC186" s="102"/>
      <c r="AD186" s="102"/>
      <c r="AE186" s="102"/>
      <c r="AF186" s="138"/>
      <c r="AG186" s="138"/>
      <c r="AH186" s="102"/>
      <c r="AI186" s="102"/>
      <c r="AJ186" s="102"/>
      <c r="AK186" s="102"/>
      <c r="AL186" s="102"/>
      <c r="AM186" s="102"/>
    </row>
    <row r="187" spans="1:39">
      <c r="A187" s="143" t="s">
        <v>238</v>
      </c>
      <c r="B187" s="143" t="s">
        <v>361</v>
      </c>
      <c r="C187" s="145">
        <v>45839</v>
      </c>
      <c r="D187" s="143" t="s">
        <v>563</v>
      </c>
      <c r="E187" s="146" t="s">
        <v>454</v>
      </c>
      <c r="F187" s="147">
        <v>159</v>
      </c>
      <c r="G187" s="147">
        <v>259</v>
      </c>
      <c r="H187" s="148">
        <v>259</v>
      </c>
      <c r="I187" s="143">
        <v>-323</v>
      </c>
      <c r="J187" s="143">
        <v>1</v>
      </c>
      <c r="K187" s="149" t="s">
        <v>311</v>
      </c>
      <c r="L187" s="150">
        <f t="shared" si="26"/>
        <v>-1</v>
      </c>
      <c r="M187" s="150">
        <f t="shared" si="27"/>
        <v>-1</v>
      </c>
      <c r="N187" s="151">
        <f t="shared" si="28"/>
        <v>0</v>
      </c>
      <c r="O187" s="151">
        <f t="shared" si="29"/>
        <v>0.11881363101214354</v>
      </c>
      <c r="P187" s="151">
        <f t="shared" si="30"/>
        <v>0.38610038610038611</v>
      </c>
      <c r="Q187" s="151">
        <f t="shared" si="31"/>
        <v>0.26728675508824257</v>
      </c>
      <c r="R187" s="150">
        <f t="shared" si="32"/>
        <v>3.59</v>
      </c>
      <c r="S187" s="150">
        <f t="shared" si="33"/>
        <v>3.59</v>
      </c>
      <c r="T187" s="150">
        <f t="shared" si="34"/>
        <v>1.3095975232198143</v>
      </c>
      <c r="U187" s="152">
        <f t="shared" si="37"/>
        <v>-1</v>
      </c>
      <c r="V187" s="143"/>
      <c r="W187" s="102">
        <f t="shared" si="35"/>
        <v>0</v>
      </c>
      <c r="X187" s="153">
        <f t="shared" si="36"/>
        <v>-1</v>
      </c>
      <c r="Y187" s="102"/>
      <c r="Z187" s="102"/>
      <c r="AA187" s="102"/>
      <c r="AB187" s="102"/>
      <c r="AC187" s="102"/>
      <c r="AD187" s="102"/>
      <c r="AE187" s="102"/>
      <c r="AF187" s="138"/>
      <c r="AG187" s="138"/>
      <c r="AH187" s="102"/>
      <c r="AI187" s="102"/>
      <c r="AJ187" s="102"/>
      <c r="AK187" s="102"/>
      <c r="AL187" s="102"/>
      <c r="AM187" s="102"/>
    </row>
    <row r="188" spans="1:39">
      <c r="A188" s="143" t="s">
        <v>240</v>
      </c>
      <c r="B188" s="143" t="s">
        <v>361</v>
      </c>
      <c r="C188" s="145">
        <v>45840</v>
      </c>
      <c r="D188" s="143" t="s">
        <v>564</v>
      </c>
      <c r="E188" s="146" t="s">
        <v>397</v>
      </c>
      <c r="F188" s="147">
        <v>116</v>
      </c>
      <c r="G188" s="147">
        <v>170</v>
      </c>
      <c r="H188" s="148">
        <v>169</v>
      </c>
      <c r="I188" s="143">
        <v>-200</v>
      </c>
      <c r="J188" s="143">
        <v>1</v>
      </c>
      <c r="K188" s="149" t="s">
        <v>350</v>
      </c>
      <c r="L188" s="150">
        <f t="shared" si="26"/>
        <v>1.7000000000000002</v>
      </c>
      <c r="M188" s="150">
        <f t="shared" si="27"/>
        <v>1.69</v>
      </c>
      <c r="N188" s="151">
        <f t="shared" si="28"/>
        <v>3.7174721189592477E-3</v>
      </c>
      <c r="O188" s="151">
        <f t="shared" si="29"/>
        <v>0.10496773623265265</v>
      </c>
      <c r="P188" s="151">
        <f t="shared" si="30"/>
        <v>0.46296296296296297</v>
      </c>
      <c r="Q188" s="151">
        <f t="shared" si="31"/>
        <v>0.35799522673031031</v>
      </c>
      <c r="R188" s="150">
        <f t="shared" si="32"/>
        <v>2.7</v>
      </c>
      <c r="S188" s="150">
        <f t="shared" si="33"/>
        <v>2.69</v>
      </c>
      <c r="T188" s="150">
        <f t="shared" si="34"/>
        <v>1.5</v>
      </c>
      <c r="U188" s="152">
        <f t="shared" si="37"/>
        <v>1.7000000000000002</v>
      </c>
      <c r="V188" s="143"/>
      <c r="W188" s="102">
        <f t="shared" si="35"/>
        <v>1</v>
      </c>
      <c r="X188" s="153">
        <f t="shared" si="36"/>
        <v>1.7000000000000002</v>
      </c>
      <c r="Y188" s="102"/>
      <c r="Z188" s="102"/>
      <c r="AA188" s="102"/>
      <c r="AB188" s="102"/>
      <c r="AC188" s="102"/>
      <c r="AD188" s="102"/>
      <c r="AE188" s="102"/>
      <c r="AF188" s="138"/>
      <c r="AG188" s="138"/>
      <c r="AH188" s="102"/>
      <c r="AI188" s="102"/>
      <c r="AJ188" s="102"/>
      <c r="AK188" s="102"/>
      <c r="AL188" s="102"/>
      <c r="AM188" s="102"/>
    </row>
    <row r="189" spans="1:39">
      <c r="A189" s="143" t="s">
        <v>240</v>
      </c>
      <c r="B189" s="143" t="s">
        <v>361</v>
      </c>
      <c r="C189" s="145">
        <v>45840</v>
      </c>
      <c r="D189" s="143" t="s">
        <v>562</v>
      </c>
      <c r="E189" s="146" t="s">
        <v>433</v>
      </c>
      <c r="F189" s="147">
        <v>-198</v>
      </c>
      <c r="G189" s="147">
        <v>-150</v>
      </c>
      <c r="H189" s="148">
        <v>-154</v>
      </c>
      <c r="I189" s="143">
        <v>133</v>
      </c>
      <c r="J189" s="143">
        <v>1</v>
      </c>
      <c r="K189" s="149" t="s">
        <v>350</v>
      </c>
      <c r="L189" s="150">
        <f t="shared" si="26"/>
        <v>0.66666666666666652</v>
      </c>
      <c r="M189" s="150">
        <f t="shared" si="27"/>
        <v>0.64935064935064934</v>
      </c>
      <c r="N189" s="151">
        <f t="shared" si="28"/>
        <v>1.0498687664041901E-2</v>
      </c>
      <c r="O189" s="151">
        <f t="shared" si="29"/>
        <v>7.8906864491998574E-2</v>
      </c>
      <c r="P189" s="151">
        <f t="shared" si="30"/>
        <v>0.66442953020134232</v>
      </c>
      <c r="Q189" s="151">
        <f t="shared" si="31"/>
        <v>0.58552266570934375</v>
      </c>
      <c r="R189" s="150">
        <f t="shared" si="32"/>
        <v>1.6666666666666665</v>
      </c>
      <c r="S189" s="150">
        <f t="shared" si="33"/>
        <v>1.6493506493506493</v>
      </c>
      <c r="T189" s="150">
        <f t="shared" si="34"/>
        <v>2.33</v>
      </c>
      <c r="U189" s="152">
        <f t="shared" si="37"/>
        <v>0.66666666666666652</v>
      </c>
      <c r="V189" s="143"/>
      <c r="W189" s="102">
        <f t="shared" si="35"/>
        <v>1</v>
      </c>
      <c r="X189" s="153">
        <f t="shared" si="36"/>
        <v>0.66666666666666652</v>
      </c>
      <c r="Y189" s="102"/>
      <c r="Z189" s="102"/>
      <c r="AA189" s="102"/>
      <c r="AB189" s="102"/>
      <c r="AC189" s="102"/>
      <c r="AD189" s="102"/>
      <c r="AE189" s="102"/>
      <c r="AF189" s="138"/>
      <c r="AG189" s="138"/>
      <c r="AH189" s="102"/>
      <c r="AI189" s="102"/>
      <c r="AJ189" s="102"/>
      <c r="AK189" s="102"/>
      <c r="AL189" s="102"/>
      <c r="AM189" s="102"/>
    </row>
    <row r="190" spans="1:39">
      <c r="A190" s="143" t="s">
        <v>240</v>
      </c>
      <c r="B190" s="143" t="s">
        <v>361</v>
      </c>
      <c r="C190" s="145">
        <v>45840</v>
      </c>
      <c r="D190" s="143" t="s">
        <v>561</v>
      </c>
      <c r="E190" s="146" t="s">
        <v>441</v>
      </c>
      <c r="F190" s="147">
        <v>106</v>
      </c>
      <c r="G190" s="147">
        <v>157</v>
      </c>
      <c r="H190" s="148">
        <v>145</v>
      </c>
      <c r="I190" s="143">
        <v>-156</v>
      </c>
      <c r="J190" s="143">
        <v>1</v>
      </c>
      <c r="K190" s="149" t="s">
        <v>350</v>
      </c>
      <c r="L190" s="150">
        <f t="shared" si="26"/>
        <v>1.5700000000000003</v>
      </c>
      <c r="M190" s="150">
        <f t="shared" si="27"/>
        <v>1.4500000000000002</v>
      </c>
      <c r="N190" s="151">
        <f t="shared" si="28"/>
        <v>4.8979591836734712E-2</v>
      </c>
      <c r="O190" s="151">
        <f t="shared" si="29"/>
        <v>8.4308720217358968E-2</v>
      </c>
      <c r="P190" s="151">
        <f t="shared" si="30"/>
        <v>0.4854368932038835</v>
      </c>
      <c r="Q190" s="151">
        <f t="shared" si="31"/>
        <v>0.40112817298652453</v>
      </c>
      <c r="R190" s="150">
        <f t="shared" si="32"/>
        <v>2.5700000000000003</v>
      </c>
      <c r="S190" s="150">
        <f t="shared" si="33"/>
        <v>2.4500000000000002</v>
      </c>
      <c r="T190" s="150">
        <f t="shared" si="34"/>
        <v>1.641025641025641</v>
      </c>
      <c r="U190" s="152">
        <f t="shared" si="37"/>
        <v>1.5700000000000003</v>
      </c>
      <c r="V190" s="143"/>
      <c r="W190" s="102">
        <f t="shared" si="35"/>
        <v>1</v>
      </c>
      <c r="X190" s="153">
        <f t="shared" si="36"/>
        <v>1.5700000000000003</v>
      </c>
      <c r="Y190" s="102"/>
      <c r="Z190" s="102"/>
      <c r="AA190" s="102"/>
      <c r="AB190" s="102"/>
      <c r="AC190" s="102"/>
      <c r="AD190" s="102"/>
      <c r="AE190" s="102"/>
      <c r="AF190" s="138"/>
      <c r="AG190" s="138"/>
      <c r="AH190" s="102"/>
      <c r="AI190" s="102"/>
      <c r="AJ190" s="102"/>
      <c r="AK190" s="102"/>
      <c r="AL190" s="102"/>
      <c r="AM190" s="102"/>
    </row>
    <row r="191" spans="1:39">
      <c r="A191" s="143" t="s">
        <v>238</v>
      </c>
      <c r="B191" s="143" t="s">
        <v>361</v>
      </c>
      <c r="C191" s="145">
        <v>45841</v>
      </c>
      <c r="D191" s="143" t="s">
        <v>561</v>
      </c>
      <c r="E191" s="146" t="s">
        <v>441</v>
      </c>
      <c r="F191" s="147">
        <v>-120</v>
      </c>
      <c r="G191" s="147">
        <v>103</v>
      </c>
      <c r="H191" s="148">
        <v>-104</v>
      </c>
      <c r="I191" s="143">
        <v>-110</v>
      </c>
      <c r="J191" s="143">
        <v>1</v>
      </c>
      <c r="K191" s="149" t="s">
        <v>311</v>
      </c>
      <c r="L191" s="150">
        <f t="shared" si="26"/>
        <v>-1</v>
      </c>
      <c r="M191" s="150">
        <f t="shared" si="27"/>
        <v>-1</v>
      </c>
      <c r="N191" s="151">
        <f t="shared" si="28"/>
        <v>3.4901960784313756E-2</v>
      </c>
      <c r="O191" s="151">
        <f t="shared" si="29"/>
        <v>5.2229613205222902E-2</v>
      </c>
      <c r="P191" s="151">
        <f t="shared" si="30"/>
        <v>0.54545454545454541</v>
      </c>
      <c r="Q191" s="151">
        <f t="shared" si="31"/>
        <v>0.49322493224932251</v>
      </c>
      <c r="R191" s="150">
        <f t="shared" si="32"/>
        <v>2.0300000000000002</v>
      </c>
      <c r="S191" s="150">
        <f t="shared" si="33"/>
        <v>1.9615384615384617</v>
      </c>
      <c r="T191" s="150">
        <f t="shared" si="34"/>
        <v>1.9090909090909092</v>
      </c>
      <c r="U191" s="152">
        <f t="shared" si="37"/>
        <v>-1</v>
      </c>
      <c r="V191" s="143"/>
      <c r="W191" s="102">
        <f t="shared" si="35"/>
        <v>0</v>
      </c>
      <c r="X191" s="153">
        <f t="shared" si="36"/>
        <v>-1</v>
      </c>
      <c r="Y191" s="102"/>
      <c r="Z191" s="102"/>
      <c r="AA191" s="102"/>
      <c r="AB191" s="102"/>
      <c r="AC191" s="102"/>
      <c r="AD191" s="102"/>
      <c r="AE191" s="102"/>
      <c r="AF191" s="138"/>
      <c r="AG191" s="138"/>
      <c r="AH191" s="102"/>
      <c r="AI191" s="102"/>
      <c r="AJ191" s="102"/>
      <c r="AK191" s="102"/>
      <c r="AL191" s="102"/>
      <c r="AM191" s="102"/>
    </row>
    <row r="192" spans="1:39">
      <c r="A192" s="143" t="s">
        <v>248</v>
      </c>
      <c r="B192" s="143" t="s">
        <v>361</v>
      </c>
      <c r="C192" s="145">
        <v>45841</v>
      </c>
      <c r="D192" s="143" t="s">
        <v>565</v>
      </c>
      <c r="E192" s="146" t="s">
        <v>421</v>
      </c>
      <c r="F192" s="147">
        <v>-134</v>
      </c>
      <c r="G192" s="147">
        <v>106</v>
      </c>
      <c r="H192" s="148">
        <v>100</v>
      </c>
      <c r="I192" s="143">
        <v>-115</v>
      </c>
      <c r="J192" s="143">
        <v>1</v>
      </c>
      <c r="K192" s="149" t="s">
        <v>350</v>
      </c>
      <c r="L192" s="150">
        <f t="shared" si="26"/>
        <v>1.06</v>
      </c>
      <c r="M192" s="150">
        <f t="shared" si="27"/>
        <v>1</v>
      </c>
      <c r="N192" s="151">
        <f t="shared" si="28"/>
        <v>2.9999999999999985E-2</v>
      </c>
      <c r="O192" s="151">
        <f t="shared" si="29"/>
        <v>8.9503505233842318E-2</v>
      </c>
      <c r="P192" s="151">
        <f t="shared" si="30"/>
        <v>0.57264957264957261</v>
      </c>
      <c r="Q192" s="151">
        <f t="shared" si="31"/>
        <v>0.4831460674157303</v>
      </c>
      <c r="R192" s="150">
        <f t="shared" si="32"/>
        <v>2.06</v>
      </c>
      <c r="S192" s="150">
        <f t="shared" si="33"/>
        <v>2</v>
      </c>
      <c r="T192" s="150">
        <f t="shared" si="34"/>
        <v>1.8695652173913042</v>
      </c>
      <c r="U192" s="152">
        <f t="shared" si="37"/>
        <v>1.06</v>
      </c>
      <c r="V192" s="143"/>
      <c r="W192" s="102">
        <f t="shared" si="35"/>
        <v>1</v>
      </c>
      <c r="X192" s="153">
        <f t="shared" si="36"/>
        <v>1.06</v>
      </c>
      <c r="Y192" s="102"/>
      <c r="Z192" s="102"/>
      <c r="AA192" s="102"/>
      <c r="AB192" s="102"/>
      <c r="AC192" s="102"/>
      <c r="AD192" s="102"/>
      <c r="AE192" s="102"/>
      <c r="AF192" s="138"/>
      <c r="AG192" s="138"/>
      <c r="AH192" s="102"/>
      <c r="AI192" s="102"/>
      <c r="AJ192" s="102"/>
      <c r="AK192" s="102"/>
      <c r="AL192" s="102"/>
      <c r="AM192" s="102"/>
    </row>
    <row r="193" spans="1:39">
      <c r="A193" s="143" t="s">
        <v>238</v>
      </c>
      <c r="B193" s="143" t="s">
        <v>361</v>
      </c>
      <c r="C193" s="145">
        <v>45841</v>
      </c>
      <c r="D193" s="143" t="s">
        <v>566</v>
      </c>
      <c r="E193" s="146" t="s">
        <v>519</v>
      </c>
      <c r="F193" s="147">
        <v>-125</v>
      </c>
      <c r="G193" s="147">
        <v>137</v>
      </c>
      <c r="H193" s="148">
        <v>121</v>
      </c>
      <c r="I193" s="143">
        <v>-141</v>
      </c>
      <c r="J193" s="143">
        <v>1</v>
      </c>
      <c r="K193" s="149" t="s">
        <v>351</v>
      </c>
      <c r="L193" s="150">
        <f t="shared" si="26"/>
        <v>0</v>
      </c>
      <c r="M193" s="150">
        <f t="shared" si="27"/>
        <v>0</v>
      </c>
      <c r="N193" s="151">
        <f t="shared" si="28"/>
        <v>7.2398190045248986E-2</v>
      </c>
      <c r="O193" s="151">
        <f t="shared" si="29"/>
        <v>0.11944328831464424</v>
      </c>
      <c r="P193" s="151">
        <f t="shared" si="30"/>
        <v>0.55555555555555558</v>
      </c>
      <c r="Q193" s="151">
        <f t="shared" si="31"/>
        <v>0.43611226724091134</v>
      </c>
      <c r="R193" s="150">
        <f t="shared" si="32"/>
        <v>2.37</v>
      </c>
      <c r="S193" s="150">
        <f t="shared" si="33"/>
        <v>2.21</v>
      </c>
      <c r="T193" s="150">
        <f t="shared" si="34"/>
        <v>1.7092198581560285</v>
      </c>
      <c r="U193" s="152">
        <f t="shared" si="37"/>
        <v>0</v>
      </c>
      <c r="V193" s="143"/>
      <c r="W193" s="102">
        <f t="shared" si="35"/>
        <v>2</v>
      </c>
      <c r="X193" s="153">
        <f t="shared" si="36"/>
        <v>0</v>
      </c>
      <c r="Y193" s="102"/>
      <c r="Z193" s="102"/>
      <c r="AA193" s="102"/>
      <c r="AB193" s="102"/>
      <c r="AC193" s="102"/>
      <c r="AD193" s="102"/>
      <c r="AE193" s="102"/>
      <c r="AF193" s="138"/>
      <c r="AG193" s="138"/>
      <c r="AH193" s="102"/>
      <c r="AI193" s="102"/>
      <c r="AJ193" s="102"/>
      <c r="AK193" s="102"/>
      <c r="AL193" s="102"/>
      <c r="AM193" s="102"/>
    </row>
    <row r="194" spans="1:39">
      <c r="A194" s="143" t="s">
        <v>243</v>
      </c>
      <c r="B194" s="143" t="s">
        <v>361</v>
      </c>
      <c r="C194" s="145">
        <v>45841</v>
      </c>
      <c r="D194" s="143" t="s">
        <v>567</v>
      </c>
      <c r="E194" s="146" t="s">
        <v>463</v>
      </c>
      <c r="F194" s="147">
        <v>-146</v>
      </c>
      <c r="G194" s="147">
        <v>-120</v>
      </c>
      <c r="H194" s="148">
        <v>-128</v>
      </c>
      <c r="I194" s="143">
        <v>110</v>
      </c>
      <c r="J194" s="143">
        <v>1</v>
      </c>
      <c r="K194" s="149" t="s">
        <v>311</v>
      </c>
      <c r="L194" s="150">
        <f t="shared" si="26"/>
        <v>-1</v>
      </c>
      <c r="M194" s="150">
        <f t="shared" si="27"/>
        <v>-1</v>
      </c>
      <c r="N194" s="151">
        <f t="shared" si="28"/>
        <v>2.9239766081871364E-2</v>
      </c>
      <c r="O194" s="151">
        <f t="shared" si="29"/>
        <v>5.2433133026982492E-2</v>
      </c>
      <c r="P194" s="151">
        <f t="shared" si="30"/>
        <v>0.5934959349593496</v>
      </c>
      <c r="Q194" s="151">
        <f t="shared" si="31"/>
        <v>0.54106280193236711</v>
      </c>
      <c r="R194" s="150">
        <f t="shared" si="32"/>
        <v>1.8333333333333335</v>
      </c>
      <c r="S194" s="150">
        <f t="shared" si="33"/>
        <v>1.78125</v>
      </c>
      <c r="T194" s="150">
        <f t="shared" si="34"/>
        <v>2.1</v>
      </c>
      <c r="U194" s="152">
        <f t="shared" si="37"/>
        <v>-1</v>
      </c>
      <c r="V194" s="143"/>
      <c r="W194" s="102">
        <f t="shared" si="35"/>
        <v>0</v>
      </c>
      <c r="X194" s="153">
        <f t="shared" si="36"/>
        <v>-1</v>
      </c>
      <c r="Y194" s="102"/>
      <c r="Z194" s="102"/>
      <c r="AA194" s="102"/>
      <c r="AB194" s="102"/>
      <c r="AC194" s="102"/>
      <c r="AD194" s="102"/>
      <c r="AE194" s="102"/>
      <c r="AF194" s="138"/>
      <c r="AG194" s="138"/>
      <c r="AH194" s="102"/>
      <c r="AI194" s="102"/>
      <c r="AJ194" s="102"/>
      <c r="AK194" s="102"/>
      <c r="AL194" s="102"/>
      <c r="AM194" s="102"/>
    </row>
    <row r="195" spans="1:39">
      <c r="A195" s="143" t="s">
        <v>243</v>
      </c>
      <c r="B195" s="143" t="s">
        <v>361</v>
      </c>
      <c r="C195" s="145">
        <v>45842</v>
      </c>
      <c r="D195" s="143" t="s">
        <v>568</v>
      </c>
      <c r="E195" s="146" t="s">
        <v>454</v>
      </c>
      <c r="F195" s="147">
        <v>-246</v>
      </c>
      <c r="G195" s="147">
        <v>-124</v>
      </c>
      <c r="H195" s="148">
        <v>-127</v>
      </c>
      <c r="I195" s="143">
        <v>110</v>
      </c>
      <c r="J195" s="143">
        <v>1</v>
      </c>
      <c r="K195" s="149" t="s">
        <v>351</v>
      </c>
      <c r="L195" s="150">
        <f t="shared" si="26"/>
        <v>0</v>
      </c>
      <c r="M195" s="150">
        <f t="shared" si="27"/>
        <v>0</v>
      </c>
      <c r="N195" s="151">
        <f t="shared" si="28"/>
        <v>1.0657950831320139E-2</v>
      </c>
      <c r="O195" s="151">
        <f t="shared" si="29"/>
        <v>0.17077605575921351</v>
      </c>
      <c r="P195" s="151">
        <f t="shared" si="30"/>
        <v>0.71098265895953761</v>
      </c>
      <c r="Q195" s="151">
        <f t="shared" si="31"/>
        <v>0.5402066032003241</v>
      </c>
      <c r="R195" s="150">
        <f t="shared" si="32"/>
        <v>1.8064516129032258</v>
      </c>
      <c r="S195" s="150">
        <f t="shared" si="33"/>
        <v>1.7874015748031495</v>
      </c>
      <c r="T195" s="150">
        <f t="shared" si="34"/>
        <v>2.1</v>
      </c>
      <c r="U195" s="152">
        <f t="shared" si="37"/>
        <v>0</v>
      </c>
      <c r="V195" s="143"/>
      <c r="W195" s="102">
        <f t="shared" si="35"/>
        <v>2</v>
      </c>
      <c r="X195" s="153">
        <f t="shared" si="36"/>
        <v>0</v>
      </c>
      <c r="Y195" s="102"/>
      <c r="Z195" s="102"/>
      <c r="AA195" s="102"/>
      <c r="AB195" s="102"/>
      <c r="AC195" s="102"/>
      <c r="AD195" s="102"/>
      <c r="AE195" s="102"/>
      <c r="AF195" s="138"/>
      <c r="AG195" s="138"/>
      <c r="AH195" s="102"/>
      <c r="AI195" s="102"/>
      <c r="AJ195" s="102"/>
      <c r="AK195" s="102"/>
      <c r="AL195" s="102"/>
      <c r="AM195" s="102"/>
    </row>
    <row r="196" spans="1:39">
      <c r="A196" s="143" t="s">
        <v>240</v>
      </c>
      <c r="B196" s="143" t="s">
        <v>361</v>
      </c>
      <c r="C196" s="145">
        <v>45842</v>
      </c>
      <c r="D196" s="143" t="s">
        <v>569</v>
      </c>
      <c r="E196" s="146" t="s">
        <v>445</v>
      </c>
      <c r="F196" s="147">
        <v>-139</v>
      </c>
      <c r="G196" s="147">
        <v>128</v>
      </c>
      <c r="H196" s="148">
        <v>125</v>
      </c>
      <c r="I196" s="143">
        <v>-145</v>
      </c>
      <c r="J196" s="143">
        <v>1</v>
      </c>
      <c r="K196" s="149" t="s">
        <v>350</v>
      </c>
      <c r="L196" s="150">
        <f t="shared" si="26"/>
        <v>1.2800000000000002</v>
      </c>
      <c r="M196" s="150">
        <f t="shared" si="27"/>
        <v>1.25</v>
      </c>
      <c r="N196" s="151">
        <f t="shared" si="28"/>
        <v>1.3333333333333334E-2</v>
      </c>
      <c r="O196" s="151">
        <f t="shared" si="29"/>
        <v>0.15270593190079018</v>
      </c>
      <c r="P196" s="151">
        <f t="shared" si="30"/>
        <v>0.58158995815899583</v>
      </c>
      <c r="Q196" s="151">
        <f t="shared" si="31"/>
        <v>0.42888402625820565</v>
      </c>
      <c r="R196" s="150">
        <f t="shared" si="32"/>
        <v>2.2800000000000002</v>
      </c>
      <c r="S196" s="150">
        <f t="shared" si="33"/>
        <v>2.25</v>
      </c>
      <c r="T196" s="150">
        <f t="shared" si="34"/>
        <v>1.6896551724137931</v>
      </c>
      <c r="U196" s="152">
        <f t="shared" si="37"/>
        <v>1.2800000000000002</v>
      </c>
      <c r="V196" s="143"/>
      <c r="W196" s="102">
        <f t="shared" si="35"/>
        <v>1</v>
      </c>
      <c r="X196" s="153">
        <f t="shared" si="36"/>
        <v>1.2800000000000002</v>
      </c>
      <c r="Y196" s="102"/>
      <c r="Z196" s="102"/>
      <c r="AA196" s="102"/>
      <c r="AB196" s="102"/>
      <c r="AC196" s="102"/>
      <c r="AD196" s="102"/>
      <c r="AE196" s="102"/>
      <c r="AF196" s="138"/>
      <c r="AG196" s="138"/>
      <c r="AH196" s="102"/>
      <c r="AI196" s="102"/>
      <c r="AJ196" s="102"/>
      <c r="AK196" s="102"/>
      <c r="AL196" s="102"/>
      <c r="AM196" s="102"/>
    </row>
    <row r="197" spans="1:39">
      <c r="A197" s="143" t="s">
        <v>245</v>
      </c>
      <c r="B197" s="143" t="s">
        <v>361</v>
      </c>
      <c r="C197" s="145">
        <v>45842</v>
      </c>
      <c r="D197" s="143" t="s">
        <v>570</v>
      </c>
      <c r="E197" s="146" t="s">
        <v>471</v>
      </c>
      <c r="F197" s="147">
        <v>-201</v>
      </c>
      <c r="G197" s="147">
        <v>-120</v>
      </c>
      <c r="H197" s="148">
        <v>-119</v>
      </c>
      <c r="I197" s="143">
        <v>104</v>
      </c>
      <c r="J197" s="143">
        <v>1</v>
      </c>
      <c r="K197" s="149" t="s">
        <v>350</v>
      </c>
      <c r="L197" s="150">
        <f t="shared" si="26"/>
        <v>0.83333333333333348</v>
      </c>
      <c r="M197" s="150">
        <f t="shared" si="27"/>
        <v>0.84033613445378164</v>
      </c>
      <c r="N197" s="151">
        <f t="shared" si="28"/>
        <v>-3.8051750380518339E-3</v>
      </c>
      <c r="O197" s="151">
        <f t="shared" si="29"/>
        <v>0.14204643565108688</v>
      </c>
      <c r="P197" s="151">
        <f t="shared" si="30"/>
        <v>0.66777408637873759</v>
      </c>
      <c r="Q197" s="151">
        <f t="shared" si="31"/>
        <v>0.52572765072765071</v>
      </c>
      <c r="R197" s="150">
        <f t="shared" si="32"/>
        <v>1.8333333333333335</v>
      </c>
      <c r="S197" s="150">
        <f t="shared" si="33"/>
        <v>1.8403361344537816</v>
      </c>
      <c r="T197" s="150">
        <f t="shared" si="34"/>
        <v>2.04</v>
      </c>
      <c r="U197" s="152">
        <f t="shared" si="37"/>
        <v>0.83333333333333348</v>
      </c>
      <c r="V197" s="143"/>
      <c r="W197" s="102">
        <f t="shared" si="35"/>
        <v>1</v>
      </c>
      <c r="X197" s="153">
        <f t="shared" si="36"/>
        <v>0.83333333333333348</v>
      </c>
      <c r="Y197" s="102"/>
      <c r="Z197" s="102"/>
      <c r="AA197" s="102"/>
      <c r="AB197" s="102"/>
      <c r="AC197" s="102"/>
      <c r="AD197" s="102"/>
      <c r="AE197" s="102"/>
      <c r="AF197" s="138"/>
      <c r="AG197" s="138"/>
      <c r="AH197" s="102"/>
      <c r="AI197" s="102"/>
      <c r="AJ197" s="102"/>
      <c r="AK197" s="102"/>
      <c r="AL197" s="102"/>
      <c r="AM197" s="102"/>
    </row>
    <row r="198" spans="1:39">
      <c r="A198" s="143" t="s">
        <v>240</v>
      </c>
      <c r="B198" s="143" t="s">
        <v>361</v>
      </c>
      <c r="C198" s="145">
        <v>45842</v>
      </c>
      <c r="D198" s="143" t="s">
        <v>571</v>
      </c>
      <c r="E198" s="146" t="s">
        <v>421</v>
      </c>
      <c r="F198" s="147">
        <v>-104</v>
      </c>
      <c r="G198" s="147">
        <v>140</v>
      </c>
      <c r="H198" s="148">
        <v>114</v>
      </c>
      <c r="I198" s="143">
        <v>-132</v>
      </c>
      <c r="J198" s="143">
        <v>1</v>
      </c>
      <c r="K198" s="149" t="s">
        <v>351</v>
      </c>
      <c r="L198" s="150">
        <f t="shared" si="26"/>
        <v>0</v>
      </c>
      <c r="M198" s="150">
        <f t="shared" si="27"/>
        <v>0</v>
      </c>
      <c r="N198" s="151">
        <f t="shared" si="28"/>
        <v>0.12149532710280381</v>
      </c>
      <c r="O198" s="151">
        <f t="shared" si="29"/>
        <v>5.8863165854119492E-2</v>
      </c>
      <c r="P198" s="151">
        <f t="shared" si="30"/>
        <v>0.50980392156862742</v>
      </c>
      <c r="Q198" s="151">
        <f t="shared" si="31"/>
        <v>0.45094075571450792</v>
      </c>
      <c r="R198" s="150">
        <f t="shared" si="32"/>
        <v>2.4</v>
      </c>
      <c r="S198" s="150">
        <f t="shared" si="33"/>
        <v>2.1399999999999997</v>
      </c>
      <c r="T198" s="150">
        <f t="shared" si="34"/>
        <v>1.7575757575757576</v>
      </c>
      <c r="U198" s="152">
        <f t="shared" si="37"/>
        <v>0</v>
      </c>
      <c r="V198" s="143"/>
      <c r="W198" s="102">
        <f t="shared" si="35"/>
        <v>2</v>
      </c>
      <c r="X198" s="153">
        <f t="shared" si="36"/>
        <v>0</v>
      </c>
      <c r="Y198" s="102"/>
      <c r="Z198" s="102"/>
      <c r="AA198" s="102"/>
      <c r="AB198" s="102"/>
      <c r="AC198" s="102"/>
      <c r="AD198" s="102"/>
      <c r="AE198" s="102"/>
      <c r="AF198" s="138"/>
      <c r="AG198" s="138"/>
      <c r="AH198" s="102"/>
      <c r="AI198" s="102"/>
      <c r="AJ198" s="102"/>
      <c r="AK198" s="102"/>
      <c r="AL198" s="102"/>
      <c r="AM198" s="102"/>
    </row>
    <row r="199" spans="1:39">
      <c r="A199" s="143" t="s">
        <v>240</v>
      </c>
      <c r="B199" s="143" t="s">
        <v>361</v>
      </c>
      <c r="C199" s="145">
        <v>45842</v>
      </c>
      <c r="D199" s="143" t="s">
        <v>572</v>
      </c>
      <c r="E199" s="146" t="s">
        <v>519</v>
      </c>
      <c r="F199" s="147">
        <v>-139</v>
      </c>
      <c r="G199" s="147">
        <v>-105</v>
      </c>
      <c r="H199" s="148">
        <v>-119</v>
      </c>
      <c r="I199" s="143">
        <v>104</v>
      </c>
      <c r="J199" s="143">
        <v>1</v>
      </c>
      <c r="K199" s="149" t="s">
        <v>351</v>
      </c>
      <c r="L199" s="150">
        <f t="shared" si="26"/>
        <v>0</v>
      </c>
      <c r="M199" s="150">
        <f t="shared" si="27"/>
        <v>0</v>
      </c>
      <c r="N199" s="151">
        <f t="shared" si="28"/>
        <v>6.0882800608827815E-2</v>
      </c>
      <c r="O199" s="151">
        <f t="shared" si="29"/>
        <v>5.5862307431345126E-2</v>
      </c>
      <c r="P199" s="151">
        <f t="shared" si="30"/>
        <v>0.58158995815899583</v>
      </c>
      <c r="Q199" s="151">
        <f t="shared" si="31"/>
        <v>0.52572765072765071</v>
      </c>
      <c r="R199" s="150">
        <f t="shared" si="32"/>
        <v>1.9523809523809523</v>
      </c>
      <c r="S199" s="150">
        <f t="shared" si="33"/>
        <v>1.8403361344537816</v>
      </c>
      <c r="T199" s="150">
        <f t="shared" si="34"/>
        <v>2.04</v>
      </c>
      <c r="U199" s="152">
        <f t="shared" si="37"/>
        <v>0</v>
      </c>
      <c r="V199" s="143"/>
      <c r="W199" s="102">
        <f t="shared" si="35"/>
        <v>2</v>
      </c>
      <c r="X199" s="153">
        <f t="shared" si="36"/>
        <v>0</v>
      </c>
      <c r="Y199" s="102"/>
      <c r="Z199" s="102"/>
      <c r="AA199" s="102"/>
      <c r="AB199" s="102"/>
      <c r="AC199" s="102"/>
      <c r="AD199" s="102"/>
      <c r="AE199" s="102"/>
      <c r="AF199" s="138"/>
      <c r="AG199" s="138"/>
      <c r="AH199" s="102"/>
      <c r="AI199" s="102"/>
      <c r="AJ199" s="102"/>
      <c r="AK199" s="102"/>
      <c r="AL199" s="102"/>
      <c r="AM199" s="102"/>
    </row>
    <row r="200" spans="1:39">
      <c r="A200" s="143" t="s">
        <v>240</v>
      </c>
      <c r="B200" s="143" t="s">
        <v>361</v>
      </c>
      <c r="C200" s="145">
        <v>45842</v>
      </c>
      <c r="D200" s="143" t="s">
        <v>573</v>
      </c>
      <c r="E200" s="146" t="s">
        <v>436</v>
      </c>
      <c r="F200" s="147">
        <v>-118</v>
      </c>
      <c r="G200" s="147">
        <v>110</v>
      </c>
      <c r="H200" s="148">
        <v>-101</v>
      </c>
      <c r="I200" s="143">
        <v>-114</v>
      </c>
      <c r="J200" s="143">
        <v>1</v>
      </c>
      <c r="K200" s="149" t="s">
        <v>311</v>
      </c>
      <c r="L200" s="150">
        <f t="shared" si="26"/>
        <v>-1</v>
      </c>
      <c r="M200" s="150">
        <f t="shared" si="27"/>
        <v>-1</v>
      </c>
      <c r="N200" s="151">
        <f t="shared" si="28"/>
        <v>5.5223880597015079E-2</v>
      </c>
      <c r="O200" s="151">
        <f t="shared" si="29"/>
        <v>5.58819602633287E-2</v>
      </c>
      <c r="P200" s="151">
        <f t="shared" si="30"/>
        <v>0.54128440366972475</v>
      </c>
      <c r="Q200" s="151">
        <f t="shared" si="31"/>
        <v>0.48540244340639604</v>
      </c>
      <c r="R200" s="150">
        <f t="shared" si="32"/>
        <v>2.1</v>
      </c>
      <c r="S200" s="150">
        <f t="shared" si="33"/>
        <v>1.9900990099009901</v>
      </c>
      <c r="T200" s="150">
        <f t="shared" si="34"/>
        <v>1.8771929824561404</v>
      </c>
      <c r="U200" s="152">
        <f t="shared" si="37"/>
        <v>-1</v>
      </c>
      <c r="V200" s="143"/>
      <c r="W200" s="102">
        <f t="shared" si="35"/>
        <v>0</v>
      </c>
      <c r="X200" s="153">
        <f t="shared" si="36"/>
        <v>-1</v>
      </c>
      <c r="Y200" s="102"/>
      <c r="Z200" s="102"/>
      <c r="AA200" s="102"/>
      <c r="AB200" s="102"/>
      <c r="AC200" s="102"/>
      <c r="AD200" s="102"/>
      <c r="AE200" s="102"/>
      <c r="AF200" s="138"/>
      <c r="AG200" s="138"/>
      <c r="AH200" s="102"/>
      <c r="AI200" s="102"/>
      <c r="AJ200" s="102"/>
      <c r="AK200" s="102"/>
      <c r="AL200" s="102"/>
      <c r="AM200" s="102"/>
    </row>
    <row r="201" spans="1:39">
      <c r="A201" s="143" t="s">
        <v>238</v>
      </c>
      <c r="B201" s="143" t="s">
        <v>361</v>
      </c>
      <c r="C201" s="145">
        <v>45842</v>
      </c>
      <c r="D201" s="143" t="s">
        <v>574</v>
      </c>
      <c r="E201" s="146" t="s">
        <v>411</v>
      </c>
      <c r="F201" s="147">
        <v>-112</v>
      </c>
      <c r="G201" s="147">
        <v>118</v>
      </c>
      <c r="H201" s="148">
        <v>121</v>
      </c>
      <c r="I201" s="143">
        <v>-141</v>
      </c>
      <c r="J201" s="143">
        <v>1</v>
      </c>
      <c r="K201" s="149" t="s">
        <v>311</v>
      </c>
      <c r="L201" s="150">
        <f t="shared" si="26"/>
        <v>-1</v>
      </c>
      <c r="M201" s="150">
        <f t="shared" si="27"/>
        <v>-1</v>
      </c>
      <c r="N201" s="151">
        <f t="shared" si="28"/>
        <v>-1.3574660633484332E-2</v>
      </c>
      <c r="O201" s="151">
        <f t="shared" si="29"/>
        <v>9.218961955154148E-2</v>
      </c>
      <c r="P201" s="151">
        <f t="shared" si="30"/>
        <v>0.52830188679245282</v>
      </c>
      <c r="Q201" s="151">
        <f t="shared" si="31"/>
        <v>0.43611226724091134</v>
      </c>
      <c r="R201" s="150">
        <f t="shared" si="32"/>
        <v>2.1799999999999997</v>
      </c>
      <c r="S201" s="150">
        <f t="shared" si="33"/>
        <v>2.21</v>
      </c>
      <c r="T201" s="150">
        <f t="shared" si="34"/>
        <v>1.7092198581560285</v>
      </c>
      <c r="U201" s="152">
        <f t="shared" si="37"/>
        <v>-1</v>
      </c>
      <c r="V201" s="143"/>
      <c r="W201" s="102">
        <f t="shared" si="35"/>
        <v>0</v>
      </c>
      <c r="X201" s="153">
        <f t="shared" si="36"/>
        <v>-1</v>
      </c>
      <c r="Y201" s="102"/>
      <c r="Z201" s="102"/>
      <c r="AA201" s="102"/>
      <c r="AB201" s="102"/>
      <c r="AC201" s="102"/>
      <c r="AD201" s="102"/>
      <c r="AE201" s="102"/>
      <c r="AF201" s="138"/>
      <c r="AG201" s="138"/>
      <c r="AH201" s="102"/>
      <c r="AI201" s="102"/>
      <c r="AJ201" s="102"/>
      <c r="AK201" s="102"/>
      <c r="AL201" s="102"/>
      <c r="AM201" s="102"/>
    </row>
    <row r="202" spans="1:39">
      <c r="A202" s="143" t="s">
        <v>241</v>
      </c>
      <c r="B202" s="143" t="s">
        <v>361</v>
      </c>
      <c r="C202" s="145">
        <v>45842</v>
      </c>
      <c r="D202" s="143" t="s">
        <v>575</v>
      </c>
      <c r="E202" s="146" t="s">
        <v>458</v>
      </c>
      <c r="F202" s="147">
        <v>-136</v>
      </c>
      <c r="G202" s="147">
        <v>-110</v>
      </c>
      <c r="H202" s="148">
        <v>-101</v>
      </c>
      <c r="I202" s="143">
        <v>-114</v>
      </c>
      <c r="J202" s="143">
        <v>1</v>
      </c>
      <c r="K202" s="149" t="s">
        <v>311</v>
      </c>
      <c r="L202" s="150">
        <f t="shared" ref="L202:L265" si="38">IF(K202="","",IF(K202="W",R202*J202-J202,IF(K202="L",-J202,0)))</f>
        <v>-1</v>
      </c>
      <c r="M202" s="150">
        <f t="shared" ref="M202:M265" si="39">IF(K202="","",IF(K202="W",S202*J202-J202,IF(K202="L",-J202,0)))</f>
        <v>-1</v>
      </c>
      <c r="N202" s="151">
        <f t="shared" ref="N202:N265" si="40">IFERROR((1/S202-1/R202)/(1/R202),"")</f>
        <v>-4.0705563093622762E-2</v>
      </c>
      <c r="O202" s="151">
        <f t="shared" ref="O202:O265" si="41">IFERROR(IF(Q202="","",P202 - Q202),"")</f>
        <v>9.086874303428194E-2</v>
      </c>
      <c r="P202" s="151">
        <f t="shared" ref="P202:P265" si="42">IF(F202="","",IF(F202 &lt; 0, -F202 / (-F202 + 100), 100 / (F202 + 100)))</f>
        <v>0.57627118644067798</v>
      </c>
      <c r="Q202" s="151">
        <f t="shared" ref="Q202:Q265" si="43">IFERROR((1/S202) / ((1/S202) + (1/T202)),"")</f>
        <v>0.48540244340639604</v>
      </c>
      <c r="R202" s="150">
        <f t="shared" ref="R202:R265" si="44">IFERROR(IF(G202&gt;0, G202/100 + 1, 100/ABS(G202) + 1),"")</f>
        <v>1.9090909090909092</v>
      </c>
      <c r="S202" s="150">
        <f t="shared" ref="S202:S265" si="45">IFERROR(IF(H202&gt;0, H202/100 + 1, 100/ABS(H202) + 1),"")</f>
        <v>1.9900990099009901</v>
      </c>
      <c r="T202" s="150">
        <f t="shared" ref="T202:T265" si="46">IFERROR(IF(I202&gt;0, I202/100 + 1, 100/ABS(I202) + 1),"")</f>
        <v>1.8771929824561404</v>
      </c>
      <c r="U202" s="152">
        <f t="shared" si="37"/>
        <v>-1</v>
      </c>
      <c r="V202" s="143"/>
      <c r="W202" s="102">
        <f t="shared" ref="W202:W265" si="47">IF(K202="W",1,IF(K202="P",2,0))</f>
        <v>0</v>
      </c>
      <c r="X202" s="153">
        <f t="shared" ref="X202:X265" si="48">IF(B202=$D$3,U202,"")</f>
        <v>-1</v>
      </c>
      <c r="Y202" s="102"/>
      <c r="Z202" s="102"/>
      <c r="AA202" s="102"/>
      <c r="AB202" s="102"/>
      <c r="AC202" s="102"/>
      <c r="AD202" s="102"/>
      <c r="AE202" s="102"/>
      <c r="AF202" s="138"/>
      <c r="AG202" s="138"/>
      <c r="AH202" s="102"/>
      <c r="AI202" s="102"/>
      <c r="AJ202" s="102"/>
      <c r="AK202" s="102"/>
      <c r="AL202" s="102"/>
      <c r="AM202" s="102"/>
    </row>
    <row r="203" spans="1:39">
      <c r="A203" s="143" t="s">
        <v>240</v>
      </c>
      <c r="B203" s="143" t="s">
        <v>361</v>
      </c>
      <c r="C203" s="145">
        <v>45843</v>
      </c>
      <c r="D203" s="143" t="s">
        <v>576</v>
      </c>
      <c r="E203" s="146" t="s">
        <v>389</v>
      </c>
      <c r="F203" s="147">
        <v>-180</v>
      </c>
      <c r="G203" s="147">
        <v>-130</v>
      </c>
      <c r="H203" s="148">
        <v>-130</v>
      </c>
      <c r="I203" s="143">
        <v>114</v>
      </c>
      <c r="J203" s="143">
        <v>1</v>
      </c>
      <c r="K203" s="149" t="s">
        <v>350</v>
      </c>
      <c r="L203" s="150">
        <f t="shared" si="38"/>
        <v>0.76923076923076916</v>
      </c>
      <c r="M203" s="150">
        <f t="shared" si="39"/>
        <v>0.76923076923076916</v>
      </c>
      <c r="N203" s="151">
        <f t="shared" si="40"/>
        <v>0</v>
      </c>
      <c r="O203" s="151">
        <f t="shared" si="41"/>
        <v>9.5434868162140973E-2</v>
      </c>
      <c r="P203" s="151">
        <f t="shared" si="42"/>
        <v>0.6428571428571429</v>
      </c>
      <c r="Q203" s="151">
        <f t="shared" si="43"/>
        <v>0.54742227469500193</v>
      </c>
      <c r="R203" s="150">
        <f t="shared" si="44"/>
        <v>1.7692307692307692</v>
      </c>
      <c r="S203" s="150">
        <f t="shared" si="45"/>
        <v>1.7692307692307692</v>
      </c>
      <c r="T203" s="150">
        <f t="shared" si="46"/>
        <v>2.1399999999999997</v>
      </c>
      <c r="U203" s="152">
        <f t="shared" si="37"/>
        <v>0.76923076923076916</v>
      </c>
      <c r="V203" s="143"/>
      <c r="W203" s="102">
        <f t="shared" si="47"/>
        <v>1</v>
      </c>
      <c r="X203" s="153">
        <f t="shared" si="48"/>
        <v>0.76923076923076916</v>
      </c>
      <c r="Y203" s="102"/>
      <c r="Z203" s="102"/>
      <c r="AA203" s="102"/>
      <c r="AB203" s="102"/>
      <c r="AC203" s="102"/>
      <c r="AD203" s="102"/>
      <c r="AE203" s="102"/>
      <c r="AF203" s="138"/>
      <c r="AG203" s="138"/>
      <c r="AH203" s="102"/>
      <c r="AI203" s="102"/>
      <c r="AJ203" s="102"/>
      <c r="AK203" s="102"/>
      <c r="AL203" s="102"/>
      <c r="AM203" s="102"/>
    </row>
    <row r="204" spans="1:39">
      <c r="A204" s="143" t="s">
        <v>238</v>
      </c>
      <c r="B204" s="143" t="s">
        <v>361</v>
      </c>
      <c r="C204" s="145">
        <v>45843</v>
      </c>
      <c r="D204" s="143" t="s">
        <v>577</v>
      </c>
      <c r="E204" s="146" t="s">
        <v>397</v>
      </c>
      <c r="F204" s="147">
        <v>110</v>
      </c>
      <c r="G204" s="147">
        <v>173</v>
      </c>
      <c r="H204" s="148">
        <v>179</v>
      </c>
      <c r="I204" s="143">
        <v>-213</v>
      </c>
      <c r="J204" s="143">
        <v>1</v>
      </c>
      <c r="K204" s="149" t="s">
        <v>311</v>
      </c>
      <c r="L204" s="150">
        <f t="shared" si="38"/>
        <v>-1</v>
      </c>
      <c r="M204" s="150">
        <f t="shared" si="39"/>
        <v>-1</v>
      </c>
      <c r="N204" s="151">
        <f t="shared" si="40"/>
        <v>-2.1505376344085968E-2</v>
      </c>
      <c r="O204" s="151">
        <f t="shared" si="41"/>
        <v>0.13119945918341097</v>
      </c>
      <c r="P204" s="151">
        <f t="shared" si="42"/>
        <v>0.47619047619047616</v>
      </c>
      <c r="Q204" s="151">
        <f t="shared" si="43"/>
        <v>0.34499101700706519</v>
      </c>
      <c r="R204" s="150">
        <f t="shared" si="44"/>
        <v>2.73</v>
      </c>
      <c r="S204" s="150">
        <f t="shared" si="45"/>
        <v>2.79</v>
      </c>
      <c r="T204" s="150">
        <f t="shared" si="46"/>
        <v>1.4694835680751175</v>
      </c>
      <c r="U204" s="152">
        <f t="shared" si="37"/>
        <v>-1</v>
      </c>
      <c r="V204" s="143"/>
      <c r="W204" s="102">
        <f t="shared" si="47"/>
        <v>0</v>
      </c>
      <c r="X204" s="153">
        <f t="shared" si="48"/>
        <v>-1</v>
      </c>
      <c r="Y204" s="102"/>
      <c r="Z204" s="102"/>
      <c r="AA204" s="102"/>
      <c r="AB204" s="102"/>
      <c r="AC204" s="102"/>
      <c r="AD204" s="102"/>
      <c r="AE204" s="102"/>
      <c r="AF204" s="138"/>
      <c r="AG204" s="138"/>
      <c r="AH204" s="102"/>
      <c r="AI204" s="102"/>
      <c r="AJ204" s="102"/>
      <c r="AK204" s="102"/>
      <c r="AL204" s="102"/>
      <c r="AM204" s="102"/>
    </row>
    <row r="205" spans="1:39">
      <c r="A205" s="143" t="s">
        <v>243</v>
      </c>
      <c r="B205" s="143" t="s">
        <v>361</v>
      </c>
      <c r="C205" s="145">
        <v>45844</v>
      </c>
      <c r="D205" s="143" t="s">
        <v>577</v>
      </c>
      <c r="E205" s="146" t="s">
        <v>397</v>
      </c>
      <c r="F205" s="147">
        <v>-149</v>
      </c>
      <c r="G205" s="147">
        <v>-121</v>
      </c>
      <c r="H205" s="148">
        <v>-139</v>
      </c>
      <c r="I205" s="143">
        <v>120</v>
      </c>
      <c r="J205" s="143">
        <v>1</v>
      </c>
      <c r="K205" s="149" t="s">
        <v>311</v>
      </c>
      <c r="L205" s="150">
        <f t="shared" si="38"/>
        <v>-1</v>
      </c>
      <c r="M205" s="150">
        <f t="shared" si="39"/>
        <v>-1</v>
      </c>
      <c r="N205" s="151">
        <f t="shared" si="40"/>
        <v>6.2242816141636917E-2</v>
      </c>
      <c r="O205" s="151">
        <f t="shared" si="41"/>
        <v>3.7086672681917121E-2</v>
      </c>
      <c r="P205" s="151">
        <f t="shared" si="42"/>
        <v>0.59839357429718876</v>
      </c>
      <c r="Q205" s="151">
        <f t="shared" si="43"/>
        <v>0.56130690161527164</v>
      </c>
      <c r="R205" s="150">
        <f t="shared" si="44"/>
        <v>1.8264462809917354</v>
      </c>
      <c r="S205" s="150">
        <f t="shared" si="45"/>
        <v>1.7194244604316546</v>
      </c>
      <c r="T205" s="150">
        <f t="shared" si="46"/>
        <v>2.2000000000000002</v>
      </c>
      <c r="U205" s="152">
        <f t="shared" si="37"/>
        <v>-1</v>
      </c>
      <c r="V205" s="143"/>
      <c r="W205" s="102">
        <f t="shared" si="47"/>
        <v>0</v>
      </c>
      <c r="X205" s="153">
        <f t="shared" si="48"/>
        <v>-1</v>
      </c>
      <c r="Y205" s="102"/>
      <c r="Z205" s="102"/>
      <c r="AA205" s="102"/>
      <c r="AB205" s="102"/>
      <c r="AC205" s="102"/>
      <c r="AD205" s="102"/>
      <c r="AE205" s="102"/>
      <c r="AF205" s="138"/>
      <c r="AG205" s="138"/>
      <c r="AH205" s="102"/>
      <c r="AI205" s="102"/>
      <c r="AJ205" s="102"/>
      <c r="AK205" s="102"/>
      <c r="AL205" s="102"/>
      <c r="AM205" s="102"/>
    </row>
    <row r="206" spans="1:39">
      <c r="A206" s="143" t="s">
        <v>240</v>
      </c>
      <c r="B206" s="143" t="s">
        <v>361</v>
      </c>
      <c r="C206" s="145">
        <v>45844</v>
      </c>
      <c r="D206" s="143" t="s">
        <v>578</v>
      </c>
      <c r="E206" s="146" t="s">
        <v>525</v>
      </c>
      <c r="F206" s="147">
        <v>-202</v>
      </c>
      <c r="G206" s="147">
        <v>135</v>
      </c>
      <c r="H206" s="148">
        <v>127</v>
      </c>
      <c r="I206" s="143">
        <v>-147</v>
      </c>
      <c r="J206" s="143">
        <v>1</v>
      </c>
      <c r="K206" s="149" t="s">
        <v>350</v>
      </c>
      <c r="L206" s="150">
        <f t="shared" si="38"/>
        <v>1.35</v>
      </c>
      <c r="M206" s="150">
        <f t="shared" si="39"/>
        <v>1.27</v>
      </c>
      <c r="N206" s="151">
        <f t="shared" si="40"/>
        <v>3.5242290748898626E-2</v>
      </c>
      <c r="O206" s="151">
        <f t="shared" si="41"/>
        <v>0.24351813023533664</v>
      </c>
      <c r="P206" s="151">
        <f t="shared" si="42"/>
        <v>0.66887417218543044</v>
      </c>
      <c r="Q206" s="151">
        <f t="shared" si="43"/>
        <v>0.4253560419500938</v>
      </c>
      <c r="R206" s="150">
        <f t="shared" si="44"/>
        <v>2.35</v>
      </c>
      <c r="S206" s="150">
        <f t="shared" si="45"/>
        <v>2.27</v>
      </c>
      <c r="T206" s="150">
        <f t="shared" si="46"/>
        <v>1.6802721088435373</v>
      </c>
      <c r="U206" s="152">
        <f t="shared" si="37"/>
        <v>1.35</v>
      </c>
      <c r="V206" s="143"/>
      <c r="W206" s="102">
        <f t="shared" si="47"/>
        <v>1</v>
      </c>
      <c r="X206" s="153">
        <f t="shared" si="48"/>
        <v>1.35</v>
      </c>
      <c r="Y206" s="102"/>
      <c r="Z206" s="102"/>
      <c r="AA206" s="102"/>
      <c r="AB206" s="102"/>
      <c r="AC206" s="102"/>
      <c r="AD206" s="102"/>
      <c r="AE206" s="102"/>
      <c r="AF206" s="138"/>
      <c r="AG206" s="138"/>
      <c r="AH206" s="102"/>
      <c r="AI206" s="102"/>
      <c r="AJ206" s="102"/>
      <c r="AK206" s="102"/>
      <c r="AL206" s="102"/>
      <c r="AM206" s="102"/>
    </row>
    <row r="207" spans="1:39">
      <c r="A207" s="143" t="s">
        <v>240</v>
      </c>
      <c r="B207" s="143" t="s">
        <v>361</v>
      </c>
      <c r="C207" s="145">
        <v>45844</v>
      </c>
      <c r="D207" s="143" t="s">
        <v>568</v>
      </c>
      <c r="E207" s="146" t="s">
        <v>454</v>
      </c>
      <c r="F207" s="147">
        <v>-143</v>
      </c>
      <c r="G207" s="147">
        <v>-110</v>
      </c>
      <c r="H207" s="148">
        <v>-116</v>
      </c>
      <c r="I207" s="143">
        <v>100</v>
      </c>
      <c r="J207" s="143">
        <v>1</v>
      </c>
      <c r="K207" s="149" t="s">
        <v>311</v>
      </c>
      <c r="L207" s="150">
        <f t="shared" si="38"/>
        <v>-1</v>
      </c>
      <c r="M207" s="150">
        <f t="shared" si="39"/>
        <v>-1</v>
      </c>
      <c r="N207" s="151">
        <f t="shared" si="40"/>
        <v>2.5252525252525304E-2</v>
      </c>
      <c r="O207" s="151">
        <f t="shared" si="41"/>
        <v>7.0620223398001225E-2</v>
      </c>
      <c r="P207" s="151">
        <f t="shared" si="42"/>
        <v>0.58847736625514402</v>
      </c>
      <c r="Q207" s="151">
        <f t="shared" si="43"/>
        <v>0.51785714285714279</v>
      </c>
      <c r="R207" s="150">
        <f t="shared" si="44"/>
        <v>1.9090909090909092</v>
      </c>
      <c r="S207" s="150">
        <f t="shared" si="45"/>
        <v>1.8620689655172413</v>
      </c>
      <c r="T207" s="150">
        <f t="shared" si="46"/>
        <v>2</v>
      </c>
      <c r="U207" s="152">
        <f t="shared" si="37"/>
        <v>-1</v>
      </c>
      <c r="V207" s="143"/>
      <c r="W207" s="102">
        <f t="shared" si="47"/>
        <v>0</v>
      </c>
      <c r="X207" s="153">
        <f t="shared" si="48"/>
        <v>-1</v>
      </c>
      <c r="Y207" s="102"/>
      <c r="Z207" s="102"/>
      <c r="AA207" s="102"/>
      <c r="AB207" s="102"/>
      <c r="AC207" s="102"/>
      <c r="AD207" s="102"/>
      <c r="AE207" s="102"/>
      <c r="AF207" s="138"/>
      <c r="AG207" s="138"/>
      <c r="AH207" s="102"/>
      <c r="AI207" s="102"/>
      <c r="AJ207" s="102"/>
      <c r="AK207" s="102"/>
      <c r="AL207" s="102"/>
      <c r="AM207" s="102"/>
    </row>
    <row r="208" spans="1:39">
      <c r="A208" s="143" t="s">
        <v>238</v>
      </c>
      <c r="B208" s="143" t="s">
        <v>361</v>
      </c>
      <c r="C208" s="145">
        <v>45844</v>
      </c>
      <c r="D208" s="143" t="s">
        <v>573</v>
      </c>
      <c r="E208" s="146" t="s">
        <v>439</v>
      </c>
      <c r="F208" s="147">
        <v>-131</v>
      </c>
      <c r="G208" s="147">
        <v>-100</v>
      </c>
      <c r="H208" s="148">
        <v>-103</v>
      </c>
      <c r="I208" s="143">
        <v>-111</v>
      </c>
      <c r="J208" s="143">
        <v>1</v>
      </c>
      <c r="K208" s="149" t="s">
        <v>311</v>
      </c>
      <c r="L208" s="150">
        <f t="shared" si="38"/>
        <v>-1</v>
      </c>
      <c r="M208" s="150">
        <f t="shared" si="39"/>
        <v>-1</v>
      </c>
      <c r="N208" s="151">
        <f t="shared" si="40"/>
        <v>1.4778325123152802E-2</v>
      </c>
      <c r="O208" s="151">
        <f t="shared" si="41"/>
        <v>7.6135847766444664E-2</v>
      </c>
      <c r="P208" s="151">
        <f t="shared" si="42"/>
        <v>0.5670995670995671</v>
      </c>
      <c r="Q208" s="151">
        <f t="shared" si="43"/>
        <v>0.49096371933312244</v>
      </c>
      <c r="R208" s="150">
        <f t="shared" si="44"/>
        <v>2</v>
      </c>
      <c r="S208" s="150">
        <f t="shared" si="45"/>
        <v>1.970873786407767</v>
      </c>
      <c r="T208" s="150">
        <f t="shared" si="46"/>
        <v>1.900900900900901</v>
      </c>
      <c r="U208" s="152">
        <f t="shared" si="37"/>
        <v>-1</v>
      </c>
      <c r="V208" s="143"/>
      <c r="W208" s="102">
        <f t="shared" si="47"/>
        <v>0</v>
      </c>
      <c r="X208" s="153">
        <f t="shared" si="48"/>
        <v>-1</v>
      </c>
      <c r="Y208" s="102"/>
      <c r="Z208" s="102"/>
      <c r="AA208" s="102"/>
      <c r="AB208" s="102"/>
      <c r="AC208" s="102"/>
      <c r="AD208" s="102"/>
      <c r="AE208" s="102"/>
      <c r="AF208" s="138"/>
      <c r="AG208" s="138"/>
      <c r="AH208" s="102"/>
      <c r="AI208" s="102"/>
      <c r="AJ208" s="102"/>
      <c r="AK208" s="102"/>
      <c r="AL208" s="102"/>
      <c r="AM208" s="102"/>
    </row>
    <row r="209" spans="1:39">
      <c r="A209" s="143" t="s">
        <v>240</v>
      </c>
      <c r="B209" s="143" t="s">
        <v>361</v>
      </c>
      <c r="C209" s="145">
        <v>45845</v>
      </c>
      <c r="D209" s="143" t="s">
        <v>579</v>
      </c>
      <c r="E209" s="146" t="s">
        <v>460</v>
      </c>
      <c r="F209" s="147">
        <v>-177</v>
      </c>
      <c r="G209" s="147">
        <v>-130</v>
      </c>
      <c r="H209" s="148">
        <v>-152</v>
      </c>
      <c r="I209" s="143">
        <v>121</v>
      </c>
      <c r="J209" s="143">
        <v>1</v>
      </c>
      <c r="K209" s="149" t="s">
        <v>351</v>
      </c>
      <c r="L209" s="150">
        <f t="shared" si="38"/>
        <v>0</v>
      </c>
      <c r="M209" s="150">
        <f t="shared" si="39"/>
        <v>0</v>
      </c>
      <c r="N209" s="151">
        <f t="shared" si="40"/>
        <v>6.7155067155066972E-2</v>
      </c>
      <c r="O209" s="151">
        <f t="shared" si="41"/>
        <v>6.761891521870167E-2</v>
      </c>
      <c r="P209" s="151">
        <f t="shared" si="42"/>
        <v>0.63898916967509023</v>
      </c>
      <c r="Q209" s="151">
        <f t="shared" si="43"/>
        <v>0.57137025445638856</v>
      </c>
      <c r="R209" s="150">
        <f t="shared" si="44"/>
        <v>1.7692307692307692</v>
      </c>
      <c r="S209" s="150">
        <f t="shared" si="45"/>
        <v>1.6578947368421053</v>
      </c>
      <c r="T209" s="150">
        <f t="shared" si="46"/>
        <v>2.21</v>
      </c>
      <c r="U209" s="152">
        <f t="shared" si="37"/>
        <v>0</v>
      </c>
      <c r="V209" s="143"/>
      <c r="W209" s="102">
        <f t="shared" si="47"/>
        <v>2</v>
      </c>
      <c r="X209" s="153">
        <f t="shared" si="48"/>
        <v>0</v>
      </c>
      <c r="Y209" s="102"/>
      <c r="Z209" s="102"/>
      <c r="AA209" s="102"/>
      <c r="AB209" s="102"/>
      <c r="AC209" s="102"/>
      <c r="AD209" s="102"/>
      <c r="AE209" s="102"/>
      <c r="AF209" s="138"/>
      <c r="AG209" s="138"/>
      <c r="AH209" s="102"/>
      <c r="AI209" s="102"/>
      <c r="AJ209" s="102"/>
      <c r="AK209" s="102"/>
      <c r="AL209" s="102"/>
      <c r="AM209" s="102"/>
    </row>
    <row r="210" spans="1:39">
      <c r="A210" s="143" t="s">
        <v>240</v>
      </c>
      <c r="B210" s="143" t="s">
        <v>361</v>
      </c>
      <c r="C210" s="145">
        <v>45845</v>
      </c>
      <c r="D210" s="143" t="s">
        <v>580</v>
      </c>
      <c r="E210" s="146" t="s">
        <v>451</v>
      </c>
      <c r="F210" s="147">
        <v>-173</v>
      </c>
      <c r="G210" s="147">
        <v>-155</v>
      </c>
      <c r="H210" s="148">
        <v>-143</v>
      </c>
      <c r="I210" s="143">
        <v>124</v>
      </c>
      <c r="J210" s="143">
        <v>1</v>
      </c>
      <c r="K210" s="149" t="s">
        <v>350</v>
      </c>
      <c r="L210" s="150">
        <f t="shared" si="38"/>
        <v>0.64516129032258052</v>
      </c>
      <c r="M210" s="150">
        <f t="shared" si="39"/>
        <v>0.69930069930069916</v>
      </c>
      <c r="N210" s="151">
        <f t="shared" si="40"/>
        <v>-3.18598168060533E-2</v>
      </c>
      <c r="O210" s="151">
        <f t="shared" si="41"/>
        <v>6.5070790413402024E-2</v>
      </c>
      <c r="P210" s="151">
        <f t="shared" si="42"/>
        <v>0.63369963369963367</v>
      </c>
      <c r="Q210" s="151">
        <f t="shared" si="43"/>
        <v>0.56862884328623164</v>
      </c>
      <c r="R210" s="150">
        <f t="shared" si="44"/>
        <v>1.6451612903225805</v>
      </c>
      <c r="S210" s="150">
        <f t="shared" si="45"/>
        <v>1.6993006993006992</v>
      </c>
      <c r="T210" s="150">
        <f t="shared" si="46"/>
        <v>2.2400000000000002</v>
      </c>
      <c r="U210" s="152">
        <f t="shared" si="37"/>
        <v>0.64516129032258052</v>
      </c>
      <c r="V210" s="143"/>
      <c r="W210" s="102">
        <f t="shared" si="47"/>
        <v>1</v>
      </c>
      <c r="X210" s="153">
        <f t="shared" si="48"/>
        <v>0.64516129032258052</v>
      </c>
      <c r="Y210" s="102"/>
      <c r="Z210" s="102"/>
      <c r="AA210" s="102"/>
      <c r="AB210" s="102"/>
      <c r="AC210" s="102"/>
      <c r="AD210" s="102"/>
      <c r="AE210" s="102"/>
      <c r="AF210" s="138"/>
      <c r="AG210" s="138"/>
      <c r="AH210" s="102"/>
      <c r="AI210" s="102"/>
      <c r="AJ210" s="102"/>
      <c r="AK210" s="102"/>
      <c r="AL210" s="102"/>
      <c r="AM210" s="102"/>
    </row>
    <row r="211" spans="1:39">
      <c r="A211" s="143" t="s">
        <v>240</v>
      </c>
      <c r="B211" s="143" t="s">
        <v>361</v>
      </c>
      <c r="C211" s="145">
        <v>45846</v>
      </c>
      <c r="D211" s="143" t="s">
        <v>581</v>
      </c>
      <c r="E211" s="146" t="s">
        <v>389</v>
      </c>
      <c r="F211" s="147">
        <v>-127</v>
      </c>
      <c r="G211" s="147">
        <v>107</v>
      </c>
      <c r="H211" s="148">
        <v>112</v>
      </c>
      <c r="I211" s="143">
        <v>-128</v>
      </c>
      <c r="J211" s="143">
        <v>1</v>
      </c>
      <c r="K211" s="149" t="s">
        <v>351</v>
      </c>
      <c r="L211" s="150">
        <f t="shared" si="38"/>
        <v>0</v>
      </c>
      <c r="M211" s="150">
        <f t="shared" si="39"/>
        <v>0</v>
      </c>
      <c r="N211" s="151">
        <f t="shared" si="40"/>
        <v>-2.3584905660377308E-2</v>
      </c>
      <c r="O211" s="151">
        <f t="shared" si="41"/>
        <v>0.10288693757083955</v>
      </c>
      <c r="P211" s="151">
        <f t="shared" si="42"/>
        <v>0.55947136563876654</v>
      </c>
      <c r="Q211" s="151">
        <f t="shared" si="43"/>
        <v>0.45658442806792698</v>
      </c>
      <c r="R211" s="150">
        <f t="shared" si="44"/>
        <v>2.0700000000000003</v>
      </c>
      <c r="S211" s="150">
        <f t="shared" si="45"/>
        <v>2.12</v>
      </c>
      <c r="T211" s="150">
        <f t="shared" si="46"/>
        <v>1.78125</v>
      </c>
      <c r="U211" s="152">
        <f t="shared" si="37"/>
        <v>0</v>
      </c>
      <c r="V211" s="143"/>
      <c r="W211" s="102">
        <f t="shared" si="47"/>
        <v>2</v>
      </c>
      <c r="X211" s="153">
        <f t="shared" si="48"/>
        <v>0</v>
      </c>
      <c r="Y211" s="102"/>
      <c r="Z211" s="102"/>
      <c r="AA211" s="102"/>
      <c r="AB211" s="102"/>
      <c r="AC211" s="102"/>
      <c r="AD211" s="102"/>
      <c r="AE211" s="102"/>
      <c r="AF211" s="138"/>
      <c r="AG211" s="138"/>
      <c r="AH211" s="102"/>
      <c r="AI211" s="102"/>
      <c r="AJ211" s="102"/>
      <c r="AK211" s="102"/>
      <c r="AL211" s="102"/>
      <c r="AM211" s="102"/>
    </row>
    <row r="212" spans="1:39">
      <c r="A212" s="143" t="s">
        <v>240</v>
      </c>
      <c r="B212" s="143" t="s">
        <v>363</v>
      </c>
      <c r="C212" s="145">
        <v>45846</v>
      </c>
      <c r="D212" s="143" t="s">
        <v>582</v>
      </c>
      <c r="E212" s="146" t="s">
        <v>583</v>
      </c>
      <c r="F212" s="147">
        <v>-212</v>
      </c>
      <c r="G212" s="147">
        <v>-150</v>
      </c>
      <c r="H212" s="148">
        <v>-152</v>
      </c>
      <c r="I212" s="143">
        <v>129</v>
      </c>
      <c r="J212" s="143">
        <v>1</v>
      </c>
      <c r="K212" s="149" t="s">
        <v>350</v>
      </c>
      <c r="L212" s="150">
        <f t="shared" si="38"/>
        <v>0.66666666666666652</v>
      </c>
      <c r="M212" s="150">
        <f t="shared" si="39"/>
        <v>0.65789473684210531</v>
      </c>
      <c r="N212" s="151">
        <f t="shared" si="40"/>
        <v>5.291005291005086E-3</v>
      </c>
      <c r="O212" s="151">
        <f t="shared" si="41"/>
        <v>9.9431186952850803E-2</v>
      </c>
      <c r="P212" s="151">
        <f t="shared" si="42"/>
        <v>0.67948717948717952</v>
      </c>
      <c r="Q212" s="151">
        <f t="shared" si="43"/>
        <v>0.58005599253432871</v>
      </c>
      <c r="R212" s="150">
        <f t="shared" si="44"/>
        <v>1.6666666666666665</v>
      </c>
      <c r="S212" s="150">
        <f t="shared" si="45"/>
        <v>1.6578947368421053</v>
      </c>
      <c r="T212" s="150">
        <f t="shared" si="46"/>
        <v>2.29</v>
      </c>
      <c r="U212" s="152">
        <f t="shared" si="37"/>
        <v>0.66666666666666652</v>
      </c>
      <c r="V212" s="143"/>
      <c r="W212" s="102">
        <f t="shared" si="47"/>
        <v>1</v>
      </c>
      <c r="X212" s="102" t="str">
        <f t="shared" si="48"/>
        <v/>
      </c>
      <c r="Y212" s="102"/>
      <c r="Z212" s="102"/>
      <c r="AA212" s="102"/>
      <c r="AB212" s="102"/>
      <c r="AC212" s="102"/>
      <c r="AD212" s="102"/>
      <c r="AE212" s="102"/>
      <c r="AF212" s="138"/>
      <c r="AG212" s="138"/>
      <c r="AH212" s="102"/>
      <c r="AI212" s="102"/>
      <c r="AJ212" s="102"/>
      <c r="AK212" s="102"/>
      <c r="AL212" s="102"/>
      <c r="AM212" s="102"/>
    </row>
    <row r="213" spans="1:39">
      <c r="A213" s="143" t="s">
        <v>240</v>
      </c>
      <c r="B213" s="143" t="s">
        <v>363</v>
      </c>
      <c r="C213" s="145">
        <v>45846</v>
      </c>
      <c r="D213" s="143" t="s">
        <v>584</v>
      </c>
      <c r="E213" s="146" t="s">
        <v>585</v>
      </c>
      <c r="F213" s="147">
        <v>-113</v>
      </c>
      <c r="G213" s="147">
        <v>120</v>
      </c>
      <c r="H213" s="148">
        <v>127</v>
      </c>
      <c r="I213" s="143">
        <v>-152</v>
      </c>
      <c r="J213" s="143">
        <v>1</v>
      </c>
      <c r="K213" s="149" t="s">
        <v>350</v>
      </c>
      <c r="L213" s="150">
        <f t="shared" si="38"/>
        <v>1.2000000000000002</v>
      </c>
      <c r="M213" s="150">
        <f t="shared" si="39"/>
        <v>1.27</v>
      </c>
      <c r="N213" s="151">
        <f t="shared" si="40"/>
        <v>-3.0837004405286351E-2</v>
      </c>
      <c r="O213" s="151">
        <f t="shared" si="41"/>
        <v>0.10843415938032952</v>
      </c>
      <c r="P213" s="151">
        <f t="shared" si="42"/>
        <v>0.53051643192488263</v>
      </c>
      <c r="Q213" s="151">
        <f t="shared" si="43"/>
        <v>0.42208227254455311</v>
      </c>
      <c r="R213" s="150">
        <f t="shared" si="44"/>
        <v>2.2000000000000002</v>
      </c>
      <c r="S213" s="150">
        <f t="shared" si="45"/>
        <v>2.27</v>
      </c>
      <c r="T213" s="150">
        <f t="shared" si="46"/>
        <v>1.6578947368421053</v>
      </c>
      <c r="U213" s="152">
        <f t="shared" si="37"/>
        <v>1.2000000000000002</v>
      </c>
      <c r="V213" s="143"/>
      <c r="W213" s="102">
        <f t="shared" si="47"/>
        <v>1</v>
      </c>
      <c r="X213" s="102" t="str">
        <f t="shared" si="48"/>
        <v/>
      </c>
      <c r="Y213" s="102"/>
      <c r="Z213" s="102"/>
      <c r="AA213" s="102"/>
      <c r="AB213" s="102"/>
      <c r="AC213" s="102"/>
      <c r="AD213" s="102"/>
      <c r="AE213" s="102"/>
      <c r="AF213" s="138"/>
      <c r="AG213" s="138"/>
      <c r="AH213" s="102"/>
      <c r="AI213" s="102"/>
      <c r="AJ213" s="102"/>
      <c r="AK213" s="102"/>
      <c r="AL213" s="102"/>
      <c r="AM213" s="102"/>
    </row>
    <row r="214" spans="1:39">
      <c r="A214" s="143" t="s">
        <v>238</v>
      </c>
      <c r="B214" s="143" t="s">
        <v>363</v>
      </c>
      <c r="C214" s="145">
        <v>45847</v>
      </c>
      <c r="D214" s="143" t="s">
        <v>581</v>
      </c>
      <c r="E214" s="146" t="s">
        <v>586</v>
      </c>
      <c r="F214" s="147">
        <v>-157</v>
      </c>
      <c r="G214" s="147">
        <v>-123</v>
      </c>
      <c r="H214" s="148">
        <v>-104</v>
      </c>
      <c r="I214" s="143">
        <v>-112</v>
      </c>
      <c r="J214" s="143">
        <v>1</v>
      </c>
      <c r="K214" s="149" t="s">
        <v>350</v>
      </c>
      <c r="L214" s="150">
        <f t="shared" si="38"/>
        <v>0.81300813008130079</v>
      </c>
      <c r="M214" s="150">
        <f t="shared" si="39"/>
        <v>0.96153846153846168</v>
      </c>
      <c r="N214" s="151">
        <f t="shared" si="40"/>
        <v>-7.5721345448748728E-2</v>
      </c>
      <c r="O214" s="151">
        <f t="shared" si="41"/>
        <v>0.11980442132062757</v>
      </c>
      <c r="P214" s="151">
        <f t="shared" si="42"/>
        <v>0.6108949416342413</v>
      </c>
      <c r="Q214" s="151">
        <f t="shared" si="43"/>
        <v>0.49109052031361372</v>
      </c>
      <c r="R214" s="150">
        <f t="shared" si="44"/>
        <v>1.8130081300813008</v>
      </c>
      <c r="S214" s="150">
        <f t="shared" si="45"/>
        <v>1.9615384615384617</v>
      </c>
      <c r="T214" s="150">
        <f t="shared" si="46"/>
        <v>1.8928571428571428</v>
      </c>
      <c r="U214" s="152">
        <f t="shared" si="37"/>
        <v>0.81300813008130079</v>
      </c>
      <c r="V214" s="143"/>
      <c r="W214" s="102">
        <f t="shared" si="47"/>
        <v>1</v>
      </c>
      <c r="X214" s="102" t="str">
        <f t="shared" si="48"/>
        <v/>
      </c>
      <c r="Y214" s="102"/>
      <c r="Z214" s="102"/>
      <c r="AA214" s="102"/>
      <c r="AB214" s="102"/>
      <c r="AC214" s="102"/>
      <c r="AD214" s="102"/>
      <c r="AE214" s="102"/>
      <c r="AF214" s="138"/>
      <c r="AG214" s="138"/>
      <c r="AH214" s="102"/>
      <c r="AI214" s="102"/>
      <c r="AJ214" s="102"/>
      <c r="AK214" s="102"/>
      <c r="AL214" s="102"/>
      <c r="AM214" s="102"/>
    </row>
    <row r="215" spans="1:39">
      <c r="A215" s="143" t="s">
        <v>238</v>
      </c>
      <c r="B215" s="143" t="s">
        <v>363</v>
      </c>
      <c r="C215" s="145">
        <v>45847</v>
      </c>
      <c r="D215" s="143" t="s">
        <v>587</v>
      </c>
      <c r="E215" s="146" t="s">
        <v>588</v>
      </c>
      <c r="F215" s="147">
        <v>-220</v>
      </c>
      <c r="G215" s="147">
        <v>-147</v>
      </c>
      <c r="H215" s="148">
        <v>-130</v>
      </c>
      <c r="I215" s="143">
        <v>110</v>
      </c>
      <c r="J215" s="143">
        <v>1</v>
      </c>
      <c r="K215" s="149" t="s">
        <v>311</v>
      </c>
      <c r="L215" s="150">
        <f t="shared" si="38"/>
        <v>-1</v>
      </c>
      <c r="M215" s="150">
        <f t="shared" si="39"/>
        <v>-1</v>
      </c>
      <c r="N215" s="151">
        <f t="shared" si="40"/>
        <v>-5.0280981958000584E-2</v>
      </c>
      <c r="O215" s="151">
        <f t="shared" si="41"/>
        <v>0.14475646123260433</v>
      </c>
      <c r="P215" s="151">
        <f t="shared" si="42"/>
        <v>0.6875</v>
      </c>
      <c r="Q215" s="151">
        <f t="shared" si="43"/>
        <v>0.54274353876739567</v>
      </c>
      <c r="R215" s="150">
        <f t="shared" si="44"/>
        <v>1.6802721088435373</v>
      </c>
      <c r="S215" s="150">
        <f t="shared" si="45"/>
        <v>1.7692307692307692</v>
      </c>
      <c r="T215" s="150">
        <f t="shared" si="46"/>
        <v>2.1</v>
      </c>
      <c r="U215" s="152">
        <f t="shared" si="37"/>
        <v>-1</v>
      </c>
      <c r="V215" s="143"/>
      <c r="W215" s="102">
        <f t="shared" si="47"/>
        <v>0</v>
      </c>
      <c r="X215" s="102" t="str">
        <f t="shared" si="48"/>
        <v/>
      </c>
      <c r="Y215" s="102"/>
      <c r="Z215" s="102"/>
      <c r="AA215" s="102"/>
      <c r="AB215" s="102"/>
      <c r="AC215" s="102"/>
      <c r="AD215" s="102"/>
      <c r="AE215" s="102"/>
      <c r="AF215" s="138"/>
      <c r="AG215" s="138"/>
      <c r="AH215" s="102"/>
      <c r="AI215" s="102"/>
      <c r="AJ215" s="102"/>
      <c r="AK215" s="102"/>
      <c r="AL215" s="102"/>
      <c r="AM215" s="102"/>
    </row>
    <row r="216" spans="1:39">
      <c r="A216" s="143" t="s">
        <v>240</v>
      </c>
      <c r="B216" s="143" t="s">
        <v>361</v>
      </c>
      <c r="C216" s="145">
        <v>45847</v>
      </c>
      <c r="D216" s="143" t="s">
        <v>580</v>
      </c>
      <c r="E216" s="146" t="s">
        <v>454</v>
      </c>
      <c r="F216" s="147">
        <v>-141</v>
      </c>
      <c r="G216" s="147">
        <v>125</v>
      </c>
      <c r="H216" s="148">
        <v>-108</v>
      </c>
      <c r="I216" s="143">
        <v>-106</v>
      </c>
      <c r="J216" s="143">
        <v>1</v>
      </c>
      <c r="K216" s="149" t="s">
        <v>350</v>
      </c>
      <c r="L216" s="150">
        <f t="shared" si="38"/>
        <v>1.25</v>
      </c>
      <c r="M216" s="150">
        <f t="shared" si="39"/>
        <v>0.92592592592592604</v>
      </c>
      <c r="N216" s="151">
        <f t="shared" si="40"/>
        <v>0.16826923076923067</v>
      </c>
      <c r="O216" s="151">
        <f t="shared" si="41"/>
        <v>8.2804700479685245E-2</v>
      </c>
      <c r="P216" s="151">
        <f t="shared" si="42"/>
        <v>0.58506224066390045</v>
      </c>
      <c r="Q216" s="151">
        <f t="shared" si="43"/>
        <v>0.5022575401842152</v>
      </c>
      <c r="R216" s="150">
        <f t="shared" si="44"/>
        <v>2.25</v>
      </c>
      <c r="S216" s="150">
        <f t="shared" si="45"/>
        <v>1.925925925925926</v>
      </c>
      <c r="T216" s="150">
        <f t="shared" si="46"/>
        <v>1.9433962264150944</v>
      </c>
      <c r="U216" s="152">
        <f t="shared" si="37"/>
        <v>1.25</v>
      </c>
      <c r="V216" s="143"/>
      <c r="W216" s="102">
        <f t="shared" si="47"/>
        <v>1</v>
      </c>
      <c r="X216" s="153">
        <f t="shared" si="48"/>
        <v>1.25</v>
      </c>
      <c r="Y216" s="102"/>
      <c r="Z216" s="102"/>
      <c r="AA216" s="102"/>
      <c r="AB216" s="102"/>
      <c r="AC216" s="102"/>
      <c r="AD216" s="102"/>
      <c r="AE216" s="102"/>
      <c r="AF216" s="138"/>
      <c r="AG216" s="138"/>
      <c r="AH216" s="102"/>
      <c r="AI216" s="102"/>
      <c r="AJ216" s="102"/>
      <c r="AK216" s="102"/>
      <c r="AL216" s="102"/>
      <c r="AM216" s="102"/>
    </row>
    <row r="217" spans="1:39">
      <c r="A217" s="143" t="s">
        <v>238</v>
      </c>
      <c r="B217" s="143" t="s">
        <v>363</v>
      </c>
      <c r="C217" s="145">
        <v>45847</v>
      </c>
      <c r="D217" s="143" t="s">
        <v>582</v>
      </c>
      <c r="E217" s="146" t="s">
        <v>589</v>
      </c>
      <c r="F217" s="147">
        <v>-214</v>
      </c>
      <c r="G217" s="147">
        <v>-182</v>
      </c>
      <c r="H217" s="148">
        <v>-189</v>
      </c>
      <c r="I217" s="143">
        <v>156</v>
      </c>
      <c r="J217" s="143">
        <v>1</v>
      </c>
      <c r="K217" s="149" t="s">
        <v>350</v>
      </c>
      <c r="L217" s="150">
        <f t="shared" si="38"/>
        <v>0.5494505494505495</v>
      </c>
      <c r="M217" s="150">
        <f t="shared" si="39"/>
        <v>0.52910052910052907</v>
      </c>
      <c r="N217" s="151">
        <f t="shared" si="40"/>
        <v>1.3308490817141486E-2</v>
      </c>
      <c r="O217" s="151">
        <f t="shared" si="41"/>
        <v>5.5474110378562314E-2</v>
      </c>
      <c r="P217" s="151">
        <f t="shared" si="42"/>
        <v>0.68152866242038213</v>
      </c>
      <c r="Q217" s="151">
        <f t="shared" si="43"/>
        <v>0.62605455204181981</v>
      </c>
      <c r="R217" s="150">
        <f t="shared" si="44"/>
        <v>1.5494505494505495</v>
      </c>
      <c r="S217" s="150">
        <f t="shared" si="45"/>
        <v>1.5291005291005291</v>
      </c>
      <c r="T217" s="150">
        <f t="shared" si="46"/>
        <v>2.56</v>
      </c>
      <c r="U217" s="152">
        <f t="shared" si="37"/>
        <v>0.5494505494505495</v>
      </c>
      <c r="V217" s="143"/>
      <c r="W217" s="102">
        <f t="shared" si="47"/>
        <v>1</v>
      </c>
      <c r="X217" s="102" t="str">
        <f t="shared" si="48"/>
        <v/>
      </c>
      <c r="Y217" s="102"/>
      <c r="Z217" s="102"/>
      <c r="AA217" s="102"/>
      <c r="AB217" s="102"/>
      <c r="AC217" s="102"/>
      <c r="AD217" s="102"/>
      <c r="AE217" s="102"/>
      <c r="AF217" s="138"/>
      <c r="AG217" s="138"/>
      <c r="AH217" s="102"/>
      <c r="AI217" s="102"/>
      <c r="AJ217" s="102"/>
      <c r="AK217" s="102"/>
      <c r="AL217" s="102"/>
      <c r="AM217" s="102"/>
    </row>
    <row r="218" spans="1:39">
      <c r="A218" s="143" t="s">
        <v>238</v>
      </c>
      <c r="B218" s="143" t="s">
        <v>363</v>
      </c>
      <c r="C218" s="145">
        <v>45847</v>
      </c>
      <c r="D218" s="143" t="s">
        <v>590</v>
      </c>
      <c r="E218" s="146" t="s">
        <v>591</v>
      </c>
      <c r="F218" s="147">
        <v>-248</v>
      </c>
      <c r="G218" s="147">
        <v>-183</v>
      </c>
      <c r="H218" s="148">
        <v>-204</v>
      </c>
      <c r="I218" s="143">
        <v>169</v>
      </c>
      <c r="J218" s="143">
        <v>1</v>
      </c>
      <c r="K218" s="149" t="s">
        <v>311</v>
      </c>
      <c r="L218" s="150">
        <f t="shared" si="38"/>
        <v>-1</v>
      </c>
      <c r="M218" s="150">
        <f t="shared" si="39"/>
        <v>-1</v>
      </c>
      <c r="N218" s="151">
        <f t="shared" si="40"/>
        <v>3.774805867126841E-2</v>
      </c>
      <c r="O218" s="151">
        <f t="shared" si="41"/>
        <v>6.9133194554746757E-2</v>
      </c>
      <c r="P218" s="151">
        <f t="shared" si="42"/>
        <v>0.71264367816091956</v>
      </c>
      <c r="Q218" s="151">
        <f t="shared" si="43"/>
        <v>0.6435104836061728</v>
      </c>
      <c r="R218" s="150">
        <f t="shared" si="44"/>
        <v>1.5464480874316942</v>
      </c>
      <c r="S218" s="150">
        <f t="shared" si="45"/>
        <v>1.4901960784313726</v>
      </c>
      <c r="T218" s="150">
        <f t="shared" si="46"/>
        <v>2.69</v>
      </c>
      <c r="U218" s="152">
        <f t="shared" si="37"/>
        <v>-1</v>
      </c>
      <c r="V218" s="143"/>
      <c r="W218" s="102">
        <f t="shared" si="47"/>
        <v>0</v>
      </c>
      <c r="X218" s="102" t="str">
        <f t="shared" si="48"/>
        <v/>
      </c>
      <c r="Y218" s="102"/>
      <c r="Z218" s="102"/>
      <c r="AA218" s="102"/>
      <c r="AB218" s="102"/>
      <c r="AC218" s="102"/>
      <c r="AD218" s="102"/>
      <c r="AE218" s="102"/>
      <c r="AF218" s="138"/>
      <c r="AG218" s="138"/>
      <c r="AH218" s="102"/>
      <c r="AI218" s="102"/>
      <c r="AJ218" s="102"/>
      <c r="AK218" s="102"/>
      <c r="AL218" s="102"/>
      <c r="AM218" s="102"/>
    </row>
    <row r="219" spans="1:39">
      <c r="A219" s="143" t="s">
        <v>238</v>
      </c>
      <c r="B219" s="143" t="s">
        <v>363</v>
      </c>
      <c r="C219" s="145">
        <v>45847</v>
      </c>
      <c r="D219" s="143" t="s">
        <v>584</v>
      </c>
      <c r="E219" s="146" t="s">
        <v>592</v>
      </c>
      <c r="F219" s="147">
        <v>-186</v>
      </c>
      <c r="G219" s="147">
        <v>-138</v>
      </c>
      <c r="H219" s="148">
        <v>-141</v>
      </c>
      <c r="I219" s="143">
        <v>120</v>
      </c>
      <c r="J219" s="143">
        <v>1</v>
      </c>
      <c r="K219" s="149" t="s">
        <v>350</v>
      </c>
      <c r="L219" s="150">
        <f t="shared" si="38"/>
        <v>0.7246376811594204</v>
      </c>
      <c r="M219" s="150">
        <f t="shared" si="39"/>
        <v>0.7092198581560285</v>
      </c>
      <c r="N219" s="151">
        <f t="shared" si="40"/>
        <v>9.0203860725238724E-3</v>
      </c>
      <c r="O219" s="151">
        <f t="shared" si="41"/>
        <v>8.7577516822799906E-2</v>
      </c>
      <c r="P219" s="151">
        <f t="shared" si="42"/>
        <v>0.65034965034965031</v>
      </c>
      <c r="Q219" s="151">
        <f t="shared" si="43"/>
        <v>0.5627721335268504</v>
      </c>
      <c r="R219" s="150">
        <f t="shared" si="44"/>
        <v>1.7246376811594204</v>
      </c>
      <c r="S219" s="150">
        <f t="shared" si="45"/>
        <v>1.7092198581560285</v>
      </c>
      <c r="T219" s="150">
        <f t="shared" si="46"/>
        <v>2.2000000000000002</v>
      </c>
      <c r="U219" s="152">
        <f t="shared" si="37"/>
        <v>0.7246376811594204</v>
      </c>
      <c r="V219" s="143"/>
      <c r="W219" s="102">
        <f t="shared" si="47"/>
        <v>1</v>
      </c>
      <c r="X219" s="102" t="str">
        <f t="shared" si="48"/>
        <v/>
      </c>
      <c r="Y219" s="102"/>
      <c r="Z219" s="102"/>
      <c r="AA219" s="102"/>
      <c r="AB219" s="102"/>
      <c r="AC219" s="102"/>
      <c r="AD219" s="102"/>
      <c r="AE219" s="102"/>
      <c r="AF219" s="138"/>
      <c r="AG219" s="138"/>
      <c r="AH219" s="102"/>
      <c r="AI219" s="102"/>
      <c r="AJ219" s="102"/>
      <c r="AK219" s="102"/>
      <c r="AL219" s="102"/>
      <c r="AM219" s="102"/>
    </row>
    <row r="220" spans="1:39">
      <c r="A220" s="143" t="s">
        <v>238</v>
      </c>
      <c r="B220" s="143" t="s">
        <v>363</v>
      </c>
      <c r="C220" s="145">
        <v>45847</v>
      </c>
      <c r="D220" s="143" t="s">
        <v>593</v>
      </c>
      <c r="E220" s="146" t="s">
        <v>594</v>
      </c>
      <c r="F220" s="147">
        <v>-123</v>
      </c>
      <c r="G220" s="147">
        <v>115</v>
      </c>
      <c r="H220" s="148">
        <v>112</v>
      </c>
      <c r="I220" s="143">
        <v>-132</v>
      </c>
      <c r="J220" s="143">
        <v>1</v>
      </c>
      <c r="K220" s="149" t="s">
        <v>311</v>
      </c>
      <c r="L220" s="150">
        <f t="shared" si="38"/>
        <v>-1</v>
      </c>
      <c r="M220" s="150">
        <f t="shared" si="39"/>
        <v>-1</v>
      </c>
      <c r="N220" s="151">
        <f t="shared" si="40"/>
        <v>1.4150943396226323E-2</v>
      </c>
      <c r="O220" s="151">
        <f t="shared" si="41"/>
        <v>9.8302860899636635E-2</v>
      </c>
      <c r="P220" s="151">
        <f t="shared" si="42"/>
        <v>0.55156950672645744</v>
      </c>
      <c r="Q220" s="151">
        <f t="shared" si="43"/>
        <v>0.4532666458268208</v>
      </c>
      <c r="R220" s="150">
        <f t="shared" si="44"/>
        <v>2.15</v>
      </c>
      <c r="S220" s="150">
        <f t="shared" si="45"/>
        <v>2.12</v>
      </c>
      <c r="T220" s="150">
        <f t="shared" si="46"/>
        <v>1.7575757575757576</v>
      </c>
      <c r="U220" s="152">
        <f t="shared" si="37"/>
        <v>-1</v>
      </c>
      <c r="V220" s="143"/>
      <c r="W220" s="102">
        <f t="shared" si="47"/>
        <v>0</v>
      </c>
      <c r="X220" s="102" t="str">
        <f t="shared" si="48"/>
        <v/>
      </c>
      <c r="Y220" s="102"/>
      <c r="Z220" s="102"/>
      <c r="AA220" s="102"/>
      <c r="AB220" s="102"/>
      <c r="AC220" s="102"/>
      <c r="AD220" s="102"/>
      <c r="AE220" s="102"/>
      <c r="AF220" s="138"/>
      <c r="AG220" s="138"/>
      <c r="AH220" s="102"/>
      <c r="AI220" s="102"/>
      <c r="AJ220" s="102"/>
      <c r="AK220" s="102"/>
      <c r="AL220" s="102"/>
      <c r="AM220" s="102"/>
    </row>
    <row r="221" spans="1:39">
      <c r="A221" s="143" t="s">
        <v>238</v>
      </c>
      <c r="B221" s="143" t="s">
        <v>363</v>
      </c>
      <c r="C221" s="145">
        <v>45848</v>
      </c>
      <c r="D221" s="143" t="s">
        <v>587</v>
      </c>
      <c r="E221" s="146" t="s">
        <v>588</v>
      </c>
      <c r="F221" s="147">
        <v>-147</v>
      </c>
      <c r="G221" s="147">
        <v>120</v>
      </c>
      <c r="H221" s="148">
        <v>114</v>
      </c>
      <c r="I221" s="143">
        <v>-133</v>
      </c>
      <c r="J221" s="143">
        <v>1</v>
      </c>
      <c r="K221" s="149" t="s">
        <v>350</v>
      </c>
      <c r="L221" s="150">
        <f t="shared" si="38"/>
        <v>1.2000000000000002</v>
      </c>
      <c r="M221" s="150">
        <f t="shared" si="39"/>
        <v>1.1399999999999997</v>
      </c>
      <c r="N221" s="151">
        <f t="shared" si="40"/>
        <v>2.8037383177570242E-2</v>
      </c>
      <c r="O221" s="151">
        <f t="shared" si="41"/>
        <v>0.14500453414389458</v>
      </c>
      <c r="P221" s="151">
        <f t="shared" si="42"/>
        <v>0.59514170040485825</v>
      </c>
      <c r="Q221" s="151">
        <f t="shared" si="43"/>
        <v>0.45013716626096367</v>
      </c>
      <c r="R221" s="150">
        <f t="shared" si="44"/>
        <v>2.2000000000000002</v>
      </c>
      <c r="S221" s="150">
        <f t="shared" si="45"/>
        <v>2.1399999999999997</v>
      </c>
      <c r="T221" s="150">
        <f t="shared" si="46"/>
        <v>1.7518796992481203</v>
      </c>
      <c r="U221" s="152">
        <f t="shared" si="37"/>
        <v>1.2000000000000002</v>
      </c>
      <c r="V221" s="143"/>
      <c r="W221" s="102">
        <f t="shared" si="47"/>
        <v>1</v>
      </c>
      <c r="X221" s="102" t="str">
        <f t="shared" si="48"/>
        <v/>
      </c>
      <c r="Y221" s="102"/>
      <c r="Z221" s="102"/>
      <c r="AA221" s="102"/>
      <c r="AB221" s="102"/>
      <c r="AC221" s="102"/>
      <c r="AD221" s="102"/>
      <c r="AE221" s="102"/>
      <c r="AF221" s="138"/>
      <c r="AG221" s="138"/>
      <c r="AH221" s="102"/>
      <c r="AI221" s="102"/>
      <c r="AJ221" s="102"/>
      <c r="AK221" s="102"/>
      <c r="AL221" s="102"/>
      <c r="AM221" s="102"/>
    </row>
    <row r="222" spans="1:39">
      <c r="A222" s="143" t="s">
        <v>240</v>
      </c>
      <c r="B222" s="143" t="s">
        <v>363</v>
      </c>
      <c r="C222" s="145">
        <v>45848</v>
      </c>
      <c r="D222" s="143" t="s">
        <v>582</v>
      </c>
      <c r="E222" s="146" t="s">
        <v>583</v>
      </c>
      <c r="F222" s="147">
        <v>-118</v>
      </c>
      <c r="G222" s="147">
        <v>105</v>
      </c>
      <c r="H222" s="148">
        <v>106</v>
      </c>
      <c r="I222" s="143">
        <v>-123</v>
      </c>
      <c r="J222" s="143">
        <v>1</v>
      </c>
      <c r="K222" s="149" t="s">
        <v>311</v>
      </c>
      <c r="L222" s="150">
        <f t="shared" si="38"/>
        <v>-1</v>
      </c>
      <c r="M222" s="150">
        <f t="shared" si="39"/>
        <v>-1</v>
      </c>
      <c r="N222" s="151">
        <f t="shared" si="40"/>
        <v>-4.8543689320389126E-3</v>
      </c>
      <c r="O222" s="151">
        <f t="shared" si="41"/>
        <v>7.3170712918643688E-2</v>
      </c>
      <c r="P222" s="151">
        <f t="shared" si="42"/>
        <v>0.54128440366972475</v>
      </c>
      <c r="Q222" s="151">
        <f t="shared" si="43"/>
        <v>0.46811369075108106</v>
      </c>
      <c r="R222" s="150">
        <f t="shared" si="44"/>
        <v>2.0499999999999998</v>
      </c>
      <c r="S222" s="150">
        <f t="shared" si="45"/>
        <v>2.06</v>
      </c>
      <c r="T222" s="150">
        <f t="shared" si="46"/>
        <v>1.8130081300813008</v>
      </c>
      <c r="U222" s="152">
        <f t="shared" si="37"/>
        <v>-1</v>
      </c>
      <c r="V222" s="143"/>
      <c r="W222" s="102">
        <f t="shared" si="47"/>
        <v>0</v>
      </c>
      <c r="X222" s="102" t="str">
        <f t="shared" si="48"/>
        <v/>
      </c>
      <c r="Y222" s="102"/>
      <c r="Z222" s="102"/>
      <c r="AA222" s="102"/>
      <c r="AB222" s="102"/>
      <c r="AC222" s="102"/>
      <c r="AD222" s="102"/>
      <c r="AE222" s="102"/>
      <c r="AF222" s="138"/>
      <c r="AG222" s="138"/>
      <c r="AH222" s="102"/>
      <c r="AI222" s="102"/>
      <c r="AJ222" s="102"/>
      <c r="AK222" s="102"/>
      <c r="AL222" s="102"/>
      <c r="AM222" s="102"/>
    </row>
    <row r="223" spans="1:39">
      <c r="A223" s="143" t="s">
        <v>240</v>
      </c>
      <c r="B223" s="143" t="s">
        <v>361</v>
      </c>
      <c r="C223" s="145">
        <v>45848</v>
      </c>
      <c r="D223" s="143" t="s">
        <v>581</v>
      </c>
      <c r="E223" s="146" t="s">
        <v>436</v>
      </c>
      <c r="F223" s="147">
        <v>-136</v>
      </c>
      <c r="G223" s="147">
        <v>122</v>
      </c>
      <c r="H223" s="148">
        <v>125</v>
      </c>
      <c r="I223" s="143">
        <v>-145</v>
      </c>
      <c r="J223" s="143">
        <v>1</v>
      </c>
      <c r="K223" s="149" t="s">
        <v>350</v>
      </c>
      <c r="L223" s="150">
        <f t="shared" si="38"/>
        <v>1.2199999999999998</v>
      </c>
      <c r="M223" s="150">
        <f t="shared" si="39"/>
        <v>1.25</v>
      </c>
      <c r="N223" s="151">
        <f t="shared" si="40"/>
        <v>-1.3333333333333523E-2</v>
      </c>
      <c r="O223" s="151">
        <f t="shared" si="41"/>
        <v>0.14738716018247233</v>
      </c>
      <c r="P223" s="151">
        <f t="shared" si="42"/>
        <v>0.57627118644067798</v>
      </c>
      <c r="Q223" s="151">
        <f t="shared" si="43"/>
        <v>0.42888402625820565</v>
      </c>
      <c r="R223" s="150">
        <f t="shared" si="44"/>
        <v>2.2199999999999998</v>
      </c>
      <c r="S223" s="150">
        <f t="shared" si="45"/>
        <v>2.25</v>
      </c>
      <c r="T223" s="150">
        <f t="shared" si="46"/>
        <v>1.6896551724137931</v>
      </c>
      <c r="U223" s="152">
        <f t="shared" si="37"/>
        <v>1.2199999999999998</v>
      </c>
      <c r="V223" s="143"/>
      <c r="W223" s="102">
        <f t="shared" si="47"/>
        <v>1</v>
      </c>
      <c r="X223" s="153">
        <f t="shared" si="48"/>
        <v>1.2199999999999998</v>
      </c>
      <c r="Y223" s="102"/>
      <c r="Z223" s="102"/>
      <c r="AA223" s="102"/>
      <c r="AB223" s="102"/>
      <c r="AC223" s="102"/>
      <c r="AD223" s="102"/>
      <c r="AE223" s="102"/>
      <c r="AF223" s="138"/>
      <c r="AG223" s="138"/>
      <c r="AH223" s="102"/>
      <c r="AI223" s="102"/>
      <c r="AJ223" s="102"/>
      <c r="AK223" s="102"/>
      <c r="AL223" s="102"/>
      <c r="AM223" s="102"/>
    </row>
    <row r="224" spans="1:39">
      <c r="A224" s="143" t="s">
        <v>238</v>
      </c>
      <c r="B224" s="143" t="s">
        <v>363</v>
      </c>
      <c r="C224" s="145">
        <v>45848</v>
      </c>
      <c r="D224" s="143" t="s">
        <v>500</v>
      </c>
      <c r="E224" s="146" t="s">
        <v>595</v>
      </c>
      <c r="F224" s="147">
        <v>-186</v>
      </c>
      <c r="G224" s="147">
        <v>-145</v>
      </c>
      <c r="H224" s="148">
        <v>-141</v>
      </c>
      <c r="I224" s="143">
        <v>119</v>
      </c>
      <c r="J224" s="143">
        <v>1</v>
      </c>
      <c r="K224" s="149" t="s">
        <v>350</v>
      </c>
      <c r="L224" s="150">
        <f t="shared" si="38"/>
        <v>0.68965517241379315</v>
      </c>
      <c r="M224" s="150">
        <f t="shared" si="39"/>
        <v>0.7092198581560285</v>
      </c>
      <c r="N224" s="151">
        <f t="shared" si="40"/>
        <v>-1.144655887823735E-2</v>
      </c>
      <c r="O224" s="151">
        <f t="shared" si="41"/>
        <v>8.8698838221383136E-2</v>
      </c>
      <c r="P224" s="151">
        <f t="shared" si="42"/>
        <v>0.65034965034965031</v>
      </c>
      <c r="Q224" s="151">
        <f t="shared" si="43"/>
        <v>0.56165081212826717</v>
      </c>
      <c r="R224" s="150">
        <f t="shared" si="44"/>
        <v>1.6896551724137931</v>
      </c>
      <c r="S224" s="150">
        <f t="shared" si="45"/>
        <v>1.7092198581560285</v>
      </c>
      <c r="T224" s="150">
        <f t="shared" si="46"/>
        <v>2.19</v>
      </c>
      <c r="U224" s="152">
        <f t="shared" si="37"/>
        <v>0.68965517241379315</v>
      </c>
      <c r="V224" s="143"/>
      <c r="W224" s="102">
        <f t="shared" si="47"/>
        <v>1</v>
      </c>
      <c r="X224" s="102" t="str">
        <f t="shared" si="48"/>
        <v/>
      </c>
      <c r="Y224" s="102"/>
      <c r="Z224" s="102"/>
      <c r="AA224" s="102"/>
      <c r="AB224" s="102"/>
      <c r="AC224" s="102"/>
      <c r="AD224" s="102"/>
      <c r="AE224" s="102"/>
      <c r="AF224" s="138"/>
      <c r="AG224" s="138"/>
      <c r="AH224" s="102"/>
      <c r="AI224" s="102"/>
      <c r="AJ224" s="102"/>
      <c r="AK224" s="102"/>
      <c r="AL224" s="102"/>
      <c r="AM224" s="102"/>
    </row>
    <row r="225" spans="1:39">
      <c r="A225" s="143" t="s">
        <v>240</v>
      </c>
      <c r="B225" s="143" t="s">
        <v>361</v>
      </c>
      <c r="C225" s="145">
        <v>45848</v>
      </c>
      <c r="D225" s="143" t="s">
        <v>584</v>
      </c>
      <c r="E225" s="146" t="s">
        <v>439</v>
      </c>
      <c r="F225" s="147">
        <v>-144</v>
      </c>
      <c r="G225" s="147">
        <v>-105</v>
      </c>
      <c r="H225" s="148">
        <v>-104</v>
      </c>
      <c r="I225" s="143">
        <v>-110</v>
      </c>
      <c r="J225" s="143">
        <v>1</v>
      </c>
      <c r="K225" s="149" t="s">
        <v>350</v>
      </c>
      <c r="L225" s="150">
        <f t="shared" si="38"/>
        <v>0.95238095238095233</v>
      </c>
      <c r="M225" s="150">
        <f t="shared" si="39"/>
        <v>0.96153846153846168</v>
      </c>
      <c r="N225" s="151">
        <f t="shared" si="40"/>
        <v>-4.6685340802988754E-3</v>
      </c>
      <c r="O225" s="151">
        <f t="shared" si="41"/>
        <v>9.6939002176906985E-2</v>
      </c>
      <c r="P225" s="151">
        <f t="shared" si="42"/>
        <v>0.5901639344262295</v>
      </c>
      <c r="Q225" s="151">
        <f t="shared" si="43"/>
        <v>0.49322493224932251</v>
      </c>
      <c r="R225" s="150">
        <f t="shared" si="44"/>
        <v>1.9523809523809523</v>
      </c>
      <c r="S225" s="150">
        <f t="shared" si="45"/>
        <v>1.9615384615384617</v>
      </c>
      <c r="T225" s="150">
        <f t="shared" si="46"/>
        <v>1.9090909090909092</v>
      </c>
      <c r="U225" s="152">
        <f t="shared" si="37"/>
        <v>0.95238095238095233</v>
      </c>
      <c r="V225" s="143"/>
      <c r="W225" s="102">
        <f t="shared" si="47"/>
        <v>1</v>
      </c>
      <c r="X225" s="153">
        <f t="shared" si="48"/>
        <v>0.95238095238095233</v>
      </c>
      <c r="Y225" s="102"/>
      <c r="Z225" s="102"/>
      <c r="AA225" s="102"/>
      <c r="AB225" s="102"/>
      <c r="AC225" s="102"/>
      <c r="AD225" s="102"/>
      <c r="AE225" s="102"/>
      <c r="AF225" s="138"/>
      <c r="AG225" s="138"/>
      <c r="AH225" s="102"/>
      <c r="AI225" s="102"/>
      <c r="AJ225" s="102"/>
      <c r="AK225" s="102"/>
      <c r="AL225" s="102"/>
      <c r="AM225" s="102"/>
    </row>
    <row r="226" spans="1:39">
      <c r="A226" s="143" t="s">
        <v>240</v>
      </c>
      <c r="B226" s="143" t="s">
        <v>361</v>
      </c>
      <c r="C226" s="145">
        <v>45849</v>
      </c>
      <c r="D226" s="143" t="s">
        <v>596</v>
      </c>
      <c r="E226" s="146" t="s">
        <v>397</v>
      </c>
      <c r="F226" s="147">
        <v>-103</v>
      </c>
      <c r="G226" s="147">
        <v>140</v>
      </c>
      <c r="H226" s="148">
        <v>148</v>
      </c>
      <c r="I226" s="143">
        <v>-172</v>
      </c>
      <c r="J226" s="143">
        <v>1</v>
      </c>
      <c r="K226" s="149" t="s">
        <v>311</v>
      </c>
      <c r="L226" s="150">
        <f t="shared" si="38"/>
        <v>-1</v>
      </c>
      <c r="M226" s="150">
        <f t="shared" si="39"/>
        <v>-1</v>
      </c>
      <c r="N226" s="151">
        <f t="shared" si="40"/>
        <v>-3.2258064516129004E-2</v>
      </c>
      <c r="O226" s="151">
        <f t="shared" si="41"/>
        <v>0.11801673929084805</v>
      </c>
      <c r="P226" s="151">
        <f t="shared" si="42"/>
        <v>0.5073891625615764</v>
      </c>
      <c r="Q226" s="151">
        <f t="shared" si="43"/>
        <v>0.38937242327072835</v>
      </c>
      <c r="R226" s="150">
        <f t="shared" si="44"/>
        <v>2.4</v>
      </c>
      <c r="S226" s="150">
        <f t="shared" si="45"/>
        <v>2.48</v>
      </c>
      <c r="T226" s="150">
        <f t="shared" si="46"/>
        <v>1.5813953488372094</v>
      </c>
      <c r="U226" s="152">
        <f t="shared" si="37"/>
        <v>-1</v>
      </c>
      <c r="V226" s="143"/>
      <c r="W226" s="102">
        <f t="shared" si="47"/>
        <v>0</v>
      </c>
      <c r="X226" s="153">
        <f t="shared" si="48"/>
        <v>-1</v>
      </c>
      <c r="Y226" s="102"/>
      <c r="Z226" s="102"/>
      <c r="AA226" s="102"/>
      <c r="AB226" s="102"/>
      <c r="AC226" s="102"/>
      <c r="AD226" s="102"/>
      <c r="AE226" s="102"/>
      <c r="AF226" s="138"/>
      <c r="AG226" s="138"/>
      <c r="AH226" s="102"/>
      <c r="AI226" s="102"/>
      <c r="AJ226" s="102"/>
      <c r="AK226" s="102"/>
      <c r="AL226" s="102"/>
      <c r="AM226" s="102"/>
    </row>
    <row r="227" spans="1:39">
      <c r="A227" s="143" t="s">
        <v>238</v>
      </c>
      <c r="B227" s="143" t="s">
        <v>361</v>
      </c>
      <c r="C227" s="145">
        <v>45849</v>
      </c>
      <c r="D227" s="143" t="s">
        <v>597</v>
      </c>
      <c r="E227" s="146" t="s">
        <v>454</v>
      </c>
      <c r="F227" s="147">
        <v>-124</v>
      </c>
      <c r="G227" s="147">
        <v>115</v>
      </c>
      <c r="H227" s="148">
        <v>107</v>
      </c>
      <c r="I227" s="143">
        <v>-131</v>
      </c>
      <c r="J227" s="143">
        <v>1</v>
      </c>
      <c r="K227" s="149" t="s">
        <v>351</v>
      </c>
      <c r="L227" s="150">
        <f t="shared" si="38"/>
        <v>0</v>
      </c>
      <c r="M227" s="150">
        <f t="shared" si="39"/>
        <v>0</v>
      </c>
      <c r="N227" s="151">
        <f t="shared" si="40"/>
        <v>3.8647342995168935E-2</v>
      </c>
      <c r="O227" s="151">
        <f t="shared" si="41"/>
        <v>9.3567844127913524E-2</v>
      </c>
      <c r="P227" s="151">
        <f t="shared" si="42"/>
        <v>0.5535714285714286</v>
      </c>
      <c r="Q227" s="151">
        <f t="shared" si="43"/>
        <v>0.46000358444351508</v>
      </c>
      <c r="R227" s="150">
        <f t="shared" si="44"/>
        <v>2.15</v>
      </c>
      <c r="S227" s="150">
        <f t="shared" si="45"/>
        <v>2.0700000000000003</v>
      </c>
      <c r="T227" s="150">
        <f t="shared" si="46"/>
        <v>1.7633587786259541</v>
      </c>
      <c r="U227" s="152">
        <f t="shared" si="37"/>
        <v>0</v>
      </c>
      <c r="V227" s="143"/>
      <c r="W227" s="102">
        <f t="shared" si="47"/>
        <v>2</v>
      </c>
      <c r="X227" s="153">
        <f t="shared" si="48"/>
        <v>0</v>
      </c>
      <c r="Y227" s="102"/>
      <c r="Z227" s="102"/>
      <c r="AA227" s="102"/>
      <c r="AB227" s="102"/>
      <c r="AC227" s="102"/>
      <c r="AD227" s="102"/>
      <c r="AE227" s="102"/>
      <c r="AF227" s="138"/>
      <c r="AG227" s="138"/>
      <c r="AH227" s="102"/>
      <c r="AI227" s="102"/>
      <c r="AJ227" s="102"/>
      <c r="AK227" s="102"/>
      <c r="AL227" s="102"/>
      <c r="AM227" s="102"/>
    </row>
    <row r="228" spans="1:39">
      <c r="A228" s="143" t="s">
        <v>238</v>
      </c>
      <c r="B228" s="143" t="s">
        <v>361</v>
      </c>
      <c r="C228" s="145">
        <v>45849</v>
      </c>
      <c r="D228" s="143" t="s">
        <v>598</v>
      </c>
      <c r="E228" s="146" t="s">
        <v>508</v>
      </c>
      <c r="F228" s="147">
        <v>134</v>
      </c>
      <c r="G228" s="147">
        <v>203</v>
      </c>
      <c r="H228" s="148">
        <v>200</v>
      </c>
      <c r="I228" s="143">
        <v>-244</v>
      </c>
      <c r="J228" s="143">
        <v>1</v>
      </c>
      <c r="K228" s="149" t="s">
        <v>350</v>
      </c>
      <c r="L228" s="150">
        <f t="shared" si="38"/>
        <v>2.0299999999999998</v>
      </c>
      <c r="M228" s="150">
        <f t="shared" si="39"/>
        <v>2</v>
      </c>
      <c r="N228" s="151">
        <f t="shared" si="40"/>
        <v>9.9999999999999534E-3</v>
      </c>
      <c r="O228" s="151">
        <f t="shared" si="41"/>
        <v>0.10764782511994408</v>
      </c>
      <c r="P228" s="151">
        <f t="shared" si="42"/>
        <v>0.42735042735042733</v>
      </c>
      <c r="Q228" s="151">
        <f t="shared" si="43"/>
        <v>0.31970260223048325</v>
      </c>
      <c r="R228" s="150">
        <f t="shared" si="44"/>
        <v>3.03</v>
      </c>
      <c r="S228" s="150">
        <f t="shared" si="45"/>
        <v>3</v>
      </c>
      <c r="T228" s="150">
        <f t="shared" si="46"/>
        <v>1.4098360655737705</v>
      </c>
      <c r="U228" s="152">
        <f t="shared" si="37"/>
        <v>2.0299999999999998</v>
      </c>
      <c r="V228" s="143"/>
      <c r="W228" s="102">
        <f t="shared" si="47"/>
        <v>1</v>
      </c>
      <c r="X228" s="153">
        <f t="shared" si="48"/>
        <v>2.0299999999999998</v>
      </c>
      <c r="Y228" s="102"/>
      <c r="Z228" s="102"/>
      <c r="AA228" s="102"/>
      <c r="AB228" s="102"/>
      <c r="AC228" s="102"/>
      <c r="AD228" s="102"/>
      <c r="AE228" s="102"/>
      <c r="AF228" s="138"/>
      <c r="AG228" s="138"/>
      <c r="AH228" s="102"/>
      <c r="AI228" s="102"/>
      <c r="AJ228" s="102"/>
      <c r="AK228" s="102"/>
      <c r="AL228" s="102"/>
      <c r="AM228" s="102"/>
    </row>
    <row r="229" spans="1:39">
      <c r="A229" s="143" t="s">
        <v>238</v>
      </c>
      <c r="B229" s="143" t="s">
        <v>363</v>
      </c>
      <c r="C229" s="145">
        <v>45849</v>
      </c>
      <c r="D229" s="143" t="s">
        <v>599</v>
      </c>
      <c r="E229" s="146" t="s">
        <v>600</v>
      </c>
      <c r="F229" s="147">
        <v>-248</v>
      </c>
      <c r="G229" s="147">
        <v>-187</v>
      </c>
      <c r="H229" s="148">
        <v>-164</v>
      </c>
      <c r="I229" s="143">
        <v>138</v>
      </c>
      <c r="J229" s="143">
        <v>1</v>
      </c>
      <c r="K229" s="149" t="s">
        <v>350</v>
      </c>
      <c r="L229" s="150">
        <f t="shared" si="38"/>
        <v>0.53475935828876997</v>
      </c>
      <c r="M229" s="150">
        <f t="shared" si="39"/>
        <v>0.60975609756097571</v>
      </c>
      <c r="N229" s="151">
        <f t="shared" si="40"/>
        <v>-4.6588883487279333E-2</v>
      </c>
      <c r="O229" s="151">
        <f t="shared" si="41"/>
        <v>0.1161159852889303</v>
      </c>
      <c r="P229" s="151">
        <f t="shared" si="42"/>
        <v>0.71264367816091956</v>
      </c>
      <c r="Q229" s="151">
        <f t="shared" si="43"/>
        <v>0.59652769287198926</v>
      </c>
      <c r="R229" s="150">
        <f t="shared" si="44"/>
        <v>1.53475935828877</v>
      </c>
      <c r="S229" s="150">
        <f t="shared" si="45"/>
        <v>1.6097560975609757</v>
      </c>
      <c r="T229" s="150">
        <f t="shared" si="46"/>
        <v>2.38</v>
      </c>
      <c r="U229" s="152">
        <f t="shared" si="37"/>
        <v>0.53475935828876997</v>
      </c>
      <c r="V229" s="143"/>
      <c r="W229" s="102">
        <f t="shared" si="47"/>
        <v>1</v>
      </c>
      <c r="X229" s="102" t="str">
        <f t="shared" si="48"/>
        <v/>
      </c>
      <c r="Y229" s="102"/>
      <c r="Z229" s="102"/>
      <c r="AA229" s="102"/>
      <c r="AB229" s="102"/>
      <c r="AC229" s="102"/>
      <c r="AD229" s="102"/>
      <c r="AE229" s="102"/>
      <c r="AF229" s="138"/>
      <c r="AG229" s="138"/>
      <c r="AH229" s="102"/>
      <c r="AI229" s="102"/>
      <c r="AJ229" s="102"/>
      <c r="AK229" s="102"/>
      <c r="AL229" s="102"/>
      <c r="AM229" s="102"/>
    </row>
    <row r="230" spans="1:39">
      <c r="A230" s="143" t="s">
        <v>238</v>
      </c>
      <c r="B230" s="143" t="s">
        <v>363</v>
      </c>
      <c r="C230" s="145">
        <v>45849</v>
      </c>
      <c r="D230" s="143" t="s">
        <v>601</v>
      </c>
      <c r="E230" s="146" t="s">
        <v>602</v>
      </c>
      <c r="F230" s="147">
        <v>-228</v>
      </c>
      <c r="G230" s="147">
        <v>-158</v>
      </c>
      <c r="H230" s="148">
        <v>-145</v>
      </c>
      <c r="I230" s="143">
        <v>124</v>
      </c>
      <c r="J230" s="143">
        <v>1</v>
      </c>
      <c r="K230" s="149" t="s">
        <v>311</v>
      </c>
      <c r="L230" s="150">
        <f t="shared" si="38"/>
        <v>-1</v>
      </c>
      <c r="M230" s="150">
        <f t="shared" si="39"/>
        <v>-1</v>
      </c>
      <c r="N230" s="151">
        <f t="shared" si="40"/>
        <v>-3.3583053474554356E-2</v>
      </c>
      <c r="O230" s="151">
        <f t="shared" si="41"/>
        <v>0.12509738119494207</v>
      </c>
      <c r="P230" s="151">
        <f t="shared" si="42"/>
        <v>0.69512195121951215</v>
      </c>
      <c r="Q230" s="151">
        <f t="shared" si="43"/>
        <v>0.57002457002457008</v>
      </c>
      <c r="R230" s="150">
        <f t="shared" si="44"/>
        <v>1.6329113924050633</v>
      </c>
      <c r="S230" s="150">
        <f t="shared" si="45"/>
        <v>1.6896551724137931</v>
      </c>
      <c r="T230" s="150">
        <f t="shared" si="46"/>
        <v>2.2400000000000002</v>
      </c>
      <c r="U230" s="152">
        <f t="shared" si="37"/>
        <v>-1</v>
      </c>
      <c r="V230" s="143"/>
      <c r="W230" s="102">
        <f t="shared" si="47"/>
        <v>0</v>
      </c>
      <c r="X230" s="102" t="str">
        <f t="shared" si="48"/>
        <v/>
      </c>
      <c r="Y230" s="102"/>
      <c r="Z230" s="102"/>
      <c r="AA230" s="102"/>
      <c r="AB230" s="102"/>
      <c r="AC230" s="102"/>
      <c r="AD230" s="102"/>
      <c r="AE230" s="102"/>
      <c r="AF230" s="138"/>
      <c r="AG230" s="138"/>
      <c r="AH230" s="102"/>
      <c r="AI230" s="102"/>
      <c r="AJ230" s="102"/>
      <c r="AK230" s="102"/>
      <c r="AL230" s="102"/>
      <c r="AM230" s="102"/>
    </row>
    <row r="231" spans="1:39">
      <c r="A231" s="143" t="s">
        <v>238</v>
      </c>
      <c r="B231" s="143" t="s">
        <v>361</v>
      </c>
      <c r="C231" s="145">
        <v>45849</v>
      </c>
      <c r="D231" s="143" t="s">
        <v>603</v>
      </c>
      <c r="E231" s="146" t="s">
        <v>439</v>
      </c>
      <c r="F231" s="147">
        <v>-143</v>
      </c>
      <c r="G231" s="147">
        <v>100</v>
      </c>
      <c r="H231" s="148">
        <v>100</v>
      </c>
      <c r="I231" s="143">
        <v>-115</v>
      </c>
      <c r="J231" s="143">
        <v>1</v>
      </c>
      <c r="K231" s="149" t="s">
        <v>350</v>
      </c>
      <c r="L231" s="150">
        <f t="shared" si="38"/>
        <v>1</v>
      </c>
      <c r="M231" s="150">
        <f t="shared" si="39"/>
        <v>1</v>
      </c>
      <c r="N231" s="151">
        <f t="shared" si="40"/>
        <v>0</v>
      </c>
      <c r="O231" s="151">
        <f t="shared" si="41"/>
        <v>0.10533129883941372</v>
      </c>
      <c r="P231" s="151">
        <f t="shared" si="42"/>
        <v>0.58847736625514402</v>
      </c>
      <c r="Q231" s="151">
        <f t="shared" si="43"/>
        <v>0.4831460674157303</v>
      </c>
      <c r="R231" s="150">
        <f t="shared" si="44"/>
        <v>2</v>
      </c>
      <c r="S231" s="150">
        <f t="shared" si="45"/>
        <v>2</v>
      </c>
      <c r="T231" s="150">
        <f t="shared" si="46"/>
        <v>1.8695652173913042</v>
      </c>
      <c r="U231" s="152">
        <f t="shared" si="37"/>
        <v>1</v>
      </c>
      <c r="V231" s="143"/>
      <c r="W231" s="102">
        <f t="shared" si="47"/>
        <v>1</v>
      </c>
      <c r="X231" s="153">
        <f t="shared" si="48"/>
        <v>1</v>
      </c>
      <c r="Y231" s="102"/>
      <c r="Z231" s="102"/>
      <c r="AA231" s="102"/>
      <c r="AB231" s="102"/>
      <c r="AC231" s="102"/>
      <c r="AD231" s="102"/>
      <c r="AE231" s="102"/>
      <c r="AF231" s="138"/>
      <c r="AG231" s="138"/>
      <c r="AH231" s="102"/>
      <c r="AI231" s="102"/>
      <c r="AJ231" s="102"/>
      <c r="AK231" s="102"/>
      <c r="AL231" s="102"/>
      <c r="AM231" s="102"/>
    </row>
    <row r="232" spans="1:39">
      <c r="A232" s="143" t="s">
        <v>238</v>
      </c>
      <c r="B232" s="143" t="s">
        <v>363</v>
      </c>
      <c r="C232" s="145">
        <v>45849</v>
      </c>
      <c r="D232" s="143" t="s">
        <v>604</v>
      </c>
      <c r="E232" s="146" t="s">
        <v>605</v>
      </c>
      <c r="F232" s="147">
        <v>-119</v>
      </c>
      <c r="G232" s="147">
        <v>109</v>
      </c>
      <c r="H232" s="148">
        <v>119</v>
      </c>
      <c r="I232" s="143">
        <v>-141</v>
      </c>
      <c r="J232" s="143">
        <v>1</v>
      </c>
      <c r="K232" s="149" t="s">
        <v>311</v>
      </c>
      <c r="L232" s="150">
        <f t="shared" si="38"/>
        <v>-1</v>
      </c>
      <c r="M232" s="150">
        <f t="shared" si="39"/>
        <v>-1</v>
      </c>
      <c r="N232" s="151">
        <f t="shared" si="40"/>
        <v>-4.5662100456621051E-2</v>
      </c>
      <c r="O232" s="151">
        <f t="shared" si="41"/>
        <v>0.10502980756205704</v>
      </c>
      <c r="P232" s="151">
        <f t="shared" si="42"/>
        <v>0.54337899543378998</v>
      </c>
      <c r="Q232" s="151">
        <f t="shared" si="43"/>
        <v>0.43834918787173294</v>
      </c>
      <c r="R232" s="150">
        <f t="shared" si="44"/>
        <v>2.09</v>
      </c>
      <c r="S232" s="150">
        <f t="shared" si="45"/>
        <v>2.19</v>
      </c>
      <c r="T232" s="150">
        <f t="shared" si="46"/>
        <v>1.7092198581560285</v>
      </c>
      <c r="U232" s="152">
        <f t="shared" ref="U232:U295" si="49">IF(K232="W",R232 - 1, IF(K232="L", -1, 0))</f>
        <v>-1</v>
      </c>
      <c r="V232" s="143"/>
      <c r="W232" s="102">
        <f t="shared" si="47"/>
        <v>0</v>
      </c>
      <c r="X232" s="102" t="str">
        <f t="shared" si="48"/>
        <v/>
      </c>
      <c r="Y232" s="102"/>
      <c r="Z232" s="102"/>
      <c r="AA232" s="102"/>
      <c r="AB232" s="102"/>
      <c r="AC232" s="102"/>
      <c r="AD232" s="102"/>
      <c r="AE232" s="102"/>
      <c r="AF232" s="138"/>
      <c r="AG232" s="138"/>
      <c r="AH232" s="102"/>
      <c r="AI232" s="102"/>
      <c r="AJ232" s="102"/>
      <c r="AK232" s="102"/>
      <c r="AL232" s="102"/>
      <c r="AM232" s="102"/>
    </row>
    <row r="233" spans="1:39">
      <c r="A233" s="143" t="s">
        <v>238</v>
      </c>
      <c r="B233" s="143" t="s">
        <v>363</v>
      </c>
      <c r="C233" s="145">
        <v>45850</v>
      </c>
      <c r="D233" s="143" t="s">
        <v>606</v>
      </c>
      <c r="E233" s="146" t="s">
        <v>607</v>
      </c>
      <c r="F233" s="147">
        <v>-261</v>
      </c>
      <c r="G233" s="147">
        <v>-224</v>
      </c>
      <c r="H233" s="148">
        <v>-222</v>
      </c>
      <c r="I233" s="143">
        <v>183</v>
      </c>
      <c r="J233" s="143">
        <v>1</v>
      </c>
      <c r="K233" s="149" t="s">
        <v>350</v>
      </c>
      <c r="L233" s="150">
        <f t="shared" si="38"/>
        <v>0.4464285714285714</v>
      </c>
      <c r="M233" s="150">
        <f t="shared" si="39"/>
        <v>0.45045045045045051</v>
      </c>
      <c r="N233" s="151">
        <f t="shared" si="40"/>
        <v>-2.7728482697426692E-3</v>
      </c>
      <c r="O233" s="151">
        <f t="shared" si="41"/>
        <v>6.1846319010053108E-2</v>
      </c>
      <c r="P233" s="151">
        <f t="shared" si="42"/>
        <v>0.7229916897506925</v>
      </c>
      <c r="Q233" s="151">
        <f t="shared" si="43"/>
        <v>0.66114537074063939</v>
      </c>
      <c r="R233" s="150">
        <f t="shared" si="44"/>
        <v>1.4464285714285714</v>
      </c>
      <c r="S233" s="150">
        <f t="shared" si="45"/>
        <v>1.4504504504504505</v>
      </c>
      <c r="T233" s="150">
        <f t="shared" si="46"/>
        <v>2.83</v>
      </c>
      <c r="U233" s="152">
        <f t="shared" si="49"/>
        <v>0.4464285714285714</v>
      </c>
      <c r="V233" s="143"/>
      <c r="W233" s="102">
        <f t="shared" si="47"/>
        <v>1</v>
      </c>
      <c r="X233" s="102" t="str">
        <f t="shared" si="48"/>
        <v/>
      </c>
      <c r="Y233" s="102"/>
      <c r="Z233" s="102"/>
      <c r="AA233" s="102"/>
      <c r="AB233" s="102"/>
      <c r="AC233" s="102"/>
      <c r="AD233" s="102"/>
      <c r="AE233" s="102"/>
      <c r="AF233" s="138"/>
      <c r="AG233" s="138"/>
      <c r="AH233" s="102"/>
      <c r="AI233" s="102"/>
      <c r="AJ233" s="102"/>
      <c r="AK233" s="102"/>
      <c r="AL233" s="102"/>
      <c r="AM233" s="102"/>
    </row>
    <row r="234" spans="1:39">
      <c r="A234" s="143" t="s">
        <v>238</v>
      </c>
      <c r="B234" s="143" t="s">
        <v>363</v>
      </c>
      <c r="C234" s="145">
        <v>45850</v>
      </c>
      <c r="D234" s="143" t="s">
        <v>608</v>
      </c>
      <c r="E234" s="146" t="s">
        <v>609</v>
      </c>
      <c r="F234" s="147">
        <v>-325</v>
      </c>
      <c r="G234" s="147">
        <v>-258</v>
      </c>
      <c r="H234" s="148">
        <v>-294</v>
      </c>
      <c r="I234" s="143">
        <v>234</v>
      </c>
      <c r="J234" s="143">
        <v>1</v>
      </c>
      <c r="K234" s="149" t="s">
        <v>350</v>
      </c>
      <c r="L234" s="150">
        <f t="shared" si="38"/>
        <v>0.38759689922480622</v>
      </c>
      <c r="M234" s="150">
        <f t="shared" si="39"/>
        <v>0.34013605442176864</v>
      </c>
      <c r="N234" s="151">
        <f t="shared" si="40"/>
        <v>3.5414945106835162E-2</v>
      </c>
      <c r="O234" s="151">
        <f t="shared" si="41"/>
        <v>5.1051415653327825E-2</v>
      </c>
      <c r="P234" s="151">
        <f t="shared" si="42"/>
        <v>0.76470588235294112</v>
      </c>
      <c r="Q234" s="151">
        <f t="shared" si="43"/>
        <v>0.7136544666996133</v>
      </c>
      <c r="R234" s="150">
        <f t="shared" si="44"/>
        <v>1.3875968992248062</v>
      </c>
      <c r="S234" s="150">
        <f t="shared" si="45"/>
        <v>1.3401360544217686</v>
      </c>
      <c r="T234" s="150">
        <f t="shared" si="46"/>
        <v>3.34</v>
      </c>
      <c r="U234" s="152">
        <f t="shared" si="49"/>
        <v>0.38759689922480622</v>
      </c>
      <c r="V234" s="143"/>
      <c r="W234" s="102">
        <f t="shared" si="47"/>
        <v>1</v>
      </c>
      <c r="X234" s="102" t="str">
        <f t="shared" si="48"/>
        <v/>
      </c>
      <c r="Y234" s="102"/>
      <c r="Z234" s="102"/>
      <c r="AA234" s="102"/>
      <c r="AB234" s="102"/>
      <c r="AC234" s="102"/>
      <c r="AD234" s="102"/>
      <c r="AE234" s="102"/>
      <c r="AF234" s="138"/>
      <c r="AG234" s="138"/>
      <c r="AH234" s="102"/>
      <c r="AI234" s="102"/>
      <c r="AJ234" s="102"/>
      <c r="AK234" s="102"/>
      <c r="AL234" s="102"/>
      <c r="AM234" s="102"/>
    </row>
    <row r="235" spans="1:39">
      <c r="A235" s="143" t="s">
        <v>238</v>
      </c>
      <c r="B235" s="143" t="s">
        <v>361</v>
      </c>
      <c r="C235" s="145">
        <v>45850</v>
      </c>
      <c r="D235" s="143" t="s">
        <v>610</v>
      </c>
      <c r="E235" s="146" t="s">
        <v>559</v>
      </c>
      <c r="F235" s="147">
        <v>105</v>
      </c>
      <c r="G235" s="147">
        <v>137</v>
      </c>
      <c r="H235" s="148">
        <v>133</v>
      </c>
      <c r="I235" s="143">
        <v>-154</v>
      </c>
      <c r="J235" s="143">
        <v>1</v>
      </c>
      <c r="K235" s="149" t="s">
        <v>311</v>
      </c>
      <c r="L235" s="150">
        <f t="shared" si="38"/>
        <v>-1</v>
      </c>
      <c r="M235" s="150">
        <f t="shared" si="39"/>
        <v>-1</v>
      </c>
      <c r="N235" s="151">
        <f t="shared" si="40"/>
        <v>1.7167381974249066E-2</v>
      </c>
      <c r="O235" s="151">
        <f t="shared" si="41"/>
        <v>7.332754375812417E-2</v>
      </c>
      <c r="P235" s="151">
        <f t="shared" si="42"/>
        <v>0.48780487804878048</v>
      </c>
      <c r="Q235" s="151">
        <f t="shared" si="43"/>
        <v>0.41447733429065631</v>
      </c>
      <c r="R235" s="150">
        <f t="shared" si="44"/>
        <v>2.37</v>
      </c>
      <c r="S235" s="150">
        <f t="shared" si="45"/>
        <v>2.33</v>
      </c>
      <c r="T235" s="150">
        <f t="shared" si="46"/>
        <v>1.6493506493506493</v>
      </c>
      <c r="U235" s="152">
        <f t="shared" si="49"/>
        <v>-1</v>
      </c>
      <c r="V235" s="143"/>
      <c r="W235" s="102">
        <f t="shared" si="47"/>
        <v>0</v>
      </c>
      <c r="X235" s="153">
        <f t="shared" si="48"/>
        <v>-1</v>
      </c>
      <c r="Y235" s="102"/>
      <c r="Z235" s="102"/>
      <c r="AA235" s="102"/>
      <c r="AB235" s="102"/>
      <c r="AC235" s="102"/>
      <c r="AD235" s="102"/>
      <c r="AE235" s="102"/>
      <c r="AF235" s="138"/>
      <c r="AG235" s="138"/>
      <c r="AH235" s="102"/>
      <c r="AI235" s="102"/>
      <c r="AJ235" s="102"/>
      <c r="AK235" s="102"/>
      <c r="AL235" s="102"/>
      <c r="AM235" s="102"/>
    </row>
    <row r="236" spans="1:39">
      <c r="A236" s="143" t="s">
        <v>240</v>
      </c>
      <c r="B236" s="143" t="s">
        <v>363</v>
      </c>
      <c r="C236" s="145">
        <v>45850</v>
      </c>
      <c r="D236" s="143" t="s">
        <v>603</v>
      </c>
      <c r="E236" s="146" t="s">
        <v>611</v>
      </c>
      <c r="F236" s="147">
        <v>-195</v>
      </c>
      <c r="G236" s="147">
        <v>-145</v>
      </c>
      <c r="H236" s="148">
        <v>-175</v>
      </c>
      <c r="I236" s="143">
        <v>148</v>
      </c>
      <c r="J236" s="143">
        <v>1</v>
      </c>
      <c r="K236" s="149" t="s">
        <v>311</v>
      </c>
      <c r="L236" s="150">
        <f t="shared" si="38"/>
        <v>-1</v>
      </c>
      <c r="M236" s="150">
        <f t="shared" si="39"/>
        <v>-1</v>
      </c>
      <c r="N236" s="151">
        <f t="shared" si="40"/>
        <v>7.5235109717868343E-2</v>
      </c>
      <c r="O236" s="151">
        <f t="shared" si="41"/>
        <v>4.8887188926872382E-2</v>
      </c>
      <c r="P236" s="151">
        <f t="shared" si="42"/>
        <v>0.66101694915254239</v>
      </c>
      <c r="Q236" s="151">
        <f t="shared" si="43"/>
        <v>0.61212976022567001</v>
      </c>
      <c r="R236" s="150">
        <f t="shared" si="44"/>
        <v>1.6896551724137931</v>
      </c>
      <c r="S236" s="150">
        <f t="shared" si="45"/>
        <v>1.5714285714285714</v>
      </c>
      <c r="T236" s="150">
        <f t="shared" si="46"/>
        <v>2.48</v>
      </c>
      <c r="U236" s="152">
        <f t="shared" si="49"/>
        <v>-1</v>
      </c>
      <c r="V236" s="143"/>
      <c r="W236" s="102">
        <f t="shared" si="47"/>
        <v>0</v>
      </c>
      <c r="X236" s="102" t="str">
        <f t="shared" si="48"/>
        <v/>
      </c>
      <c r="Y236" s="102"/>
      <c r="Z236" s="102"/>
      <c r="AA236" s="102"/>
      <c r="AB236" s="102"/>
      <c r="AC236" s="102"/>
      <c r="AD236" s="102"/>
      <c r="AE236" s="102"/>
      <c r="AF236" s="138"/>
      <c r="AG236" s="138"/>
      <c r="AH236" s="102"/>
      <c r="AI236" s="102"/>
      <c r="AJ236" s="102"/>
      <c r="AK236" s="102"/>
      <c r="AL236" s="102"/>
      <c r="AM236" s="102"/>
    </row>
    <row r="237" spans="1:39">
      <c r="A237" s="143" t="s">
        <v>238</v>
      </c>
      <c r="B237" s="143" t="s">
        <v>361</v>
      </c>
      <c r="C237" s="145">
        <v>45851</v>
      </c>
      <c r="D237" s="143" t="s">
        <v>612</v>
      </c>
      <c r="E237" s="146" t="s">
        <v>389</v>
      </c>
      <c r="F237" s="147">
        <v>-129</v>
      </c>
      <c r="G237" s="147">
        <v>-102</v>
      </c>
      <c r="H237" s="148">
        <v>-101</v>
      </c>
      <c r="I237" s="143">
        <v>-114</v>
      </c>
      <c r="J237" s="143">
        <v>1</v>
      </c>
      <c r="K237" s="149" t="s">
        <v>350</v>
      </c>
      <c r="L237" s="150">
        <f t="shared" si="38"/>
        <v>0.98039215686274517</v>
      </c>
      <c r="M237" s="150">
        <f t="shared" si="39"/>
        <v>0.99009900990099009</v>
      </c>
      <c r="N237" s="151">
        <f t="shared" si="40"/>
        <v>-4.8775729197150708E-3</v>
      </c>
      <c r="O237" s="151">
        <f t="shared" si="41"/>
        <v>7.7916333886180356E-2</v>
      </c>
      <c r="P237" s="151">
        <f t="shared" si="42"/>
        <v>0.5633187772925764</v>
      </c>
      <c r="Q237" s="151">
        <f t="shared" si="43"/>
        <v>0.48540244340639604</v>
      </c>
      <c r="R237" s="150">
        <f t="shared" si="44"/>
        <v>1.9803921568627452</v>
      </c>
      <c r="S237" s="150">
        <f t="shared" si="45"/>
        <v>1.9900990099009901</v>
      </c>
      <c r="T237" s="150">
        <f t="shared" si="46"/>
        <v>1.8771929824561404</v>
      </c>
      <c r="U237" s="152">
        <f t="shared" si="49"/>
        <v>0.98039215686274517</v>
      </c>
      <c r="V237" s="143"/>
      <c r="W237" s="102">
        <f t="shared" si="47"/>
        <v>1</v>
      </c>
      <c r="X237" s="153">
        <f t="shared" si="48"/>
        <v>0.98039215686274517</v>
      </c>
      <c r="Y237" s="102"/>
      <c r="Z237" s="102"/>
      <c r="AA237" s="102"/>
      <c r="AB237" s="102"/>
      <c r="AC237" s="102"/>
      <c r="AD237" s="102"/>
      <c r="AE237" s="102"/>
      <c r="AF237" s="138"/>
      <c r="AG237" s="138"/>
      <c r="AH237" s="102"/>
      <c r="AI237" s="102"/>
      <c r="AJ237" s="102"/>
      <c r="AK237" s="102"/>
      <c r="AL237" s="102"/>
      <c r="AM237" s="102"/>
    </row>
    <row r="238" spans="1:39">
      <c r="A238" s="143" t="s">
        <v>238</v>
      </c>
      <c r="B238" s="143" t="s">
        <v>363</v>
      </c>
      <c r="C238" s="145">
        <v>45851</v>
      </c>
      <c r="D238" s="143" t="s">
        <v>613</v>
      </c>
      <c r="E238" s="146" t="s">
        <v>614</v>
      </c>
      <c r="F238" s="147">
        <v>-170</v>
      </c>
      <c r="G238" s="147">
        <v>-131</v>
      </c>
      <c r="H238" s="148">
        <v>-135</v>
      </c>
      <c r="I238" s="143">
        <v>114</v>
      </c>
      <c r="J238" s="143">
        <v>1</v>
      </c>
      <c r="K238" s="149" t="s">
        <v>350</v>
      </c>
      <c r="L238" s="150">
        <f t="shared" si="38"/>
        <v>0.76335877862595414</v>
      </c>
      <c r="M238" s="150">
        <f t="shared" si="39"/>
        <v>0.7407407407407407</v>
      </c>
      <c r="N238" s="151">
        <f t="shared" si="40"/>
        <v>1.2993340912782285E-2</v>
      </c>
      <c r="O238" s="151">
        <f t="shared" si="41"/>
        <v>7.8188514913080653E-2</v>
      </c>
      <c r="P238" s="151">
        <f t="shared" si="42"/>
        <v>0.62962962962962965</v>
      </c>
      <c r="Q238" s="151">
        <f t="shared" si="43"/>
        <v>0.551441114716549</v>
      </c>
      <c r="R238" s="150">
        <f t="shared" si="44"/>
        <v>1.7633587786259541</v>
      </c>
      <c r="S238" s="150">
        <f t="shared" si="45"/>
        <v>1.7407407407407407</v>
      </c>
      <c r="T238" s="150">
        <f t="shared" si="46"/>
        <v>2.1399999999999997</v>
      </c>
      <c r="U238" s="152">
        <f t="shared" si="49"/>
        <v>0.76335877862595414</v>
      </c>
      <c r="V238" s="143"/>
      <c r="W238" s="102">
        <f t="shared" si="47"/>
        <v>1</v>
      </c>
      <c r="X238" s="102" t="str">
        <f t="shared" si="48"/>
        <v/>
      </c>
      <c r="Y238" s="102"/>
      <c r="Z238" s="102"/>
      <c r="AA238" s="102"/>
      <c r="AB238" s="102"/>
      <c r="AC238" s="102"/>
      <c r="AD238" s="102"/>
      <c r="AE238" s="102"/>
      <c r="AF238" s="138"/>
      <c r="AG238" s="138"/>
      <c r="AH238" s="102"/>
      <c r="AI238" s="102"/>
      <c r="AJ238" s="102"/>
      <c r="AK238" s="102"/>
      <c r="AL238" s="102"/>
      <c r="AM238" s="102"/>
    </row>
    <row r="239" spans="1:39">
      <c r="A239" s="143" t="s">
        <v>238</v>
      </c>
      <c r="B239" s="143" t="s">
        <v>361</v>
      </c>
      <c r="C239" s="145">
        <v>45851</v>
      </c>
      <c r="D239" s="143" t="s">
        <v>599</v>
      </c>
      <c r="E239" s="146" t="s">
        <v>441</v>
      </c>
      <c r="F239" s="147">
        <v>-140</v>
      </c>
      <c r="G239" s="147">
        <v>-101</v>
      </c>
      <c r="H239" s="148">
        <v>-108</v>
      </c>
      <c r="I239" s="143">
        <v>-108</v>
      </c>
      <c r="J239" s="143">
        <v>1</v>
      </c>
      <c r="K239" s="149" t="s">
        <v>350</v>
      </c>
      <c r="L239" s="150">
        <f t="shared" si="38"/>
        <v>0.99009900990099009</v>
      </c>
      <c r="M239" s="150">
        <f t="shared" si="39"/>
        <v>0.92592592592592604</v>
      </c>
      <c r="N239" s="151">
        <f t="shared" si="40"/>
        <v>3.3320639756283091E-2</v>
      </c>
      <c r="O239" s="151">
        <f t="shared" si="41"/>
        <v>8.333333333333337E-2</v>
      </c>
      <c r="P239" s="151">
        <f t="shared" si="42"/>
        <v>0.58333333333333337</v>
      </c>
      <c r="Q239" s="151">
        <f t="shared" si="43"/>
        <v>0.5</v>
      </c>
      <c r="R239" s="150">
        <f t="shared" si="44"/>
        <v>1.9900990099009901</v>
      </c>
      <c r="S239" s="150">
        <f t="shared" si="45"/>
        <v>1.925925925925926</v>
      </c>
      <c r="T239" s="150">
        <f t="shared" si="46"/>
        <v>1.925925925925926</v>
      </c>
      <c r="U239" s="152">
        <f t="shared" si="49"/>
        <v>0.99009900990099009</v>
      </c>
      <c r="V239" s="143"/>
      <c r="W239" s="102">
        <f t="shared" si="47"/>
        <v>1</v>
      </c>
      <c r="X239" s="153">
        <f t="shared" si="48"/>
        <v>0.99009900990099009</v>
      </c>
      <c r="Y239" s="102"/>
      <c r="Z239" s="102"/>
      <c r="AA239" s="102"/>
      <c r="AB239" s="102"/>
      <c r="AC239" s="102"/>
      <c r="AD239" s="102"/>
      <c r="AE239" s="102"/>
      <c r="AF239" s="138"/>
      <c r="AG239" s="138"/>
      <c r="AH239" s="102"/>
      <c r="AI239" s="102"/>
      <c r="AJ239" s="102"/>
      <c r="AK239" s="102"/>
      <c r="AL239" s="102"/>
      <c r="AM239" s="102"/>
    </row>
    <row r="240" spans="1:39">
      <c r="A240" s="143" t="s">
        <v>240</v>
      </c>
      <c r="B240" s="143" t="s">
        <v>361</v>
      </c>
      <c r="C240" s="145">
        <v>45851</v>
      </c>
      <c r="D240" s="143" t="s">
        <v>606</v>
      </c>
      <c r="E240" s="146" t="s">
        <v>447</v>
      </c>
      <c r="F240" s="147">
        <v>-222</v>
      </c>
      <c r="G240" s="147">
        <v>-115</v>
      </c>
      <c r="H240" s="148">
        <v>100</v>
      </c>
      <c r="I240" s="143">
        <v>-114</v>
      </c>
      <c r="J240" s="143">
        <v>1</v>
      </c>
      <c r="K240" s="149" t="s">
        <v>350</v>
      </c>
      <c r="L240" s="150">
        <f t="shared" si="38"/>
        <v>0.86956521739130421</v>
      </c>
      <c r="M240" s="150">
        <f t="shared" si="39"/>
        <v>1</v>
      </c>
      <c r="N240" s="151">
        <f t="shared" si="40"/>
        <v>-6.5217391304347935E-2</v>
      </c>
      <c r="O240" s="151">
        <f t="shared" si="41"/>
        <v>0.20527809786121803</v>
      </c>
      <c r="P240" s="151">
        <f t="shared" si="42"/>
        <v>0.68944099378881984</v>
      </c>
      <c r="Q240" s="151">
        <f t="shared" si="43"/>
        <v>0.48416289592760181</v>
      </c>
      <c r="R240" s="150">
        <f t="shared" si="44"/>
        <v>1.8695652173913042</v>
      </c>
      <c r="S240" s="150">
        <f t="shared" si="45"/>
        <v>2</v>
      </c>
      <c r="T240" s="150">
        <f t="shared" si="46"/>
        <v>1.8771929824561404</v>
      </c>
      <c r="U240" s="152">
        <f t="shared" si="49"/>
        <v>0.86956521739130421</v>
      </c>
      <c r="V240" s="143"/>
      <c r="W240" s="102">
        <f t="shared" si="47"/>
        <v>1</v>
      </c>
      <c r="X240" s="153">
        <f t="shared" si="48"/>
        <v>0.86956521739130421</v>
      </c>
      <c r="Y240" s="102"/>
      <c r="Z240" s="102"/>
      <c r="AA240" s="102"/>
      <c r="AB240" s="102"/>
      <c r="AC240" s="102"/>
      <c r="AD240" s="102"/>
      <c r="AE240" s="102"/>
      <c r="AF240" s="138"/>
      <c r="AG240" s="138"/>
      <c r="AH240" s="102"/>
      <c r="AI240" s="102"/>
      <c r="AJ240" s="102"/>
      <c r="AK240" s="102"/>
      <c r="AL240" s="102"/>
      <c r="AM240" s="102"/>
    </row>
    <row r="241" spans="1:39">
      <c r="A241" s="143" t="s">
        <v>238</v>
      </c>
      <c r="B241" s="143" t="s">
        <v>363</v>
      </c>
      <c r="C241" s="145">
        <v>45851</v>
      </c>
      <c r="D241" s="143" t="s">
        <v>608</v>
      </c>
      <c r="E241" s="146" t="s">
        <v>615</v>
      </c>
      <c r="F241" s="147">
        <v>-159</v>
      </c>
      <c r="G241" s="147">
        <v>-124</v>
      </c>
      <c r="H241" s="148">
        <v>-127</v>
      </c>
      <c r="I241" s="143">
        <v>108</v>
      </c>
      <c r="J241" s="143">
        <v>1</v>
      </c>
      <c r="K241" s="149" t="s">
        <v>311</v>
      </c>
      <c r="L241" s="150">
        <f t="shared" si="38"/>
        <v>-1</v>
      </c>
      <c r="M241" s="150">
        <f t="shared" si="39"/>
        <v>-1</v>
      </c>
      <c r="N241" s="151">
        <f t="shared" si="40"/>
        <v>1.0657950831320139E-2</v>
      </c>
      <c r="O241" s="151">
        <f t="shared" si="41"/>
        <v>7.6070800478325484E-2</v>
      </c>
      <c r="P241" s="151">
        <f t="shared" si="42"/>
        <v>0.61389961389961389</v>
      </c>
      <c r="Q241" s="151">
        <f t="shared" si="43"/>
        <v>0.53782881342128841</v>
      </c>
      <c r="R241" s="150">
        <f t="shared" si="44"/>
        <v>1.8064516129032258</v>
      </c>
      <c r="S241" s="150">
        <f t="shared" si="45"/>
        <v>1.7874015748031495</v>
      </c>
      <c r="T241" s="150">
        <f t="shared" si="46"/>
        <v>2.08</v>
      </c>
      <c r="U241" s="152">
        <f t="shared" si="49"/>
        <v>-1</v>
      </c>
      <c r="V241" s="143"/>
      <c r="W241" s="102">
        <f t="shared" si="47"/>
        <v>0</v>
      </c>
      <c r="X241" s="102" t="str">
        <f t="shared" si="48"/>
        <v/>
      </c>
      <c r="Y241" s="102"/>
      <c r="Z241" s="102"/>
      <c r="AA241" s="102"/>
      <c r="AB241" s="102"/>
      <c r="AC241" s="102"/>
      <c r="AD241" s="102"/>
      <c r="AE241" s="102"/>
      <c r="AF241" s="138"/>
      <c r="AG241" s="138"/>
      <c r="AH241" s="102"/>
      <c r="AI241" s="102"/>
      <c r="AJ241" s="102"/>
      <c r="AK241" s="102"/>
      <c r="AL241" s="102"/>
      <c r="AM241" s="102"/>
    </row>
    <row r="242" spans="1:39">
      <c r="A242" s="143" t="s">
        <v>238</v>
      </c>
      <c r="B242" s="143" t="s">
        <v>363</v>
      </c>
      <c r="C242" s="145">
        <v>45851</v>
      </c>
      <c r="D242" s="143" t="s">
        <v>616</v>
      </c>
      <c r="E242" s="146" t="s">
        <v>617</v>
      </c>
      <c r="F242" s="147">
        <v>-194</v>
      </c>
      <c r="G242" s="147">
        <v>-155</v>
      </c>
      <c r="H242" s="148">
        <v>-154</v>
      </c>
      <c r="I242" s="143">
        <v>129</v>
      </c>
      <c r="J242" s="143">
        <v>1</v>
      </c>
      <c r="K242" s="149" t="s">
        <v>350</v>
      </c>
      <c r="L242" s="150">
        <f t="shared" si="38"/>
        <v>0.64516129032258052</v>
      </c>
      <c r="M242" s="150">
        <f t="shared" si="39"/>
        <v>0.64935064935064934</v>
      </c>
      <c r="N242" s="151">
        <f t="shared" si="40"/>
        <v>-2.5400050800102052E-3</v>
      </c>
      <c r="O242" s="151">
        <f t="shared" si="41"/>
        <v>7.8549865203721536E-2</v>
      </c>
      <c r="P242" s="151">
        <f t="shared" si="42"/>
        <v>0.65986394557823125</v>
      </c>
      <c r="Q242" s="151">
        <f t="shared" si="43"/>
        <v>0.58131408037450971</v>
      </c>
      <c r="R242" s="150">
        <f t="shared" si="44"/>
        <v>1.6451612903225805</v>
      </c>
      <c r="S242" s="150">
        <f t="shared" si="45"/>
        <v>1.6493506493506493</v>
      </c>
      <c r="T242" s="150">
        <f t="shared" si="46"/>
        <v>2.29</v>
      </c>
      <c r="U242" s="152">
        <f t="shared" si="49"/>
        <v>0.64516129032258052</v>
      </c>
      <c r="V242" s="143"/>
      <c r="W242" s="102">
        <f t="shared" si="47"/>
        <v>1</v>
      </c>
      <c r="X242" s="102" t="str">
        <f t="shared" si="48"/>
        <v/>
      </c>
      <c r="Y242" s="102"/>
      <c r="Z242" s="102"/>
      <c r="AA242" s="102"/>
      <c r="AB242" s="102"/>
      <c r="AC242" s="102"/>
      <c r="AD242" s="102"/>
      <c r="AE242" s="102"/>
      <c r="AF242" s="138"/>
      <c r="AG242" s="138"/>
      <c r="AH242" s="102"/>
      <c r="AI242" s="102"/>
      <c r="AJ242" s="102"/>
      <c r="AK242" s="102"/>
      <c r="AL242" s="102"/>
      <c r="AM242" s="102"/>
    </row>
    <row r="243" spans="1:39">
      <c r="A243" s="143" t="s">
        <v>238</v>
      </c>
      <c r="B243" s="143" t="s">
        <v>361</v>
      </c>
      <c r="C243" s="145">
        <v>45851</v>
      </c>
      <c r="D243" s="143" t="s">
        <v>603</v>
      </c>
      <c r="E243" s="146" t="s">
        <v>439</v>
      </c>
      <c r="F243" s="147">
        <v>-135</v>
      </c>
      <c r="G243" s="147">
        <v>117</v>
      </c>
      <c r="H243" s="148">
        <v>104</v>
      </c>
      <c r="I243" s="143">
        <v>-120</v>
      </c>
      <c r="J243" s="143">
        <v>1</v>
      </c>
      <c r="K243" s="149" t="s">
        <v>350</v>
      </c>
      <c r="L243" s="150">
        <f t="shared" si="38"/>
        <v>1.17</v>
      </c>
      <c r="M243" s="150">
        <f t="shared" si="39"/>
        <v>1.04</v>
      </c>
      <c r="N243" s="151">
        <f t="shared" si="40"/>
        <v>6.3725490196078385E-2</v>
      </c>
      <c r="O243" s="151">
        <f t="shared" si="41"/>
        <v>0.10114622624235553</v>
      </c>
      <c r="P243" s="151">
        <f t="shared" si="42"/>
        <v>0.57446808510638303</v>
      </c>
      <c r="Q243" s="151">
        <f t="shared" si="43"/>
        <v>0.4733218588640275</v>
      </c>
      <c r="R243" s="150">
        <f t="shared" si="44"/>
        <v>2.17</v>
      </c>
      <c r="S243" s="150">
        <f t="shared" si="45"/>
        <v>2.04</v>
      </c>
      <c r="T243" s="150">
        <f t="shared" si="46"/>
        <v>1.8333333333333335</v>
      </c>
      <c r="U243" s="152">
        <f t="shared" si="49"/>
        <v>1.17</v>
      </c>
      <c r="V243" s="143"/>
      <c r="W243" s="102">
        <f t="shared" si="47"/>
        <v>1</v>
      </c>
      <c r="X243" s="153">
        <f t="shared" si="48"/>
        <v>1.17</v>
      </c>
      <c r="Y243" s="102"/>
      <c r="Z243" s="102"/>
      <c r="AA243" s="102"/>
      <c r="AB243" s="102"/>
      <c r="AC243" s="102"/>
      <c r="AD243" s="102"/>
      <c r="AE243" s="102"/>
      <c r="AF243" s="138"/>
      <c r="AG243" s="138"/>
      <c r="AH243" s="102"/>
      <c r="AI243" s="102"/>
      <c r="AJ243" s="102"/>
      <c r="AK243" s="102"/>
      <c r="AL243" s="102"/>
      <c r="AM243" s="102"/>
    </row>
    <row r="244" spans="1:39">
      <c r="A244" s="143" t="s">
        <v>238</v>
      </c>
      <c r="B244" s="143" t="s">
        <v>363</v>
      </c>
      <c r="C244" s="145">
        <v>45851</v>
      </c>
      <c r="D244" s="143" t="s">
        <v>604</v>
      </c>
      <c r="E244" s="146" t="s">
        <v>605</v>
      </c>
      <c r="F244" s="147">
        <v>-105</v>
      </c>
      <c r="G244" s="147">
        <v>124</v>
      </c>
      <c r="H244" s="148">
        <v>140</v>
      </c>
      <c r="I244" s="143">
        <v>-167</v>
      </c>
      <c r="J244" s="143">
        <v>1</v>
      </c>
      <c r="K244" s="149" t="s">
        <v>311</v>
      </c>
      <c r="L244" s="150">
        <f t="shared" si="38"/>
        <v>-1</v>
      </c>
      <c r="M244" s="150">
        <f t="shared" si="39"/>
        <v>-1</v>
      </c>
      <c r="N244" s="151">
        <f t="shared" si="40"/>
        <v>-6.6666666666666555E-2</v>
      </c>
      <c r="O244" s="151">
        <f t="shared" si="41"/>
        <v>0.11237481647053671</v>
      </c>
      <c r="P244" s="151">
        <f t="shared" si="42"/>
        <v>0.51219512195121952</v>
      </c>
      <c r="Q244" s="151">
        <f t="shared" si="43"/>
        <v>0.39982030548068281</v>
      </c>
      <c r="R244" s="150">
        <f t="shared" si="44"/>
        <v>2.2400000000000002</v>
      </c>
      <c r="S244" s="150">
        <f t="shared" si="45"/>
        <v>2.4</v>
      </c>
      <c r="T244" s="150">
        <f t="shared" si="46"/>
        <v>1.5988023952095807</v>
      </c>
      <c r="U244" s="152">
        <f t="shared" si="49"/>
        <v>-1</v>
      </c>
      <c r="V244" s="143"/>
      <c r="W244" s="102">
        <f t="shared" si="47"/>
        <v>0</v>
      </c>
      <c r="X244" s="102" t="str">
        <f t="shared" si="48"/>
        <v/>
      </c>
      <c r="Y244" s="102"/>
      <c r="Z244" s="102"/>
      <c r="AA244" s="102"/>
      <c r="AB244" s="102"/>
      <c r="AC244" s="102"/>
      <c r="AD244" s="102"/>
      <c r="AE244" s="102"/>
      <c r="AF244" s="138"/>
      <c r="AG244" s="138"/>
      <c r="AH244" s="102"/>
      <c r="AI244" s="102"/>
      <c r="AJ244" s="102"/>
      <c r="AK244" s="102"/>
      <c r="AL244" s="102"/>
      <c r="AM244" s="102"/>
    </row>
    <row r="245" spans="1:39">
      <c r="A245" s="143" t="s">
        <v>238</v>
      </c>
      <c r="B245" s="143" t="s">
        <v>361</v>
      </c>
      <c r="C245" s="145">
        <v>45856</v>
      </c>
      <c r="D245" s="143" t="s">
        <v>618</v>
      </c>
      <c r="E245" s="146" t="s">
        <v>406</v>
      </c>
      <c r="F245" s="147">
        <v>-133</v>
      </c>
      <c r="G245" s="147">
        <v>113</v>
      </c>
      <c r="H245" s="148">
        <v>104</v>
      </c>
      <c r="I245" s="143">
        <v>-119</v>
      </c>
      <c r="J245" s="143">
        <v>1</v>
      </c>
      <c r="K245" s="149" t="s">
        <v>311</v>
      </c>
      <c r="L245" s="150">
        <f t="shared" si="38"/>
        <v>-1</v>
      </c>
      <c r="M245" s="150">
        <f t="shared" si="39"/>
        <v>-1</v>
      </c>
      <c r="N245" s="151">
        <f t="shared" si="40"/>
        <v>4.4117647058823477E-2</v>
      </c>
      <c r="O245" s="151">
        <f t="shared" si="41"/>
        <v>9.6543101371427464E-2</v>
      </c>
      <c r="P245" s="151">
        <f t="shared" si="42"/>
        <v>0.57081545064377681</v>
      </c>
      <c r="Q245" s="151">
        <f t="shared" si="43"/>
        <v>0.47427234927234935</v>
      </c>
      <c r="R245" s="150">
        <f t="shared" si="44"/>
        <v>2.13</v>
      </c>
      <c r="S245" s="150">
        <f t="shared" si="45"/>
        <v>2.04</v>
      </c>
      <c r="T245" s="150">
        <f t="shared" si="46"/>
        <v>1.8403361344537816</v>
      </c>
      <c r="U245" s="152">
        <f t="shared" si="49"/>
        <v>-1</v>
      </c>
      <c r="V245" s="143"/>
      <c r="W245" s="102">
        <f t="shared" si="47"/>
        <v>0</v>
      </c>
      <c r="X245" s="153">
        <f t="shared" si="48"/>
        <v>-1</v>
      </c>
      <c r="Y245" s="102"/>
      <c r="Z245" s="102"/>
      <c r="AA245" s="102"/>
      <c r="AB245" s="102"/>
      <c r="AC245" s="102"/>
      <c r="AD245" s="102"/>
      <c r="AE245" s="102"/>
      <c r="AF245" s="138"/>
      <c r="AG245" s="138"/>
      <c r="AH245" s="102"/>
      <c r="AI245" s="102"/>
      <c r="AJ245" s="102"/>
      <c r="AK245" s="102"/>
      <c r="AL245" s="102"/>
      <c r="AM245" s="102"/>
    </row>
    <row r="246" spans="1:39">
      <c r="A246" s="143" t="s">
        <v>238</v>
      </c>
      <c r="B246" s="143" t="s">
        <v>361</v>
      </c>
      <c r="C246" s="145">
        <v>45856</v>
      </c>
      <c r="D246" s="143" t="s">
        <v>619</v>
      </c>
      <c r="E246" s="146" t="s">
        <v>445</v>
      </c>
      <c r="F246" s="147">
        <v>-126</v>
      </c>
      <c r="G246" s="147">
        <v>116</v>
      </c>
      <c r="H246" s="148">
        <v>112</v>
      </c>
      <c r="I246" s="143">
        <v>-128</v>
      </c>
      <c r="J246" s="143">
        <v>1</v>
      </c>
      <c r="K246" s="149" t="s">
        <v>350</v>
      </c>
      <c r="L246" s="150">
        <f t="shared" si="38"/>
        <v>1.1600000000000001</v>
      </c>
      <c r="M246" s="150">
        <f t="shared" si="39"/>
        <v>1.1200000000000001</v>
      </c>
      <c r="N246" s="151">
        <f t="shared" si="40"/>
        <v>1.8867924528301896E-2</v>
      </c>
      <c r="O246" s="151">
        <f t="shared" si="41"/>
        <v>0.1009376958258783</v>
      </c>
      <c r="P246" s="151">
        <f t="shared" si="42"/>
        <v>0.55752212389380529</v>
      </c>
      <c r="Q246" s="151">
        <f t="shared" si="43"/>
        <v>0.45658442806792698</v>
      </c>
      <c r="R246" s="150">
        <f t="shared" si="44"/>
        <v>2.16</v>
      </c>
      <c r="S246" s="150">
        <f t="shared" si="45"/>
        <v>2.12</v>
      </c>
      <c r="T246" s="150">
        <f t="shared" si="46"/>
        <v>1.78125</v>
      </c>
      <c r="U246" s="152">
        <f t="shared" si="49"/>
        <v>1.1600000000000001</v>
      </c>
      <c r="V246" s="143"/>
      <c r="W246" s="102">
        <f t="shared" si="47"/>
        <v>1</v>
      </c>
      <c r="X246" s="153">
        <f t="shared" si="48"/>
        <v>1.1600000000000001</v>
      </c>
      <c r="Y246" s="102"/>
      <c r="Z246" s="102"/>
      <c r="AA246" s="102"/>
      <c r="AB246" s="102"/>
      <c r="AC246" s="102"/>
      <c r="AD246" s="102"/>
      <c r="AE246" s="102"/>
      <c r="AF246" s="138"/>
      <c r="AG246" s="138"/>
      <c r="AH246" s="102"/>
      <c r="AI246" s="102"/>
      <c r="AJ246" s="102"/>
      <c r="AK246" s="102"/>
      <c r="AL246" s="102"/>
      <c r="AM246" s="102"/>
    </row>
    <row r="247" spans="1:39">
      <c r="A247" s="143" t="s">
        <v>238</v>
      </c>
      <c r="B247" s="143" t="s">
        <v>361</v>
      </c>
      <c r="C247" s="145">
        <v>45856</v>
      </c>
      <c r="D247" s="143" t="s">
        <v>620</v>
      </c>
      <c r="E247" s="146" t="s">
        <v>421</v>
      </c>
      <c r="F247" s="147">
        <v>-101</v>
      </c>
      <c r="G247" s="147">
        <v>162</v>
      </c>
      <c r="H247" s="148">
        <v>173</v>
      </c>
      <c r="I247" s="143">
        <v>-204</v>
      </c>
      <c r="J247" s="143">
        <v>1</v>
      </c>
      <c r="K247" s="149" t="s">
        <v>351</v>
      </c>
      <c r="L247" s="150">
        <f t="shared" si="38"/>
        <v>0</v>
      </c>
      <c r="M247" s="150">
        <f t="shared" si="39"/>
        <v>0</v>
      </c>
      <c r="N247" s="151">
        <f t="shared" si="40"/>
        <v>-4.0293040293040282E-2</v>
      </c>
      <c r="O247" s="151">
        <f t="shared" si="41"/>
        <v>0.14937693634693244</v>
      </c>
      <c r="P247" s="151">
        <f t="shared" si="42"/>
        <v>0.50248756218905477</v>
      </c>
      <c r="Q247" s="151">
        <f t="shared" si="43"/>
        <v>0.35311062584212233</v>
      </c>
      <c r="R247" s="150">
        <f t="shared" si="44"/>
        <v>2.62</v>
      </c>
      <c r="S247" s="150">
        <f t="shared" si="45"/>
        <v>2.73</v>
      </c>
      <c r="T247" s="150">
        <f t="shared" si="46"/>
        <v>1.4901960784313726</v>
      </c>
      <c r="U247" s="152">
        <f t="shared" si="49"/>
        <v>0</v>
      </c>
      <c r="V247" s="143"/>
      <c r="W247" s="102">
        <f t="shared" si="47"/>
        <v>2</v>
      </c>
      <c r="X247" s="153">
        <f t="shared" si="48"/>
        <v>0</v>
      </c>
      <c r="Y247" s="102"/>
      <c r="Z247" s="102"/>
      <c r="AA247" s="102"/>
      <c r="AB247" s="102"/>
      <c r="AC247" s="102"/>
      <c r="AD247" s="102"/>
      <c r="AE247" s="102"/>
      <c r="AF247" s="138"/>
      <c r="AG247" s="138"/>
      <c r="AH247" s="102"/>
      <c r="AI247" s="102"/>
      <c r="AJ247" s="102"/>
      <c r="AK247" s="102"/>
      <c r="AL247" s="102"/>
      <c r="AM247" s="102"/>
    </row>
    <row r="248" spans="1:39">
      <c r="A248" s="143" t="s">
        <v>238</v>
      </c>
      <c r="B248" s="143" t="s">
        <v>361</v>
      </c>
      <c r="C248" s="145">
        <v>45856</v>
      </c>
      <c r="D248" s="143" t="s">
        <v>621</v>
      </c>
      <c r="E248" s="146" t="s">
        <v>519</v>
      </c>
      <c r="F248" s="147">
        <v>-108</v>
      </c>
      <c r="G248" s="147">
        <v>160</v>
      </c>
      <c r="H248" s="148">
        <v>163</v>
      </c>
      <c r="I248" s="143">
        <v>-192</v>
      </c>
      <c r="J248" s="143">
        <v>1</v>
      </c>
      <c r="K248" s="149" t="s">
        <v>350</v>
      </c>
      <c r="L248" s="150">
        <f t="shared" si="38"/>
        <v>1.6</v>
      </c>
      <c r="M248" s="150">
        <f t="shared" si="39"/>
        <v>1.63</v>
      </c>
      <c r="N248" s="151">
        <f t="shared" si="40"/>
        <v>-1.140684410646371E-2</v>
      </c>
      <c r="O248" s="151">
        <f t="shared" si="41"/>
        <v>0.1528384785260915</v>
      </c>
      <c r="P248" s="151">
        <f t="shared" si="42"/>
        <v>0.51923076923076927</v>
      </c>
      <c r="Q248" s="151">
        <f t="shared" si="43"/>
        <v>0.36639229070467777</v>
      </c>
      <c r="R248" s="150">
        <f t="shared" si="44"/>
        <v>2.6</v>
      </c>
      <c r="S248" s="150">
        <f t="shared" si="45"/>
        <v>2.63</v>
      </c>
      <c r="T248" s="150">
        <f t="shared" si="46"/>
        <v>1.5208333333333335</v>
      </c>
      <c r="U248" s="152">
        <f t="shared" si="49"/>
        <v>1.6</v>
      </c>
      <c r="V248" s="143"/>
      <c r="W248" s="102">
        <f t="shared" si="47"/>
        <v>1</v>
      </c>
      <c r="X248" s="153">
        <f t="shared" si="48"/>
        <v>1.6</v>
      </c>
      <c r="Y248" s="102"/>
      <c r="Z248" s="102"/>
      <c r="AA248" s="102"/>
      <c r="AB248" s="102"/>
      <c r="AC248" s="102"/>
      <c r="AD248" s="102"/>
      <c r="AE248" s="102"/>
      <c r="AF248" s="138"/>
      <c r="AG248" s="138"/>
      <c r="AH248" s="102"/>
      <c r="AI248" s="102"/>
      <c r="AJ248" s="102"/>
      <c r="AK248" s="102"/>
      <c r="AL248" s="102"/>
      <c r="AM248" s="102"/>
    </row>
    <row r="249" spans="1:39">
      <c r="A249" s="143" t="s">
        <v>238</v>
      </c>
      <c r="B249" s="143" t="s">
        <v>361</v>
      </c>
      <c r="C249" s="145">
        <v>45856</v>
      </c>
      <c r="D249" s="143" t="s">
        <v>622</v>
      </c>
      <c r="E249" s="146" t="s">
        <v>458</v>
      </c>
      <c r="F249" s="147">
        <v>-155</v>
      </c>
      <c r="G249" s="147">
        <v>-110</v>
      </c>
      <c r="H249" s="148">
        <v>-119</v>
      </c>
      <c r="I249" s="143">
        <v>104</v>
      </c>
      <c r="J249" s="143">
        <v>1</v>
      </c>
      <c r="K249" s="149" t="s">
        <v>350</v>
      </c>
      <c r="L249" s="150">
        <f t="shared" si="38"/>
        <v>0.90909090909090917</v>
      </c>
      <c r="M249" s="150">
        <f t="shared" si="39"/>
        <v>0.84033613445378164</v>
      </c>
      <c r="N249" s="151">
        <f t="shared" si="40"/>
        <v>3.7359900373598785E-2</v>
      </c>
      <c r="O249" s="151">
        <f t="shared" si="41"/>
        <v>8.2115486527251202E-2</v>
      </c>
      <c r="P249" s="151">
        <f t="shared" si="42"/>
        <v>0.60784313725490191</v>
      </c>
      <c r="Q249" s="151">
        <f t="shared" si="43"/>
        <v>0.52572765072765071</v>
      </c>
      <c r="R249" s="150">
        <f t="shared" si="44"/>
        <v>1.9090909090909092</v>
      </c>
      <c r="S249" s="150">
        <f t="shared" si="45"/>
        <v>1.8403361344537816</v>
      </c>
      <c r="T249" s="150">
        <f t="shared" si="46"/>
        <v>2.04</v>
      </c>
      <c r="U249" s="152">
        <f t="shared" si="49"/>
        <v>0.90909090909090917</v>
      </c>
      <c r="V249" s="143"/>
      <c r="W249" s="102">
        <f t="shared" si="47"/>
        <v>1</v>
      </c>
      <c r="X249" s="153">
        <f t="shared" si="48"/>
        <v>0.90909090909090917</v>
      </c>
      <c r="Y249" s="102"/>
      <c r="Z249" s="102"/>
      <c r="AA249" s="102"/>
      <c r="AB249" s="102"/>
      <c r="AC249" s="102"/>
      <c r="AD249" s="102"/>
      <c r="AE249" s="102"/>
      <c r="AF249" s="138"/>
      <c r="AG249" s="138"/>
      <c r="AH249" s="102"/>
      <c r="AI249" s="102"/>
      <c r="AJ249" s="102"/>
      <c r="AK249" s="102"/>
      <c r="AL249" s="102"/>
      <c r="AM249" s="102"/>
    </row>
    <row r="250" spans="1:39">
      <c r="A250" s="143" t="s">
        <v>238</v>
      </c>
      <c r="B250" s="143" t="s">
        <v>361</v>
      </c>
      <c r="C250" s="145">
        <v>45856</v>
      </c>
      <c r="D250" s="143" t="s">
        <v>623</v>
      </c>
      <c r="E250" s="146" t="s">
        <v>413</v>
      </c>
      <c r="F250" s="147">
        <v>-118</v>
      </c>
      <c r="G250" s="147">
        <v>122</v>
      </c>
      <c r="H250" s="148">
        <v>125</v>
      </c>
      <c r="I250" s="143">
        <v>-145</v>
      </c>
      <c r="J250" s="143">
        <v>1</v>
      </c>
      <c r="K250" s="149" t="s">
        <v>311</v>
      </c>
      <c r="L250" s="150">
        <f t="shared" si="38"/>
        <v>-1</v>
      </c>
      <c r="M250" s="150">
        <f t="shared" si="39"/>
        <v>-1</v>
      </c>
      <c r="N250" s="151">
        <f t="shared" si="40"/>
        <v>-1.3333333333333523E-2</v>
      </c>
      <c r="O250" s="151">
        <f t="shared" si="41"/>
        <v>0.11240037741151909</v>
      </c>
      <c r="P250" s="151">
        <f t="shared" si="42"/>
        <v>0.54128440366972475</v>
      </c>
      <c r="Q250" s="151">
        <f t="shared" si="43"/>
        <v>0.42888402625820565</v>
      </c>
      <c r="R250" s="150">
        <f t="shared" si="44"/>
        <v>2.2199999999999998</v>
      </c>
      <c r="S250" s="150">
        <f t="shared" si="45"/>
        <v>2.25</v>
      </c>
      <c r="T250" s="150">
        <f t="shared" si="46"/>
        <v>1.6896551724137931</v>
      </c>
      <c r="U250" s="152">
        <f t="shared" si="49"/>
        <v>-1</v>
      </c>
      <c r="V250" s="143"/>
      <c r="W250" s="102">
        <f t="shared" si="47"/>
        <v>0</v>
      </c>
      <c r="X250" s="153">
        <f t="shared" si="48"/>
        <v>-1</v>
      </c>
      <c r="Y250" s="102"/>
      <c r="Z250" s="102"/>
      <c r="AA250" s="102"/>
      <c r="AB250" s="102"/>
      <c r="AC250" s="102"/>
      <c r="AD250" s="102"/>
      <c r="AE250" s="102"/>
      <c r="AF250" s="138"/>
      <c r="AG250" s="138"/>
      <c r="AH250" s="102"/>
      <c r="AI250" s="102"/>
      <c r="AJ250" s="102"/>
      <c r="AK250" s="102"/>
      <c r="AL250" s="102"/>
      <c r="AM250" s="102"/>
    </row>
    <row r="251" spans="1:39">
      <c r="A251" s="143" t="s">
        <v>240</v>
      </c>
      <c r="B251" s="143" t="s">
        <v>361</v>
      </c>
      <c r="C251" s="145">
        <v>45857</v>
      </c>
      <c r="D251" s="143" t="s">
        <v>619</v>
      </c>
      <c r="E251" s="146" t="s">
        <v>445</v>
      </c>
      <c r="F251" s="147">
        <v>-105</v>
      </c>
      <c r="G251" s="147">
        <v>140</v>
      </c>
      <c r="H251" s="148">
        <v>150</v>
      </c>
      <c r="I251" s="143">
        <v>-175</v>
      </c>
      <c r="J251" s="143">
        <v>1</v>
      </c>
      <c r="K251" s="149" t="s">
        <v>350</v>
      </c>
      <c r="L251" s="150">
        <f t="shared" si="38"/>
        <v>1.4</v>
      </c>
      <c r="M251" s="150">
        <f t="shared" si="39"/>
        <v>1.5</v>
      </c>
      <c r="N251" s="151">
        <f t="shared" si="40"/>
        <v>-3.9999999999999987E-2</v>
      </c>
      <c r="O251" s="151">
        <f t="shared" si="41"/>
        <v>0.12623020967051773</v>
      </c>
      <c r="P251" s="151">
        <f t="shared" si="42"/>
        <v>0.51219512195121952</v>
      </c>
      <c r="Q251" s="151">
        <f t="shared" si="43"/>
        <v>0.38596491228070179</v>
      </c>
      <c r="R251" s="150">
        <f t="shared" si="44"/>
        <v>2.4</v>
      </c>
      <c r="S251" s="150">
        <f t="shared" si="45"/>
        <v>2.5</v>
      </c>
      <c r="T251" s="150">
        <f t="shared" si="46"/>
        <v>1.5714285714285714</v>
      </c>
      <c r="U251" s="152">
        <f t="shared" si="49"/>
        <v>1.4</v>
      </c>
      <c r="V251" s="143"/>
      <c r="W251" s="102">
        <f t="shared" si="47"/>
        <v>1</v>
      </c>
      <c r="X251" s="153">
        <f t="shared" si="48"/>
        <v>1.4</v>
      </c>
      <c r="Y251" s="102"/>
      <c r="Z251" s="102"/>
      <c r="AA251" s="102"/>
      <c r="AB251" s="102"/>
      <c r="AC251" s="102"/>
      <c r="AD251" s="102"/>
      <c r="AE251" s="102"/>
      <c r="AF251" s="138"/>
      <c r="AG251" s="138"/>
      <c r="AH251" s="102"/>
      <c r="AI251" s="102"/>
      <c r="AJ251" s="102"/>
      <c r="AK251" s="102"/>
      <c r="AL251" s="102"/>
      <c r="AM251" s="102"/>
    </row>
    <row r="252" spans="1:39">
      <c r="A252" s="143" t="s">
        <v>238</v>
      </c>
      <c r="B252" s="143" t="s">
        <v>361</v>
      </c>
      <c r="C252" s="145">
        <v>45857</v>
      </c>
      <c r="D252" s="143" t="s">
        <v>624</v>
      </c>
      <c r="E252" s="146" t="s">
        <v>471</v>
      </c>
      <c r="F252" s="147">
        <v>-145</v>
      </c>
      <c r="G252" s="147">
        <v>103</v>
      </c>
      <c r="H252" s="148">
        <v>108</v>
      </c>
      <c r="I252" s="143">
        <v>-123</v>
      </c>
      <c r="J252" s="143">
        <v>1</v>
      </c>
      <c r="K252" s="149" t="s">
        <v>311</v>
      </c>
      <c r="L252" s="150">
        <f t="shared" si="38"/>
        <v>-1</v>
      </c>
      <c r="M252" s="150">
        <f t="shared" si="39"/>
        <v>-1</v>
      </c>
      <c r="N252" s="151">
        <f t="shared" si="40"/>
        <v>-2.4038461538461533E-2</v>
      </c>
      <c r="O252" s="151">
        <f t="shared" si="41"/>
        <v>0.12612793843625503</v>
      </c>
      <c r="P252" s="151">
        <f t="shared" si="42"/>
        <v>0.59183673469387754</v>
      </c>
      <c r="Q252" s="151">
        <f t="shared" si="43"/>
        <v>0.46570879625762251</v>
      </c>
      <c r="R252" s="150">
        <f t="shared" si="44"/>
        <v>2.0300000000000002</v>
      </c>
      <c r="S252" s="150">
        <f t="shared" si="45"/>
        <v>2.08</v>
      </c>
      <c r="T252" s="150">
        <f t="shared" si="46"/>
        <v>1.8130081300813008</v>
      </c>
      <c r="U252" s="152">
        <f t="shared" si="49"/>
        <v>-1</v>
      </c>
      <c r="V252" s="143"/>
      <c r="W252" s="102">
        <f t="shared" si="47"/>
        <v>0</v>
      </c>
      <c r="X252" s="153">
        <f t="shared" si="48"/>
        <v>-1</v>
      </c>
      <c r="Y252" s="102"/>
      <c r="Z252" s="102"/>
      <c r="AA252" s="102"/>
      <c r="AB252" s="102"/>
      <c r="AC252" s="102"/>
      <c r="AD252" s="102"/>
      <c r="AE252" s="102"/>
      <c r="AF252" s="138"/>
      <c r="AG252" s="138"/>
      <c r="AH252" s="102"/>
      <c r="AI252" s="102"/>
      <c r="AJ252" s="102"/>
      <c r="AK252" s="102"/>
      <c r="AL252" s="102"/>
      <c r="AM252" s="102"/>
    </row>
    <row r="253" spans="1:39">
      <c r="A253" s="143" t="s">
        <v>238</v>
      </c>
      <c r="B253" s="143" t="s">
        <v>361</v>
      </c>
      <c r="C253" s="145">
        <v>45857</v>
      </c>
      <c r="D253" s="143" t="s">
        <v>621</v>
      </c>
      <c r="E253" s="146" t="s">
        <v>519</v>
      </c>
      <c r="F253" s="147">
        <v>-137</v>
      </c>
      <c r="G253" s="147">
        <v>108</v>
      </c>
      <c r="H253" s="148">
        <v>-103</v>
      </c>
      <c r="I253" s="143">
        <v>-111</v>
      </c>
      <c r="J253" s="143">
        <v>1</v>
      </c>
      <c r="K253" s="149" t="s">
        <v>350</v>
      </c>
      <c r="L253" s="150">
        <f t="shared" si="38"/>
        <v>1.08</v>
      </c>
      <c r="M253" s="150">
        <f t="shared" si="39"/>
        <v>0.970873786407767</v>
      </c>
      <c r="N253" s="151">
        <f t="shared" si="40"/>
        <v>5.5369458128079009E-2</v>
      </c>
      <c r="O253" s="151">
        <f t="shared" si="41"/>
        <v>8.7095352396835413E-2</v>
      </c>
      <c r="P253" s="151">
        <f t="shared" si="42"/>
        <v>0.57805907172995785</v>
      </c>
      <c r="Q253" s="151">
        <f t="shared" si="43"/>
        <v>0.49096371933312244</v>
      </c>
      <c r="R253" s="150">
        <f t="shared" si="44"/>
        <v>2.08</v>
      </c>
      <c r="S253" s="150">
        <f t="shared" si="45"/>
        <v>1.970873786407767</v>
      </c>
      <c r="T253" s="150">
        <f t="shared" si="46"/>
        <v>1.900900900900901</v>
      </c>
      <c r="U253" s="152">
        <f t="shared" si="49"/>
        <v>1.08</v>
      </c>
      <c r="V253" s="143"/>
      <c r="W253" s="102">
        <f t="shared" si="47"/>
        <v>1</v>
      </c>
      <c r="X253" s="153">
        <f t="shared" si="48"/>
        <v>1.08</v>
      </c>
      <c r="Y253" s="102"/>
      <c r="Z253" s="102"/>
      <c r="AA253" s="102"/>
      <c r="AB253" s="102"/>
      <c r="AC253" s="102"/>
      <c r="AD253" s="102"/>
      <c r="AE253" s="102"/>
      <c r="AF253" s="138"/>
      <c r="AG253" s="138"/>
      <c r="AH253" s="102"/>
      <c r="AI253" s="102"/>
      <c r="AJ253" s="102"/>
      <c r="AK253" s="102"/>
      <c r="AL253" s="102"/>
      <c r="AM253" s="102"/>
    </row>
    <row r="254" spans="1:39">
      <c r="A254" s="143" t="s">
        <v>240</v>
      </c>
      <c r="B254" s="143" t="s">
        <v>361</v>
      </c>
      <c r="C254" s="145">
        <v>45857</v>
      </c>
      <c r="D254" s="143" t="s">
        <v>625</v>
      </c>
      <c r="E254" s="146" t="s">
        <v>465</v>
      </c>
      <c r="F254" s="147">
        <v>-192</v>
      </c>
      <c r="G254" s="147">
        <v>-125</v>
      </c>
      <c r="H254" s="148">
        <v>-132</v>
      </c>
      <c r="I254" s="143">
        <v>114</v>
      </c>
      <c r="J254" s="143">
        <v>1</v>
      </c>
      <c r="K254" s="149" t="s">
        <v>350</v>
      </c>
      <c r="L254" s="150">
        <f t="shared" si="38"/>
        <v>0.8</v>
      </c>
      <c r="M254" s="150">
        <f t="shared" si="39"/>
        <v>0.75757575757575757</v>
      </c>
      <c r="N254" s="151">
        <f t="shared" si="40"/>
        <v>2.4137931034482762E-2</v>
      </c>
      <c r="O254" s="151">
        <f t="shared" si="41"/>
        <v>0.10847500228985019</v>
      </c>
      <c r="P254" s="151">
        <f t="shared" si="42"/>
        <v>0.65753424657534243</v>
      </c>
      <c r="Q254" s="151">
        <f t="shared" si="43"/>
        <v>0.54905924428549224</v>
      </c>
      <c r="R254" s="150">
        <f t="shared" si="44"/>
        <v>1.8</v>
      </c>
      <c r="S254" s="150">
        <f t="shared" si="45"/>
        <v>1.7575757575757576</v>
      </c>
      <c r="T254" s="150">
        <f t="shared" si="46"/>
        <v>2.1399999999999997</v>
      </c>
      <c r="U254" s="152">
        <f t="shared" si="49"/>
        <v>0.8</v>
      </c>
      <c r="V254" s="143"/>
      <c r="W254" s="102">
        <f t="shared" si="47"/>
        <v>1</v>
      </c>
      <c r="X254" s="153">
        <f t="shared" si="48"/>
        <v>0.8</v>
      </c>
      <c r="Y254" s="102"/>
      <c r="Z254" s="102"/>
      <c r="AA254" s="102"/>
      <c r="AB254" s="102"/>
      <c r="AC254" s="102"/>
      <c r="AD254" s="102"/>
      <c r="AE254" s="102"/>
      <c r="AF254" s="138"/>
      <c r="AG254" s="138"/>
      <c r="AH254" s="102"/>
      <c r="AI254" s="102"/>
      <c r="AJ254" s="102"/>
      <c r="AK254" s="102"/>
      <c r="AL254" s="102"/>
      <c r="AM254" s="102"/>
    </row>
    <row r="255" spans="1:39">
      <c r="A255" s="143" t="s">
        <v>240</v>
      </c>
      <c r="B255" s="143" t="s">
        <v>361</v>
      </c>
      <c r="C255" s="145">
        <v>45858</v>
      </c>
      <c r="D255" s="143" t="s">
        <v>626</v>
      </c>
      <c r="E255" s="146" t="s">
        <v>397</v>
      </c>
      <c r="F255" s="147">
        <v>-144</v>
      </c>
      <c r="G255" s="147">
        <v>100</v>
      </c>
      <c r="H255" s="148">
        <v>-109</v>
      </c>
      <c r="I255" s="143">
        <v>-105</v>
      </c>
      <c r="J255" s="143">
        <v>1</v>
      </c>
      <c r="K255" s="149" t="s">
        <v>311</v>
      </c>
      <c r="L255" s="150">
        <f t="shared" si="38"/>
        <v>-1</v>
      </c>
      <c r="M255" s="150">
        <f t="shared" si="39"/>
        <v>-1</v>
      </c>
      <c r="N255" s="151">
        <f t="shared" si="40"/>
        <v>4.3062200956937691E-2</v>
      </c>
      <c r="O255" s="151">
        <f t="shared" si="41"/>
        <v>8.5648242396425989E-2</v>
      </c>
      <c r="P255" s="151">
        <f t="shared" si="42"/>
        <v>0.5901639344262295</v>
      </c>
      <c r="Q255" s="151">
        <f t="shared" si="43"/>
        <v>0.50451569202980351</v>
      </c>
      <c r="R255" s="150">
        <f t="shared" si="44"/>
        <v>2</v>
      </c>
      <c r="S255" s="150">
        <f t="shared" si="45"/>
        <v>1.9174311926605505</v>
      </c>
      <c r="T255" s="150">
        <f t="shared" si="46"/>
        <v>1.9523809523809523</v>
      </c>
      <c r="U255" s="152">
        <f t="shared" si="49"/>
        <v>-1</v>
      </c>
      <c r="V255" s="143"/>
      <c r="W255" s="102">
        <f t="shared" si="47"/>
        <v>0</v>
      </c>
      <c r="X255" s="153">
        <f t="shared" si="48"/>
        <v>-1</v>
      </c>
      <c r="Y255" s="102"/>
      <c r="Z255" s="102"/>
      <c r="AA255" s="102"/>
      <c r="AB255" s="102"/>
      <c r="AC255" s="102"/>
      <c r="AD255" s="102"/>
      <c r="AE255" s="102"/>
      <c r="AF255" s="138"/>
      <c r="AG255" s="138"/>
      <c r="AH255" s="102"/>
      <c r="AI255" s="102"/>
      <c r="AJ255" s="102"/>
      <c r="AK255" s="102"/>
      <c r="AL255" s="102"/>
      <c r="AM255" s="102"/>
    </row>
    <row r="256" spans="1:39">
      <c r="A256" s="143" t="s">
        <v>238</v>
      </c>
      <c r="B256" s="143" t="s">
        <v>361</v>
      </c>
      <c r="C256" s="145">
        <v>45858</v>
      </c>
      <c r="D256" s="143" t="s">
        <v>622</v>
      </c>
      <c r="E256" s="146" t="s">
        <v>525</v>
      </c>
      <c r="F256" s="147">
        <v>-218</v>
      </c>
      <c r="G256" s="147">
        <v>104</v>
      </c>
      <c r="H256" s="148">
        <v>100</v>
      </c>
      <c r="I256" s="143">
        <v>-116</v>
      </c>
      <c r="J256" s="143">
        <v>1</v>
      </c>
      <c r="K256" s="149" t="s">
        <v>350</v>
      </c>
      <c r="L256" s="150">
        <f t="shared" si="38"/>
        <v>1.04</v>
      </c>
      <c r="M256" s="150">
        <f t="shared" si="39"/>
        <v>1</v>
      </c>
      <c r="N256" s="151">
        <f t="shared" si="40"/>
        <v>2.0000000000000042E-2</v>
      </c>
      <c r="O256" s="151">
        <f t="shared" si="41"/>
        <v>0.20339173405211147</v>
      </c>
      <c r="P256" s="151">
        <f t="shared" si="42"/>
        <v>0.68553459119496851</v>
      </c>
      <c r="Q256" s="151">
        <f t="shared" si="43"/>
        <v>0.48214285714285704</v>
      </c>
      <c r="R256" s="150">
        <f t="shared" si="44"/>
        <v>2.04</v>
      </c>
      <c r="S256" s="150">
        <f t="shared" si="45"/>
        <v>2</v>
      </c>
      <c r="T256" s="150">
        <f t="shared" si="46"/>
        <v>1.8620689655172413</v>
      </c>
      <c r="U256" s="152">
        <f t="shared" si="49"/>
        <v>1.04</v>
      </c>
      <c r="V256" s="143"/>
      <c r="W256" s="102">
        <f t="shared" si="47"/>
        <v>1</v>
      </c>
      <c r="X256" s="153">
        <f t="shared" si="48"/>
        <v>1.04</v>
      </c>
      <c r="Y256" s="102"/>
      <c r="Z256" s="102"/>
      <c r="AA256" s="102"/>
      <c r="AB256" s="102"/>
      <c r="AC256" s="102"/>
      <c r="AD256" s="102"/>
      <c r="AE256" s="102"/>
      <c r="AF256" s="138"/>
      <c r="AG256" s="138"/>
      <c r="AH256" s="102"/>
      <c r="AI256" s="102"/>
      <c r="AJ256" s="102"/>
      <c r="AK256" s="102"/>
      <c r="AL256" s="102"/>
      <c r="AM256" s="102"/>
    </row>
    <row r="257" spans="1:39">
      <c r="A257" s="143" t="s">
        <v>240</v>
      </c>
      <c r="B257" s="143" t="s">
        <v>361</v>
      </c>
      <c r="C257" s="145">
        <v>45858</v>
      </c>
      <c r="D257" s="143" t="s">
        <v>627</v>
      </c>
      <c r="E257" s="146" t="s">
        <v>447</v>
      </c>
      <c r="F257" s="147">
        <v>-127</v>
      </c>
      <c r="G257" s="147">
        <v>110</v>
      </c>
      <c r="H257" s="148">
        <v>102</v>
      </c>
      <c r="I257" s="143">
        <v>-115</v>
      </c>
      <c r="J257" s="143">
        <v>1</v>
      </c>
      <c r="K257" s="149" t="s">
        <v>311</v>
      </c>
      <c r="L257" s="150">
        <f t="shared" si="38"/>
        <v>-1</v>
      </c>
      <c r="M257" s="150">
        <f t="shared" si="39"/>
        <v>-1</v>
      </c>
      <c r="N257" s="151">
        <f t="shared" si="40"/>
        <v>3.9603960396039653E-2</v>
      </c>
      <c r="O257" s="151">
        <f t="shared" si="41"/>
        <v>7.8809617371384477E-2</v>
      </c>
      <c r="P257" s="151">
        <f t="shared" si="42"/>
        <v>0.55947136563876654</v>
      </c>
      <c r="Q257" s="151">
        <f t="shared" si="43"/>
        <v>0.48066174826738206</v>
      </c>
      <c r="R257" s="150">
        <f t="shared" si="44"/>
        <v>2.1</v>
      </c>
      <c r="S257" s="150">
        <f t="shared" si="45"/>
        <v>2.02</v>
      </c>
      <c r="T257" s="150">
        <f t="shared" si="46"/>
        <v>1.8695652173913042</v>
      </c>
      <c r="U257" s="152">
        <f t="shared" si="49"/>
        <v>-1</v>
      </c>
      <c r="V257" s="143"/>
      <c r="W257" s="102">
        <f t="shared" si="47"/>
        <v>0</v>
      </c>
      <c r="X257" s="153">
        <f t="shared" si="48"/>
        <v>-1</v>
      </c>
      <c r="Y257" s="102"/>
      <c r="Z257" s="102"/>
      <c r="AA257" s="102"/>
      <c r="AB257" s="102"/>
      <c r="AC257" s="102"/>
      <c r="AD257" s="102"/>
      <c r="AE257" s="102"/>
      <c r="AF257" s="138"/>
      <c r="AG257" s="138"/>
      <c r="AH257" s="102"/>
      <c r="AI257" s="102"/>
      <c r="AJ257" s="102"/>
      <c r="AK257" s="102"/>
      <c r="AL257" s="102"/>
      <c r="AM257" s="102"/>
    </row>
    <row r="258" spans="1:39">
      <c r="A258" s="143" t="s">
        <v>238</v>
      </c>
      <c r="B258" s="143" t="s">
        <v>361</v>
      </c>
      <c r="C258" s="145">
        <v>45859</v>
      </c>
      <c r="D258" s="143" t="s">
        <v>628</v>
      </c>
      <c r="E258" s="146" t="s">
        <v>525</v>
      </c>
      <c r="F258" s="147">
        <v>-100</v>
      </c>
      <c r="G258" s="147">
        <v>127</v>
      </c>
      <c r="H258" s="148">
        <v>148</v>
      </c>
      <c r="I258" s="143">
        <v>-172</v>
      </c>
      <c r="J258" s="143">
        <v>1</v>
      </c>
      <c r="K258" s="149" t="s">
        <v>351</v>
      </c>
      <c r="L258" s="150">
        <f t="shared" si="38"/>
        <v>0</v>
      </c>
      <c r="M258" s="150">
        <f t="shared" si="39"/>
        <v>0</v>
      </c>
      <c r="N258" s="151">
        <f t="shared" si="40"/>
        <v>-8.4677419354838607E-2</v>
      </c>
      <c r="O258" s="151">
        <f t="shared" si="41"/>
        <v>0.11062757672927165</v>
      </c>
      <c r="P258" s="151">
        <f t="shared" si="42"/>
        <v>0.5</v>
      </c>
      <c r="Q258" s="151">
        <f t="shared" si="43"/>
        <v>0.38937242327072835</v>
      </c>
      <c r="R258" s="150">
        <f t="shared" si="44"/>
        <v>2.27</v>
      </c>
      <c r="S258" s="150">
        <f t="shared" si="45"/>
        <v>2.48</v>
      </c>
      <c r="T258" s="150">
        <f t="shared" si="46"/>
        <v>1.5813953488372094</v>
      </c>
      <c r="U258" s="152">
        <f t="shared" si="49"/>
        <v>0</v>
      </c>
      <c r="V258" s="143"/>
      <c r="W258" s="102">
        <f t="shared" si="47"/>
        <v>2</v>
      </c>
      <c r="X258" s="153">
        <f t="shared" si="48"/>
        <v>0</v>
      </c>
      <c r="Y258" s="102"/>
      <c r="Z258" s="102"/>
      <c r="AA258" s="102"/>
      <c r="AB258" s="102"/>
      <c r="AC258" s="102"/>
      <c r="AD258" s="102"/>
      <c r="AE258" s="102"/>
      <c r="AF258" s="138"/>
      <c r="AG258" s="138"/>
      <c r="AH258" s="102"/>
      <c r="AI258" s="102"/>
      <c r="AJ258" s="102"/>
      <c r="AK258" s="102"/>
      <c r="AL258" s="102"/>
      <c r="AM258" s="102"/>
    </row>
    <row r="259" spans="1:39">
      <c r="A259" s="143" t="s">
        <v>240</v>
      </c>
      <c r="B259" s="143" t="s">
        <v>361</v>
      </c>
      <c r="C259" s="145">
        <v>45860</v>
      </c>
      <c r="D259" s="143" t="s">
        <v>629</v>
      </c>
      <c r="E259" s="146" t="s">
        <v>406</v>
      </c>
      <c r="F259" s="147">
        <v>109</v>
      </c>
      <c r="G259" s="147">
        <v>170</v>
      </c>
      <c r="H259" s="148">
        <v>173</v>
      </c>
      <c r="I259" s="143">
        <v>-208</v>
      </c>
      <c r="J259" s="143">
        <v>1</v>
      </c>
      <c r="K259" s="149" t="s">
        <v>311</v>
      </c>
      <c r="L259" s="150">
        <f t="shared" si="38"/>
        <v>-1</v>
      </c>
      <c r="M259" s="150">
        <f t="shared" si="39"/>
        <v>-1</v>
      </c>
      <c r="N259" s="151">
        <f t="shared" si="40"/>
        <v>-1.0989010989011E-2</v>
      </c>
      <c r="O259" s="151">
        <f t="shared" si="41"/>
        <v>0.12680649542945954</v>
      </c>
      <c r="P259" s="151">
        <f t="shared" si="42"/>
        <v>0.4784688995215311</v>
      </c>
      <c r="Q259" s="151">
        <f t="shared" si="43"/>
        <v>0.35166240409207156</v>
      </c>
      <c r="R259" s="150">
        <f t="shared" si="44"/>
        <v>2.7</v>
      </c>
      <c r="S259" s="150">
        <f t="shared" si="45"/>
        <v>2.73</v>
      </c>
      <c r="T259" s="150">
        <f t="shared" si="46"/>
        <v>1.4807692307692308</v>
      </c>
      <c r="U259" s="152">
        <f t="shared" si="49"/>
        <v>-1</v>
      </c>
      <c r="V259" s="143"/>
      <c r="W259" s="102">
        <f t="shared" si="47"/>
        <v>0</v>
      </c>
      <c r="X259" s="153">
        <f t="shared" si="48"/>
        <v>-1</v>
      </c>
      <c r="Y259" s="102"/>
      <c r="Z259" s="102"/>
      <c r="AA259" s="102"/>
      <c r="AB259" s="102"/>
      <c r="AC259" s="102"/>
      <c r="AD259" s="102"/>
      <c r="AE259" s="102"/>
      <c r="AF259" s="138"/>
      <c r="AG259" s="138"/>
      <c r="AH259" s="102"/>
      <c r="AI259" s="102"/>
      <c r="AJ259" s="102"/>
      <c r="AK259" s="102"/>
      <c r="AL259" s="102"/>
      <c r="AM259" s="102"/>
    </row>
    <row r="260" spans="1:39">
      <c r="A260" s="143" t="s">
        <v>240</v>
      </c>
      <c r="B260" s="143" t="s">
        <v>361</v>
      </c>
      <c r="C260" s="145">
        <v>45860</v>
      </c>
      <c r="D260" s="143" t="s">
        <v>630</v>
      </c>
      <c r="E260" s="146" t="s">
        <v>421</v>
      </c>
      <c r="F260" s="147">
        <v>-106</v>
      </c>
      <c r="G260" s="147">
        <v>140</v>
      </c>
      <c r="H260" s="148">
        <v>135</v>
      </c>
      <c r="I260" s="143">
        <v>-156</v>
      </c>
      <c r="J260" s="143">
        <v>1</v>
      </c>
      <c r="K260" s="149" t="s">
        <v>311</v>
      </c>
      <c r="L260" s="150">
        <f t="shared" si="38"/>
        <v>-1</v>
      </c>
      <c r="M260" s="150">
        <f t="shared" si="39"/>
        <v>-1</v>
      </c>
      <c r="N260" s="151">
        <f t="shared" si="40"/>
        <v>2.1276595744680816E-2</v>
      </c>
      <c r="O260" s="151">
        <f t="shared" si="41"/>
        <v>0.10338417971612934</v>
      </c>
      <c r="P260" s="151">
        <f t="shared" si="42"/>
        <v>0.5145631067961165</v>
      </c>
      <c r="Q260" s="151">
        <f t="shared" si="43"/>
        <v>0.41117892707998716</v>
      </c>
      <c r="R260" s="150">
        <f t="shared" si="44"/>
        <v>2.4</v>
      </c>
      <c r="S260" s="150">
        <f t="shared" si="45"/>
        <v>2.35</v>
      </c>
      <c r="T260" s="150">
        <f t="shared" si="46"/>
        <v>1.641025641025641</v>
      </c>
      <c r="U260" s="152">
        <f t="shared" si="49"/>
        <v>-1</v>
      </c>
      <c r="V260" s="143"/>
      <c r="W260" s="102">
        <f t="shared" si="47"/>
        <v>0</v>
      </c>
      <c r="X260" s="153">
        <f t="shared" si="48"/>
        <v>-1</v>
      </c>
      <c r="Y260" s="102"/>
      <c r="Z260" s="102"/>
      <c r="AA260" s="102"/>
      <c r="AB260" s="102"/>
      <c r="AC260" s="102"/>
      <c r="AD260" s="102"/>
      <c r="AE260" s="102"/>
      <c r="AF260" s="138"/>
      <c r="AG260" s="138"/>
      <c r="AH260" s="102"/>
      <c r="AI260" s="102"/>
      <c r="AJ260" s="102"/>
      <c r="AK260" s="102"/>
      <c r="AL260" s="102"/>
      <c r="AM260" s="102"/>
    </row>
    <row r="261" spans="1:39">
      <c r="A261" s="143" t="s">
        <v>240</v>
      </c>
      <c r="B261" s="143" t="s">
        <v>361</v>
      </c>
      <c r="C261" s="145">
        <v>45860</v>
      </c>
      <c r="D261" s="143" t="s">
        <v>631</v>
      </c>
      <c r="E261" s="146" t="s">
        <v>492</v>
      </c>
      <c r="F261" s="147">
        <v>136</v>
      </c>
      <c r="G261" s="147">
        <v>189</v>
      </c>
      <c r="H261" s="148">
        <v>181</v>
      </c>
      <c r="I261" s="143">
        <v>-213</v>
      </c>
      <c r="J261" s="143">
        <v>1</v>
      </c>
      <c r="K261" s="149" t="s">
        <v>351</v>
      </c>
      <c r="L261" s="150">
        <f t="shared" si="38"/>
        <v>0</v>
      </c>
      <c r="M261" s="150">
        <f t="shared" si="39"/>
        <v>0</v>
      </c>
      <c r="N261" s="151">
        <f t="shared" si="40"/>
        <v>2.846975088967969E-2</v>
      </c>
      <c r="O261" s="151">
        <f t="shared" si="41"/>
        <v>8.0350098651419899E-2</v>
      </c>
      <c r="P261" s="151">
        <f t="shared" si="42"/>
        <v>0.42372881355932202</v>
      </c>
      <c r="Q261" s="151">
        <f t="shared" si="43"/>
        <v>0.34337871490790212</v>
      </c>
      <c r="R261" s="150">
        <f t="shared" si="44"/>
        <v>2.8899999999999997</v>
      </c>
      <c r="S261" s="150">
        <f t="shared" si="45"/>
        <v>2.81</v>
      </c>
      <c r="T261" s="150">
        <f t="shared" si="46"/>
        <v>1.4694835680751175</v>
      </c>
      <c r="U261" s="152">
        <f t="shared" si="49"/>
        <v>0</v>
      </c>
      <c r="V261" s="143"/>
      <c r="W261" s="102">
        <f t="shared" si="47"/>
        <v>2</v>
      </c>
      <c r="X261" s="153">
        <f t="shared" si="48"/>
        <v>0</v>
      </c>
      <c r="Y261" s="102"/>
      <c r="Z261" s="102"/>
      <c r="AA261" s="102"/>
      <c r="AB261" s="102"/>
      <c r="AC261" s="102"/>
      <c r="AD261" s="102"/>
      <c r="AE261" s="102"/>
      <c r="AF261" s="138"/>
      <c r="AG261" s="138"/>
      <c r="AH261" s="102"/>
      <c r="AI261" s="102"/>
      <c r="AJ261" s="102"/>
      <c r="AK261" s="102"/>
      <c r="AL261" s="102"/>
      <c r="AM261" s="102"/>
    </row>
    <row r="262" spans="1:39">
      <c r="A262" s="143" t="s">
        <v>238</v>
      </c>
      <c r="B262" s="143" t="s">
        <v>361</v>
      </c>
      <c r="C262" s="145">
        <v>45861</v>
      </c>
      <c r="D262" s="143" t="s">
        <v>632</v>
      </c>
      <c r="E262" s="146" t="s">
        <v>397</v>
      </c>
      <c r="F262" s="147">
        <v>-123</v>
      </c>
      <c r="G262" s="147">
        <v>110</v>
      </c>
      <c r="H262" s="148">
        <v>110</v>
      </c>
      <c r="I262" s="143">
        <v>-133</v>
      </c>
      <c r="J262" s="143">
        <v>1</v>
      </c>
      <c r="K262" s="149" t="s">
        <v>311</v>
      </c>
      <c r="L262" s="150">
        <f t="shared" si="38"/>
        <v>-1</v>
      </c>
      <c r="M262" s="150">
        <f t="shared" si="39"/>
        <v>-1</v>
      </c>
      <c r="N262" s="151">
        <f t="shared" si="40"/>
        <v>0</v>
      </c>
      <c r="O262" s="151">
        <f t="shared" si="41"/>
        <v>9.6757872918141974E-2</v>
      </c>
      <c r="P262" s="151">
        <f t="shared" si="42"/>
        <v>0.55156950672645744</v>
      </c>
      <c r="Q262" s="151">
        <f t="shared" si="43"/>
        <v>0.45481163380831546</v>
      </c>
      <c r="R262" s="150">
        <f t="shared" si="44"/>
        <v>2.1</v>
      </c>
      <c r="S262" s="150">
        <f t="shared" si="45"/>
        <v>2.1</v>
      </c>
      <c r="T262" s="150">
        <f t="shared" si="46"/>
        <v>1.7518796992481203</v>
      </c>
      <c r="U262" s="152">
        <f t="shared" si="49"/>
        <v>-1</v>
      </c>
      <c r="V262" s="143"/>
      <c r="W262" s="102">
        <f t="shared" si="47"/>
        <v>0</v>
      </c>
      <c r="X262" s="153">
        <f t="shared" si="48"/>
        <v>-1</v>
      </c>
      <c r="Y262" s="102"/>
      <c r="Z262" s="102"/>
      <c r="AA262" s="102"/>
      <c r="AB262" s="102"/>
      <c r="AC262" s="102"/>
      <c r="AD262" s="102"/>
      <c r="AE262" s="102"/>
      <c r="AF262" s="138"/>
      <c r="AG262" s="138"/>
      <c r="AH262" s="102"/>
      <c r="AI262" s="102"/>
      <c r="AJ262" s="102"/>
      <c r="AK262" s="102"/>
      <c r="AL262" s="102"/>
      <c r="AM262" s="102"/>
    </row>
    <row r="263" spans="1:39">
      <c r="A263" s="143" t="s">
        <v>238</v>
      </c>
      <c r="B263" s="143" t="s">
        <v>361</v>
      </c>
      <c r="C263" s="145">
        <v>45861</v>
      </c>
      <c r="D263" s="143" t="s">
        <v>629</v>
      </c>
      <c r="E263" s="146" t="s">
        <v>406</v>
      </c>
      <c r="F263" s="147">
        <v>-138</v>
      </c>
      <c r="G263" s="147">
        <v>133</v>
      </c>
      <c r="H263" s="148">
        <v>140</v>
      </c>
      <c r="I263" s="143">
        <v>-154</v>
      </c>
      <c r="J263" s="143">
        <v>1</v>
      </c>
      <c r="K263" s="149" t="s">
        <v>350</v>
      </c>
      <c r="L263" s="150">
        <f t="shared" si="38"/>
        <v>1.33</v>
      </c>
      <c r="M263" s="150">
        <f t="shared" si="39"/>
        <v>1.4</v>
      </c>
      <c r="N263" s="151">
        <f t="shared" si="40"/>
        <v>-2.9166666666666653E-2</v>
      </c>
      <c r="O263" s="151">
        <f t="shared" si="41"/>
        <v>0.17251955304251276</v>
      </c>
      <c r="P263" s="151">
        <f t="shared" si="42"/>
        <v>0.57983193277310929</v>
      </c>
      <c r="Q263" s="151">
        <f t="shared" si="43"/>
        <v>0.40731237973059653</v>
      </c>
      <c r="R263" s="150">
        <f t="shared" si="44"/>
        <v>2.33</v>
      </c>
      <c r="S263" s="150">
        <f t="shared" si="45"/>
        <v>2.4</v>
      </c>
      <c r="T263" s="150">
        <f t="shared" si="46"/>
        <v>1.6493506493506493</v>
      </c>
      <c r="U263" s="152">
        <f t="shared" si="49"/>
        <v>1.33</v>
      </c>
      <c r="V263" s="143"/>
      <c r="W263" s="102">
        <f t="shared" si="47"/>
        <v>1</v>
      </c>
      <c r="X263" s="153">
        <f t="shared" si="48"/>
        <v>1.33</v>
      </c>
      <c r="Y263" s="102"/>
      <c r="Z263" s="102"/>
      <c r="AA263" s="102"/>
      <c r="AB263" s="102"/>
      <c r="AC263" s="102"/>
      <c r="AD263" s="102"/>
      <c r="AE263" s="102"/>
      <c r="AF263" s="138"/>
      <c r="AG263" s="138"/>
      <c r="AH263" s="102"/>
      <c r="AI263" s="102"/>
      <c r="AJ263" s="102"/>
      <c r="AK263" s="102"/>
      <c r="AL263" s="102"/>
      <c r="AM263" s="102"/>
    </row>
    <row r="264" spans="1:39">
      <c r="A264" s="143" t="s">
        <v>240</v>
      </c>
      <c r="B264" s="143" t="s">
        <v>361</v>
      </c>
      <c r="C264" s="145">
        <v>45861</v>
      </c>
      <c r="D264" s="143" t="s">
        <v>633</v>
      </c>
      <c r="E264" s="146" t="s">
        <v>441</v>
      </c>
      <c r="F264" s="147">
        <v>-114</v>
      </c>
      <c r="G264" s="147">
        <v>130</v>
      </c>
      <c r="H264" s="148">
        <v>120</v>
      </c>
      <c r="I264" s="143">
        <v>-152</v>
      </c>
      <c r="J264" s="143">
        <v>1</v>
      </c>
      <c r="K264" s="149" t="s">
        <v>350</v>
      </c>
      <c r="L264" s="150">
        <f t="shared" si="38"/>
        <v>1.2999999999999998</v>
      </c>
      <c r="M264" s="150">
        <f t="shared" si="39"/>
        <v>1.2000000000000002</v>
      </c>
      <c r="N264" s="151">
        <f t="shared" si="40"/>
        <v>4.5454545454545317E-2</v>
      </c>
      <c r="O264" s="151">
        <f t="shared" si="41"/>
        <v>0.10296948910507314</v>
      </c>
      <c r="P264" s="151">
        <f t="shared" si="42"/>
        <v>0.53271028037383172</v>
      </c>
      <c r="Q264" s="151">
        <f t="shared" si="43"/>
        <v>0.42974079126875858</v>
      </c>
      <c r="R264" s="150">
        <f t="shared" si="44"/>
        <v>2.2999999999999998</v>
      </c>
      <c r="S264" s="150">
        <f t="shared" si="45"/>
        <v>2.2000000000000002</v>
      </c>
      <c r="T264" s="150">
        <f t="shared" si="46"/>
        <v>1.6578947368421053</v>
      </c>
      <c r="U264" s="152">
        <f t="shared" si="49"/>
        <v>1.2999999999999998</v>
      </c>
      <c r="V264" s="143"/>
      <c r="W264" s="102">
        <f t="shared" si="47"/>
        <v>1</v>
      </c>
      <c r="X264" s="153">
        <f t="shared" si="48"/>
        <v>1.2999999999999998</v>
      </c>
      <c r="Y264" s="102"/>
      <c r="Z264" s="102"/>
      <c r="AA264" s="102"/>
      <c r="AB264" s="102"/>
      <c r="AC264" s="102"/>
      <c r="AD264" s="102"/>
      <c r="AE264" s="102"/>
      <c r="AF264" s="138"/>
      <c r="AG264" s="138"/>
      <c r="AH264" s="102"/>
      <c r="AI264" s="102"/>
      <c r="AJ264" s="102"/>
      <c r="AK264" s="102"/>
      <c r="AL264" s="102"/>
      <c r="AM264" s="102"/>
    </row>
    <row r="265" spans="1:39">
      <c r="A265" s="143" t="s">
        <v>238</v>
      </c>
      <c r="B265" s="143" t="s">
        <v>361</v>
      </c>
      <c r="C265" s="145">
        <v>45861</v>
      </c>
      <c r="D265" s="143" t="s">
        <v>634</v>
      </c>
      <c r="E265" s="146" t="s">
        <v>447</v>
      </c>
      <c r="F265" s="147">
        <v>-110</v>
      </c>
      <c r="G265" s="147">
        <v>126</v>
      </c>
      <c r="H265" s="148">
        <v>127</v>
      </c>
      <c r="I265" s="143">
        <v>-145</v>
      </c>
      <c r="J265" s="143">
        <v>1</v>
      </c>
      <c r="K265" s="149" t="s">
        <v>350</v>
      </c>
      <c r="L265" s="150">
        <f t="shared" si="38"/>
        <v>1.2599999999999998</v>
      </c>
      <c r="M265" s="150">
        <f t="shared" si="39"/>
        <v>1.27</v>
      </c>
      <c r="N265" s="151">
        <f t="shared" si="40"/>
        <v>-4.4052863436124245E-3</v>
      </c>
      <c r="O265" s="151">
        <f t="shared" si="41"/>
        <v>9.7091767125730366E-2</v>
      </c>
      <c r="P265" s="151">
        <f t="shared" si="42"/>
        <v>0.52380952380952384</v>
      </c>
      <c r="Q265" s="151">
        <f t="shared" si="43"/>
        <v>0.42671775668379347</v>
      </c>
      <c r="R265" s="150">
        <f t="shared" si="44"/>
        <v>2.2599999999999998</v>
      </c>
      <c r="S265" s="150">
        <f t="shared" si="45"/>
        <v>2.27</v>
      </c>
      <c r="T265" s="150">
        <f t="shared" si="46"/>
        <v>1.6896551724137931</v>
      </c>
      <c r="U265" s="152">
        <f t="shared" si="49"/>
        <v>1.2599999999999998</v>
      </c>
      <c r="V265" s="143"/>
      <c r="W265" s="102">
        <f t="shared" si="47"/>
        <v>1</v>
      </c>
      <c r="X265" s="153">
        <f t="shared" si="48"/>
        <v>1.2599999999999998</v>
      </c>
      <c r="Y265" s="102"/>
      <c r="Z265" s="102"/>
      <c r="AA265" s="102"/>
      <c r="AB265" s="102"/>
      <c r="AC265" s="102"/>
      <c r="AD265" s="102"/>
      <c r="AE265" s="102"/>
      <c r="AF265" s="138"/>
      <c r="AG265" s="138"/>
      <c r="AH265" s="102"/>
      <c r="AI265" s="102"/>
      <c r="AJ265" s="102"/>
      <c r="AK265" s="102"/>
      <c r="AL265" s="102"/>
      <c r="AM265" s="102"/>
    </row>
    <row r="266" spans="1:39">
      <c r="A266" s="143" t="s">
        <v>238</v>
      </c>
      <c r="B266" s="143" t="s">
        <v>361</v>
      </c>
      <c r="C266" s="145">
        <v>45861</v>
      </c>
      <c r="D266" s="143" t="s">
        <v>631</v>
      </c>
      <c r="E266" s="146" t="s">
        <v>492</v>
      </c>
      <c r="F266" s="147">
        <v>115</v>
      </c>
      <c r="G266" s="147">
        <v>179</v>
      </c>
      <c r="H266" s="148">
        <v>182</v>
      </c>
      <c r="I266" s="143">
        <v>-213</v>
      </c>
      <c r="J266" s="143">
        <v>1</v>
      </c>
      <c r="K266" s="149" t="s">
        <v>351</v>
      </c>
      <c r="L266" s="150">
        <f t="shared" ref="L266:L329" si="50">IF(K266="","",IF(K266="W",R266*J266-J266,IF(K266="L",-J266,0)))</f>
        <v>0</v>
      </c>
      <c r="M266" s="150">
        <f t="shared" ref="M266:M329" si="51">IF(K266="","",IF(K266="W",S266*J266-J266,IF(K266="L",-J266,0)))</f>
        <v>0</v>
      </c>
      <c r="N266" s="151">
        <f t="shared" ref="N266:N329" si="52">IFERROR((1/S266-1/R266)/(1/R266),"")</f>
        <v>-1.0638297872340536E-2</v>
      </c>
      <c r="O266" s="151">
        <f t="shared" ref="O266:O329" si="53">IFERROR(IF(Q266="","",P266 - Q266),"")</f>
        <v>0.12253807711280318</v>
      </c>
      <c r="P266" s="151">
        <f t="shared" ref="P266:P329" si="54">IF(F266="","",IF(F266 &lt; 0, -F266 / (-F266 + 100), 100 / (F266 + 100)))</f>
        <v>0.46511627906976744</v>
      </c>
      <c r="Q266" s="151">
        <f t="shared" ref="Q266:Q329" si="55">IFERROR((1/S266) / ((1/S266) + (1/T266)),"")</f>
        <v>0.34257820195696426</v>
      </c>
      <c r="R266" s="150">
        <f t="shared" ref="R266:R329" si="56">IFERROR(IF(G266&gt;0, G266/100 + 1, 100/ABS(G266) + 1),"")</f>
        <v>2.79</v>
      </c>
      <c r="S266" s="150">
        <f t="shared" ref="S266:S329" si="57">IFERROR(IF(H266&gt;0, H266/100 + 1, 100/ABS(H266) + 1),"")</f>
        <v>2.8200000000000003</v>
      </c>
      <c r="T266" s="150">
        <f t="shared" ref="T266:T329" si="58">IFERROR(IF(I266&gt;0, I266/100 + 1, 100/ABS(I266) + 1),"")</f>
        <v>1.4694835680751175</v>
      </c>
      <c r="U266" s="152">
        <f t="shared" si="49"/>
        <v>0</v>
      </c>
      <c r="V266" s="143"/>
      <c r="W266" s="102">
        <f t="shared" ref="W266:W329" si="59">IF(K266="W",1,IF(K266="P",2,0))</f>
        <v>2</v>
      </c>
      <c r="X266" s="153">
        <f t="shared" ref="X266:X329" si="60">IF(B266=$D$3,U266,"")</f>
        <v>0</v>
      </c>
      <c r="Y266" s="102"/>
      <c r="Z266" s="102"/>
      <c r="AA266" s="102"/>
      <c r="AB266" s="102"/>
      <c r="AC266" s="102"/>
      <c r="AD266" s="102"/>
      <c r="AE266" s="102"/>
      <c r="AF266" s="138"/>
      <c r="AG266" s="138"/>
      <c r="AH266" s="102"/>
      <c r="AI266" s="102"/>
      <c r="AJ266" s="102"/>
      <c r="AK266" s="102"/>
      <c r="AL266" s="102"/>
      <c r="AM266" s="102"/>
    </row>
    <row r="267" spans="1:39">
      <c r="A267" s="143" t="s">
        <v>238</v>
      </c>
      <c r="B267" s="143" t="s">
        <v>363</v>
      </c>
      <c r="C267" s="145">
        <v>45862</v>
      </c>
      <c r="D267" s="143" t="s">
        <v>628</v>
      </c>
      <c r="E267" s="146" t="s">
        <v>635</v>
      </c>
      <c r="F267" s="147">
        <v>-200</v>
      </c>
      <c r="G267" s="147">
        <v>-154</v>
      </c>
      <c r="H267" s="148">
        <v>-154</v>
      </c>
      <c r="I267" s="143">
        <v>131</v>
      </c>
      <c r="J267" s="143">
        <v>1</v>
      </c>
      <c r="K267" s="149" t="s">
        <v>350</v>
      </c>
      <c r="L267" s="150">
        <f t="shared" si="50"/>
        <v>0.64935064935064934</v>
      </c>
      <c r="M267" s="150">
        <f t="shared" si="51"/>
        <v>0.64935064935064934</v>
      </c>
      <c r="N267" s="151">
        <f t="shared" si="52"/>
        <v>0</v>
      </c>
      <c r="O267" s="151">
        <f t="shared" si="53"/>
        <v>8.3237664140999978E-2</v>
      </c>
      <c r="P267" s="151">
        <f t="shared" si="54"/>
        <v>0.66666666666666663</v>
      </c>
      <c r="Q267" s="151">
        <f t="shared" si="55"/>
        <v>0.58342900252566665</v>
      </c>
      <c r="R267" s="150">
        <f t="shared" si="56"/>
        <v>1.6493506493506493</v>
      </c>
      <c r="S267" s="150">
        <f t="shared" si="57"/>
        <v>1.6493506493506493</v>
      </c>
      <c r="T267" s="150">
        <f t="shared" si="58"/>
        <v>2.31</v>
      </c>
      <c r="U267" s="152">
        <f t="shared" si="49"/>
        <v>0.64935064935064934</v>
      </c>
      <c r="V267" s="143"/>
      <c r="W267" s="102">
        <f t="shared" si="59"/>
        <v>1</v>
      </c>
      <c r="X267" s="102" t="str">
        <f t="shared" si="60"/>
        <v/>
      </c>
      <c r="Y267" s="102"/>
      <c r="Z267" s="102"/>
      <c r="AA267" s="102"/>
      <c r="AB267" s="102"/>
      <c r="AC267" s="102"/>
      <c r="AD267" s="102"/>
      <c r="AE267" s="102"/>
      <c r="AF267" s="138"/>
      <c r="AG267" s="138"/>
      <c r="AH267" s="102"/>
      <c r="AI267" s="102"/>
      <c r="AJ267" s="102"/>
      <c r="AK267" s="102"/>
      <c r="AL267" s="102"/>
      <c r="AM267" s="102"/>
    </row>
    <row r="268" spans="1:39">
      <c r="A268" s="143" t="s">
        <v>238</v>
      </c>
      <c r="B268" s="143" t="s">
        <v>363</v>
      </c>
      <c r="C268" s="145">
        <v>45862</v>
      </c>
      <c r="D268" s="143" t="s">
        <v>483</v>
      </c>
      <c r="E268" s="146" t="s">
        <v>617</v>
      </c>
      <c r="F268" s="147">
        <v>-133</v>
      </c>
      <c r="G268" s="147">
        <v>-105</v>
      </c>
      <c r="H268" s="148">
        <v>-106</v>
      </c>
      <c r="I268" s="143">
        <v>-110</v>
      </c>
      <c r="J268" s="143">
        <v>1</v>
      </c>
      <c r="K268" s="149" t="s">
        <v>350</v>
      </c>
      <c r="L268" s="150">
        <f t="shared" si="50"/>
        <v>0.95238095238095233</v>
      </c>
      <c r="M268" s="150">
        <f t="shared" si="51"/>
        <v>0.94339622641509435</v>
      </c>
      <c r="N268" s="151">
        <f t="shared" si="52"/>
        <v>4.6232085067036185E-3</v>
      </c>
      <c r="O268" s="151">
        <f t="shared" si="53"/>
        <v>7.5267810394444745E-2</v>
      </c>
      <c r="P268" s="151">
        <f t="shared" si="54"/>
        <v>0.57081545064377681</v>
      </c>
      <c r="Q268" s="151">
        <f t="shared" si="55"/>
        <v>0.49554764024933207</v>
      </c>
      <c r="R268" s="150">
        <f t="shared" si="56"/>
        <v>1.9523809523809523</v>
      </c>
      <c r="S268" s="150">
        <f t="shared" si="57"/>
        <v>1.9433962264150944</v>
      </c>
      <c r="T268" s="150">
        <f t="shared" si="58"/>
        <v>1.9090909090909092</v>
      </c>
      <c r="U268" s="152">
        <f t="shared" si="49"/>
        <v>0.95238095238095233</v>
      </c>
      <c r="V268" s="143"/>
      <c r="W268" s="102">
        <f t="shared" si="59"/>
        <v>1</v>
      </c>
      <c r="X268" s="102" t="str">
        <f t="shared" si="60"/>
        <v/>
      </c>
      <c r="Y268" s="102"/>
      <c r="Z268" s="102"/>
      <c r="AA268" s="102"/>
      <c r="AB268" s="102"/>
      <c r="AC268" s="102"/>
      <c r="AD268" s="102"/>
      <c r="AE268" s="102"/>
      <c r="AF268" s="138"/>
      <c r="AG268" s="138"/>
      <c r="AH268" s="102"/>
      <c r="AI268" s="102"/>
      <c r="AJ268" s="102"/>
      <c r="AK268" s="102"/>
      <c r="AL268" s="102"/>
      <c r="AM268" s="102"/>
    </row>
    <row r="269" spans="1:39">
      <c r="A269" s="143" t="s">
        <v>240</v>
      </c>
      <c r="B269" s="143" t="s">
        <v>361</v>
      </c>
      <c r="C269" s="145">
        <v>45863</v>
      </c>
      <c r="D269" s="143" t="s">
        <v>636</v>
      </c>
      <c r="E269" s="146" t="s">
        <v>389</v>
      </c>
      <c r="F269" s="147">
        <v>-247</v>
      </c>
      <c r="G269" s="147">
        <v>-125</v>
      </c>
      <c r="H269" s="148">
        <v>-114</v>
      </c>
      <c r="I269" s="143">
        <v>100</v>
      </c>
      <c r="J269" s="143">
        <v>1</v>
      </c>
      <c r="K269" s="149" t="s">
        <v>351</v>
      </c>
      <c r="L269" s="150">
        <f t="shared" si="50"/>
        <v>0</v>
      </c>
      <c r="M269" s="150">
        <f t="shared" si="51"/>
        <v>0</v>
      </c>
      <c r="N269" s="151">
        <f t="shared" si="52"/>
        <v>-4.1121495327102943E-2</v>
      </c>
      <c r="O269" s="151">
        <f t="shared" si="53"/>
        <v>0.1959784578872561</v>
      </c>
      <c r="P269" s="151">
        <f t="shared" si="54"/>
        <v>0.71181556195965423</v>
      </c>
      <c r="Q269" s="151">
        <f t="shared" si="55"/>
        <v>0.51583710407239813</v>
      </c>
      <c r="R269" s="150">
        <f t="shared" si="56"/>
        <v>1.8</v>
      </c>
      <c r="S269" s="150">
        <f t="shared" si="57"/>
        <v>1.8771929824561404</v>
      </c>
      <c r="T269" s="150">
        <f t="shared" si="58"/>
        <v>2</v>
      </c>
      <c r="U269" s="152">
        <f t="shared" si="49"/>
        <v>0</v>
      </c>
      <c r="V269" s="143"/>
      <c r="W269" s="102">
        <f t="shared" si="59"/>
        <v>2</v>
      </c>
      <c r="X269" s="153">
        <f t="shared" si="60"/>
        <v>0</v>
      </c>
      <c r="Y269" s="102"/>
      <c r="Z269" s="102"/>
      <c r="AA269" s="102"/>
      <c r="AB269" s="102"/>
      <c r="AC269" s="102"/>
      <c r="AD269" s="102"/>
      <c r="AE269" s="102"/>
      <c r="AF269" s="138"/>
      <c r="AG269" s="138"/>
      <c r="AH269" s="102"/>
      <c r="AI269" s="102"/>
      <c r="AJ269" s="102"/>
      <c r="AK269" s="102"/>
      <c r="AL269" s="102"/>
      <c r="AM269" s="102"/>
    </row>
    <row r="270" spans="1:39">
      <c r="A270" s="143" t="s">
        <v>238</v>
      </c>
      <c r="B270" s="143" t="s">
        <v>361</v>
      </c>
      <c r="C270" s="145">
        <v>45863</v>
      </c>
      <c r="D270" s="143" t="s">
        <v>637</v>
      </c>
      <c r="E270" s="146" t="s">
        <v>454</v>
      </c>
      <c r="F270" s="147">
        <v>113</v>
      </c>
      <c r="G270" s="147">
        <v>145</v>
      </c>
      <c r="H270" s="148">
        <v>136</v>
      </c>
      <c r="I270" s="143">
        <v>-159</v>
      </c>
      <c r="J270" s="143">
        <v>1</v>
      </c>
      <c r="K270" s="149" t="s">
        <v>350</v>
      </c>
      <c r="L270" s="150">
        <f t="shared" si="50"/>
        <v>1.4500000000000002</v>
      </c>
      <c r="M270" s="150">
        <f t="shared" si="51"/>
        <v>1.3600000000000003</v>
      </c>
      <c r="N270" s="151">
        <f t="shared" si="52"/>
        <v>3.8135593220338916E-2</v>
      </c>
      <c r="O270" s="151">
        <f t="shared" si="53"/>
        <v>6.1120803191161865E-2</v>
      </c>
      <c r="P270" s="151">
        <f t="shared" si="54"/>
        <v>0.46948356807511737</v>
      </c>
      <c r="Q270" s="151">
        <f t="shared" si="55"/>
        <v>0.40836276488395551</v>
      </c>
      <c r="R270" s="150">
        <f t="shared" si="56"/>
        <v>2.4500000000000002</v>
      </c>
      <c r="S270" s="150">
        <f t="shared" si="57"/>
        <v>2.3600000000000003</v>
      </c>
      <c r="T270" s="150">
        <f t="shared" si="58"/>
        <v>1.6289308176100628</v>
      </c>
      <c r="U270" s="152">
        <f t="shared" si="49"/>
        <v>1.4500000000000002</v>
      </c>
      <c r="V270" s="143"/>
      <c r="W270" s="102">
        <f t="shared" si="59"/>
        <v>1</v>
      </c>
      <c r="X270" s="153">
        <f t="shared" si="60"/>
        <v>1.4500000000000002</v>
      </c>
      <c r="Y270" s="102"/>
      <c r="Z270" s="102"/>
      <c r="AA270" s="102"/>
      <c r="AB270" s="102"/>
      <c r="AC270" s="102"/>
      <c r="AD270" s="102"/>
      <c r="AE270" s="102"/>
      <c r="AF270" s="138"/>
      <c r="AG270" s="138"/>
      <c r="AH270" s="102"/>
      <c r="AI270" s="102"/>
      <c r="AJ270" s="102"/>
      <c r="AK270" s="102"/>
      <c r="AL270" s="102"/>
      <c r="AM270" s="102"/>
    </row>
    <row r="271" spans="1:39">
      <c r="A271" s="143" t="s">
        <v>238</v>
      </c>
      <c r="B271" s="143" t="s">
        <v>361</v>
      </c>
      <c r="C271" s="145">
        <v>45863</v>
      </c>
      <c r="D271" s="143" t="s">
        <v>638</v>
      </c>
      <c r="E271" s="146" t="s">
        <v>508</v>
      </c>
      <c r="F271" s="147">
        <v>114</v>
      </c>
      <c r="G271" s="147">
        <v>161</v>
      </c>
      <c r="H271" s="148">
        <v>150</v>
      </c>
      <c r="I271" s="143">
        <v>-175</v>
      </c>
      <c r="J271" s="143">
        <v>1</v>
      </c>
      <c r="K271" s="149" t="s">
        <v>350</v>
      </c>
      <c r="L271" s="150">
        <f t="shared" si="50"/>
        <v>1.6100000000000003</v>
      </c>
      <c r="M271" s="150">
        <f t="shared" si="51"/>
        <v>1.5</v>
      </c>
      <c r="N271" s="151">
        <f t="shared" si="52"/>
        <v>4.4000000000000171E-2</v>
      </c>
      <c r="O271" s="151">
        <f t="shared" si="53"/>
        <v>8.1324807345466432E-2</v>
      </c>
      <c r="P271" s="151">
        <f t="shared" si="54"/>
        <v>0.46728971962616822</v>
      </c>
      <c r="Q271" s="151">
        <f t="shared" si="55"/>
        <v>0.38596491228070179</v>
      </c>
      <c r="R271" s="150">
        <f t="shared" si="56"/>
        <v>2.6100000000000003</v>
      </c>
      <c r="S271" s="150">
        <f t="shared" si="57"/>
        <v>2.5</v>
      </c>
      <c r="T271" s="150">
        <f t="shared" si="58"/>
        <v>1.5714285714285714</v>
      </c>
      <c r="U271" s="152">
        <f t="shared" si="49"/>
        <v>1.6100000000000003</v>
      </c>
      <c r="V271" s="143"/>
      <c r="W271" s="102">
        <f t="shared" si="59"/>
        <v>1</v>
      </c>
      <c r="X271" s="153">
        <f t="shared" si="60"/>
        <v>1.6100000000000003</v>
      </c>
      <c r="Y271" s="102"/>
      <c r="Z271" s="102"/>
      <c r="AA271" s="102"/>
      <c r="AB271" s="102"/>
      <c r="AC271" s="102"/>
      <c r="AD271" s="102"/>
      <c r="AE271" s="102"/>
      <c r="AF271" s="138"/>
      <c r="AG271" s="138"/>
      <c r="AH271" s="102"/>
      <c r="AI271" s="102"/>
      <c r="AJ271" s="102"/>
      <c r="AK271" s="102"/>
      <c r="AL271" s="102"/>
      <c r="AM271" s="102"/>
    </row>
    <row r="272" spans="1:39">
      <c r="A272" s="143" t="s">
        <v>240</v>
      </c>
      <c r="B272" s="143" t="s">
        <v>361</v>
      </c>
      <c r="C272" s="145">
        <v>45863</v>
      </c>
      <c r="D272" s="143" t="s">
        <v>639</v>
      </c>
      <c r="E272" s="146" t="s">
        <v>447</v>
      </c>
      <c r="F272" s="147">
        <v>125</v>
      </c>
      <c r="G272" s="147">
        <v>177</v>
      </c>
      <c r="H272" s="148">
        <v>172</v>
      </c>
      <c r="I272" s="143">
        <v>-200</v>
      </c>
      <c r="J272" s="143">
        <v>1</v>
      </c>
      <c r="K272" s="149" t="s">
        <v>351</v>
      </c>
      <c r="L272" s="150">
        <f t="shared" si="50"/>
        <v>0</v>
      </c>
      <c r="M272" s="150">
        <f t="shared" si="51"/>
        <v>0</v>
      </c>
      <c r="N272" s="151">
        <f t="shared" si="52"/>
        <v>1.8382352941176478E-2</v>
      </c>
      <c r="O272" s="151">
        <f t="shared" si="53"/>
        <v>8.8994207477619713E-2</v>
      </c>
      <c r="P272" s="151">
        <f t="shared" si="54"/>
        <v>0.44444444444444442</v>
      </c>
      <c r="Q272" s="151">
        <f t="shared" si="55"/>
        <v>0.35545023696682471</v>
      </c>
      <c r="R272" s="150">
        <f t="shared" si="56"/>
        <v>2.77</v>
      </c>
      <c r="S272" s="150">
        <f t="shared" si="57"/>
        <v>2.7199999999999998</v>
      </c>
      <c r="T272" s="150">
        <f t="shared" si="58"/>
        <v>1.5</v>
      </c>
      <c r="U272" s="152">
        <f t="shared" si="49"/>
        <v>0</v>
      </c>
      <c r="V272" s="143"/>
      <c r="W272" s="102">
        <f t="shared" si="59"/>
        <v>2</v>
      </c>
      <c r="X272" s="153">
        <f t="shared" si="60"/>
        <v>0</v>
      </c>
      <c r="Y272" s="102"/>
      <c r="Z272" s="102"/>
      <c r="AA272" s="102"/>
      <c r="AB272" s="102"/>
      <c r="AC272" s="102"/>
      <c r="AD272" s="102"/>
      <c r="AE272" s="102"/>
      <c r="AF272" s="138"/>
      <c r="AG272" s="138"/>
      <c r="AH272" s="102"/>
      <c r="AI272" s="102"/>
      <c r="AJ272" s="102"/>
      <c r="AK272" s="102"/>
      <c r="AL272" s="102"/>
      <c r="AM272" s="102"/>
    </row>
    <row r="273" spans="1:39">
      <c r="A273" s="143" t="s">
        <v>238</v>
      </c>
      <c r="B273" s="143" t="s">
        <v>361</v>
      </c>
      <c r="C273" s="145">
        <v>45863</v>
      </c>
      <c r="D273" s="143" t="s">
        <v>640</v>
      </c>
      <c r="E273" s="146" t="s">
        <v>460</v>
      </c>
      <c r="F273" s="147">
        <v>103</v>
      </c>
      <c r="G273" s="147">
        <v>135</v>
      </c>
      <c r="H273" s="148">
        <v>146</v>
      </c>
      <c r="I273" s="143">
        <v>-169</v>
      </c>
      <c r="J273" s="143">
        <v>1</v>
      </c>
      <c r="K273" s="149" t="s">
        <v>351</v>
      </c>
      <c r="L273" s="150">
        <f t="shared" si="50"/>
        <v>0</v>
      </c>
      <c r="M273" s="150">
        <f t="shared" si="51"/>
        <v>0</v>
      </c>
      <c r="N273" s="151">
        <f t="shared" si="52"/>
        <v>-4.4715447154471573E-2</v>
      </c>
      <c r="O273" s="151">
        <f t="shared" si="53"/>
        <v>9.9760996622931641E-2</v>
      </c>
      <c r="P273" s="151">
        <f t="shared" si="54"/>
        <v>0.49261083743842365</v>
      </c>
      <c r="Q273" s="151">
        <f t="shared" si="55"/>
        <v>0.39284984081549201</v>
      </c>
      <c r="R273" s="150">
        <f t="shared" si="56"/>
        <v>2.35</v>
      </c>
      <c r="S273" s="150">
        <f t="shared" si="57"/>
        <v>2.46</v>
      </c>
      <c r="T273" s="150">
        <f t="shared" si="58"/>
        <v>1.5917159763313609</v>
      </c>
      <c r="U273" s="152">
        <f t="shared" si="49"/>
        <v>0</v>
      </c>
      <c r="V273" s="143"/>
      <c r="W273" s="102">
        <f t="shared" si="59"/>
        <v>2</v>
      </c>
      <c r="X273" s="153">
        <f t="shared" si="60"/>
        <v>0</v>
      </c>
      <c r="Y273" s="102"/>
      <c r="Z273" s="102"/>
      <c r="AA273" s="102"/>
      <c r="AB273" s="102"/>
      <c r="AC273" s="102"/>
      <c r="AD273" s="102"/>
      <c r="AE273" s="102"/>
      <c r="AF273" s="138"/>
      <c r="AG273" s="138"/>
      <c r="AH273" s="102"/>
      <c r="AI273" s="102"/>
      <c r="AJ273" s="102"/>
      <c r="AK273" s="102"/>
      <c r="AL273" s="102"/>
      <c r="AM273" s="102"/>
    </row>
    <row r="274" spans="1:39">
      <c r="A274" s="143" t="s">
        <v>238</v>
      </c>
      <c r="B274" s="143" t="s">
        <v>361</v>
      </c>
      <c r="C274" s="145">
        <v>45863</v>
      </c>
      <c r="D274" s="143" t="s">
        <v>641</v>
      </c>
      <c r="E274" s="146" t="s">
        <v>451</v>
      </c>
      <c r="F274" s="147">
        <v>-130</v>
      </c>
      <c r="G274" s="147">
        <v>-106</v>
      </c>
      <c r="H274" s="148">
        <v>-104</v>
      </c>
      <c r="I274" s="143">
        <v>-110</v>
      </c>
      <c r="J274" s="143">
        <v>1</v>
      </c>
      <c r="K274" s="149" t="s">
        <v>350</v>
      </c>
      <c r="L274" s="150">
        <f t="shared" si="50"/>
        <v>0.94339622641509435</v>
      </c>
      <c r="M274" s="150">
        <f t="shared" si="51"/>
        <v>0.96153846153846168</v>
      </c>
      <c r="N274" s="151">
        <f t="shared" si="52"/>
        <v>-9.2489826119127455E-3</v>
      </c>
      <c r="O274" s="151">
        <f t="shared" si="53"/>
        <v>7.1992459055025271E-2</v>
      </c>
      <c r="P274" s="151">
        <f t="shared" si="54"/>
        <v>0.56521739130434778</v>
      </c>
      <c r="Q274" s="151">
        <f t="shared" si="55"/>
        <v>0.49322493224932251</v>
      </c>
      <c r="R274" s="150">
        <f t="shared" si="56"/>
        <v>1.9433962264150944</v>
      </c>
      <c r="S274" s="150">
        <f t="shared" si="57"/>
        <v>1.9615384615384617</v>
      </c>
      <c r="T274" s="150">
        <f t="shared" si="58"/>
        <v>1.9090909090909092</v>
      </c>
      <c r="U274" s="152">
        <f t="shared" si="49"/>
        <v>0.94339622641509435</v>
      </c>
      <c r="V274" s="143"/>
      <c r="W274" s="102">
        <f t="shared" si="59"/>
        <v>1</v>
      </c>
      <c r="X274" s="153">
        <f t="shared" si="60"/>
        <v>0.94339622641509435</v>
      </c>
      <c r="Y274" s="102"/>
      <c r="Z274" s="102"/>
      <c r="AA274" s="102"/>
      <c r="AB274" s="102"/>
      <c r="AC274" s="102"/>
      <c r="AD274" s="102"/>
      <c r="AE274" s="102"/>
      <c r="AF274" s="138"/>
      <c r="AG274" s="138"/>
      <c r="AH274" s="102"/>
      <c r="AI274" s="102"/>
      <c r="AJ274" s="102"/>
      <c r="AK274" s="102"/>
      <c r="AL274" s="102"/>
      <c r="AM274" s="102"/>
    </row>
    <row r="275" spans="1:39">
      <c r="A275" s="143" t="s">
        <v>238</v>
      </c>
      <c r="B275" s="143" t="s">
        <v>361</v>
      </c>
      <c r="C275" s="145">
        <v>45863</v>
      </c>
      <c r="D275" s="143" t="s">
        <v>642</v>
      </c>
      <c r="E275" s="146" t="s">
        <v>413</v>
      </c>
      <c r="F275" s="147">
        <v>-125</v>
      </c>
      <c r="G275" s="147">
        <v>128</v>
      </c>
      <c r="H275" s="148">
        <v>114</v>
      </c>
      <c r="I275" s="143">
        <v>-132</v>
      </c>
      <c r="J275" s="143">
        <v>1</v>
      </c>
      <c r="K275" s="149" t="s">
        <v>311</v>
      </c>
      <c r="L275" s="150">
        <f t="shared" si="50"/>
        <v>-1</v>
      </c>
      <c r="M275" s="150">
        <f t="shared" si="51"/>
        <v>-1</v>
      </c>
      <c r="N275" s="151">
        <f t="shared" si="52"/>
        <v>6.5420560747663725E-2</v>
      </c>
      <c r="O275" s="151">
        <f t="shared" si="53"/>
        <v>0.10461479984104766</v>
      </c>
      <c r="P275" s="151">
        <f t="shared" si="54"/>
        <v>0.55555555555555558</v>
      </c>
      <c r="Q275" s="151">
        <f t="shared" si="55"/>
        <v>0.45094075571450792</v>
      </c>
      <c r="R275" s="150">
        <f t="shared" si="56"/>
        <v>2.2800000000000002</v>
      </c>
      <c r="S275" s="150">
        <f t="shared" si="57"/>
        <v>2.1399999999999997</v>
      </c>
      <c r="T275" s="150">
        <f t="shared" si="58"/>
        <v>1.7575757575757576</v>
      </c>
      <c r="U275" s="152">
        <f t="shared" si="49"/>
        <v>-1</v>
      </c>
      <c r="V275" s="143"/>
      <c r="W275" s="102">
        <f t="shared" si="59"/>
        <v>0</v>
      </c>
      <c r="X275" s="153">
        <f t="shared" si="60"/>
        <v>-1</v>
      </c>
      <c r="Y275" s="102"/>
      <c r="Z275" s="102"/>
      <c r="AA275" s="102"/>
      <c r="AB275" s="102"/>
      <c r="AC275" s="102"/>
      <c r="AD275" s="102"/>
      <c r="AE275" s="102"/>
      <c r="AF275" s="138"/>
      <c r="AG275" s="138"/>
      <c r="AH275" s="102"/>
      <c r="AI275" s="102"/>
      <c r="AJ275" s="102"/>
      <c r="AK275" s="102"/>
      <c r="AL275" s="102"/>
      <c r="AM275" s="102"/>
    </row>
    <row r="276" spans="1:39">
      <c r="A276" s="143" t="s">
        <v>238</v>
      </c>
      <c r="B276" s="143" t="s">
        <v>361</v>
      </c>
      <c r="C276" s="145">
        <v>45864</v>
      </c>
      <c r="D276" s="143" t="s">
        <v>636</v>
      </c>
      <c r="E276" s="146" t="s">
        <v>389</v>
      </c>
      <c r="F276" s="147">
        <v>-182</v>
      </c>
      <c r="G276" s="147">
        <v>-148</v>
      </c>
      <c r="H276" s="148">
        <v>-154</v>
      </c>
      <c r="I276" s="143">
        <v>133</v>
      </c>
      <c r="J276" s="143">
        <v>1</v>
      </c>
      <c r="K276" s="149" t="s">
        <v>311</v>
      </c>
      <c r="L276" s="150">
        <f t="shared" si="50"/>
        <v>-1</v>
      </c>
      <c r="M276" s="150">
        <f t="shared" si="51"/>
        <v>-1</v>
      </c>
      <c r="N276" s="151">
        <f t="shared" si="52"/>
        <v>1.5960842732496289E-2</v>
      </c>
      <c r="O276" s="151">
        <f t="shared" si="53"/>
        <v>5.9867405212642111E-2</v>
      </c>
      <c r="P276" s="151">
        <f t="shared" si="54"/>
        <v>0.64539007092198586</v>
      </c>
      <c r="Q276" s="151">
        <f t="shared" si="55"/>
        <v>0.58552266570934375</v>
      </c>
      <c r="R276" s="150">
        <f t="shared" si="56"/>
        <v>1.6756756756756757</v>
      </c>
      <c r="S276" s="150">
        <f t="shared" si="57"/>
        <v>1.6493506493506493</v>
      </c>
      <c r="T276" s="150">
        <f t="shared" si="58"/>
        <v>2.33</v>
      </c>
      <c r="U276" s="152">
        <f t="shared" si="49"/>
        <v>-1</v>
      </c>
      <c r="V276" s="143"/>
      <c r="W276" s="102">
        <f t="shared" si="59"/>
        <v>0</v>
      </c>
      <c r="X276" s="153">
        <f t="shared" si="60"/>
        <v>-1</v>
      </c>
      <c r="Y276" s="102"/>
      <c r="Z276" s="102"/>
      <c r="AA276" s="102"/>
      <c r="AB276" s="102"/>
      <c r="AC276" s="102"/>
      <c r="AD276" s="102"/>
      <c r="AE276" s="102"/>
      <c r="AF276" s="138"/>
      <c r="AG276" s="138"/>
      <c r="AH276" s="102"/>
      <c r="AI276" s="102"/>
      <c r="AJ276" s="102"/>
      <c r="AK276" s="102"/>
      <c r="AL276" s="102"/>
      <c r="AM276" s="102"/>
    </row>
    <row r="277" spans="1:39">
      <c r="A277" s="143" t="s">
        <v>238</v>
      </c>
      <c r="B277" s="143" t="s">
        <v>361</v>
      </c>
      <c r="C277" s="145">
        <v>45864</v>
      </c>
      <c r="D277" s="143" t="s">
        <v>452</v>
      </c>
      <c r="E277" s="146" t="s">
        <v>397</v>
      </c>
      <c r="F277" s="147">
        <v>124</v>
      </c>
      <c r="G277" s="147">
        <v>163</v>
      </c>
      <c r="H277" s="148">
        <v>164</v>
      </c>
      <c r="I277" s="143">
        <v>-192</v>
      </c>
      <c r="J277" s="143">
        <v>1</v>
      </c>
      <c r="K277" s="149" t="s">
        <v>350</v>
      </c>
      <c r="L277" s="150">
        <f t="shared" si="50"/>
        <v>1.63</v>
      </c>
      <c r="M277" s="150">
        <f t="shared" si="51"/>
        <v>1.6399999999999997</v>
      </c>
      <c r="N277" s="151">
        <f t="shared" si="52"/>
        <v>-3.7878787878787316E-3</v>
      </c>
      <c r="O277" s="151">
        <f t="shared" si="53"/>
        <v>8.0916855025607304E-2</v>
      </c>
      <c r="P277" s="151">
        <f t="shared" si="54"/>
        <v>0.44642857142857145</v>
      </c>
      <c r="Q277" s="151">
        <f t="shared" si="55"/>
        <v>0.36551171640296415</v>
      </c>
      <c r="R277" s="150">
        <f t="shared" si="56"/>
        <v>2.63</v>
      </c>
      <c r="S277" s="150">
        <f t="shared" si="57"/>
        <v>2.6399999999999997</v>
      </c>
      <c r="T277" s="150">
        <f t="shared" si="58"/>
        <v>1.5208333333333335</v>
      </c>
      <c r="U277" s="152">
        <f t="shared" si="49"/>
        <v>1.63</v>
      </c>
      <c r="V277" s="143"/>
      <c r="W277" s="102">
        <f t="shared" si="59"/>
        <v>1</v>
      </c>
      <c r="X277" s="153">
        <f t="shared" si="60"/>
        <v>1.63</v>
      </c>
      <c r="Y277" s="102"/>
      <c r="Z277" s="102"/>
      <c r="AA277" s="102"/>
      <c r="AB277" s="102"/>
      <c r="AC277" s="102"/>
      <c r="AD277" s="102"/>
      <c r="AE277" s="102"/>
      <c r="AF277" s="138"/>
      <c r="AG277" s="138"/>
      <c r="AH277" s="102"/>
      <c r="AI277" s="102"/>
      <c r="AJ277" s="102"/>
      <c r="AK277" s="102"/>
      <c r="AL277" s="102"/>
      <c r="AM277" s="102"/>
    </row>
    <row r="278" spans="1:39">
      <c r="A278" s="143" t="s">
        <v>238</v>
      </c>
      <c r="B278" s="143" t="s">
        <v>361</v>
      </c>
      <c r="C278" s="145">
        <v>45864</v>
      </c>
      <c r="D278" s="143" t="s">
        <v>643</v>
      </c>
      <c r="E278" s="146" t="s">
        <v>644</v>
      </c>
      <c r="F278" s="147">
        <v>-118</v>
      </c>
      <c r="G278" s="147">
        <v>107</v>
      </c>
      <c r="H278" s="148">
        <v>100</v>
      </c>
      <c r="I278" s="143">
        <v>-116</v>
      </c>
      <c r="J278" s="143">
        <v>1</v>
      </c>
      <c r="K278" s="149" t="s">
        <v>311</v>
      </c>
      <c r="L278" s="150">
        <f t="shared" si="50"/>
        <v>-1</v>
      </c>
      <c r="M278" s="150">
        <f t="shared" si="51"/>
        <v>-1</v>
      </c>
      <c r="N278" s="151">
        <f t="shared" si="52"/>
        <v>3.5000000000000163E-2</v>
      </c>
      <c r="O278" s="151">
        <f t="shared" si="53"/>
        <v>5.9141546526867705E-2</v>
      </c>
      <c r="P278" s="151">
        <f t="shared" si="54"/>
        <v>0.54128440366972475</v>
      </c>
      <c r="Q278" s="151">
        <f t="shared" si="55"/>
        <v>0.48214285714285704</v>
      </c>
      <c r="R278" s="150">
        <f t="shared" si="56"/>
        <v>2.0700000000000003</v>
      </c>
      <c r="S278" s="150">
        <f t="shared" si="57"/>
        <v>2</v>
      </c>
      <c r="T278" s="150">
        <f t="shared" si="58"/>
        <v>1.8620689655172413</v>
      </c>
      <c r="U278" s="152">
        <f t="shared" si="49"/>
        <v>-1</v>
      </c>
      <c r="V278" s="143"/>
      <c r="W278" s="102">
        <f t="shared" si="59"/>
        <v>0</v>
      </c>
      <c r="X278" s="153">
        <f t="shared" si="60"/>
        <v>-1</v>
      </c>
      <c r="Y278" s="102"/>
      <c r="Z278" s="102"/>
      <c r="AA278" s="102"/>
      <c r="AB278" s="102"/>
      <c r="AC278" s="102"/>
      <c r="AD278" s="102"/>
      <c r="AE278" s="102"/>
      <c r="AF278" s="138"/>
      <c r="AG278" s="138"/>
      <c r="AH278" s="102"/>
      <c r="AI278" s="102"/>
      <c r="AJ278" s="102"/>
      <c r="AK278" s="102"/>
      <c r="AL278" s="102"/>
      <c r="AM278" s="102"/>
    </row>
    <row r="279" spans="1:39">
      <c r="A279" s="143" t="s">
        <v>240</v>
      </c>
      <c r="B279" s="143" t="s">
        <v>361</v>
      </c>
      <c r="C279" s="145">
        <v>45864</v>
      </c>
      <c r="D279" s="143" t="s">
        <v>638</v>
      </c>
      <c r="E279" s="146" t="s">
        <v>525</v>
      </c>
      <c r="F279" s="147">
        <v>-292</v>
      </c>
      <c r="G279" s="147">
        <v>-225</v>
      </c>
      <c r="H279" s="148">
        <v>-222</v>
      </c>
      <c r="I279" s="143">
        <v>185</v>
      </c>
      <c r="J279" s="143">
        <v>1</v>
      </c>
      <c r="K279" s="149" t="s">
        <v>350</v>
      </c>
      <c r="L279" s="150">
        <f t="shared" si="50"/>
        <v>0.44444444444444442</v>
      </c>
      <c r="M279" s="150">
        <f t="shared" si="51"/>
        <v>0.45045045045045051</v>
      </c>
      <c r="N279" s="151">
        <f t="shared" si="52"/>
        <v>-4.1407867494824219E-3</v>
      </c>
      <c r="O279" s="151">
        <f t="shared" si="53"/>
        <v>8.2176685485129353E-2</v>
      </c>
      <c r="P279" s="151">
        <f t="shared" si="54"/>
        <v>0.74489795918367352</v>
      </c>
      <c r="Q279" s="151">
        <f t="shared" si="55"/>
        <v>0.66272127369854417</v>
      </c>
      <c r="R279" s="150">
        <f t="shared" si="56"/>
        <v>1.4444444444444444</v>
      </c>
      <c r="S279" s="150">
        <f t="shared" si="57"/>
        <v>1.4504504504504505</v>
      </c>
      <c r="T279" s="150">
        <f t="shared" si="58"/>
        <v>2.85</v>
      </c>
      <c r="U279" s="152">
        <f t="shared" si="49"/>
        <v>0.44444444444444442</v>
      </c>
      <c r="V279" s="143"/>
      <c r="W279" s="102">
        <f t="shared" si="59"/>
        <v>1</v>
      </c>
      <c r="X279" s="153">
        <f t="shared" si="60"/>
        <v>0.44444444444444442</v>
      </c>
      <c r="Y279" s="102"/>
      <c r="Z279" s="102"/>
      <c r="AA279" s="102"/>
      <c r="AB279" s="102"/>
      <c r="AC279" s="102"/>
      <c r="AD279" s="102"/>
      <c r="AE279" s="102"/>
      <c r="AF279" s="138"/>
      <c r="AG279" s="138"/>
      <c r="AH279" s="102"/>
      <c r="AI279" s="102"/>
      <c r="AJ279" s="102"/>
      <c r="AK279" s="102"/>
      <c r="AL279" s="102"/>
      <c r="AM279" s="102"/>
    </row>
    <row r="280" spans="1:39">
      <c r="A280" s="143" t="s">
        <v>238</v>
      </c>
      <c r="B280" s="143" t="s">
        <v>361</v>
      </c>
      <c r="C280" s="145">
        <v>45864</v>
      </c>
      <c r="D280" s="143" t="s">
        <v>645</v>
      </c>
      <c r="E280" s="146" t="s">
        <v>646</v>
      </c>
      <c r="F280" s="147">
        <v>114</v>
      </c>
      <c r="G280" s="147">
        <v>151</v>
      </c>
      <c r="H280" s="148">
        <v>147</v>
      </c>
      <c r="I280" s="143">
        <v>-172</v>
      </c>
      <c r="J280" s="143">
        <v>1</v>
      </c>
      <c r="K280" s="149" t="s">
        <v>311</v>
      </c>
      <c r="L280" s="150">
        <f t="shared" si="50"/>
        <v>-1</v>
      </c>
      <c r="M280" s="150">
        <f t="shared" si="51"/>
        <v>-1</v>
      </c>
      <c r="N280" s="151">
        <f t="shared" si="52"/>
        <v>1.6194331983805696E-2</v>
      </c>
      <c r="O280" s="151">
        <f t="shared" si="53"/>
        <v>7.6956214086876529E-2</v>
      </c>
      <c r="P280" s="151">
        <f t="shared" si="54"/>
        <v>0.46728971962616822</v>
      </c>
      <c r="Q280" s="151">
        <f t="shared" si="55"/>
        <v>0.39033350553929169</v>
      </c>
      <c r="R280" s="150">
        <f t="shared" si="56"/>
        <v>2.5099999999999998</v>
      </c>
      <c r="S280" s="150">
        <f t="shared" si="57"/>
        <v>2.4699999999999998</v>
      </c>
      <c r="T280" s="150">
        <f t="shared" si="58"/>
        <v>1.5813953488372094</v>
      </c>
      <c r="U280" s="152">
        <f t="shared" si="49"/>
        <v>-1</v>
      </c>
      <c r="V280" s="143"/>
      <c r="W280" s="102">
        <f t="shared" si="59"/>
        <v>0</v>
      </c>
      <c r="X280" s="153">
        <f t="shared" si="60"/>
        <v>-1</v>
      </c>
      <c r="Y280" s="102"/>
      <c r="Z280" s="102"/>
      <c r="AA280" s="102"/>
      <c r="AB280" s="102"/>
      <c r="AC280" s="102"/>
      <c r="AD280" s="102"/>
      <c r="AE280" s="102"/>
      <c r="AF280" s="138"/>
      <c r="AG280" s="138"/>
      <c r="AH280" s="102"/>
      <c r="AI280" s="102"/>
      <c r="AJ280" s="102"/>
      <c r="AK280" s="102"/>
      <c r="AL280" s="102"/>
      <c r="AM280" s="102"/>
    </row>
    <row r="281" spans="1:39">
      <c r="A281" s="143" t="s">
        <v>238</v>
      </c>
      <c r="B281" s="143" t="s">
        <v>361</v>
      </c>
      <c r="C281" s="145">
        <v>45864</v>
      </c>
      <c r="D281" s="143" t="s">
        <v>639</v>
      </c>
      <c r="E281" s="146" t="s">
        <v>447</v>
      </c>
      <c r="F281" s="147">
        <v>-126</v>
      </c>
      <c r="G281" s="147">
        <v>128</v>
      </c>
      <c r="H281" s="148">
        <v>125</v>
      </c>
      <c r="I281" s="143">
        <v>-145</v>
      </c>
      <c r="J281" s="143">
        <v>1</v>
      </c>
      <c r="K281" s="149" t="s">
        <v>350</v>
      </c>
      <c r="L281" s="150">
        <f t="shared" si="50"/>
        <v>1.2800000000000002</v>
      </c>
      <c r="M281" s="150">
        <f t="shared" si="51"/>
        <v>1.25</v>
      </c>
      <c r="N281" s="151">
        <f t="shared" si="52"/>
        <v>1.3333333333333334E-2</v>
      </c>
      <c r="O281" s="151">
        <f t="shared" si="53"/>
        <v>0.12863809763559964</v>
      </c>
      <c r="P281" s="151">
        <f t="shared" si="54"/>
        <v>0.55752212389380529</v>
      </c>
      <c r="Q281" s="151">
        <f t="shared" si="55"/>
        <v>0.42888402625820565</v>
      </c>
      <c r="R281" s="150">
        <f t="shared" si="56"/>
        <v>2.2800000000000002</v>
      </c>
      <c r="S281" s="150">
        <f t="shared" si="57"/>
        <v>2.25</v>
      </c>
      <c r="T281" s="150">
        <f t="shared" si="58"/>
        <v>1.6896551724137931</v>
      </c>
      <c r="U281" s="152">
        <f t="shared" si="49"/>
        <v>1.2800000000000002</v>
      </c>
      <c r="V281" s="143"/>
      <c r="W281" s="102">
        <f t="shared" si="59"/>
        <v>1</v>
      </c>
      <c r="X281" s="153">
        <f t="shared" si="60"/>
        <v>1.2800000000000002</v>
      </c>
      <c r="Y281" s="102"/>
      <c r="Z281" s="102"/>
      <c r="AA281" s="102"/>
      <c r="AB281" s="102"/>
      <c r="AC281" s="102"/>
      <c r="AD281" s="102"/>
      <c r="AE281" s="102"/>
      <c r="AF281" s="138"/>
      <c r="AG281" s="138"/>
      <c r="AH281" s="102"/>
      <c r="AI281" s="102"/>
      <c r="AJ281" s="102"/>
      <c r="AK281" s="102"/>
      <c r="AL281" s="102"/>
      <c r="AM281" s="102"/>
    </row>
    <row r="282" spans="1:39">
      <c r="A282" s="143" t="s">
        <v>238</v>
      </c>
      <c r="B282" s="143" t="s">
        <v>361</v>
      </c>
      <c r="C282" s="145">
        <v>45864</v>
      </c>
      <c r="D282" s="143" t="s">
        <v>640</v>
      </c>
      <c r="E282" s="146" t="s">
        <v>460</v>
      </c>
      <c r="F282" s="147">
        <v>-150</v>
      </c>
      <c r="G282" s="147">
        <v>-120</v>
      </c>
      <c r="H282" s="148">
        <v>-145</v>
      </c>
      <c r="I282" s="143">
        <v>125</v>
      </c>
      <c r="J282" s="143">
        <v>1</v>
      </c>
      <c r="K282" s="149" t="s">
        <v>350</v>
      </c>
      <c r="L282" s="150">
        <f t="shared" si="50"/>
        <v>0.83333333333333348</v>
      </c>
      <c r="M282" s="150">
        <f t="shared" si="51"/>
        <v>0.68965517241379315</v>
      </c>
      <c r="N282" s="151">
        <f t="shared" si="52"/>
        <v>8.5034013605442244E-2</v>
      </c>
      <c r="O282" s="151">
        <f t="shared" si="53"/>
        <v>2.8884026258205631E-2</v>
      </c>
      <c r="P282" s="151">
        <f t="shared" si="54"/>
        <v>0.6</v>
      </c>
      <c r="Q282" s="151">
        <f t="shared" si="55"/>
        <v>0.57111597374179435</v>
      </c>
      <c r="R282" s="150">
        <f t="shared" si="56"/>
        <v>1.8333333333333335</v>
      </c>
      <c r="S282" s="150">
        <f t="shared" si="57"/>
        <v>1.6896551724137931</v>
      </c>
      <c r="T282" s="150">
        <f t="shared" si="58"/>
        <v>2.25</v>
      </c>
      <c r="U282" s="152">
        <f t="shared" si="49"/>
        <v>0.83333333333333348</v>
      </c>
      <c r="V282" s="143"/>
      <c r="W282" s="102">
        <f t="shared" si="59"/>
        <v>1</v>
      </c>
      <c r="X282" s="153">
        <f t="shared" si="60"/>
        <v>0.83333333333333348</v>
      </c>
      <c r="Y282" s="102"/>
      <c r="Z282" s="102"/>
      <c r="AA282" s="102"/>
      <c r="AB282" s="102"/>
      <c r="AC282" s="102"/>
      <c r="AD282" s="102"/>
      <c r="AE282" s="102"/>
      <c r="AF282" s="138"/>
      <c r="AG282" s="138"/>
      <c r="AH282" s="102"/>
      <c r="AI282" s="102"/>
      <c r="AJ282" s="102"/>
      <c r="AK282" s="102"/>
      <c r="AL282" s="102"/>
      <c r="AM282" s="102"/>
    </row>
    <row r="283" spans="1:39">
      <c r="A283" s="143" t="s">
        <v>238</v>
      </c>
      <c r="B283" s="143" t="s">
        <v>361</v>
      </c>
      <c r="C283" s="145">
        <v>45864</v>
      </c>
      <c r="D283" s="143" t="s">
        <v>641</v>
      </c>
      <c r="E283" s="146" t="s">
        <v>451</v>
      </c>
      <c r="F283" s="147">
        <v>115</v>
      </c>
      <c r="G283" s="147">
        <v>186</v>
      </c>
      <c r="H283" s="148">
        <v>175</v>
      </c>
      <c r="I283" s="143">
        <v>-208</v>
      </c>
      <c r="J283" s="143">
        <v>1</v>
      </c>
      <c r="K283" s="149" t="s">
        <v>351</v>
      </c>
      <c r="L283" s="150">
        <f t="shared" si="50"/>
        <v>0</v>
      </c>
      <c r="M283" s="150">
        <f t="shared" si="51"/>
        <v>0</v>
      </c>
      <c r="N283" s="151">
        <f t="shared" si="52"/>
        <v>4.0000000000000077E-2</v>
      </c>
      <c r="O283" s="151">
        <f t="shared" si="53"/>
        <v>0.1151162790697674</v>
      </c>
      <c r="P283" s="151">
        <f t="shared" si="54"/>
        <v>0.46511627906976744</v>
      </c>
      <c r="Q283" s="151">
        <f t="shared" si="55"/>
        <v>0.35000000000000003</v>
      </c>
      <c r="R283" s="150">
        <f t="shared" si="56"/>
        <v>2.8600000000000003</v>
      </c>
      <c r="S283" s="150">
        <f t="shared" si="57"/>
        <v>2.75</v>
      </c>
      <c r="T283" s="150">
        <f t="shared" si="58"/>
        <v>1.4807692307692308</v>
      </c>
      <c r="U283" s="152">
        <f t="shared" si="49"/>
        <v>0</v>
      </c>
      <c r="V283" s="143"/>
      <c r="W283" s="102">
        <f t="shared" si="59"/>
        <v>2</v>
      </c>
      <c r="X283" s="153">
        <f t="shared" si="60"/>
        <v>0</v>
      </c>
      <c r="Y283" s="102"/>
      <c r="Z283" s="102"/>
      <c r="AA283" s="102"/>
      <c r="AB283" s="102"/>
      <c r="AC283" s="102"/>
      <c r="AD283" s="102"/>
      <c r="AE283" s="102"/>
      <c r="AF283" s="138"/>
      <c r="AG283" s="138"/>
      <c r="AH283" s="102"/>
      <c r="AI283" s="102"/>
      <c r="AJ283" s="102"/>
      <c r="AK283" s="102"/>
      <c r="AL283" s="102"/>
      <c r="AM283" s="102"/>
    </row>
    <row r="284" spans="1:39">
      <c r="A284" s="143" t="s">
        <v>240</v>
      </c>
      <c r="B284" s="143" t="s">
        <v>361</v>
      </c>
      <c r="C284" s="145">
        <v>45865</v>
      </c>
      <c r="D284" s="143" t="s">
        <v>639</v>
      </c>
      <c r="E284" s="146" t="s">
        <v>447</v>
      </c>
      <c r="F284" s="147">
        <v>-187</v>
      </c>
      <c r="G284" s="147">
        <v>125</v>
      </c>
      <c r="H284" s="148">
        <v>108</v>
      </c>
      <c r="I284" s="143">
        <v>-123</v>
      </c>
      <c r="J284" s="143">
        <v>1</v>
      </c>
      <c r="K284" s="149" t="s">
        <v>350</v>
      </c>
      <c r="L284" s="150">
        <f t="shared" si="50"/>
        <v>1.25</v>
      </c>
      <c r="M284" s="150">
        <f t="shared" si="51"/>
        <v>1.08</v>
      </c>
      <c r="N284" s="151">
        <f t="shared" si="52"/>
        <v>8.173076923076919E-2</v>
      </c>
      <c r="O284" s="151">
        <f t="shared" si="53"/>
        <v>0.18585914799324854</v>
      </c>
      <c r="P284" s="151">
        <f t="shared" si="54"/>
        <v>0.65156794425087106</v>
      </c>
      <c r="Q284" s="151">
        <f t="shared" si="55"/>
        <v>0.46570879625762251</v>
      </c>
      <c r="R284" s="150">
        <f t="shared" si="56"/>
        <v>2.25</v>
      </c>
      <c r="S284" s="150">
        <f t="shared" si="57"/>
        <v>2.08</v>
      </c>
      <c r="T284" s="150">
        <f t="shared" si="58"/>
        <v>1.8130081300813008</v>
      </c>
      <c r="U284" s="152">
        <f t="shared" si="49"/>
        <v>1.25</v>
      </c>
      <c r="V284" s="143"/>
      <c r="W284" s="102">
        <f t="shared" si="59"/>
        <v>1</v>
      </c>
      <c r="X284" s="153">
        <f t="shared" si="60"/>
        <v>1.25</v>
      </c>
      <c r="Y284" s="102"/>
      <c r="Z284" s="102"/>
      <c r="AA284" s="102"/>
      <c r="AB284" s="102"/>
      <c r="AC284" s="102"/>
      <c r="AD284" s="102"/>
      <c r="AE284" s="102"/>
      <c r="AF284" s="138"/>
      <c r="AG284" s="138"/>
      <c r="AH284" s="102"/>
      <c r="AI284" s="102"/>
      <c r="AJ284" s="102"/>
      <c r="AK284" s="102"/>
      <c r="AL284" s="102"/>
      <c r="AM284" s="102"/>
    </row>
    <row r="285" spans="1:39">
      <c r="A285" s="143" t="s">
        <v>238</v>
      </c>
      <c r="B285" s="143" t="s">
        <v>361</v>
      </c>
      <c r="C285" s="145">
        <v>45865</v>
      </c>
      <c r="D285" s="143" t="s">
        <v>641</v>
      </c>
      <c r="E285" s="146" t="s">
        <v>451</v>
      </c>
      <c r="F285" s="147">
        <v>-127</v>
      </c>
      <c r="G285" s="147">
        <v>106</v>
      </c>
      <c r="H285" s="148">
        <v>-110</v>
      </c>
      <c r="I285" s="143">
        <v>-104</v>
      </c>
      <c r="J285" s="143">
        <v>1</v>
      </c>
      <c r="K285" s="149" t="s">
        <v>311</v>
      </c>
      <c r="L285" s="150">
        <f t="shared" si="50"/>
        <v>-1</v>
      </c>
      <c r="M285" s="150">
        <f t="shared" si="51"/>
        <v>-1</v>
      </c>
      <c r="N285" s="151">
        <f t="shared" si="52"/>
        <v>7.9047619047619089E-2</v>
      </c>
      <c r="O285" s="151">
        <f t="shared" si="53"/>
        <v>5.2696297888088939E-2</v>
      </c>
      <c r="P285" s="151">
        <f t="shared" si="54"/>
        <v>0.55947136563876654</v>
      </c>
      <c r="Q285" s="151">
        <f t="shared" si="55"/>
        <v>0.5067750677506776</v>
      </c>
      <c r="R285" s="150">
        <f t="shared" si="56"/>
        <v>2.06</v>
      </c>
      <c r="S285" s="150">
        <f t="shared" si="57"/>
        <v>1.9090909090909092</v>
      </c>
      <c r="T285" s="150">
        <f t="shared" si="58"/>
        <v>1.9615384615384617</v>
      </c>
      <c r="U285" s="152">
        <f t="shared" si="49"/>
        <v>-1</v>
      </c>
      <c r="V285" s="143"/>
      <c r="W285" s="102">
        <f t="shared" si="59"/>
        <v>0</v>
      </c>
      <c r="X285" s="153">
        <f t="shared" si="60"/>
        <v>-1</v>
      </c>
      <c r="Y285" s="102"/>
      <c r="Z285" s="102"/>
      <c r="AA285" s="102"/>
      <c r="AB285" s="102"/>
      <c r="AC285" s="102"/>
      <c r="AD285" s="102"/>
      <c r="AE285" s="102"/>
      <c r="AF285" s="138"/>
      <c r="AG285" s="138"/>
      <c r="AH285" s="102"/>
      <c r="AI285" s="102"/>
      <c r="AJ285" s="102"/>
      <c r="AK285" s="102"/>
      <c r="AL285" s="102"/>
      <c r="AM285" s="102"/>
    </row>
    <row r="286" spans="1:39">
      <c r="A286" s="143" t="s">
        <v>238</v>
      </c>
      <c r="B286" s="143" t="s">
        <v>361</v>
      </c>
      <c r="C286" s="145">
        <v>45866</v>
      </c>
      <c r="D286" s="143" t="s">
        <v>647</v>
      </c>
      <c r="E286" s="146" t="s">
        <v>454</v>
      </c>
      <c r="F286" s="147">
        <v>127</v>
      </c>
      <c r="G286" s="147">
        <v>189</v>
      </c>
      <c r="H286" s="148">
        <v>194</v>
      </c>
      <c r="I286" s="143">
        <v>-233</v>
      </c>
      <c r="J286" s="143">
        <v>1</v>
      </c>
      <c r="K286" s="149" t="s">
        <v>350</v>
      </c>
      <c r="L286" s="150">
        <f t="shared" si="50"/>
        <v>1.8899999999999997</v>
      </c>
      <c r="M286" s="150">
        <f t="shared" si="51"/>
        <v>1.94</v>
      </c>
      <c r="N286" s="151">
        <f t="shared" si="52"/>
        <v>-1.7006802721088544E-2</v>
      </c>
      <c r="O286" s="151">
        <f t="shared" si="53"/>
        <v>0.11342307651364697</v>
      </c>
      <c r="P286" s="151">
        <f t="shared" si="54"/>
        <v>0.44052863436123346</v>
      </c>
      <c r="Q286" s="151">
        <f t="shared" si="55"/>
        <v>0.32710555784758649</v>
      </c>
      <c r="R286" s="150">
        <f t="shared" si="56"/>
        <v>2.8899999999999997</v>
      </c>
      <c r="S286" s="150">
        <f t="shared" si="57"/>
        <v>2.94</v>
      </c>
      <c r="T286" s="150">
        <f t="shared" si="58"/>
        <v>1.4291845493562232</v>
      </c>
      <c r="U286" s="152">
        <f t="shared" si="49"/>
        <v>1.8899999999999997</v>
      </c>
      <c r="V286" s="143"/>
      <c r="W286" s="102">
        <f t="shared" si="59"/>
        <v>1</v>
      </c>
      <c r="X286" s="153">
        <f t="shared" si="60"/>
        <v>1.8899999999999997</v>
      </c>
      <c r="Y286" s="102"/>
      <c r="Z286" s="102"/>
      <c r="AA286" s="102"/>
      <c r="AB286" s="102"/>
      <c r="AC286" s="102"/>
      <c r="AD286" s="102"/>
      <c r="AE286" s="102"/>
      <c r="AF286" s="138"/>
      <c r="AG286" s="138"/>
      <c r="AH286" s="102"/>
      <c r="AI286" s="102"/>
      <c r="AJ286" s="102"/>
      <c r="AK286" s="102"/>
      <c r="AL286" s="102"/>
      <c r="AM286" s="102"/>
    </row>
    <row r="287" spans="1:39">
      <c r="A287" s="143" t="s">
        <v>238</v>
      </c>
      <c r="B287" s="143" t="s">
        <v>361</v>
      </c>
      <c r="C287" s="145">
        <v>45866</v>
      </c>
      <c r="D287" s="143" t="s">
        <v>648</v>
      </c>
      <c r="E287" s="146" t="s">
        <v>646</v>
      </c>
      <c r="F287" s="147">
        <v>-216</v>
      </c>
      <c r="G287" s="147">
        <v>-142</v>
      </c>
      <c r="H287" s="148">
        <v>-154</v>
      </c>
      <c r="I287" s="143">
        <v>133</v>
      </c>
      <c r="J287" s="143">
        <v>1</v>
      </c>
      <c r="K287" s="149" t="s">
        <v>350</v>
      </c>
      <c r="L287" s="150">
        <f t="shared" si="50"/>
        <v>0.70422535211267601</v>
      </c>
      <c r="M287" s="150">
        <f t="shared" si="51"/>
        <v>0.64935064935064934</v>
      </c>
      <c r="N287" s="151">
        <f t="shared" si="52"/>
        <v>3.3270489076189402E-2</v>
      </c>
      <c r="O287" s="151">
        <f t="shared" si="53"/>
        <v>9.8021638088124585E-2</v>
      </c>
      <c r="P287" s="151">
        <f t="shared" si="54"/>
        <v>0.68354430379746833</v>
      </c>
      <c r="Q287" s="151">
        <f t="shared" si="55"/>
        <v>0.58552266570934375</v>
      </c>
      <c r="R287" s="150">
        <f t="shared" si="56"/>
        <v>1.704225352112676</v>
      </c>
      <c r="S287" s="150">
        <f t="shared" si="57"/>
        <v>1.6493506493506493</v>
      </c>
      <c r="T287" s="150">
        <f t="shared" si="58"/>
        <v>2.33</v>
      </c>
      <c r="U287" s="152">
        <f t="shared" si="49"/>
        <v>0.70422535211267601</v>
      </c>
      <c r="V287" s="143"/>
      <c r="W287" s="102">
        <f t="shared" si="59"/>
        <v>1</v>
      </c>
      <c r="X287" s="153">
        <f t="shared" si="60"/>
        <v>0.70422535211267601</v>
      </c>
      <c r="Y287" s="102"/>
      <c r="Z287" s="102"/>
      <c r="AA287" s="102"/>
      <c r="AB287" s="102"/>
      <c r="AC287" s="102"/>
      <c r="AD287" s="102"/>
      <c r="AE287" s="102"/>
      <c r="AF287" s="138"/>
      <c r="AG287" s="138"/>
      <c r="AH287" s="102"/>
      <c r="AI287" s="102"/>
      <c r="AJ287" s="102"/>
      <c r="AK287" s="102"/>
      <c r="AL287" s="102"/>
      <c r="AM287" s="102"/>
    </row>
    <row r="288" spans="1:39">
      <c r="A288" s="143" t="s">
        <v>238</v>
      </c>
      <c r="B288" s="143" t="s">
        <v>361</v>
      </c>
      <c r="C288" s="145">
        <v>45866</v>
      </c>
      <c r="D288" s="143" t="s">
        <v>649</v>
      </c>
      <c r="E288" s="146" t="s">
        <v>391</v>
      </c>
      <c r="F288" s="147">
        <v>-117</v>
      </c>
      <c r="G288" s="147">
        <v>111</v>
      </c>
      <c r="H288" s="148">
        <v>110</v>
      </c>
      <c r="I288" s="143">
        <v>-127</v>
      </c>
      <c r="J288" s="143">
        <v>1</v>
      </c>
      <c r="K288" s="149" t="s">
        <v>351</v>
      </c>
      <c r="L288" s="150">
        <f t="shared" si="50"/>
        <v>0</v>
      </c>
      <c r="M288" s="150">
        <f t="shared" si="51"/>
        <v>0</v>
      </c>
      <c r="N288" s="151">
        <f t="shared" si="52"/>
        <v>4.7619047619048057E-3</v>
      </c>
      <c r="O288" s="151">
        <f t="shared" si="53"/>
        <v>7.9377110112766491E-2</v>
      </c>
      <c r="P288" s="151">
        <f t="shared" si="54"/>
        <v>0.53917050691244239</v>
      </c>
      <c r="Q288" s="151">
        <f t="shared" si="55"/>
        <v>0.4597933967996759</v>
      </c>
      <c r="R288" s="150">
        <f t="shared" si="56"/>
        <v>2.1100000000000003</v>
      </c>
      <c r="S288" s="150">
        <f t="shared" si="57"/>
        <v>2.1</v>
      </c>
      <c r="T288" s="150">
        <f t="shared" si="58"/>
        <v>1.7874015748031495</v>
      </c>
      <c r="U288" s="152">
        <f t="shared" si="49"/>
        <v>0</v>
      </c>
      <c r="V288" s="143"/>
      <c r="W288" s="102">
        <f t="shared" si="59"/>
        <v>2</v>
      </c>
      <c r="X288" s="153">
        <f t="shared" si="60"/>
        <v>0</v>
      </c>
      <c r="Y288" s="102"/>
      <c r="Z288" s="102"/>
      <c r="AA288" s="102"/>
      <c r="AB288" s="102"/>
      <c r="AC288" s="102"/>
      <c r="AD288" s="102"/>
      <c r="AE288" s="102"/>
      <c r="AF288" s="138"/>
      <c r="AG288" s="138"/>
      <c r="AH288" s="102"/>
      <c r="AI288" s="102"/>
      <c r="AJ288" s="102"/>
      <c r="AK288" s="102"/>
      <c r="AL288" s="102"/>
      <c r="AM288" s="102"/>
    </row>
    <row r="289" spans="1:39">
      <c r="A289" s="143" t="s">
        <v>240</v>
      </c>
      <c r="B289" s="143" t="s">
        <v>361</v>
      </c>
      <c r="C289" s="145">
        <v>45866</v>
      </c>
      <c r="D289" s="143" t="s">
        <v>650</v>
      </c>
      <c r="E289" s="146" t="s">
        <v>458</v>
      </c>
      <c r="F289" s="147">
        <v>-123</v>
      </c>
      <c r="G289" s="147">
        <v>100</v>
      </c>
      <c r="H289" s="148">
        <v>-101</v>
      </c>
      <c r="I289" s="143">
        <v>-114</v>
      </c>
      <c r="J289" s="143">
        <v>1</v>
      </c>
      <c r="K289" s="149" t="s">
        <v>350</v>
      </c>
      <c r="L289" s="150">
        <f t="shared" si="50"/>
        <v>1</v>
      </c>
      <c r="M289" s="150">
        <f t="shared" si="51"/>
        <v>0.99009900990099009</v>
      </c>
      <c r="N289" s="151">
        <f t="shared" si="52"/>
        <v>4.9751243781095411E-3</v>
      </c>
      <c r="O289" s="151">
        <f t="shared" si="53"/>
        <v>6.6167063320061392E-2</v>
      </c>
      <c r="P289" s="151">
        <f t="shared" si="54"/>
        <v>0.55156950672645744</v>
      </c>
      <c r="Q289" s="151">
        <f t="shared" si="55"/>
        <v>0.48540244340639604</v>
      </c>
      <c r="R289" s="150">
        <f t="shared" si="56"/>
        <v>2</v>
      </c>
      <c r="S289" s="150">
        <f t="shared" si="57"/>
        <v>1.9900990099009901</v>
      </c>
      <c r="T289" s="150">
        <f t="shared" si="58"/>
        <v>1.8771929824561404</v>
      </c>
      <c r="U289" s="152">
        <f t="shared" si="49"/>
        <v>1</v>
      </c>
      <c r="V289" s="143"/>
      <c r="W289" s="102">
        <f t="shared" si="59"/>
        <v>1</v>
      </c>
      <c r="X289" s="153">
        <f t="shared" si="60"/>
        <v>1</v>
      </c>
      <c r="Y289" s="102"/>
      <c r="Z289" s="102"/>
      <c r="AA289" s="102"/>
      <c r="AB289" s="102"/>
      <c r="AC289" s="102"/>
      <c r="AD289" s="102"/>
      <c r="AE289" s="102"/>
      <c r="AF289" s="138"/>
      <c r="AG289" s="138"/>
      <c r="AH289" s="102"/>
      <c r="AI289" s="102"/>
      <c r="AJ289" s="102"/>
      <c r="AK289" s="102"/>
      <c r="AL289" s="102"/>
      <c r="AM289" s="102"/>
    </row>
    <row r="290" spans="1:39">
      <c r="A290" s="143" t="s">
        <v>238</v>
      </c>
      <c r="B290" s="143" t="s">
        <v>361</v>
      </c>
      <c r="C290" s="145">
        <v>45866</v>
      </c>
      <c r="D290" s="143" t="s">
        <v>651</v>
      </c>
      <c r="E290" s="146" t="s">
        <v>451</v>
      </c>
      <c r="F290" s="147">
        <v>-125</v>
      </c>
      <c r="G290" s="147">
        <v>104</v>
      </c>
      <c r="H290" s="148">
        <v>-101</v>
      </c>
      <c r="I290" s="143">
        <v>-114</v>
      </c>
      <c r="J290" s="143">
        <v>1</v>
      </c>
      <c r="K290" s="149" t="s">
        <v>311</v>
      </c>
      <c r="L290" s="150">
        <f t="shared" si="50"/>
        <v>-1</v>
      </c>
      <c r="M290" s="150">
        <f t="shared" si="51"/>
        <v>-1</v>
      </c>
      <c r="N290" s="151">
        <f t="shared" si="52"/>
        <v>2.5074626865671776E-2</v>
      </c>
      <c r="O290" s="151">
        <f t="shared" si="53"/>
        <v>7.0153112149159536E-2</v>
      </c>
      <c r="P290" s="151">
        <f t="shared" si="54"/>
        <v>0.55555555555555558</v>
      </c>
      <c r="Q290" s="151">
        <f t="shared" si="55"/>
        <v>0.48540244340639604</v>
      </c>
      <c r="R290" s="150">
        <f t="shared" si="56"/>
        <v>2.04</v>
      </c>
      <c r="S290" s="150">
        <f t="shared" si="57"/>
        <v>1.9900990099009901</v>
      </c>
      <c r="T290" s="150">
        <f t="shared" si="58"/>
        <v>1.8771929824561404</v>
      </c>
      <c r="U290" s="152">
        <f t="shared" si="49"/>
        <v>-1</v>
      </c>
      <c r="V290" s="143"/>
      <c r="W290" s="102">
        <f t="shared" si="59"/>
        <v>0</v>
      </c>
      <c r="X290" s="153">
        <f t="shared" si="60"/>
        <v>-1</v>
      </c>
      <c r="Y290" s="102"/>
      <c r="Z290" s="102"/>
      <c r="AA290" s="102"/>
      <c r="AB290" s="102"/>
      <c r="AC290" s="102"/>
      <c r="AD290" s="102"/>
      <c r="AE290" s="102"/>
      <c r="AF290" s="138"/>
      <c r="AG290" s="138"/>
      <c r="AH290" s="102"/>
      <c r="AI290" s="102"/>
      <c r="AJ290" s="102"/>
      <c r="AK290" s="102"/>
      <c r="AL290" s="102"/>
      <c r="AM290" s="102"/>
    </row>
    <row r="291" spans="1:39">
      <c r="A291" s="143" t="s">
        <v>238</v>
      </c>
      <c r="B291" s="143" t="s">
        <v>361</v>
      </c>
      <c r="C291" s="145">
        <v>45866</v>
      </c>
      <c r="D291" s="143" t="s">
        <v>652</v>
      </c>
      <c r="E291" s="146" t="s">
        <v>413</v>
      </c>
      <c r="F291" s="147">
        <v>133</v>
      </c>
      <c r="G291" s="147">
        <v>199</v>
      </c>
      <c r="H291" s="148">
        <v>202</v>
      </c>
      <c r="I291" s="143">
        <v>-244</v>
      </c>
      <c r="J291" s="143">
        <v>1</v>
      </c>
      <c r="K291" s="149" t="s">
        <v>311</v>
      </c>
      <c r="L291" s="150">
        <f t="shared" si="50"/>
        <v>-1</v>
      </c>
      <c r="M291" s="150">
        <f t="shared" si="51"/>
        <v>-1</v>
      </c>
      <c r="N291" s="151">
        <f t="shared" si="52"/>
        <v>-9.9337748344370067E-3</v>
      </c>
      <c r="O291" s="151">
        <f t="shared" si="53"/>
        <v>0.11092535314572805</v>
      </c>
      <c r="P291" s="151">
        <f t="shared" si="54"/>
        <v>0.42918454935622319</v>
      </c>
      <c r="Q291" s="151">
        <f t="shared" si="55"/>
        <v>0.31825919621049514</v>
      </c>
      <c r="R291" s="150">
        <f t="shared" si="56"/>
        <v>2.99</v>
      </c>
      <c r="S291" s="150">
        <f t="shared" si="57"/>
        <v>3.02</v>
      </c>
      <c r="T291" s="150">
        <f t="shared" si="58"/>
        <v>1.4098360655737705</v>
      </c>
      <c r="U291" s="152">
        <f t="shared" si="49"/>
        <v>-1</v>
      </c>
      <c r="V291" s="143"/>
      <c r="W291" s="102">
        <f t="shared" si="59"/>
        <v>0</v>
      </c>
      <c r="X291" s="153">
        <f t="shared" si="60"/>
        <v>-1</v>
      </c>
      <c r="Y291" s="102"/>
      <c r="Z291" s="102"/>
      <c r="AA291" s="102"/>
      <c r="AB291" s="102"/>
      <c r="AC291" s="102"/>
      <c r="AD291" s="102"/>
      <c r="AE291" s="102"/>
      <c r="AF291" s="138"/>
      <c r="AG291" s="138"/>
      <c r="AH291" s="102"/>
      <c r="AI291" s="102"/>
      <c r="AJ291" s="102"/>
      <c r="AK291" s="102"/>
      <c r="AL291" s="102"/>
      <c r="AM291" s="102"/>
    </row>
    <row r="292" spans="1:39">
      <c r="A292" s="143" t="s">
        <v>238</v>
      </c>
      <c r="B292" s="143" t="s">
        <v>363</v>
      </c>
      <c r="C292" s="145">
        <v>45867</v>
      </c>
      <c r="D292" s="143" t="s">
        <v>653</v>
      </c>
      <c r="E292" s="146" t="s">
        <v>588</v>
      </c>
      <c r="F292" s="147">
        <v>-191</v>
      </c>
      <c r="G292" s="147">
        <v>-144</v>
      </c>
      <c r="H292" s="148">
        <v>-147</v>
      </c>
      <c r="I292" s="143">
        <v>125</v>
      </c>
      <c r="J292" s="143">
        <v>1</v>
      </c>
      <c r="K292" s="149" t="s">
        <v>350</v>
      </c>
      <c r="L292" s="150">
        <f t="shared" si="50"/>
        <v>0.69444444444444442</v>
      </c>
      <c r="M292" s="150">
        <f t="shared" si="51"/>
        <v>0.68027210884353728</v>
      </c>
      <c r="N292" s="151">
        <f t="shared" si="52"/>
        <v>8.4345479082322487E-3</v>
      </c>
      <c r="O292" s="151">
        <f t="shared" si="53"/>
        <v>8.3877942188933408E-2</v>
      </c>
      <c r="P292" s="151">
        <f t="shared" si="54"/>
        <v>0.6563573883161512</v>
      </c>
      <c r="Q292" s="151">
        <f t="shared" si="55"/>
        <v>0.57247944612721779</v>
      </c>
      <c r="R292" s="150">
        <f t="shared" si="56"/>
        <v>1.6944444444444444</v>
      </c>
      <c r="S292" s="150">
        <f t="shared" si="57"/>
        <v>1.6802721088435373</v>
      </c>
      <c r="T292" s="150">
        <f t="shared" si="58"/>
        <v>2.25</v>
      </c>
      <c r="U292" s="152">
        <f t="shared" si="49"/>
        <v>0.69444444444444442</v>
      </c>
      <c r="V292" s="143"/>
      <c r="W292" s="102">
        <f t="shared" si="59"/>
        <v>1</v>
      </c>
      <c r="X292" s="102" t="str">
        <f t="shared" si="60"/>
        <v/>
      </c>
      <c r="Y292" s="102"/>
      <c r="Z292" s="102"/>
      <c r="AA292" s="102"/>
      <c r="AB292" s="102"/>
      <c r="AC292" s="102"/>
      <c r="AD292" s="102"/>
      <c r="AE292" s="102"/>
      <c r="AF292" s="138"/>
      <c r="AG292" s="138"/>
      <c r="AH292" s="102"/>
      <c r="AI292" s="102"/>
      <c r="AJ292" s="102"/>
      <c r="AK292" s="102"/>
      <c r="AL292" s="102"/>
      <c r="AM292" s="102"/>
    </row>
    <row r="293" spans="1:39">
      <c r="A293" s="143" t="s">
        <v>240</v>
      </c>
      <c r="B293" s="143" t="s">
        <v>361</v>
      </c>
      <c r="C293" s="145">
        <v>45867</v>
      </c>
      <c r="D293" s="143" t="s">
        <v>647</v>
      </c>
      <c r="E293" s="146" t="s">
        <v>454</v>
      </c>
      <c r="F293" s="147">
        <v>115</v>
      </c>
      <c r="G293" s="147">
        <v>153</v>
      </c>
      <c r="H293" s="148">
        <v>149</v>
      </c>
      <c r="I293" s="143">
        <v>-175</v>
      </c>
      <c r="J293" s="143">
        <v>1</v>
      </c>
      <c r="K293" s="149" t="s">
        <v>311</v>
      </c>
      <c r="L293" s="150">
        <f t="shared" si="50"/>
        <v>-1</v>
      </c>
      <c r="M293" s="150">
        <f t="shared" si="51"/>
        <v>-1</v>
      </c>
      <c r="N293" s="151">
        <f t="shared" si="52"/>
        <v>1.6064257028112462E-2</v>
      </c>
      <c r="O293" s="151">
        <f t="shared" si="53"/>
        <v>7.8201048679334861E-2</v>
      </c>
      <c r="P293" s="151">
        <f t="shared" si="54"/>
        <v>0.46511627906976744</v>
      </c>
      <c r="Q293" s="151">
        <f t="shared" si="55"/>
        <v>0.38691523039043257</v>
      </c>
      <c r="R293" s="150">
        <f t="shared" si="56"/>
        <v>2.5300000000000002</v>
      </c>
      <c r="S293" s="150">
        <f t="shared" si="57"/>
        <v>2.4900000000000002</v>
      </c>
      <c r="T293" s="150">
        <f t="shared" si="58"/>
        <v>1.5714285714285714</v>
      </c>
      <c r="U293" s="152">
        <f t="shared" si="49"/>
        <v>-1</v>
      </c>
      <c r="V293" s="143"/>
      <c r="W293" s="102">
        <f t="shared" si="59"/>
        <v>0</v>
      </c>
      <c r="X293" s="153">
        <f t="shared" si="60"/>
        <v>-1</v>
      </c>
      <c r="Y293" s="102"/>
      <c r="Z293" s="102"/>
      <c r="AA293" s="102"/>
      <c r="AB293" s="102"/>
      <c r="AC293" s="102"/>
      <c r="AD293" s="102"/>
      <c r="AE293" s="102"/>
      <c r="AF293" s="138"/>
      <c r="AG293" s="138"/>
      <c r="AH293" s="102"/>
      <c r="AI293" s="102"/>
      <c r="AJ293" s="102"/>
      <c r="AK293" s="102"/>
      <c r="AL293" s="102"/>
      <c r="AM293" s="102"/>
    </row>
    <row r="294" spans="1:39">
      <c r="A294" s="143" t="s">
        <v>240</v>
      </c>
      <c r="B294" s="143" t="s">
        <v>361</v>
      </c>
      <c r="C294" s="145">
        <v>45867</v>
      </c>
      <c r="D294" s="143" t="s">
        <v>654</v>
      </c>
      <c r="E294" s="146" t="s">
        <v>508</v>
      </c>
      <c r="F294" s="147">
        <v>-113</v>
      </c>
      <c r="G294" s="147">
        <v>172</v>
      </c>
      <c r="H294" s="148">
        <v>148</v>
      </c>
      <c r="I294" s="143">
        <v>-172</v>
      </c>
      <c r="J294" s="143">
        <v>1</v>
      </c>
      <c r="K294" s="149" t="s">
        <v>311</v>
      </c>
      <c r="L294" s="150">
        <f t="shared" si="50"/>
        <v>-1</v>
      </c>
      <c r="M294" s="150">
        <f t="shared" si="51"/>
        <v>-1</v>
      </c>
      <c r="N294" s="151">
        <f t="shared" si="52"/>
        <v>9.6774193548387108E-2</v>
      </c>
      <c r="O294" s="151">
        <f t="shared" si="53"/>
        <v>0.14114400865415427</v>
      </c>
      <c r="P294" s="151">
        <f t="shared" si="54"/>
        <v>0.53051643192488263</v>
      </c>
      <c r="Q294" s="151">
        <f t="shared" si="55"/>
        <v>0.38937242327072835</v>
      </c>
      <c r="R294" s="150">
        <f t="shared" si="56"/>
        <v>2.7199999999999998</v>
      </c>
      <c r="S294" s="150">
        <f t="shared" si="57"/>
        <v>2.48</v>
      </c>
      <c r="T294" s="150">
        <f t="shared" si="58"/>
        <v>1.5813953488372094</v>
      </c>
      <c r="U294" s="152">
        <f t="shared" si="49"/>
        <v>-1</v>
      </c>
      <c r="V294" s="143"/>
      <c r="W294" s="102">
        <f t="shared" si="59"/>
        <v>0</v>
      </c>
      <c r="X294" s="153">
        <f t="shared" si="60"/>
        <v>-1</v>
      </c>
      <c r="Y294" s="102"/>
      <c r="Z294" s="102"/>
      <c r="AA294" s="102"/>
      <c r="AB294" s="102"/>
      <c r="AC294" s="102"/>
      <c r="AD294" s="102"/>
      <c r="AE294" s="102"/>
      <c r="AF294" s="138"/>
      <c r="AG294" s="138"/>
      <c r="AH294" s="102"/>
      <c r="AI294" s="102"/>
      <c r="AJ294" s="102"/>
      <c r="AK294" s="102"/>
      <c r="AL294" s="102"/>
      <c r="AM294" s="102"/>
    </row>
    <row r="295" spans="1:39">
      <c r="A295" s="143" t="s">
        <v>240</v>
      </c>
      <c r="B295" s="143" t="s">
        <v>361</v>
      </c>
      <c r="C295" s="145">
        <v>45867</v>
      </c>
      <c r="D295" s="143" t="s">
        <v>655</v>
      </c>
      <c r="E295" s="146" t="s">
        <v>409</v>
      </c>
      <c r="F295" s="147">
        <v>-130</v>
      </c>
      <c r="G295" s="147">
        <v>133</v>
      </c>
      <c r="H295" s="148">
        <v>139</v>
      </c>
      <c r="I295" s="143">
        <v>-161</v>
      </c>
      <c r="J295" s="143">
        <v>1</v>
      </c>
      <c r="K295" s="149" t="s">
        <v>351</v>
      </c>
      <c r="L295" s="150">
        <f t="shared" si="50"/>
        <v>0</v>
      </c>
      <c r="M295" s="150">
        <f t="shared" si="51"/>
        <v>0</v>
      </c>
      <c r="N295" s="151">
        <f t="shared" si="52"/>
        <v>-2.5104602510460192E-2</v>
      </c>
      <c r="O295" s="151">
        <f t="shared" si="53"/>
        <v>0.16106124147235906</v>
      </c>
      <c r="P295" s="151">
        <f t="shared" si="54"/>
        <v>0.56521739130434778</v>
      </c>
      <c r="Q295" s="151">
        <f t="shared" si="55"/>
        <v>0.40415614983198872</v>
      </c>
      <c r="R295" s="150">
        <f t="shared" si="56"/>
        <v>2.33</v>
      </c>
      <c r="S295" s="150">
        <f t="shared" si="57"/>
        <v>2.3899999999999997</v>
      </c>
      <c r="T295" s="150">
        <f t="shared" si="58"/>
        <v>1.6211180124223601</v>
      </c>
      <c r="U295" s="152">
        <f t="shared" si="49"/>
        <v>0</v>
      </c>
      <c r="V295" s="143"/>
      <c r="W295" s="102">
        <f t="shared" si="59"/>
        <v>2</v>
      </c>
      <c r="X295" s="153">
        <f t="shared" si="60"/>
        <v>0</v>
      </c>
      <c r="Y295" s="102"/>
      <c r="Z295" s="102"/>
      <c r="AA295" s="102"/>
      <c r="AB295" s="102"/>
      <c r="AC295" s="102"/>
      <c r="AD295" s="102"/>
      <c r="AE295" s="102"/>
      <c r="AF295" s="138"/>
      <c r="AG295" s="138"/>
      <c r="AH295" s="102"/>
      <c r="AI295" s="102"/>
      <c r="AJ295" s="102"/>
      <c r="AK295" s="102"/>
      <c r="AL295" s="102"/>
      <c r="AM295" s="102"/>
    </row>
    <row r="296" spans="1:39">
      <c r="A296" s="143" t="s">
        <v>238</v>
      </c>
      <c r="B296" s="143" t="s">
        <v>363</v>
      </c>
      <c r="C296" s="145">
        <v>45867</v>
      </c>
      <c r="D296" s="143" t="s">
        <v>652</v>
      </c>
      <c r="E296" s="146" t="s">
        <v>605</v>
      </c>
      <c r="F296" s="147">
        <v>-185</v>
      </c>
      <c r="G296" s="147">
        <v>-138</v>
      </c>
      <c r="H296" s="148">
        <v>-179</v>
      </c>
      <c r="I296" s="143">
        <v>150</v>
      </c>
      <c r="J296" s="143">
        <v>1</v>
      </c>
      <c r="K296" s="149" t="s">
        <v>311</v>
      </c>
      <c r="L296" s="150">
        <f t="shared" si="50"/>
        <v>-1</v>
      </c>
      <c r="M296" s="150">
        <f t="shared" si="51"/>
        <v>-1</v>
      </c>
      <c r="N296" s="151">
        <f t="shared" si="52"/>
        <v>0.10648797465066753</v>
      </c>
      <c r="O296" s="151">
        <f t="shared" si="53"/>
        <v>3.3155842117337464E-2</v>
      </c>
      <c r="P296" s="151">
        <f t="shared" si="54"/>
        <v>0.64912280701754388</v>
      </c>
      <c r="Q296" s="151">
        <f t="shared" si="55"/>
        <v>0.61596696490020642</v>
      </c>
      <c r="R296" s="150">
        <f t="shared" si="56"/>
        <v>1.7246376811594204</v>
      </c>
      <c r="S296" s="150">
        <f t="shared" si="57"/>
        <v>1.558659217877095</v>
      </c>
      <c r="T296" s="150">
        <f t="shared" si="58"/>
        <v>2.5</v>
      </c>
      <c r="U296" s="152">
        <f t="shared" ref="U296:U353" si="61">IF(K296="W",R296 - 1, IF(K296="L", -1, 0))</f>
        <v>-1</v>
      </c>
      <c r="V296" s="143"/>
      <c r="W296" s="102">
        <f t="shared" si="59"/>
        <v>0</v>
      </c>
      <c r="X296" s="102" t="str">
        <f t="shared" si="60"/>
        <v/>
      </c>
      <c r="Y296" s="102"/>
      <c r="Z296" s="102"/>
      <c r="AA296" s="102"/>
      <c r="AB296" s="102"/>
      <c r="AC296" s="102"/>
      <c r="AD296" s="102"/>
      <c r="AE296" s="102"/>
      <c r="AF296" s="138"/>
      <c r="AG296" s="138"/>
      <c r="AH296" s="102"/>
      <c r="AI296" s="102"/>
      <c r="AJ296" s="102"/>
      <c r="AK296" s="102"/>
      <c r="AL296" s="102"/>
      <c r="AM296" s="102"/>
    </row>
    <row r="297" spans="1:39">
      <c r="A297" s="143" t="s">
        <v>238</v>
      </c>
      <c r="B297" s="143" t="s">
        <v>361</v>
      </c>
      <c r="C297" s="145">
        <v>45868</v>
      </c>
      <c r="D297" s="143" t="s">
        <v>656</v>
      </c>
      <c r="E297" s="146" t="s">
        <v>389</v>
      </c>
      <c r="F297" s="147">
        <v>-140</v>
      </c>
      <c r="G297" s="147">
        <v>106</v>
      </c>
      <c r="H297" s="148">
        <v>-102</v>
      </c>
      <c r="I297" s="143">
        <v>-112</v>
      </c>
      <c r="J297" s="143">
        <v>1</v>
      </c>
      <c r="K297" s="149" t="s">
        <v>311</v>
      </c>
      <c r="L297" s="150">
        <f t="shared" si="50"/>
        <v>-1</v>
      </c>
      <c r="M297" s="150">
        <f t="shared" si="51"/>
        <v>-1</v>
      </c>
      <c r="N297" s="151">
        <f t="shared" si="52"/>
        <v>4.0198019801980192E-2</v>
      </c>
      <c r="O297" s="151">
        <f t="shared" si="53"/>
        <v>9.4633279093593647E-2</v>
      </c>
      <c r="P297" s="151">
        <f t="shared" si="54"/>
        <v>0.58333333333333337</v>
      </c>
      <c r="Q297" s="151">
        <f t="shared" si="55"/>
        <v>0.48870005423973972</v>
      </c>
      <c r="R297" s="150">
        <f t="shared" si="56"/>
        <v>2.06</v>
      </c>
      <c r="S297" s="150">
        <f t="shared" si="57"/>
        <v>1.9803921568627452</v>
      </c>
      <c r="T297" s="150">
        <f t="shared" si="58"/>
        <v>1.8928571428571428</v>
      </c>
      <c r="U297" s="152">
        <f t="shared" si="61"/>
        <v>-1</v>
      </c>
      <c r="V297" s="143"/>
      <c r="W297" s="102">
        <f t="shared" si="59"/>
        <v>0</v>
      </c>
      <c r="X297" s="153">
        <f t="shared" si="60"/>
        <v>-1</v>
      </c>
      <c r="Y297" s="102"/>
      <c r="Z297" s="102"/>
      <c r="AA297" s="102"/>
      <c r="AB297" s="102"/>
      <c r="AC297" s="102"/>
      <c r="AD297" s="102"/>
      <c r="AE297" s="102"/>
      <c r="AF297" s="138"/>
      <c r="AG297" s="138"/>
      <c r="AH297" s="102"/>
      <c r="AI297" s="102"/>
      <c r="AJ297" s="102"/>
      <c r="AK297" s="102"/>
      <c r="AL297" s="102"/>
      <c r="AM297" s="102"/>
    </row>
    <row r="298" spans="1:39">
      <c r="A298" s="143" t="s">
        <v>238</v>
      </c>
      <c r="B298" s="143" t="s">
        <v>361</v>
      </c>
      <c r="C298" s="145">
        <v>45868</v>
      </c>
      <c r="D298" s="143" t="s">
        <v>657</v>
      </c>
      <c r="E298" s="146" t="s">
        <v>406</v>
      </c>
      <c r="F298" s="147">
        <v>-144</v>
      </c>
      <c r="G298" s="147">
        <v>-103</v>
      </c>
      <c r="H298" s="148">
        <v>110</v>
      </c>
      <c r="I298" s="143">
        <v>-127</v>
      </c>
      <c r="J298" s="143">
        <v>1</v>
      </c>
      <c r="K298" s="149" t="s">
        <v>350</v>
      </c>
      <c r="L298" s="150">
        <f t="shared" si="50"/>
        <v>0.970873786407767</v>
      </c>
      <c r="M298" s="150">
        <f t="shared" si="51"/>
        <v>1.1000000000000001</v>
      </c>
      <c r="N298" s="151">
        <f t="shared" si="52"/>
        <v>-6.1488673139158713E-2</v>
      </c>
      <c r="O298" s="151">
        <f t="shared" si="53"/>
        <v>0.1303705376265536</v>
      </c>
      <c r="P298" s="151">
        <f t="shared" si="54"/>
        <v>0.5901639344262295</v>
      </c>
      <c r="Q298" s="151">
        <f t="shared" si="55"/>
        <v>0.4597933967996759</v>
      </c>
      <c r="R298" s="150">
        <f t="shared" si="56"/>
        <v>1.970873786407767</v>
      </c>
      <c r="S298" s="150">
        <f t="shared" si="57"/>
        <v>2.1</v>
      </c>
      <c r="T298" s="150">
        <f t="shared" si="58"/>
        <v>1.7874015748031495</v>
      </c>
      <c r="U298" s="152">
        <f t="shared" si="61"/>
        <v>0.970873786407767</v>
      </c>
      <c r="V298" s="143"/>
      <c r="W298" s="102">
        <f t="shared" si="59"/>
        <v>1</v>
      </c>
      <c r="X298" s="153">
        <f t="shared" si="60"/>
        <v>0.970873786407767</v>
      </c>
      <c r="Y298" s="102"/>
      <c r="Z298" s="102"/>
      <c r="AA298" s="102"/>
      <c r="AB298" s="102"/>
      <c r="AC298" s="102"/>
      <c r="AD298" s="102"/>
      <c r="AE298" s="102"/>
      <c r="AF298" s="138"/>
      <c r="AG298" s="138"/>
      <c r="AH298" s="102"/>
      <c r="AI298" s="102"/>
      <c r="AJ298" s="102"/>
      <c r="AK298" s="102"/>
      <c r="AL298" s="102"/>
      <c r="AM298" s="102"/>
    </row>
    <row r="299" spans="1:39">
      <c r="A299" s="143" t="s">
        <v>238</v>
      </c>
      <c r="B299" s="143" t="s">
        <v>361</v>
      </c>
      <c r="C299" s="145">
        <v>45868</v>
      </c>
      <c r="D299" s="143" t="s">
        <v>647</v>
      </c>
      <c r="E299" s="146" t="s">
        <v>454</v>
      </c>
      <c r="F299" s="147">
        <v>-120</v>
      </c>
      <c r="G299" s="147">
        <v>103</v>
      </c>
      <c r="H299" s="148">
        <v>102</v>
      </c>
      <c r="I299" s="143">
        <v>-118</v>
      </c>
      <c r="J299" s="143">
        <v>1</v>
      </c>
      <c r="K299" s="149" t="s">
        <v>351</v>
      </c>
      <c r="L299" s="150">
        <f t="shared" si="50"/>
        <v>0</v>
      </c>
      <c r="M299" s="150">
        <f t="shared" si="51"/>
        <v>0</v>
      </c>
      <c r="N299" s="151">
        <f t="shared" si="52"/>
        <v>4.9504950495050364E-3</v>
      </c>
      <c r="O299" s="151">
        <f t="shared" si="53"/>
        <v>6.7761496107538732E-2</v>
      </c>
      <c r="P299" s="151">
        <f t="shared" si="54"/>
        <v>0.54545454545454541</v>
      </c>
      <c r="Q299" s="151">
        <f t="shared" si="55"/>
        <v>0.47769304934700668</v>
      </c>
      <c r="R299" s="150">
        <f t="shared" si="56"/>
        <v>2.0300000000000002</v>
      </c>
      <c r="S299" s="150">
        <f t="shared" si="57"/>
        <v>2.02</v>
      </c>
      <c r="T299" s="150">
        <f t="shared" si="58"/>
        <v>1.847457627118644</v>
      </c>
      <c r="U299" s="152">
        <f t="shared" si="61"/>
        <v>0</v>
      </c>
      <c r="V299" s="143"/>
      <c r="W299" s="102">
        <f t="shared" si="59"/>
        <v>2</v>
      </c>
      <c r="X299" s="153">
        <f t="shared" si="60"/>
        <v>0</v>
      </c>
      <c r="Y299" s="102"/>
      <c r="Z299" s="102"/>
      <c r="AA299" s="102"/>
      <c r="AB299" s="102"/>
      <c r="AC299" s="102"/>
      <c r="AD299" s="102"/>
      <c r="AE299" s="102"/>
      <c r="AF299" s="138"/>
      <c r="AG299" s="138"/>
      <c r="AH299" s="102"/>
      <c r="AI299" s="102"/>
      <c r="AJ299" s="102"/>
      <c r="AK299" s="102"/>
      <c r="AL299" s="102"/>
      <c r="AM299" s="102"/>
    </row>
    <row r="300" spans="1:39">
      <c r="A300" s="143" t="s">
        <v>240</v>
      </c>
      <c r="B300" s="143" t="s">
        <v>361</v>
      </c>
      <c r="C300" s="145">
        <v>45868</v>
      </c>
      <c r="D300" s="143" t="s">
        <v>648</v>
      </c>
      <c r="E300" s="146" t="s">
        <v>445</v>
      </c>
      <c r="F300" s="147">
        <v>100</v>
      </c>
      <c r="G300" s="147">
        <v>130</v>
      </c>
      <c r="H300" s="148">
        <v>143</v>
      </c>
      <c r="I300" s="143">
        <v>-167</v>
      </c>
      <c r="J300" s="143">
        <v>1</v>
      </c>
      <c r="K300" s="149" t="s">
        <v>351</v>
      </c>
      <c r="L300" s="150">
        <f t="shared" si="50"/>
        <v>0</v>
      </c>
      <c r="M300" s="150">
        <f t="shared" si="51"/>
        <v>0</v>
      </c>
      <c r="N300" s="151">
        <f t="shared" si="52"/>
        <v>-5.3497942386831213E-2</v>
      </c>
      <c r="O300" s="151">
        <f t="shared" si="53"/>
        <v>0.10315690908280195</v>
      </c>
      <c r="P300" s="151">
        <f t="shared" si="54"/>
        <v>0.5</v>
      </c>
      <c r="Q300" s="151">
        <f t="shared" si="55"/>
        <v>0.39684309091719805</v>
      </c>
      <c r="R300" s="150">
        <f t="shared" si="56"/>
        <v>2.2999999999999998</v>
      </c>
      <c r="S300" s="150">
        <f t="shared" si="57"/>
        <v>2.4299999999999997</v>
      </c>
      <c r="T300" s="150">
        <f t="shared" si="58"/>
        <v>1.5988023952095807</v>
      </c>
      <c r="U300" s="152">
        <f t="shared" si="61"/>
        <v>0</v>
      </c>
      <c r="V300" s="143"/>
      <c r="W300" s="102">
        <f t="shared" si="59"/>
        <v>2</v>
      </c>
      <c r="X300" s="153">
        <f t="shared" si="60"/>
        <v>0</v>
      </c>
      <c r="Y300" s="102"/>
      <c r="Z300" s="102"/>
      <c r="AA300" s="102"/>
      <c r="AB300" s="102"/>
      <c r="AC300" s="102"/>
      <c r="AD300" s="102"/>
      <c r="AE300" s="102"/>
      <c r="AF300" s="138"/>
      <c r="AG300" s="138"/>
      <c r="AH300" s="102"/>
      <c r="AI300" s="102"/>
      <c r="AJ300" s="102"/>
      <c r="AK300" s="102"/>
      <c r="AL300" s="102"/>
      <c r="AM300" s="102"/>
    </row>
    <row r="301" spans="1:39">
      <c r="A301" s="143" t="s">
        <v>240</v>
      </c>
      <c r="B301" s="143" t="s">
        <v>361</v>
      </c>
      <c r="C301" s="145">
        <v>45868</v>
      </c>
      <c r="D301" s="143" t="s">
        <v>650</v>
      </c>
      <c r="E301" s="146" t="s">
        <v>458</v>
      </c>
      <c r="F301" s="147">
        <v>-127</v>
      </c>
      <c r="G301" s="147">
        <v>125</v>
      </c>
      <c r="H301" s="148">
        <v>122</v>
      </c>
      <c r="I301" s="143">
        <v>-141</v>
      </c>
      <c r="J301" s="143">
        <v>1</v>
      </c>
      <c r="K301" s="149" t="s">
        <v>350</v>
      </c>
      <c r="L301" s="150">
        <f t="shared" si="50"/>
        <v>1.25</v>
      </c>
      <c r="M301" s="150">
        <f t="shared" si="51"/>
        <v>1.2199999999999998</v>
      </c>
      <c r="N301" s="151">
        <f t="shared" si="52"/>
        <v>1.3513513513513709E-2</v>
      </c>
      <c r="O301" s="151">
        <f t="shared" si="53"/>
        <v>0.12446901915308001</v>
      </c>
      <c r="P301" s="151">
        <f t="shared" si="54"/>
        <v>0.55947136563876654</v>
      </c>
      <c r="Q301" s="151">
        <f t="shared" si="55"/>
        <v>0.43500234648568653</v>
      </c>
      <c r="R301" s="150">
        <f t="shared" si="56"/>
        <v>2.25</v>
      </c>
      <c r="S301" s="150">
        <f t="shared" si="57"/>
        <v>2.2199999999999998</v>
      </c>
      <c r="T301" s="150">
        <f t="shared" si="58"/>
        <v>1.7092198581560285</v>
      </c>
      <c r="U301" s="152">
        <f t="shared" si="61"/>
        <v>1.25</v>
      </c>
      <c r="V301" s="143"/>
      <c r="W301" s="102">
        <f t="shared" si="59"/>
        <v>1</v>
      </c>
      <c r="X301" s="153">
        <f t="shared" si="60"/>
        <v>1.25</v>
      </c>
      <c r="Y301" s="102"/>
      <c r="Z301" s="102"/>
      <c r="AA301" s="102"/>
      <c r="AB301" s="102"/>
      <c r="AC301" s="102"/>
      <c r="AD301" s="102"/>
      <c r="AE301" s="102"/>
      <c r="AF301" s="138"/>
      <c r="AG301" s="138"/>
      <c r="AH301" s="102"/>
      <c r="AI301" s="102"/>
      <c r="AJ301" s="102"/>
      <c r="AK301" s="102"/>
      <c r="AL301" s="102"/>
      <c r="AM301" s="102"/>
    </row>
    <row r="302" spans="1:39">
      <c r="A302" s="143" t="s">
        <v>240</v>
      </c>
      <c r="B302" s="143" t="s">
        <v>361</v>
      </c>
      <c r="C302" s="145">
        <v>45868</v>
      </c>
      <c r="D302" s="143" t="s">
        <v>584</v>
      </c>
      <c r="E302" s="146" t="s">
        <v>439</v>
      </c>
      <c r="F302" s="147">
        <v>-174</v>
      </c>
      <c r="G302" s="147">
        <v>-120</v>
      </c>
      <c r="H302" s="148">
        <v>-120</v>
      </c>
      <c r="I302" s="143">
        <v>106</v>
      </c>
      <c r="J302" s="143">
        <v>1</v>
      </c>
      <c r="K302" s="149" t="s">
        <v>351</v>
      </c>
      <c r="L302" s="150">
        <f t="shared" si="50"/>
        <v>0</v>
      </c>
      <c r="M302" s="150">
        <f t="shared" si="51"/>
        <v>0</v>
      </c>
      <c r="N302" s="151">
        <f t="shared" si="52"/>
        <v>0</v>
      </c>
      <c r="O302" s="151">
        <f t="shared" si="53"/>
        <v>0.10592690730926912</v>
      </c>
      <c r="P302" s="151">
        <f t="shared" si="54"/>
        <v>0.63503649635036497</v>
      </c>
      <c r="Q302" s="151">
        <f t="shared" si="55"/>
        <v>0.52910958904109584</v>
      </c>
      <c r="R302" s="150">
        <f t="shared" si="56"/>
        <v>1.8333333333333335</v>
      </c>
      <c r="S302" s="150">
        <f t="shared" si="57"/>
        <v>1.8333333333333335</v>
      </c>
      <c r="T302" s="150">
        <f t="shared" si="58"/>
        <v>2.06</v>
      </c>
      <c r="U302" s="152">
        <f t="shared" si="61"/>
        <v>0</v>
      </c>
      <c r="V302" s="143"/>
      <c r="W302" s="102">
        <f t="shared" si="59"/>
        <v>2</v>
      </c>
      <c r="X302" s="153">
        <f t="shared" si="60"/>
        <v>0</v>
      </c>
      <c r="Y302" s="102"/>
      <c r="Z302" s="102"/>
      <c r="AA302" s="102"/>
      <c r="AB302" s="102"/>
      <c r="AC302" s="102"/>
      <c r="AD302" s="102"/>
      <c r="AE302" s="102"/>
      <c r="AF302" s="138"/>
      <c r="AG302" s="138"/>
      <c r="AH302" s="102"/>
      <c r="AI302" s="102"/>
      <c r="AJ302" s="102"/>
      <c r="AK302" s="102"/>
      <c r="AL302" s="102"/>
      <c r="AM302" s="102"/>
    </row>
    <row r="303" spans="1:39">
      <c r="A303" s="143" t="s">
        <v>238</v>
      </c>
      <c r="B303" s="143" t="s">
        <v>363</v>
      </c>
      <c r="C303" s="145">
        <v>45869</v>
      </c>
      <c r="D303" s="143" t="s">
        <v>658</v>
      </c>
      <c r="E303" s="146" t="s">
        <v>659</v>
      </c>
      <c r="F303" s="147">
        <v>-122</v>
      </c>
      <c r="G303" s="147">
        <v>105</v>
      </c>
      <c r="H303" s="148">
        <v>104</v>
      </c>
      <c r="I303" s="143">
        <v>-120</v>
      </c>
      <c r="J303" s="143">
        <v>1</v>
      </c>
      <c r="K303" s="149" t="s">
        <v>311</v>
      </c>
      <c r="L303" s="150">
        <f t="shared" si="50"/>
        <v>-1</v>
      </c>
      <c r="M303" s="150">
        <f t="shared" si="51"/>
        <v>-1</v>
      </c>
      <c r="N303" s="151">
        <f t="shared" si="52"/>
        <v>4.901960784313591E-3</v>
      </c>
      <c r="O303" s="151">
        <f t="shared" si="53"/>
        <v>7.6227690685522098E-2</v>
      </c>
      <c r="P303" s="151">
        <f t="shared" si="54"/>
        <v>0.5495495495495496</v>
      </c>
      <c r="Q303" s="151">
        <f t="shared" si="55"/>
        <v>0.4733218588640275</v>
      </c>
      <c r="R303" s="150">
        <f t="shared" si="56"/>
        <v>2.0499999999999998</v>
      </c>
      <c r="S303" s="150">
        <f t="shared" si="57"/>
        <v>2.04</v>
      </c>
      <c r="T303" s="150">
        <f t="shared" si="58"/>
        <v>1.8333333333333335</v>
      </c>
      <c r="U303" s="152">
        <f t="shared" si="61"/>
        <v>-1</v>
      </c>
      <c r="V303" s="143"/>
      <c r="W303" s="102">
        <f t="shared" si="59"/>
        <v>0</v>
      </c>
      <c r="X303" s="102" t="str">
        <f t="shared" si="60"/>
        <v/>
      </c>
      <c r="Y303" s="102"/>
      <c r="Z303" s="102"/>
      <c r="AA303" s="102"/>
      <c r="AB303" s="102"/>
      <c r="AC303" s="102"/>
      <c r="AD303" s="102"/>
      <c r="AE303" s="102"/>
      <c r="AF303" s="138"/>
      <c r="AG303" s="138"/>
      <c r="AH303" s="102"/>
      <c r="AI303" s="102"/>
      <c r="AJ303" s="102"/>
      <c r="AK303" s="102"/>
      <c r="AL303" s="102"/>
      <c r="AM303" s="102"/>
    </row>
    <row r="304" spans="1:39">
      <c r="A304" s="143" t="s">
        <v>240</v>
      </c>
      <c r="B304" s="143" t="s">
        <v>361</v>
      </c>
      <c r="C304" s="145">
        <v>45870</v>
      </c>
      <c r="D304" s="143" t="s">
        <v>660</v>
      </c>
      <c r="E304" s="146" t="s">
        <v>525</v>
      </c>
      <c r="F304" s="147">
        <v>-227</v>
      </c>
      <c r="G304" s="147">
        <v>115</v>
      </c>
      <c r="H304" s="148">
        <v>108</v>
      </c>
      <c r="I304" s="143">
        <v>-125</v>
      </c>
      <c r="J304" s="143">
        <v>1</v>
      </c>
      <c r="K304" s="149" t="s">
        <v>311</v>
      </c>
      <c r="L304" s="150">
        <f t="shared" si="50"/>
        <v>-1</v>
      </c>
      <c r="M304" s="150">
        <f t="shared" si="51"/>
        <v>-1</v>
      </c>
      <c r="N304" s="151">
        <f t="shared" si="52"/>
        <v>3.3653846153846076E-2</v>
      </c>
      <c r="O304" s="151">
        <f t="shared" si="53"/>
        <v>0.23027207667328731</v>
      </c>
      <c r="P304" s="151">
        <f t="shared" si="54"/>
        <v>0.6941896024464832</v>
      </c>
      <c r="Q304" s="151">
        <f t="shared" si="55"/>
        <v>0.46391752577319589</v>
      </c>
      <c r="R304" s="150">
        <f t="shared" si="56"/>
        <v>2.15</v>
      </c>
      <c r="S304" s="150">
        <f t="shared" si="57"/>
        <v>2.08</v>
      </c>
      <c r="T304" s="150">
        <f t="shared" si="58"/>
        <v>1.8</v>
      </c>
      <c r="U304" s="152">
        <f t="shared" si="61"/>
        <v>-1</v>
      </c>
      <c r="V304" s="143"/>
      <c r="W304" s="102">
        <f t="shared" si="59"/>
        <v>0</v>
      </c>
      <c r="X304" s="153">
        <f t="shared" si="60"/>
        <v>-1</v>
      </c>
      <c r="Y304" s="102"/>
      <c r="Z304" s="102"/>
      <c r="AA304" s="102"/>
      <c r="AB304" s="102"/>
      <c r="AC304" s="102"/>
      <c r="AD304" s="102"/>
      <c r="AE304" s="102"/>
      <c r="AF304" s="138"/>
      <c r="AG304" s="138"/>
      <c r="AH304" s="102"/>
      <c r="AI304" s="102"/>
      <c r="AJ304" s="102"/>
      <c r="AK304" s="102"/>
      <c r="AL304" s="102"/>
      <c r="AM304" s="102"/>
    </row>
    <row r="305" spans="1:39">
      <c r="A305" s="143" t="s">
        <v>238</v>
      </c>
      <c r="B305" s="143" t="s">
        <v>361</v>
      </c>
      <c r="C305" s="145">
        <v>45870</v>
      </c>
      <c r="D305" s="143" t="s">
        <v>661</v>
      </c>
      <c r="E305" s="146" t="s">
        <v>492</v>
      </c>
      <c r="F305" s="147">
        <v>-291</v>
      </c>
      <c r="G305" s="147">
        <v>-102</v>
      </c>
      <c r="H305" s="148">
        <v>-114</v>
      </c>
      <c r="I305" s="143">
        <v>100</v>
      </c>
      <c r="J305" s="143">
        <v>1</v>
      </c>
      <c r="K305" s="149" t="s">
        <v>311</v>
      </c>
      <c r="L305" s="150">
        <f t="shared" si="50"/>
        <v>-1</v>
      </c>
      <c r="M305" s="150">
        <f t="shared" si="51"/>
        <v>-1</v>
      </c>
      <c r="N305" s="151">
        <f t="shared" si="52"/>
        <v>5.4975261132490266E-2</v>
      </c>
      <c r="O305" s="151">
        <f t="shared" si="53"/>
        <v>0.2284084202242771</v>
      </c>
      <c r="P305" s="151">
        <f t="shared" si="54"/>
        <v>0.74424552429667523</v>
      </c>
      <c r="Q305" s="151">
        <f t="shared" si="55"/>
        <v>0.51583710407239813</v>
      </c>
      <c r="R305" s="150">
        <f t="shared" si="56"/>
        <v>1.9803921568627452</v>
      </c>
      <c r="S305" s="150">
        <f t="shared" si="57"/>
        <v>1.8771929824561404</v>
      </c>
      <c r="T305" s="150">
        <f t="shared" si="58"/>
        <v>2</v>
      </c>
      <c r="U305" s="152">
        <f t="shared" si="61"/>
        <v>-1</v>
      </c>
      <c r="V305" s="143"/>
      <c r="W305" s="102">
        <f t="shared" si="59"/>
        <v>0</v>
      </c>
      <c r="X305" s="153">
        <f t="shared" si="60"/>
        <v>-1</v>
      </c>
      <c r="Y305" s="102"/>
      <c r="Z305" s="102"/>
      <c r="AA305" s="102"/>
      <c r="AB305" s="102"/>
      <c r="AC305" s="102"/>
      <c r="AD305" s="102"/>
      <c r="AE305" s="102"/>
      <c r="AF305" s="138"/>
      <c r="AG305" s="138"/>
      <c r="AH305" s="102"/>
      <c r="AI305" s="102"/>
      <c r="AJ305" s="102"/>
      <c r="AK305" s="102"/>
      <c r="AL305" s="102"/>
      <c r="AM305" s="102"/>
    </row>
    <row r="306" spans="1:39">
      <c r="A306" s="143" t="s">
        <v>238</v>
      </c>
      <c r="B306" s="143" t="s">
        <v>361</v>
      </c>
      <c r="C306" s="145">
        <v>45870</v>
      </c>
      <c r="D306" s="143" t="s">
        <v>662</v>
      </c>
      <c r="E306" s="146" t="s">
        <v>409</v>
      </c>
      <c r="F306" s="147">
        <v>-162</v>
      </c>
      <c r="G306" s="147">
        <v>-131</v>
      </c>
      <c r="H306" s="148">
        <v>-130</v>
      </c>
      <c r="I306" s="143">
        <v>112</v>
      </c>
      <c r="J306" s="143">
        <v>1</v>
      </c>
      <c r="K306" s="149" t="s">
        <v>350</v>
      </c>
      <c r="L306" s="150">
        <f t="shared" si="50"/>
        <v>0.76335877862595414</v>
      </c>
      <c r="M306" s="150">
        <f t="shared" si="51"/>
        <v>0.76923076923076916</v>
      </c>
      <c r="N306" s="151">
        <f t="shared" si="52"/>
        <v>-3.3189512114170797E-3</v>
      </c>
      <c r="O306" s="151">
        <f t="shared" si="53"/>
        <v>7.3225673978162042E-2</v>
      </c>
      <c r="P306" s="151">
        <f t="shared" si="54"/>
        <v>0.61832061068702293</v>
      </c>
      <c r="Q306" s="151">
        <f t="shared" si="55"/>
        <v>0.54509493670886089</v>
      </c>
      <c r="R306" s="150">
        <f t="shared" si="56"/>
        <v>1.7633587786259541</v>
      </c>
      <c r="S306" s="150">
        <f t="shared" si="57"/>
        <v>1.7692307692307692</v>
      </c>
      <c r="T306" s="150">
        <f t="shared" si="58"/>
        <v>2.12</v>
      </c>
      <c r="U306" s="152">
        <f t="shared" si="61"/>
        <v>0.76335877862595414</v>
      </c>
      <c r="V306" s="143"/>
      <c r="W306" s="102">
        <f t="shared" si="59"/>
        <v>1</v>
      </c>
      <c r="X306" s="153">
        <f t="shared" si="60"/>
        <v>0.76335877862595414</v>
      </c>
      <c r="Y306" s="102"/>
      <c r="Z306" s="102"/>
      <c r="AA306" s="102"/>
      <c r="AB306" s="102"/>
      <c r="AC306" s="102"/>
      <c r="AD306" s="102"/>
      <c r="AE306" s="102"/>
      <c r="AF306" s="138"/>
      <c r="AG306" s="138"/>
      <c r="AH306" s="102"/>
      <c r="AI306" s="102"/>
      <c r="AJ306" s="102"/>
      <c r="AK306" s="102"/>
      <c r="AL306" s="102"/>
      <c r="AM306" s="102"/>
    </row>
    <row r="307" spans="1:39">
      <c r="A307" s="143" t="s">
        <v>238</v>
      </c>
      <c r="B307" s="143" t="s">
        <v>361</v>
      </c>
      <c r="C307" s="145">
        <v>45870</v>
      </c>
      <c r="D307" s="143" t="s">
        <v>658</v>
      </c>
      <c r="E307" s="146" t="s">
        <v>465</v>
      </c>
      <c r="F307" s="147">
        <v>-294</v>
      </c>
      <c r="G307" s="147">
        <v>-206</v>
      </c>
      <c r="H307" s="148">
        <v>-204</v>
      </c>
      <c r="I307" s="143">
        <v>173</v>
      </c>
      <c r="J307" s="143">
        <v>1</v>
      </c>
      <c r="K307" s="149" t="s">
        <v>311</v>
      </c>
      <c r="L307" s="150">
        <f t="shared" si="50"/>
        <v>-1</v>
      </c>
      <c r="M307" s="150">
        <f t="shared" si="51"/>
        <v>-1</v>
      </c>
      <c r="N307" s="151">
        <f t="shared" si="52"/>
        <v>-3.1936637710782909E-3</v>
      </c>
      <c r="O307" s="151">
        <f t="shared" si="53"/>
        <v>9.9303519243137628E-2</v>
      </c>
      <c r="P307" s="151">
        <f t="shared" si="54"/>
        <v>0.74619289340101524</v>
      </c>
      <c r="Q307" s="151">
        <f t="shared" si="55"/>
        <v>0.64688937415787762</v>
      </c>
      <c r="R307" s="150">
        <f t="shared" si="56"/>
        <v>1.4854368932038835</v>
      </c>
      <c r="S307" s="150">
        <f t="shared" si="57"/>
        <v>1.4901960784313726</v>
      </c>
      <c r="T307" s="150">
        <f t="shared" si="58"/>
        <v>2.73</v>
      </c>
      <c r="U307" s="152">
        <f t="shared" si="61"/>
        <v>-1</v>
      </c>
      <c r="V307" s="143"/>
      <c r="W307" s="102">
        <f t="shared" si="59"/>
        <v>0</v>
      </c>
      <c r="X307" s="153">
        <f t="shared" si="60"/>
        <v>-1</v>
      </c>
      <c r="Y307" s="102"/>
      <c r="Z307" s="102"/>
      <c r="AA307" s="102"/>
      <c r="AB307" s="102"/>
      <c r="AC307" s="102"/>
      <c r="AD307" s="102"/>
      <c r="AE307" s="102"/>
      <c r="AF307" s="138"/>
      <c r="AG307" s="138"/>
      <c r="AH307" s="102"/>
      <c r="AI307" s="102"/>
      <c r="AJ307" s="102"/>
      <c r="AK307" s="102"/>
      <c r="AL307" s="102"/>
      <c r="AM307" s="102"/>
    </row>
    <row r="308" spans="1:39">
      <c r="A308" s="143" t="s">
        <v>238</v>
      </c>
      <c r="B308" s="143" t="s">
        <v>361</v>
      </c>
      <c r="C308" s="145">
        <v>45871</v>
      </c>
      <c r="D308" s="143" t="s">
        <v>663</v>
      </c>
      <c r="E308" s="146" t="s">
        <v>441</v>
      </c>
      <c r="F308" s="147">
        <v>-110</v>
      </c>
      <c r="G308" s="147">
        <v>122</v>
      </c>
      <c r="H308" s="148">
        <v>121</v>
      </c>
      <c r="I308" s="143">
        <v>-141</v>
      </c>
      <c r="J308" s="143">
        <v>1</v>
      </c>
      <c r="K308" s="149" t="s">
        <v>311</v>
      </c>
      <c r="L308" s="150">
        <f t="shared" si="50"/>
        <v>-1</v>
      </c>
      <c r="M308" s="150">
        <f t="shared" si="51"/>
        <v>-1</v>
      </c>
      <c r="N308" s="151">
        <f t="shared" si="52"/>
        <v>4.5248868778279211E-3</v>
      </c>
      <c r="O308" s="151">
        <f t="shared" si="53"/>
        <v>8.7697256568612492E-2</v>
      </c>
      <c r="P308" s="151">
        <f t="shared" si="54"/>
        <v>0.52380952380952384</v>
      </c>
      <c r="Q308" s="151">
        <f t="shared" si="55"/>
        <v>0.43611226724091134</v>
      </c>
      <c r="R308" s="150">
        <f t="shared" si="56"/>
        <v>2.2199999999999998</v>
      </c>
      <c r="S308" s="150">
        <f t="shared" si="57"/>
        <v>2.21</v>
      </c>
      <c r="T308" s="150">
        <f t="shared" si="58"/>
        <v>1.7092198581560285</v>
      </c>
      <c r="U308" s="152">
        <f t="shared" si="61"/>
        <v>-1</v>
      </c>
      <c r="V308" s="143"/>
      <c r="W308" s="102">
        <f t="shared" si="59"/>
        <v>0</v>
      </c>
      <c r="X308" s="153">
        <f t="shared" si="60"/>
        <v>-1</v>
      </c>
      <c r="Y308" s="102"/>
      <c r="Z308" s="102"/>
      <c r="AA308" s="102"/>
      <c r="AB308" s="102"/>
      <c r="AC308" s="102"/>
      <c r="AD308" s="102"/>
      <c r="AE308" s="102"/>
      <c r="AF308" s="138"/>
      <c r="AG308" s="138"/>
      <c r="AH308" s="102"/>
      <c r="AI308" s="102"/>
      <c r="AJ308" s="102"/>
      <c r="AK308" s="102"/>
      <c r="AL308" s="102"/>
      <c r="AM308" s="102"/>
    </row>
    <row r="309" spans="1:39">
      <c r="A309" s="143" t="s">
        <v>238</v>
      </c>
      <c r="B309" s="143" t="s">
        <v>361</v>
      </c>
      <c r="C309" s="145">
        <v>45871</v>
      </c>
      <c r="D309" s="143" t="s">
        <v>664</v>
      </c>
      <c r="E309" s="146" t="s">
        <v>447</v>
      </c>
      <c r="F309" s="147">
        <v>-253</v>
      </c>
      <c r="G309" s="147">
        <v>-129</v>
      </c>
      <c r="H309" s="148">
        <v>-132</v>
      </c>
      <c r="I309" s="143">
        <v>114</v>
      </c>
      <c r="J309" s="143">
        <v>1</v>
      </c>
      <c r="K309" s="149" t="s">
        <v>350</v>
      </c>
      <c r="L309" s="150">
        <f t="shared" si="50"/>
        <v>0.77519379844961245</v>
      </c>
      <c r="M309" s="150">
        <f t="shared" si="51"/>
        <v>0.75757575757575757</v>
      </c>
      <c r="N309" s="151">
        <f t="shared" si="52"/>
        <v>1.0024057738572656E-2</v>
      </c>
      <c r="O309" s="151">
        <f t="shared" si="53"/>
        <v>0.16765463673433778</v>
      </c>
      <c r="P309" s="151">
        <f t="shared" si="54"/>
        <v>0.71671388101983002</v>
      </c>
      <c r="Q309" s="151">
        <f t="shared" si="55"/>
        <v>0.54905924428549224</v>
      </c>
      <c r="R309" s="150">
        <f t="shared" si="56"/>
        <v>1.7751937984496124</v>
      </c>
      <c r="S309" s="150">
        <f t="shared" si="57"/>
        <v>1.7575757575757576</v>
      </c>
      <c r="T309" s="150">
        <f t="shared" si="58"/>
        <v>2.1399999999999997</v>
      </c>
      <c r="U309" s="152">
        <f t="shared" si="61"/>
        <v>0.77519379844961245</v>
      </c>
      <c r="V309" s="143"/>
      <c r="W309" s="102">
        <f t="shared" si="59"/>
        <v>1</v>
      </c>
      <c r="X309" s="153">
        <f t="shared" si="60"/>
        <v>0.77519379844961245</v>
      </c>
      <c r="Y309" s="102"/>
      <c r="Z309" s="102"/>
      <c r="AA309" s="102"/>
      <c r="AB309" s="102"/>
      <c r="AC309" s="102"/>
      <c r="AD309" s="102"/>
      <c r="AE309" s="102"/>
      <c r="AF309" s="138"/>
      <c r="AG309" s="138"/>
      <c r="AH309" s="102"/>
      <c r="AI309" s="102"/>
      <c r="AJ309" s="102"/>
      <c r="AK309" s="102"/>
      <c r="AL309" s="102"/>
      <c r="AM309" s="102"/>
    </row>
    <row r="310" spans="1:39">
      <c r="A310" s="143" t="s">
        <v>240</v>
      </c>
      <c r="B310" s="143" t="s">
        <v>361</v>
      </c>
      <c r="C310" s="145">
        <v>45872</v>
      </c>
      <c r="D310" s="143" t="s">
        <v>665</v>
      </c>
      <c r="E310" s="146" t="s">
        <v>454</v>
      </c>
      <c r="F310" s="147">
        <v>-133</v>
      </c>
      <c r="G310" s="147">
        <v>105</v>
      </c>
      <c r="H310" s="148">
        <v>104</v>
      </c>
      <c r="I310" s="143">
        <v>-120</v>
      </c>
      <c r="J310" s="143">
        <v>1</v>
      </c>
      <c r="K310" s="149" t="s">
        <v>350</v>
      </c>
      <c r="L310" s="150">
        <f t="shared" si="50"/>
        <v>1.0499999999999998</v>
      </c>
      <c r="M310" s="150">
        <f t="shared" si="51"/>
        <v>1.04</v>
      </c>
      <c r="N310" s="151">
        <f t="shared" si="52"/>
        <v>4.901960784313591E-3</v>
      </c>
      <c r="O310" s="151">
        <f t="shared" si="53"/>
        <v>9.7493591779749311E-2</v>
      </c>
      <c r="P310" s="151">
        <f t="shared" si="54"/>
        <v>0.57081545064377681</v>
      </c>
      <c r="Q310" s="151">
        <f t="shared" si="55"/>
        <v>0.4733218588640275</v>
      </c>
      <c r="R310" s="150">
        <f t="shared" si="56"/>
        <v>2.0499999999999998</v>
      </c>
      <c r="S310" s="150">
        <f t="shared" si="57"/>
        <v>2.04</v>
      </c>
      <c r="T310" s="150">
        <f t="shared" si="58"/>
        <v>1.8333333333333335</v>
      </c>
      <c r="U310" s="152">
        <f t="shared" si="61"/>
        <v>1.0499999999999998</v>
      </c>
      <c r="V310" s="143"/>
      <c r="W310" s="102">
        <f t="shared" si="59"/>
        <v>1</v>
      </c>
      <c r="X310" s="153">
        <f t="shared" si="60"/>
        <v>1.0499999999999998</v>
      </c>
      <c r="Y310" s="102"/>
      <c r="Z310" s="102"/>
      <c r="AA310" s="102"/>
      <c r="AB310" s="102"/>
      <c r="AC310" s="102"/>
      <c r="AD310" s="102"/>
      <c r="AE310" s="102"/>
      <c r="AF310" s="138"/>
      <c r="AG310" s="138"/>
      <c r="AH310" s="102"/>
      <c r="AI310" s="102"/>
      <c r="AJ310" s="102"/>
      <c r="AK310" s="102"/>
      <c r="AL310" s="102"/>
      <c r="AM310" s="102"/>
    </row>
    <row r="311" spans="1:39">
      <c r="A311" s="143" t="s">
        <v>240</v>
      </c>
      <c r="B311" s="143" t="s">
        <v>361</v>
      </c>
      <c r="C311" s="145">
        <v>45872</v>
      </c>
      <c r="D311" s="143" t="s">
        <v>666</v>
      </c>
      <c r="E311" s="146" t="s">
        <v>411</v>
      </c>
      <c r="F311" s="147">
        <v>110</v>
      </c>
      <c r="G311" s="147">
        <v>155</v>
      </c>
      <c r="H311" s="148">
        <v>148</v>
      </c>
      <c r="I311" s="143">
        <v>-172</v>
      </c>
      <c r="J311" s="143">
        <v>1</v>
      </c>
      <c r="K311" s="149" t="s">
        <v>311</v>
      </c>
      <c r="L311" s="150">
        <f t="shared" si="50"/>
        <v>-1</v>
      </c>
      <c r="M311" s="150">
        <f t="shared" si="51"/>
        <v>-1</v>
      </c>
      <c r="N311" s="151">
        <f t="shared" si="52"/>
        <v>2.822580645161285E-2</v>
      </c>
      <c r="O311" s="151">
        <f t="shared" si="53"/>
        <v>8.6818052919747812E-2</v>
      </c>
      <c r="P311" s="151">
        <f t="shared" si="54"/>
        <v>0.47619047619047616</v>
      </c>
      <c r="Q311" s="151">
        <f t="shared" si="55"/>
        <v>0.38937242327072835</v>
      </c>
      <c r="R311" s="150">
        <f t="shared" si="56"/>
        <v>2.5499999999999998</v>
      </c>
      <c r="S311" s="150">
        <f t="shared" si="57"/>
        <v>2.48</v>
      </c>
      <c r="T311" s="150">
        <f t="shared" si="58"/>
        <v>1.5813953488372094</v>
      </c>
      <c r="U311" s="152">
        <f t="shared" si="61"/>
        <v>-1</v>
      </c>
      <c r="V311" s="143"/>
      <c r="W311" s="102">
        <f t="shared" si="59"/>
        <v>0</v>
      </c>
      <c r="X311" s="153">
        <f t="shared" si="60"/>
        <v>-1</v>
      </c>
      <c r="Y311" s="102"/>
      <c r="Z311" s="102"/>
      <c r="AA311" s="102"/>
      <c r="AB311" s="102"/>
      <c r="AC311" s="102"/>
      <c r="AD311" s="102"/>
      <c r="AE311" s="102"/>
      <c r="AF311" s="138"/>
      <c r="AG311" s="138"/>
      <c r="AH311" s="102"/>
      <c r="AI311" s="102"/>
      <c r="AJ311" s="102"/>
      <c r="AK311" s="102"/>
      <c r="AL311" s="102"/>
      <c r="AM311" s="102"/>
    </row>
    <row r="312" spans="1:39">
      <c r="A312" s="143" t="s">
        <v>240</v>
      </c>
      <c r="B312" s="143" t="s">
        <v>361</v>
      </c>
      <c r="C312" s="145">
        <v>45872</v>
      </c>
      <c r="D312" s="143" t="s">
        <v>658</v>
      </c>
      <c r="E312" s="146" t="s">
        <v>439</v>
      </c>
      <c r="F312" s="147">
        <v>-199</v>
      </c>
      <c r="G312" s="147">
        <v>-155</v>
      </c>
      <c r="H312" s="148">
        <v>-159</v>
      </c>
      <c r="I312" s="143">
        <v>137</v>
      </c>
      <c r="J312" s="143">
        <v>1</v>
      </c>
      <c r="K312" s="149" t="s">
        <v>311</v>
      </c>
      <c r="L312" s="150">
        <f t="shared" si="50"/>
        <v>-1</v>
      </c>
      <c r="M312" s="150">
        <f t="shared" si="51"/>
        <v>-1</v>
      </c>
      <c r="N312" s="151">
        <f t="shared" si="52"/>
        <v>9.9638809316229399E-3</v>
      </c>
      <c r="O312" s="151">
        <f t="shared" si="53"/>
        <v>7.2893424479745339E-2</v>
      </c>
      <c r="P312" s="151">
        <f t="shared" si="54"/>
        <v>0.66555183946488294</v>
      </c>
      <c r="Q312" s="151">
        <f t="shared" si="55"/>
        <v>0.5926584149851376</v>
      </c>
      <c r="R312" s="150">
        <f t="shared" si="56"/>
        <v>1.6451612903225805</v>
      </c>
      <c r="S312" s="150">
        <f t="shared" si="57"/>
        <v>1.6289308176100628</v>
      </c>
      <c r="T312" s="150">
        <f t="shared" si="58"/>
        <v>2.37</v>
      </c>
      <c r="U312" s="152">
        <f t="shared" si="61"/>
        <v>-1</v>
      </c>
      <c r="V312" s="143"/>
      <c r="W312" s="102">
        <f t="shared" si="59"/>
        <v>0</v>
      </c>
      <c r="X312" s="153">
        <f t="shared" si="60"/>
        <v>-1</v>
      </c>
      <c r="Y312" s="102"/>
      <c r="Z312" s="102"/>
      <c r="AA312" s="102"/>
      <c r="AB312" s="102"/>
      <c r="AC312" s="102"/>
      <c r="AD312" s="102"/>
      <c r="AE312" s="102"/>
      <c r="AF312" s="138"/>
      <c r="AG312" s="138"/>
      <c r="AH312" s="102"/>
      <c r="AI312" s="102"/>
      <c r="AJ312" s="102"/>
      <c r="AK312" s="102"/>
      <c r="AL312" s="102"/>
      <c r="AM312" s="102"/>
    </row>
    <row r="313" spans="1:39">
      <c r="A313" s="143" t="s">
        <v>238</v>
      </c>
      <c r="B313" s="143" t="s">
        <v>361</v>
      </c>
      <c r="C313" s="145">
        <v>45874</v>
      </c>
      <c r="D313" s="143" t="s">
        <v>667</v>
      </c>
      <c r="E313" s="146" t="s">
        <v>389</v>
      </c>
      <c r="F313" s="147">
        <v>-151</v>
      </c>
      <c r="G313" s="147">
        <v>-101</v>
      </c>
      <c r="H313" s="148">
        <v>-101</v>
      </c>
      <c r="I313" s="143">
        <v>-114</v>
      </c>
      <c r="J313" s="143">
        <v>1</v>
      </c>
      <c r="K313" s="149" t="s">
        <v>350</v>
      </c>
      <c r="L313" s="150">
        <f t="shared" si="50"/>
        <v>0.99009900990099009</v>
      </c>
      <c r="M313" s="150">
        <f t="shared" si="51"/>
        <v>0.99009900990099009</v>
      </c>
      <c r="N313" s="151">
        <f t="shared" si="52"/>
        <v>0</v>
      </c>
      <c r="O313" s="151">
        <f t="shared" si="53"/>
        <v>0.11619118209161194</v>
      </c>
      <c r="P313" s="151">
        <f t="shared" si="54"/>
        <v>0.60159362549800799</v>
      </c>
      <c r="Q313" s="151">
        <f t="shared" si="55"/>
        <v>0.48540244340639604</v>
      </c>
      <c r="R313" s="150">
        <f t="shared" si="56"/>
        <v>1.9900990099009901</v>
      </c>
      <c r="S313" s="150">
        <f t="shared" si="57"/>
        <v>1.9900990099009901</v>
      </c>
      <c r="T313" s="150">
        <f t="shared" si="58"/>
        <v>1.8771929824561404</v>
      </c>
      <c r="U313" s="152">
        <f t="shared" si="61"/>
        <v>0.99009900990099009</v>
      </c>
      <c r="V313" s="143"/>
      <c r="W313" s="102">
        <f t="shared" si="59"/>
        <v>1</v>
      </c>
      <c r="X313" s="153">
        <f t="shared" si="60"/>
        <v>0.99009900990099009</v>
      </c>
      <c r="Y313" s="102"/>
      <c r="Z313" s="102"/>
      <c r="AA313" s="102"/>
      <c r="AB313" s="102"/>
      <c r="AC313" s="102"/>
      <c r="AD313" s="102"/>
      <c r="AE313" s="102"/>
      <c r="AF313" s="138"/>
      <c r="AG313" s="138"/>
      <c r="AH313" s="102"/>
      <c r="AI313" s="102"/>
      <c r="AJ313" s="102"/>
      <c r="AK313" s="102"/>
      <c r="AL313" s="102"/>
      <c r="AM313" s="102"/>
    </row>
    <row r="314" spans="1:39">
      <c r="A314" s="143" t="s">
        <v>238</v>
      </c>
      <c r="B314" s="143" t="s">
        <v>361</v>
      </c>
      <c r="C314" s="145">
        <v>45874</v>
      </c>
      <c r="D314" s="143" t="s">
        <v>668</v>
      </c>
      <c r="E314" s="146" t="s">
        <v>525</v>
      </c>
      <c r="F314" s="147">
        <v>-125</v>
      </c>
      <c r="G314" s="147">
        <v>113</v>
      </c>
      <c r="H314" s="148">
        <v>112</v>
      </c>
      <c r="I314" s="143">
        <v>-128</v>
      </c>
      <c r="J314" s="143">
        <v>1</v>
      </c>
      <c r="K314" s="149" t="s">
        <v>311</v>
      </c>
      <c r="L314" s="150">
        <f t="shared" si="50"/>
        <v>-1</v>
      </c>
      <c r="M314" s="150">
        <f t="shared" si="51"/>
        <v>-1</v>
      </c>
      <c r="N314" s="151">
        <f t="shared" si="52"/>
        <v>4.7169811320753588E-3</v>
      </c>
      <c r="O314" s="151">
        <f t="shared" si="53"/>
        <v>9.8971127487628596E-2</v>
      </c>
      <c r="P314" s="151">
        <f t="shared" si="54"/>
        <v>0.55555555555555558</v>
      </c>
      <c r="Q314" s="151">
        <f t="shared" si="55"/>
        <v>0.45658442806792698</v>
      </c>
      <c r="R314" s="150">
        <f t="shared" si="56"/>
        <v>2.13</v>
      </c>
      <c r="S314" s="150">
        <f t="shared" si="57"/>
        <v>2.12</v>
      </c>
      <c r="T314" s="150">
        <f t="shared" si="58"/>
        <v>1.78125</v>
      </c>
      <c r="U314" s="152">
        <f t="shared" si="61"/>
        <v>-1</v>
      </c>
      <c r="V314" s="143"/>
      <c r="W314" s="102">
        <f t="shared" si="59"/>
        <v>0</v>
      </c>
      <c r="X314" s="153">
        <f t="shared" si="60"/>
        <v>-1</v>
      </c>
      <c r="Y314" s="102"/>
      <c r="Z314" s="102"/>
      <c r="AA314" s="102"/>
      <c r="AB314" s="102"/>
      <c r="AC314" s="102"/>
      <c r="AD314" s="102"/>
      <c r="AE314" s="102"/>
      <c r="AF314" s="138"/>
      <c r="AG314" s="138"/>
      <c r="AH314" s="102"/>
      <c r="AI314" s="102"/>
      <c r="AJ314" s="102"/>
      <c r="AK314" s="102"/>
      <c r="AL314" s="102"/>
      <c r="AM314" s="102"/>
    </row>
    <row r="315" spans="1:39">
      <c r="A315" s="143" t="s">
        <v>238</v>
      </c>
      <c r="B315" s="143" t="s">
        <v>361</v>
      </c>
      <c r="C315" s="145">
        <v>45874</v>
      </c>
      <c r="D315" s="143" t="s">
        <v>669</v>
      </c>
      <c r="E315" s="146" t="s">
        <v>454</v>
      </c>
      <c r="F315" s="147">
        <v>111</v>
      </c>
      <c r="G315" s="147">
        <v>188</v>
      </c>
      <c r="H315" s="148">
        <v>191</v>
      </c>
      <c r="I315" s="143">
        <v>-227</v>
      </c>
      <c r="J315" s="143">
        <v>1</v>
      </c>
      <c r="K315" s="149" t="s">
        <v>311</v>
      </c>
      <c r="L315" s="150">
        <f t="shared" si="50"/>
        <v>-1</v>
      </c>
      <c r="M315" s="150">
        <f t="shared" si="51"/>
        <v>-1</v>
      </c>
      <c r="N315" s="151">
        <f t="shared" si="52"/>
        <v>-1.0309278350515427E-2</v>
      </c>
      <c r="O315" s="151">
        <f t="shared" si="53"/>
        <v>0.14281788028032044</v>
      </c>
      <c r="P315" s="151">
        <f t="shared" si="54"/>
        <v>0.47393364928909953</v>
      </c>
      <c r="Q315" s="151">
        <f t="shared" si="55"/>
        <v>0.33111576900877909</v>
      </c>
      <c r="R315" s="150">
        <f t="shared" si="56"/>
        <v>2.88</v>
      </c>
      <c r="S315" s="150">
        <f t="shared" si="57"/>
        <v>2.91</v>
      </c>
      <c r="T315" s="150">
        <f t="shared" si="58"/>
        <v>1.4405286343612334</v>
      </c>
      <c r="U315" s="152">
        <f t="shared" si="61"/>
        <v>-1</v>
      </c>
      <c r="V315" s="143"/>
      <c r="W315" s="102">
        <f t="shared" si="59"/>
        <v>0</v>
      </c>
      <c r="X315" s="153">
        <f t="shared" si="60"/>
        <v>-1</v>
      </c>
      <c r="Y315" s="102"/>
      <c r="Z315" s="102"/>
      <c r="AA315" s="102"/>
      <c r="AB315" s="102"/>
      <c r="AC315" s="102"/>
      <c r="AD315" s="102"/>
      <c r="AE315" s="102"/>
      <c r="AF315" s="138"/>
      <c r="AG315" s="138"/>
      <c r="AH315" s="102"/>
      <c r="AI315" s="102"/>
      <c r="AJ315" s="102"/>
      <c r="AK315" s="102"/>
      <c r="AL315" s="102"/>
      <c r="AM315" s="102"/>
    </row>
    <row r="316" spans="1:39">
      <c r="A316" s="143" t="s">
        <v>238</v>
      </c>
      <c r="B316" s="143" t="s">
        <v>361</v>
      </c>
      <c r="C316" s="145">
        <v>45875</v>
      </c>
      <c r="D316" s="143" t="s">
        <v>668</v>
      </c>
      <c r="E316" s="146" t="s">
        <v>525</v>
      </c>
      <c r="F316" s="147">
        <v>-161</v>
      </c>
      <c r="G316" s="147">
        <v>135</v>
      </c>
      <c r="H316" s="148">
        <v>127</v>
      </c>
      <c r="I316" s="143">
        <v>-147</v>
      </c>
      <c r="J316" s="143">
        <v>1</v>
      </c>
      <c r="K316" s="149" t="s">
        <v>350</v>
      </c>
      <c r="L316" s="150">
        <f t="shared" si="50"/>
        <v>1.35</v>
      </c>
      <c r="M316" s="150">
        <f t="shared" si="51"/>
        <v>1.27</v>
      </c>
      <c r="N316" s="151">
        <f t="shared" si="52"/>
        <v>3.5242290748898626E-2</v>
      </c>
      <c r="O316" s="151">
        <f t="shared" si="53"/>
        <v>0.19150219559779891</v>
      </c>
      <c r="P316" s="151">
        <f t="shared" si="54"/>
        <v>0.61685823754789271</v>
      </c>
      <c r="Q316" s="151">
        <f t="shared" si="55"/>
        <v>0.4253560419500938</v>
      </c>
      <c r="R316" s="150">
        <f t="shared" si="56"/>
        <v>2.35</v>
      </c>
      <c r="S316" s="150">
        <f t="shared" si="57"/>
        <v>2.27</v>
      </c>
      <c r="T316" s="150">
        <f t="shared" si="58"/>
        <v>1.6802721088435373</v>
      </c>
      <c r="U316" s="152">
        <f t="shared" si="61"/>
        <v>1.35</v>
      </c>
      <c r="V316" s="143"/>
      <c r="W316" s="102">
        <f t="shared" si="59"/>
        <v>1</v>
      </c>
      <c r="X316" s="153">
        <f t="shared" si="60"/>
        <v>1.35</v>
      </c>
      <c r="Y316" s="102"/>
      <c r="Z316" s="102"/>
      <c r="AA316" s="102"/>
      <c r="AB316" s="102"/>
      <c r="AC316" s="102"/>
      <c r="AD316" s="102"/>
      <c r="AE316" s="102"/>
      <c r="AF316" s="138"/>
      <c r="AG316" s="138"/>
      <c r="AH316" s="102"/>
      <c r="AI316" s="102"/>
      <c r="AJ316" s="102"/>
      <c r="AK316" s="102"/>
      <c r="AL316" s="102"/>
      <c r="AM316" s="102"/>
    </row>
    <row r="317" spans="1:39">
      <c r="A317" s="143" t="s">
        <v>238</v>
      </c>
      <c r="B317" s="143" t="s">
        <v>361</v>
      </c>
      <c r="C317" s="145">
        <v>45876</v>
      </c>
      <c r="D317" s="143" t="s">
        <v>670</v>
      </c>
      <c r="E317" s="146" t="s">
        <v>447</v>
      </c>
      <c r="F317" s="147">
        <v>-261</v>
      </c>
      <c r="G317" s="147">
        <v>-145</v>
      </c>
      <c r="H317" s="148">
        <v>-167</v>
      </c>
      <c r="I317" s="143">
        <v>143</v>
      </c>
      <c r="J317" s="143">
        <v>1</v>
      </c>
      <c r="K317" s="149" t="s">
        <v>350</v>
      </c>
      <c r="L317" s="150">
        <f t="shared" si="50"/>
        <v>0.68965517241379315</v>
      </c>
      <c r="M317" s="150">
        <f t="shared" si="51"/>
        <v>0.59880239520958067</v>
      </c>
      <c r="N317" s="151">
        <f t="shared" si="52"/>
        <v>5.6825519824357643E-2</v>
      </c>
      <c r="O317" s="151">
        <f t="shared" si="53"/>
        <v>0.11983478066789055</v>
      </c>
      <c r="P317" s="151">
        <f t="shared" si="54"/>
        <v>0.7229916897506925</v>
      </c>
      <c r="Q317" s="151">
        <f t="shared" si="55"/>
        <v>0.60315690908280195</v>
      </c>
      <c r="R317" s="150">
        <f t="shared" si="56"/>
        <v>1.6896551724137931</v>
      </c>
      <c r="S317" s="150">
        <f t="shared" si="57"/>
        <v>1.5988023952095807</v>
      </c>
      <c r="T317" s="150">
        <f t="shared" si="58"/>
        <v>2.4299999999999997</v>
      </c>
      <c r="U317" s="152">
        <f t="shared" si="61"/>
        <v>0.68965517241379315</v>
      </c>
      <c r="V317" s="143"/>
      <c r="W317" s="102">
        <f t="shared" si="59"/>
        <v>1</v>
      </c>
      <c r="X317" s="153">
        <f t="shared" si="60"/>
        <v>0.68965517241379315</v>
      </c>
      <c r="Y317" s="102"/>
      <c r="Z317" s="102"/>
      <c r="AA317" s="102"/>
      <c r="AB317" s="102"/>
      <c r="AC317" s="102"/>
      <c r="AD317" s="102"/>
      <c r="AE317" s="102"/>
      <c r="AF317" s="138"/>
      <c r="AG317" s="138"/>
      <c r="AH317" s="102"/>
      <c r="AI317" s="102"/>
      <c r="AJ317" s="102"/>
      <c r="AK317" s="102"/>
      <c r="AL317" s="102"/>
      <c r="AM317" s="102"/>
    </row>
    <row r="318" spans="1:39">
      <c r="A318" s="143" t="s">
        <v>238</v>
      </c>
      <c r="B318" s="143" t="s">
        <v>361</v>
      </c>
      <c r="C318" s="145">
        <v>45877</v>
      </c>
      <c r="D318" s="143" t="s">
        <v>671</v>
      </c>
      <c r="E318" s="146" t="s">
        <v>672</v>
      </c>
      <c r="F318" s="147">
        <v>121</v>
      </c>
      <c r="G318" s="147">
        <v>183</v>
      </c>
      <c r="H318" s="148">
        <v>173</v>
      </c>
      <c r="I318" s="143">
        <v>-204</v>
      </c>
      <c r="J318" s="143">
        <v>1</v>
      </c>
      <c r="K318" s="149" t="s">
        <v>311</v>
      </c>
      <c r="L318" s="150">
        <f t="shared" si="50"/>
        <v>-1</v>
      </c>
      <c r="M318" s="150">
        <f t="shared" si="51"/>
        <v>-1</v>
      </c>
      <c r="N318" s="151">
        <f t="shared" si="52"/>
        <v>3.6630036630036521E-2</v>
      </c>
      <c r="O318" s="151">
        <f t="shared" si="53"/>
        <v>9.9378061940683105E-2</v>
      </c>
      <c r="P318" s="151">
        <f t="shared" si="54"/>
        <v>0.45248868778280543</v>
      </c>
      <c r="Q318" s="151">
        <f t="shared" si="55"/>
        <v>0.35311062584212233</v>
      </c>
      <c r="R318" s="150">
        <f t="shared" si="56"/>
        <v>2.83</v>
      </c>
      <c r="S318" s="150">
        <f t="shared" si="57"/>
        <v>2.73</v>
      </c>
      <c r="T318" s="150">
        <f t="shared" si="58"/>
        <v>1.4901960784313726</v>
      </c>
      <c r="U318" s="152">
        <f t="shared" si="61"/>
        <v>-1</v>
      </c>
      <c r="V318" s="143"/>
      <c r="W318" s="102">
        <f t="shared" si="59"/>
        <v>0</v>
      </c>
      <c r="X318" s="153">
        <f t="shared" si="60"/>
        <v>-1</v>
      </c>
      <c r="Y318" s="102"/>
      <c r="Z318" s="102"/>
      <c r="AA318" s="102"/>
      <c r="AB318" s="102"/>
      <c r="AC318" s="102"/>
      <c r="AD318" s="102"/>
      <c r="AE318" s="102"/>
      <c r="AF318" s="102"/>
      <c r="AG318" s="102"/>
      <c r="AH318" s="102"/>
      <c r="AI318" s="102"/>
      <c r="AJ318" s="102"/>
      <c r="AK318" s="102"/>
      <c r="AL318" s="102"/>
      <c r="AM318" s="102"/>
    </row>
    <row r="319" spans="1:39">
      <c r="A319" s="143" t="s">
        <v>238</v>
      </c>
      <c r="B319" s="143" t="s">
        <v>361</v>
      </c>
      <c r="C319" s="145">
        <v>45877</v>
      </c>
      <c r="D319" s="143" t="s">
        <v>673</v>
      </c>
      <c r="E319" s="146" t="s">
        <v>487</v>
      </c>
      <c r="F319" s="147">
        <v>-290</v>
      </c>
      <c r="G319" s="147">
        <v>-117</v>
      </c>
      <c r="H319" s="148">
        <v>-112</v>
      </c>
      <c r="I319" s="143">
        <v>-101</v>
      </c>
      <c r="J319" s="143">
        <v>1</v>
      </c>
      <c r="K319" s="149" t="s">
        <v>350</v>
      </c>
      <c r="L319" s="150">
        <f t="shared" si="50"/>
        <v>0.85470085470085477</v>
      </c>
      <c r="M319" s="150">
        <f t="shared" si="51"/>
        <v>0.89285714285714279</v>
      </c>
      <c r="N319" s="151">
        <f t="shared" si="52"/>
        <v>-2.015803902596356E-2</v>
      </c>
      <c r="O319" s="151">
        <f t="shared" si="53"/>
        <v>0.23106811532273697</v>
      </c>
      <c r="P319" s="151">
        <f t="shared" si="54"/>
        <v>0.74358974358974361</v>
      </c>
      <c r="Q319" s="151">
        <f t="shared" si="55"/>
        <v>0.51252162826700665</v>
      </c>
      <c r="R319" s="150">
        <f t="shared" si="56"/>
        <v>1.8547008547008548</v>
      </c>
      <c r="S319" s="150">
        <f t="shared" si="57"/>
        <v>1.8928571428571428</v>
      </c>
      <c r="T319" s="150">
        <f t="shared" si="58"/>
        <v>1.9900990099009901</v>
      </c>
      <c r="U319" s="152">
        <f t="shared" si="61"/>
        <v>0.85470085470085477</v>
      </c>
      <c r="V319" s="143"/>
      <c r="W319" s="102">
        <f t="shared" si="59"/>
        <v>1</v>
      </c>
      <c r="X319" s="153">
        <f t="shared" si="60"/>
        <v>0.85470085470085477</v>
      </c>
      <c r="Y319" s="102"/>
      <c r="Z319" s="102"/>
      <c r="AA319" s="102"/>
      <c r="AB319" s="102"/>
      <c r="AC319" s="102"/>
      <c r="AD319" s="102"/>
      <c r="AE319" s="102"/>
      <c r="AF319" s="102"/>
      <c r="AG319" s="102"/>
      <c r="AH319" s="102"/>
      <c r="AI319" s="102"/>
      <c r="AJ319" s="102"/>
      <c r="AK319" s="102"/>
      <c r="AL319" s="102"/>
      <c r="AM319" s="102"/>
    </row>
    <row r="320" spans="1:39">
      <c r="A320" s="143" t="s">
        <v>238</v>
      </c>
      <c r="B320" s="143" t="s">
        <v>361</v>
      </c>
      <c r="C320" s="145">
        <v>45877</v>
      </c>
      <c r="D320" s="143" t="s">
        <v>670</v>
      </c>
      <c r="E320" s="146" t="s">
        <v>447</v>
      </c>
      <c r="F320" s="147">
        <v>-182</v>
      </c>
      <c r="G320" s="147">
        <v>-135</v>
      </c>
      <c r="H320" s="148">
        <v>-141</v>
      </c>
      <c r="I320" s="143">
        <v>122</v>
      </c>
      <c r="J320" s="143">
        <v>1</v>
      </c>
      <c r="K320" s="149" t="s">
        <v>350</v>
      </c>
      <c r="L320" s="150">
        <f t="shared" si="50"/>
        <v>0.7407407407407407</v>
      </c>
      <c r="M320" s="150">
        <f t="shared" si="51"/>
        <v>0.7092198581560285</v>
      </c>
      <c r="N320" s="151">
        <f t="shared" si="52"/>
        <v>1.8441678192715305E-2</v>
      </c>
      <c r="O320" s="151">
        <f t="shared" si="53"/>
        <v>8.0392417407672334E-2</v>
      </c>
      <c r="P320" s="151">
        <f t="shared" si="54"/>
        <v>0.64539007092198586</v>
      </c>
      <c r="Q320" s="151">
        <f t="shared" si="55"/>
        <v>0.56499765351431352</v>
      </c>
      <c r="R320" s="150">
        <f t="shared" si="56"/>
        <v>1.7407407407407407</v>
      </c>
      <c r="S320" s="150">
        <f t="shared" si="57"/>
        <v>1.7092198581560285</v>
      </c>
      <c r="T320" s="150">
        <f t="shared" si="58"/>
        <v>2.2199999999999998</v>
      </c>
      <c r="U320" s="152">
        <f t="shared" si="61"/>
        <v>0.7407407407407407</v>
      </c>
      <c r="V320" s="143"/>
      <c r="W320" s="102">
        <f t="shared" si="59"/>
        <v>1</v>
      </c>
      <c r="X320" s="153">
        <f t="shared" si="60"/>
        <v>0.7407407407407407</v>
      </c>
      <c r="Y320" s="102"/>
      <c r="Z320" s="102"/>
      <c r="AA320" s="102"/>
      <c r="AB320" s="102"/>
      <c r="AC320" s="102"/>
      <c r="AD320" s="102"/>
      <c r="AE320" s="102"/>
      <c r="AF320" s="102"/>
      <c r="AG320" s="102"/>
      <c r="AH320" s="102"/>
      <c r="AI320" s="102"/>
      <c r="AJ320" s="102"/>
      <c r="AK320" s="102"/>
      <c r="AL320" s="102"/>
      <c r="AM320" s="102"/>
    </row>
    <row r="321" spans="1:39">
      <c r="A321" s="143" t="s">
        <v>240</v>
      </c>
      <c r="B321" s="143" t="s">
        <v>361</v>
      </c>
      <c r="C321" s="145">
        <v>45877</v>
      </c>
      <c r="D321" s="143" t="s">
        <v>674</v>
      </c>
      <c r="E321" s="146" t="s">
        <v>519</v>
      </c>
      <c r="F321" s="147">
        <v>-219</v>
      </c>
      <c r="G321" s="147">
        <v>-135</v>
      </c>
      <c r="H321" s="148">
        <v>-161</v>
      </c>
      <c r="I321" s="143">
        <v>139</v>
      </c>
      <c r="J321" s="143">
        <v>1</v>
      </c>
      <c r="K321" s="149" t="s">
        <v>350</v>
      </c>
      <c r="L321" s="150">
        <f t="shared" si="50"/>
        <v>0.7407407407407407</v>
      </c>
      <c r="M321" s="150">
        <f t="shared" si="51"/>
        <v>0.62111801242236009</v>
      </c>
      <c r="N321" s="151">
        <f t="shared" si="52"/>
        <v>7.3790265361146662E-2</v>
      </c>
      <c r="O321" s="151">
        <f t="shared" si="53"/>
        <v>9.0676526007537284E-2</v>
      </c>
      <c r="P321" s="151">
        <f t="shared" si="54"/>
        <v>0.68652037617554862</v>
      </c>
      <c r="Q321" s="151">
        <f t="shared" si="55"/>
        <v>0.59584385016801134</v>
      </c>
      <c r="R321" s="150">
        <f t="shared" si="56"/>
        <v>1.7407407407407407</v>
      </c>
      <c r="S321" s="150">
        <f t="shared" si="57"/>
        <v>1.6211180124223601</v>
      </c>
      <c r="T321" s="150">
        <f t="shared" si="58"/>
        <v>2.3899999999999997</v>
      </c>
      <c r="U321" s="152">
        <f t="shared" si="61"/>
        <v>0.7407407407407407</v>
      </c>
      <c r="V321" s="143"/>
      <c r="W321" s="102">
        <f t="shared" si="59"/>
        <v>1</v>
      </c>
      <c r="X321" s="153">
        <f t="shared" si="60"/>
        <v>0.7407407407407407</v>
      </c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</row>
    <row r="322" spans="1:39">
      <c r="A322" s="143" t="s">
        <v>238</v>
      </c>
      <c r="B322" s="143" t="s">
        <v>361</v>
      </c>
      <c r="C322" s="145">
        <v>45877</v>
      </c>
      <c r="D322" s="143" t="s">
        <v>675</v>
      </c>
      <c r="E322" s="146" t="s">
        <v>409</v>
      </c>
      <c r="F322" s="147">
        <v>-161</v>
      </c>
      <c r="G322" s="147">
        <v>109</v>
      </c>
      <c r="H322" s="148">
        <v>108</v>
      </c>
      <c r="I322" s="143">
        <v>-123</v>
      </c>
      <c r="J322" s="143">
        <v>1</v>
      </c>
      <c r="K322" s="149" t="s">
        <v>351</v>
      </c>
      <c r="L322" s="150">
        <f t="shared" si="50"/>
        <v>0</v>
      </c>
      <c r="M322" s="150">
        <f t="shared" si="51"/>
        <v>0</v>
      </c>
      <c r="N322" s="151">
        <f t="shared" si="52"/>
        <v>4.807692307692105E-3</v>
      </c>
      <c r="O322" s="151">
        <f t="shared" si="53"/>
        <v>0.15114944129027019</v>
      </c>
      <c r="P322" s="151">
        <f t="shared" si="54"/>
        <v>0.61685823754789271</v>
      </c>
      <c r="Q322" s="151">
        <f t="shared" si="55"/>
        <v>0.46570879625762251</v>
      </c>
      <c r="R322" s="150">
        <f t="shared" si="56"/>
        <v>2.09</v>
      </c>
      <c r="S322" s="150">
        <f t="shared" si="57"/>
        <v>2.08</v>
      </c>
      <c r="T322" s="150">
        <f t="shared" si="58"/>
        <v>1.8130081300813008</v>
      </c>
      <c r="U322" s="152">
        <f t="shared" si="61"/>
        <v>0</v>
      </c>
      <c r="V322" s="143"/>
      <c r="W322" s="102">
        <f t="shared" si="59"/>
        <v>2</v>
      </c>
      <c r="X322" s="153">
        <f t="shared" si="60"/>
        <v>0</v>
      </c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</row>
    <row r="323" spans="1:39">
      <c r="A323" s="143" t="s">
        <v>240</v>
      </c>
      <c r="B323" s="143" t="s">
        <v>361</v>
      </c>
      <c r="C323" s="145">
        <v>45877</v>
      </c>
      <c r="D323" s="143" t="s">
        <v>676</v>
      </c>
      <c r="E323" s="146" t="s">
        <v>436</v>
      </c>
      <c r="F323" s="147">
        <v>-264</v>
      </c>
      <c r="G323" s="147">
        <v>-180</v>
      </c>
      <c r="H323" s="148">
        <v>-179</v>
      </c>
      <c r="I323" s="143">
        <v>152</v>
      </c>
      <c r="J323" s="143">
        <v>1</v>
      </c>
      <c r="K323" s="149" t="s">
        <v>311</v>
      </c>
      <c r="L323" s="150">
        <f t="shared" si="50"/>
        <v>-1</v>
      </c>
      <c r="M323" s="150">
        <f t="shared" si="51"/>
        <v>-1</v>
      </c>
      <c r="N323" s="151">
        <f t="shared" si="52"/>
        <v>-1.9912385503783173E-3</v>
      </c>
      <c r="O323" s="151">
        <f t="shared" si="53"/>
        <v>0.10742462665539587</v>
      </c>
      <c r="P323" s="151">
        <f t="shared" si="54"/>
        <v>0.72527472527472525</v>
      </c>
      <c r="Q323" s="151">
        <f t="shared" si="55"/>
        <v>0.61785009861932938</v>
      </c>
      <c r="R323" s="150">
        <f t="shared" si="56"/>
        <v>1.5555555555555556</v>
      </c>
      <c r="S323" s="150">
        <f t="shared" si="57"/>
        <v>1.558659217877095</v>
      </c>
      <c r="T323" s="150">
        <f t="shared" si="58"/>
        <v>2.52</v>
      </c>
      <c r="U323" s="152">
        <f t="shared" si="61"/>
        <v>-1</v>
      </c>
      <c r="V323" s="143"/>
      <c r="W323" s="102">
        <f t="shared" si="59"/>
        <v>0</v>
      </c>
      <c r="X323" s="153">
        <f t="shared" si="60"/>
        <v>-1</v>
      </c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</row>
    <row r="324" spans="1:39">
      <c r="A324" s="143" t="s">
        <v>238</v>
      </c>
      <c r="B324" s="143" t="s">
        <v>361</v>
      </c>
      <c r="C324" s="145">
        <v>45878</v>
      </c>
      <c r="D324" s="143" t="s">
        <v>671</v>
      </c>
      <c r="E324" s="146" t="s">
        <v>508</v>
      </c>
      <c r="F324" s="147">
        <v>108</v>
      </c>
      <c r="G324" s="147">
        <v>175</v>
      </c>
      <c r="H324" s="148">
        <v>179</v>
      </c>
      <c r="I324" s="143">
        <v>-213</v>
      </c>
      <c r="J324" s="143">
        <v>1</v>
      </c>
      <c r="K324" s="149" t="s">
        <v>311</v>
      </c>
      <c r="L324" s="150">
        <f t="shared" si="50"/>
        <v>-1</v>
      </c>
      <c r="M324" s="150">
        <f t="shared" si="51"/>
        <v>-1</v>
      </c>
      <c r="N324" s="151">
        <f t="shared" si="52"/>
        <v>-1.4336917562724052E-2</v>
      </c>
      <c r="O324" s="151">
        <f t="shared" si="53"/>
        <v>0.13577821376216559</v>
      </c>
      <c r="P324" s="151">
        <f t="shared" si="54"/>
        <v>0.48076923076923078</v>
      </c>
      <c r="Q324" s="151">
        <f t="shared" si="55"/>
        <v>0.34499101700706519</v>
      </c>
      <c r="R324" s="150">
        <f t="shared" si="56"/>
        <v>2.75</v>
      </c>
      <c r="S324" s="150">
        <f t="shared" si="57"/>
        <v>2.79</v>
      </c>
      <c r="T324" s="150">
        <f t="shared" si="58"/>
        <v>1.4694835680751175</v>
      </c>
      <c r="U324" s="152">
        <f t="shared" si="61"/>
        <v>-1</v>
      </c>
      <c r="V324" s="143"/>
      <c r="W324" s="102">
        <f t="shared" si="59"/>
        <v>0</v>
      </c>
      <c r="X324" s="153">
        <f t="shared" si="60"/>
        <v>-1</v>
      </c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</row>
    <row r="325" spans="1:39">
      <c r="A325" s="143" t="s">
        <v>238</v>
      </c>
      <c r="B325" s="143" t="s">
        <v>361</v>
      </c>
      <c r="C325" s="145">
        <v>45878</v>
      </c>
      <c r="D325" s="143" t="s">
        <v>440</v>
      </c>
      <c r="E325" s="146" t="s">
        <v>441</v>
      </c>
      <c r="F325" s="147">
        <v>-166</v>
      </c>
      <c r="G325" s="147">
        <v>-115</v>
      </c>
      <c r="H325" s="148">
        <v>-122</v>
      </c>
      <c r="I325" s="143">
        <v>106</v>
      </c>
      <c r="J325" s="143">
        <v>1</v>
      </c>
      <c r="K325" s="149" t="s">
        <v>350</v>
      </c>
      <c r="L325" s="150">
        <f t="shared" si="50"/>
        <v>0.86956521739130421</v>
      </c>
      <c r="M325" s="150">
        <f t="shared" si="51"/>
        <v>0.81967213114754101</v>
      </c>
      <c r="N325" s="151">
        <f t="shared" si="52"/>
        <v>2.7418723070896749E-2</v>
      </c>
      <c r="O325" s="151">
        <f t="shared" si="53"/>
        <v>9.3087446919504546E-2</v>
      </c>
      <c r="P325" s="151">
        <f t="shared" si="54"/>
        <v>0.62406015037593987</v>
      </c>
      <c r="Q325" s="151">
        <f t="shared" si="55"/>
        <v>0.53097270345643532</v>
      </c>
      <c r="R325" s="150">
        <f t="shared" si="56"/>
        <v>1.8695652173913042</v>
      </c>
      <c r="S325" s="150">
        <f t="shared" si="57"/>
        <v>1.819672131147541</v>
      </c>
      <c r="T325" s="150">
        <f t="shared" si="58"/>
        <v>2.06</v>
      </c>
      <c r="U325" s="152">
        <f t="shared" si="61"/>
        <v>0.86956521739130421</v>
      </c>
      <c r="V325" s="143"/>
      <c r="W325" s="102">
        <f t="shared" si="59"/>
        <v>1</v>
      </c>
      <c r="X325" s="153">
        <f t="shared" si="60"/>
        <v>0.86956521739130421</v>
      </c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</row>
    <row r="326" spans="1:39">
      <c r="A326" s="143" t="s">
        <v>240</v>
      </c>
      <c r="B326" s="143" t="s">
        <v>361</v>
      </c>
      <c r="C326" s="145">
        <v>45878</v>
      </c>
      <c r="D326" s="143" t="s">
        <v>677</v>
      </c>
      <c r="E326" s="146" t="s">
        <v>458</v>
      </c>
      <c r="F326" s="147">
        <v>-143</v>
      </c>
      <c r="G326" s="147">
        <v>100</v>
      </c>
      <c r="H326" s="148">
        <v>114</v>
      </c>
      <c r="I326" s="143">
        <v>-132</v>
      </c>
      <c r="J326" s="143">
        <v>1</v>
      </c>
      <c r="K326" s="149" t="s">
        <v>311</v>
      </c>
      <c r="L326" s="150">
        <f t="shared" si="50"/>
        <v>-1</v>
      </c>
      <c r="M326" s="150">
        <f t="shared" si="51"/>
        <v>-1</v>
      </c>
      <c r="N326" s="151">
        <f t="shared" si="52"/>
        <v>-6.5420560747663448E-2</v>
      </c>
      <c r="O326" s="151">
        <f t="shared" si="53"/>
        <v>0.1375366105406361</v>
      </c>
      <c r="P326" s="151">
        <f t="shared" si="54"/>
        <v>0.58847736625514402</v>
      </c>
      <c r="Q326" s="151">
        <f t="shared" si="55"/>
        <v>0.45094075571450792</v>
      </c>
      <c r="R326" s="150">
        <f t="shared" si="56"/>
        <v>2</v>
      </c>
      <c r="S326" s="150">
        <f t="shared" si="57"/>
        <v>2.1399999999999997</v>
      </c>
      <c r="T326" s="150">
        <f t="shared" si="58"/>
        <v>1.7575757575757576</v>
      </c>
      <c r="U326" s="152">
        <f t="shared" si="61"/>
        <v>-1</v>
      </c>
      <c r="V326" s="143"/>
      <c r="W326" s="102">
        <f t="shared" si="59"/>
        <v>0</v>
      </c>
      <c r="X326" s="153">
        <f t="shared" si="60"/>
        <v>-1</v>
      </c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</row>
    <row r="327" spans="1:39">
      <c r="A327" s="143" t="s">
        <v>238</v>
      </c>
      <c r="B327" s="143" t="s">
        <v>361</v>
      </c>
      <c r="C327" s="145">
        <v>45878</v>
      </c>
      <c r="D327" s="143" t="s">
        <v>678</v>
      </c>
      <c r="E327" s="146" t="s">
        <v>451</v>
      </c>
      <c r="F327" s="147">
        <v>-157</v>
      </c>
      <c r="G327" s="147">
        <v>139</v>
      </c>
      <c r="H327" s="148">
        <v>142</v>
      </c>
      <c r="I327" s="143">
        <v>-164</v>
      </c>
      <c r="J327" s="143">
        <v>1</v>
      </c>
      <c r="K327" s="149" t="s">
        <v>311</v>
      </c>
      <c r="L327" s="150">
        <f t="shared" si="50"/>
        <v>-1</v>
      </c>
      <c r="M327" s="150">
        <f t="shared" si="51"/>
        <v>-1</v>
      </c>
      <c r="N327" s="151">
        <f t="shared" si="52"/>
        <v>-1.2396694214876092E-2</v>
      </c>
      <c r="O327" s="151">
        <f t="shared" si="53"/>
        <v>0.21142756480334918</v>
      </c>
      <c r="P327" s="151">
        <f t="shared" si="54"/>
        <v>0.6108949416342413</v>
      </c>
      <c r="Q327" s="151">
        <f t="shared" si="55"/>
        <v>0.39946737683089212</v>
      </c>
      <c r="R327" s="150">
        <f t="shared" si="56"/>
        <v>2.3899999999999997</v>
      </c>
      <c r="S327" s="150">
        <f t="shared" si="57"/>
        <v>2.42</v>
      </c>
      <c r="T327" s="150">
        <f t="shared" si="58"/>
        <v>1.6097560975609757</v>
      </c>
      <c r="U327" s="152">
        <f t="shared" si="61"/>
        <v>-1</v>
      </c>
      <c r="V327" s="143"/>
      <c r="W327" s="102">
        <f t="shared" si="59"/>
        <v>0</v>
      </c>
      <c r="X327" s="153">
        <f t="shared" si="60"/>
        <v>-1</v>
      </c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</row>
    <row r="328" spans="1:39">
      <c r="A328" s="143" t="s">
        <v>238</v>
      </c>
      <c r="B328" s="143" t="s">
        <v>361</v>
      </c>
      <c r="C328" s="145">
        <v>45879</v>
      </c>
      <c r="D328" s="143" t="s">
        <v>670</v>
      </c>
      <c r="E328" s="146" t="s">
        <v>644</v>
      </c>
      <c r="F328" s="147">
        <v>-174</v>
      </c>
      <c r="G328" s="147">
        <v>-129</v>
      </c>
      <c r="H328" s="148">
        <v>-133</v>
      </c>
      <c r="I328" s="143">
        <v>114</v>
      </c>
      <c r="J328" s="143">
        <v>1</v>
      </c>
      <c r="K328" s="149" t="s">
        <v>350</v>
      </c>
      <c r="L328" s="150">
        <f t="shared" si="50"/>
        <v>0.77519379844961245</v>
      </c>
      <c r="M328" s="150">
        <f t="shared" si="51"/>
        <v>0.75187969924812026</v>
      </c>
      <c r="N328" s="151">
        <f t="shared" si="52"/>
        <v>1.3308048042053443E-2</v>
      </c>
      <c r="O328" s="151">
        <f t="shared" si="53"/>
        <v>8.5173662611328638E-2</v>
      </c>
      <c r="P328" s="151">
        <f t="shared" si="54"/>
        <v>0.63503649635036497</v>
      </c>
      <c r="Q328" s="151">
        <f t="shared" si="55"/>
        <v>0.54986283373903633</v>
      </c>
      <c r="R328" s="150">
        <f t="shared" si="56"/>
        <v>1.7751937984496124</v>
      </c>
      <c r="S328" s="150">
        <f t="shared" si="57"/>
        <v>1.7518796992481203</v>
      </c>
      <c r="T328" s="150">
        <f t="shared" si="58"/>
        <v>2.1399999999999997</v>
      </c>
      <c r="U328" s="152">
        <f t="shared" si="61"/>
        <v>0.77519379844961245</v>
      </c>
      <c r="V328" s="143"/>
      <c r="W328" s="102">
        <f t="shared" si="59"/>
        <v>1</v>
      </c>
      <c r="X328" s="153">
        <f t="shared" si="60"/>
        <v>0.77519379844961245</v>
      </c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</row>
    <row r="329" spans="1:39">
      <c r="A329" s="143" t="s">
        <v>238</v>
      </c>
      <c r="B329" s="143" t="s">
        <v>361</v>
      </c>
      <c r="C329" s="145">
        <v>45879</v>
      </c>
      <c r="D329" s="143" t="s">
        <v>673</v>
      </c>
      <c r="E329" s="146" t="s">
        <v>487</v>
      </c>
      <c r="F329" s="147">
        <v>-101</v>
      </c>
      <c r="G329" s="147">
        <v>182</v>
      </c>
      <c r="H329" s="148">
        <v>175</v>
      </c>
      <c r="I329" s="143">
        <v>-256</v>
      </c>
      <c r="J329" s="143">
        <v>1</v>
      </c>
      <c r="K329" s="149" t="s">
        <v>350</v>
      </c>
      <c r="L329" s="150">
        <f t="shared" si="50"/>
        <v>1.8200000000000003</v>
      </c>
      <c r="M329" s="150">
        <f t="shared" si="51"/>
        <v>1.75</v>
      </c>
      <c r="N329" s="151">
        <f t="shared" si="52"/>
        <v>2.5454545454545608E-2</v>
      </c>
      <c r="O329" s="151">
        <f t="shared" si="53"/>
        <v>0.1666385055852812</v>
      </c>
      <c r="P329" s="151">
        <f t="shared" si="54"/>
        <v>0.50248756218905477</v>
      </c>
      <c r="Q329" s="151">
        <f t="shared" si="55"/>
        <v>0.33584905660377357</v>
      </c>
      <c r="R329" s="150">
        <f t="shared" si="56"/>
        <v>2.8200000000000003</v>
      </c>
      <c r="S329" s="150">
        <f t="shared" si="57"/>
        <v>2.75</v>
      </c>
      <c r="T329" s="150">
        <f t="shared" si="58"/>
        <v>1.390625</v>
      </c>
      <c r="U329" s="152">
        <f t="shared" si="61"/>
        <v>1.8200000000000003</v>
      </c>
      <c r="V329" s="143"/>
      <c r="W329" s="102">
        <f t="shared" si="59"/>
        <v>1</v>
      </c>
      <c r="X329" s="153">
        <f t="shared" si="60"/>
        <v>1.8200000000000003</v>
      </c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</row>
    <row r="330" spans="1:39">
      <c r="A330" s="143" t="s">
        <v>238</v>
      </c>
      <c r="B330" s="143" t="s">
        <v>361</v>
      </c>
      <c r="C330" s="145">
        <v>45879</v>
      </c>
      <c r="D330" s="143" t="s">
        <v>678</v>
      </c>
      <c r="E330" s="146" t="s">
        <v>451</v>
      </c>
      <c r="F330" s="147">
        <v>-142</v>
      </c>
      <c r="G330" s="147">
        <v>146</v>
      </c>
      <c r="H330" s="148">
        <v>164</v>
      </c>
      <c r="I330" s="143">
        <v>-192</v>
      </c>
      <c r="J330" s="143">
        <v>1</v>
      </c>
      <c r="K330" s="149" t="s">
        <v>311</v>
      </c>
      <c r="L330" s="150">
        <f t="shared" ref="L330:L393" si="62">IF(K330="","",IF(K330="W",R330*J330-J330,IF(K330="L",-J330,0)))</f>
        <v>-1</v>
      </c>
      <c r="M330" s="150">
        <f t="shared" ref="M330:M393" si="63">IF(K330="","",IF(K330="W",S330*J330-J330,IF(K330="L",-J330,0)))</f>
        <v>-1</v>
      </c>
      <c r="N330" s="151">
        <f t="shared" ref="N330:N393" si="64">IFERROR((1/S330-1/R330)/(1/R330),"")</f>
        <v>-6.8181818181818038E-2</v>
      </c>
      <c r="O330" s="151">
        <f t="shared" ref="O330:O393" si="65">IFERROR(IF(Q330="","",P330 - Q330),"")</f>
        <v>0.22126514310116813</v>
      </c>
      <c r="P330" s="151">
        <f t="shared" ref="P330:P393" si="66">IF(F330="","",IF(F330 &lt; 0, -F330 / (-F330 + 100), 100 / (F330 + 100)))</f>
        <v>0.58677685950413228</v>
      </c>
      <c r="Q330" s="151">
        <f t="shared" ref="Q330:Q393" si="67">IFERROR((1/S330) / ((1/S330) + (1/T330)),"")</f>
        <v>0.36551171640296415</v>
      </c>
      <c r="R330" s="150">
        <f t="shared" ref="R330:R393" si="68">IFERROR(IF(G330&gt;0, G330/100 + 1, 100/ABS(G330) + 1),"")</f>
        <v>2.46</v>
      </c>
      <c r="S330" s="150">
        <f t="shared" ref="S330:S393" si="69">IFERROR(IF(H330&gt;0, H330/100 + 1, 100/ABS(H330) + 1),"")</f>
        <v>2.6399999999999997</v>
      </c>
      <c r="T330" s="150">
        <f t="shared" ref="T330:T393" si="70">IFERROR(IF(I330&gt;0, I330/100 + 1, 100/ABS(I330) + 1),"")</f>
        <v>1.5208333333333335</v>
      </c>
      <c r="U330" s="152">
        <f t="shared" si="61"/>
        <v>-1</v>
      </c>
      <c r="V330" s="143"/>
      <c r="W330" s="102">
        <f t="shared" ref="W330:W398" si="71">IF(K330="W",1,IF(K330="P",2,0))</f>
        <v>0</v>
      </c>
      <c r="X330" s="153">
        <f t="shared" ref="X330:X393" si="72">IF(B330=$D$3,U330,"")</f>
        <v>-1</v>
      </c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</row>
    <row r="331" spans="1:39">
      <c r="A331" s="143" t="s">
        <v>238</v>
      </c>
      <c r="B331" s="143" t="s">
        <v>361</v>
      </c>
      <c r="C331" s="145">
        <v>45880</v>
      </c>
      <c r="D331" s="143" t="s">
        <v>679</v>
      </c>
      <c r="E331" s="146" t="s">
        <v>492</v>
      </c>
      <c r="F331" s="147">
        <v>-137</v>
      </c>
      <c r="G331" s="147">
        <v>118</v>
      </c>
      <c r="H331" s="148">
        <v>117</v>
      </c>
      <c r="I331" s="143">
        <v>-142</v>
      </c>
      <c r="J331" s="143">
        <v>1</v>
      </c>
      <c r="K331" s="149" t="s">
        <v>311</v>
      </c>
      <c r="L331" s="150">
        <f t="shared" si="62"/>
        <v>-1</v>
      </c>
      <c r="M331" s="150">
        <f t="shared" si="63"/>
        <v>-1</v>
      </c>
      <c r="N331" s="151">
        <f t="shared" si="64"/>
        <v>4.6082949308754052E-3</v>
      </c>
      <c r="O331" s="151">
        <f t="shared" si="65"/>
        <v>0.13817104322812196</v>
      </c>
      <c r="P331" s="151">
        <f t="shared" si="66"/>
        <v>0.57805907172995785</v>
      </c>
      <c r="Q331" s="151">
        <f t="shared" si="67"/>
        <v>0.43988802850183589</v>
      </c>
      <c r="R331" s="150">
        <f t="shared" si="68"/>
        <v>2.1799999999999997</v>
      </c>
      <c r="S331" s="150">
        <f t="shared" si="69"/>
        <v>2.17</v>
      </c>
      <c r="T331" s="150">
        <f t="shared" si="70"/>
        <v>1.704225352112676</v>
      </c>
      <c r="U331" s="152">
        <f t="shared" si="61"/>
        <v>-1</v>
      </c>
      <c r="V331" s="143"/>
      <c r="W331" s="102">
        <f t="shared" si="71"/>
        <v>0</v>
      </c>
      <c r="X331" s="153">
        <f t="shared" si="72"/>
        <v>-1</v>
      </c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</row>
    <row r="332" spans="1:39">
      <c r="A332" s="143" t="s">
        <v>238</v>
      </c>
      <c r="B332" s="143" t="s">
        <v>361</v>
      </c>
      <c r="C332" s="145">
        <v>45881</v>
      </c>
      <c r="D332" s="143" t="s">
        <v>680</v>
      </c>
      <c r="E332" s="146" t="s">
        <v>447</v>
      </c>
      <c r="F332" s="147">
        <v>-137</v>
      </c>
      <c r="G332" s="147">
        <v>109</v>
      </c>
      <c r="H332" s="148">
        <v>108</v>
      </c>
      <c r="I332" s="143">
        <v>-129</v>
      </c>
      <c r="J332" s="143">
        <v>1</v>
      </c>
      <c r="K332" s="149" t="s">
        <v>351</v>
      </c>
      <c r="L332" s="150">
        <f t="shared" si="62"/>
        <v>0</v>
      </c>
      <c r="M332" s="150">
        <f t="shared" si="63"/>
        <v>0</v>
      </c>
      <c r="N332" s="151">
        <f t="shared" si="64"/>
        <v>4.807692307692105E-3</v>
      </c>
      <c r="O332" s="151">
        <f t="shared" si="65"/>
        <v>0.11759096266537167</v>
      </c>
      <c r="P332" s="151">
        <f t="shared" si="66"/>
        <v>0.57805907172995785</v>
      </c>
      <c r="Q332" s="151">
        <f t="shared" si="67"/>
        <v>0.46046810906458618</v>
      </c>
      <c r="R332" s="150">
        <f t="shared" si="68"/>
        <v>2.09</v>
      </c>
      <c r="S332" s="150">
        <f t="shared" si="69"/>
        <v>2.08</v>
      </c>
      <c r="T332" s="150">
        <f t="shared" si="70"/>
        <v>1.7751937984496124</v>
      </c>
      <c r="U332" s="152">
        <f t="shared" si="61"/>
        <v>0</v>
      </c>
      <c r="V332" s="143"/>
      <c r="W332" s="102">
        <f t="shared" si="71"/>
        <v>2</v>
      </c>
      <c r="X332" s="153">
        <f t="shared" si="72"/>
        <v>0</v>
      </c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</row>
    <row r="333" spans="1:39">
      <c r="A333" s="143" t="s">
        <v>238</v>
      </c>
      <c r="B333" s="143" t="s">
        <v>361</v>
      </c>
      <c r="C333" s="145">
        <v>45881</v>
      </c>
      <c r="D333" s="143" t="s">
        <v>475</v>
      </c>
      <c r="E333" s="146" t="s">
        <v>559</v>
      </c>
      <c r="F333" s="147">
        <v>-222</v>
      </c>
      <c r="G333" s="147">
        <v>-128</v>
      </c>
      <c r="H333" s="148">
        <v>-135</v>
      </c>
      <c r="I333" s="143">
        <v>118</v>
      </c>
      <c r="J333" s="143">
        <v>1</v>
      </c>
      <c r="K333" s="149" t="s">
        <v>311</v>
      </c>
      <c r="L333" s="150">
        <f t="shared" si="62"/>
        <v>-1</v>
      </c>
      <c r="M333" s="150">
        <f t="shared" si="63"/>
        <v>-1</v>
      </c>
      <c r="N333" s="151">
        <f t="shared" si="64"/>
        <v>2.3271276595744829E-2</v>
      </c>
      <c r="O333" s="151">
        <f t="shared" si="65"/>
        <v>0.13342361234162547</v>
      </c>
      <c r="P333" s="151">
        <f t="shared" si="66"/>
        <v>0.68944099378881984</v>
      </c>
      <c r="Q333" s="151">
        <f t="shared" si="67"/>
        <v>0.55601738144719437</v>
      </c>
      <c r="R333" s="150">
        <f t="shared" si="68"/>
        <v>1.78125</v>
      </c>
      <c r="S333" s="150">
        <f t="shared" si="69"/>
        <v>1.7407407407407407</v>
      </c>
      <c r="T333" s="150">
        <f t="shared" si="70"/>
        <v>2.1799999999999997</v>
      </c>
      <c r="U333" s="152">
        <f t="shared" si="61"/>
        <v>-1</v>
      </c>
      <c r="V333" s="143"/>
      <c r="W333" s="102">
        <f t="shared" si="71"/>
        <v>0</v>
      </c>
      <c r="X333" s="153">
        <f t="shared" si="72"/>
        <v>-1</v>
      </c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</row>
    <row r="334" spans="1:39">
      <c r="A334" s="143" t="s">
        <v>238</v>
      </c>
      <c r="B334" s="143" t="s">
        <v>361</v>
      </c>
      <c r="C334" s="145">
        <v>45881</v>
      </c>
      <c r="D334" s="143" t="s">
        <v>681</v>
      </c>
      <c r="E334" s="146" t="s">
        <v>451</v>
      </c>
      <c r="F334" s="147">
        <v>-190</v>
      </c>
      <c r="G334" s="147">
        <v>-111</v>
      </c>
      <c r="H334" s="148">
        <v>-127</v>
      </c>
      <c r="I334" s="143">
        <v>111</v>
      </c>
      <c r="J334" s="143">
        <v>1</v>
      </c>
      <c r="K334" s="149" t="s">
        <v>350</v>
      </c>
      <c r="L334" s="150">
        <f t="shared" si="62"/>
        <v>0.90090090090090102</v>
      </c>
      <c r="M334" s="150">
        <f t="shared" si="63"/>
        <v>0.78740157480314954</v>
      </c>
      <c r="N334" s="151">
        <f t="shared" si="64"/>
        <v>6.3499622970988656E-2</v>
      </c>
      <c r="O334" s="151">
        <f t="shared" si="65"/>
        <v>0.11378606714583184</v>
      </c>
      <c r="P334" s="151">
        <f t="shared" si="66"/>
        <v>0.65517241379310343</v>
      </c>
      <c r="Q334" s="151">
        <f t="shared" si="67"/>
        <v>0.54138634664727159</v>
      </c>
      <c r="R334" s="150">
        <f t="shared" si="68"/>
        <v>1.900900900900901</v>
      </c>
      <c r="S334" s="150">
        <f t="shared" si="69"/>
        <v>1.7874015748031495</v>
      </c>
      <c r="T334" s="150">
        <f t="shared" si="70"/>
        <v>2.1100000000000003</v>
      </c>
      <c r="U334" s="152">
        <f t="shared" si="61"/>
        <v>0.90090090090090102</v>
      </c>
      <c r="V334" s="143"/>
      <c r="W334" s="102">
        <f t="shared" si="71"/>
        <v>1</v>
      </c>
      <c r="X334" s="153">
        <f t="shared" si="72"/>
        <v>0.90090090090090102</v>
      </c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</row>
    <row r="335" spans="1:39">
      <c r="A335" s="143" t="s">
        <v>238</v>
      </c>
      <c r="B335" s="143" t="s">
        <v>361</v>
      </c>
      <c r="C335" s="145">
        <v>45882</v>
      </c>
      <c r="D335" s="143" t="s">
        <v>682</v>
      </c>
      <c r="E335" s="146" t="s">
        <v>525</v>
      </c>
      <c r="F335" s="147">
        <v>-116</v>
      </c>
      <c r="G335" s="147">
        <v>121</v>
      </c>
      <c r="H335" s="148">
        <v>116</v>
      </c>
      <c r="I335" s="143">
        <v>-133</v>
      </c>
      <c r="J335" s="143">
        <v>1</v>
      </c>
      <c r="K335" s="149" t="s">
        <v>351</v>
      </c>
      <c r="L335" s="150">
        <f t="shared" si="62"/>
        <v>0</v>
      </c>
      <c r="M335" s="150">
        <f t="shared" si="63"/>
        <v>0</v>
      </c>
      <c r="N335" s="151">
        <f t="shared" si="64"/>
        <v>2.3148148148148025E-2</v>
      </c>
      <c r="O335" s="151">
        <f t="shared" si="65"/>
        <v>8.9201256303585941E-2</v>
      </c>
      <c r="P335" s="151">
        <f t="shared" si="66"/>
        <v>0.53703703703703709</v>
      </c>
      <c r="Q335" s="151">
        <f t="shared" si="67"/>
        <v>0.44783578073345115</v>
      </c>
      <c r="R335" s="150">
        <f t="shared" si="68"/>
        <v>2.21</v>
      </c>
      <c r="S335" s="150">
        <f t="shared" si="69"/>
        <v>2.16</v>
      </c>
      <c r="T335" s="150">
        <f t="shared" si="70"/>
        <v>1.7518796992481203</v>
      </c>
      <c r="U335" s="152">
        <f t="shared" si="61"/>
        <v>0</v>
      </c>
      <c r="V335" s="143"/>
      <c r="W335" s="102">
        <f t="shared" si="71"/>
        <v>2</v>
      </c>
      <c r="X335" s="153">
        <f t="shared" si="72"/>
        <v>0</v>
      </c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</row>
    <row r="336" spans="1:39">
      <c r="A336" s="143" t="s">
        <v>238</v>
      </c>
      <c r="B336" s="143" t="s">
        <v>361</v>
      </c>
      <c r="C336" s="145">
        <v>45882</v>
      </c>
      <c r="D336" s="143" t="s">
        <v>680</v>
      </c>
      <c r="E336" s="146" t="s">
        <v>447</v>
      </c>
      <c r="F336" s="147">
        <v>-155</v>
      </c>
      <c r="G336" s="147">
        <v>101</v>
      </c>
      <c r="H336" s="148">
        <v>-104</v>
      </c>
      <c r="I336" s="143">
        <v>-118</v>
      </c>
      <c r="J336" s="143">
        <v>1</v>
      </c>
      <c r="K336" s="149" t="s">
        <v>350</v>
      </c>
      <c r="L336" s="150">
        <f t="shared" si="62"/>
        <v>1.0099999999999998</v>
      </c>
      <c r="M336" s="150">
        <f t="shared" si="63"/>
        <v>0.96153846153846168</v>
      </c>
      <c r="N336" s="151">
        <f t="shared" si="64"/>
        <v>2.470588235294097E-2</v>
      </c>
      <c r="O336" s="151">
        <f t="shared" si="65"/>
        <v>0.12281832123573372</v>
      </c>
      <c r="P336" s="151">
        <f t="shared" si="66"/>
        <v>0.60784313725490191</v>
      </c>
      <c r="Q336" s="151">
        <f t="shared" si="67"/>
        <v>0.48502481601916819</v>
      </c>
      <c r="R336" s="150">
        <f t="shared" si="68"/>
        <v>2.0099999999999998</v>
      </c>
      <c r="S336" s="150">
        <f t="shared" si="69"/>
        <v>1.9615384615384617</v>
      </c>
      <c r="T336" s="150">
        <f t="shared" si="70"/>
        <v>1.847457627118644</v>
      </c>
      <c r="U336" s="152">
        <f t="shared" si="61"/>
        <v>1.0099999999999998</v>
      </c>
      <c r="V336" s="143"/>
      <c r="W336" s="102">
        <f t="shared" si="71"/>
        <v>1</v>
      </c>
      <c r="X336" s="153">
        <f t="shared" si="72"/>
        <v>1.0099999999999998</v>
      </c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</row>
    <row r="337" spans="1:39">
      <c r="A337" s="143" t="s">
        <v>238</v>
      </c>
      <c r="B337" s="143" t="s">
        <v>361</v>
      </c>
      <c r="C337" s="145">
        <v>45882</v>
      </c>
      <c r="D337" s="143" t="s">
        <v>679</v>
      </c>
      <c r="E337" s="146" t="s">
        <v>492</v>
      </c>
      <c r="F337" s="147">
        <v>-217</v>
      </c>
      <c r="G337" s="147">
        <v>104</v>
      </c>
      <c r="H337" s="148">
        <v>-100</v>
      </c>
      <c r="I337" s="143">
        <v>-114</v>
      </c>
      <c r="J337" s="143">
        <v>1</v>
      </c>
      <c r="K337" s="149" t="s">
        <v>351</v>
      </c>
      <c r="L337" s="150">
        <f t="shared" si="62"/>
        <v>0</v>
      </c>
      <c r="M337" s="150">
        <f t="shared" si="63"/>
        <v>0</v>
      </c>
      <c r="N337" s="151">
        <f t="shared" si="64"/>
        <v>2.0000000000000042E-2</v>
      </c>
      <c r="O337" s="151">
        <f t="shared" si="65"/>
        <v>0.2003796908231868</v>
      </c>
      <c r="P337" s="151">
        <f t="shared" si="66"/>
        <v>0.68454258675078861</v>
      </c>
      <c r="Q337" s="151">
        <f t="shared" si="67"/>
        <v>0.48416289592760181</v>
      </c>
      <c r="R337" s="150">
        <f t="shared" si="68"/>
        <v>2.04</v>
      </c>
      <c r="S337" s="150">
        <f t="shared" si="69"/>
        <v>2</v>
      </c>
      <c r="T337" s="150">
        <f t="shared" si="70"/>
        <v>1.8771929824561404</v>
      </c>
      <c r="U337" s="152">
        <f t="shared" si="61"/>
        <v>0</v>
      </c>
      <c r="V337" s="143"/>
      <c r="W337" s="102">
        <f t="shared" si="71"/>
        <v>2</v>
      </c>
      <c r="X337" s="153">
        <f t="shared" si="72"/>
        <v>0</v>
      </c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</row>
    <row r="338" spans="1:39">
      <c r="A338" s="143" t="s">
        <v>238</v>
      </c>
      <c r="B338" s="143" t="s">
        <v>361</v>
      </c>
      <c r="C338" s="145">
        <v>45882</v>
      </c>
      <c r="D338" s="143" t="s">
        <v>683</v>
      </c>
      <c r="E338" s="146" t="s">
        <v>458</v>
      </c>
      <c r="F338" s="147">
        <v>-180</v>
      </c>
      <c r="G338" s="147">
        <v>-105</v>
      </c>
      <c r="H338" s="148">
        <v>-148</v>
      </c>
      <c r="I338" s="143">
        <v>124</v>
      </c>
      <c r="J338" s="143">
        <v>1</v>
      </c>
      <c r="K338" s="149" t="s">
        <v>350</v>
      </c>
      <c r="L338" s="150">
        <f t="shared" si="62"/>
        <v>0.95238095238095233</v>
      </c>
      <c r="M338" s="150">
        <f t="shared" si="63"/>
        <v>0.67567567567567566</v>
      </c>
      <c r="N338" s="151">
        <f t="shared" si="64"/>
        <v>0.16513056835637482</v>
      </c>
      <c r="O338" s="151">
        <f t="shared" si="65"/>
        <v>7.0797507296679107E-2</v>
      </c>
      <c r="P338" s="151">
        <f t="shared" si="66"/>
        <v>0.6428571428571429</v>
      </c>
      <c r="Q338" s="151">
        <f t="shared" si="67"/>
        <v>0.5720596355604638</v>
      </c>
      <c r="R338" s="150">
        <f t="shared" si="68"/>
        <v>1.9523809523809523</v>
      </c>
      <c r="S338" s="150">
        <f t="shared" si="69"/>
        <v>1.6756756756756757</v>
      </c>
      <c r="T338" s="150">
        <f t="shared" si="70"/>
        <v>2.2400000000000002</v>
      </c>
      <c r="U338" s="152">
        <f t="shared" si="61"/>
        <v>0.95238095238095233</v>
      </c>
      <c r="V338" s="143"/>
      <c r="W338" s="102">
        <f t="shared" si="71"/>
        <v>1</v>
      </c>
      <c r="X338" s="153">
        <f t="shared" si="72"/>
        <v>0.95238095238095233</v>
      </c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</row>
    <row r="339" spans="1:39">
      <c r="A339" s="143" t="s">
        <v>238</v>
      </c>
      <c r="B339" s="143" t="s">
        <v>361</v>
      </c>
      <c r="C339" s="145">
        <v>45883</v>
      </c>
      <c r="D339" s="143" t="s">
        <v>680</v>
      </c>
      <c r="E339" s="146" t="s">
        <v>447</v>
      </c>
      <c r="F339" s="147">
        <v>-137</v>
      </c>
      <c r="G339" s="147">
        <v>106</v>
      </c>
      <c r="H339" s="148">
        <v>-116</v>
      </c>
      <c r="I339" s="143">
        <v>-102</v>
      </c>
      <c r="J339" s="143">
        <v>1</v>
      </c>
      <c r="K339" s="149" t="s">
        <v>311</v>
      </c>
      <c r="L339" s="150">
        <f t="shared" si="62"/>
        <v>-1</v>
      </c>
      <c r="M339" s="150">
        <f t="shared" si="63"/>
        <v>-1</v>
      </c>
      <c r="N339" s="151">
        <f t="shared" si="64"/>
        <v>0.10629629629629639</v>
      </c>
      <c r="O339" s="151">
        <f t="shared" si="65"/>
        <v>6.2662274263830864E-2</v>
      </c>
      <c r="P339" s="151">
        <f t="shared" si="66"/>
        <v>0.57805907172995785</v>
      </c>
      <c r="Q339" s="151">
        <f t="shared" si="67"/>
        <v>0.51539679746612699</v>
      </c>
      <c r="R339" s="150">
        <f t="shared" si="68"/>
        <v>2.06</v>
      </c>
      <c r="S339" s="150">
        <f t="shared" si="69"/>
        <v>1.8620689655172413</v>
      </c>
      <c r="T339" s="150">
        <f t="shared" si="70"/>
        <v>1.9803921568627452</v>
      </c>
      <c r="U339" s="152">
        <f t="shared" si="61"/>
        <v>-1</v>
      </c>
      <c r="V339" s="143"/>
      <c r="W339" s="102">
        <f t="shared" si="71"/>
        <v>0</v>
      </c>
      <c r="X339" s="153">
        <f t="shared" si="72"/>
        <v>-1</v>
      </c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</row>
    <row r="340" spans="1:39">
      <c r="A340" s="143" t="s">
        <v>238</v>
      </c>
      <c r="B340" s="143" t="s">
        <v>361</v>
      </c>
      <c r="C340" s="145">
        <v>45883</v>
      </c>
      <c r="D340" s="143" t="s">
        <v>684</v>
      </c>
      <c r="E340" s="146" t="s">
        <v>413</v>
      </c>
      <c r="F340" s="147">
        <v>-116</v>
      </c>
      <c r="G340" s="147">
        <v>159</v>
      </c>
      <c r="H340" s="148">
        <v>151</v>
      </c>
      <c r="I340" s="143">
        <v>-175</v>
      </c>
      <c r="J340" s="143">
        <v>1</v>
      </c>
      <c r="K340" s="149" t="s">
        <v>311</v>
      </c>
      <c r="L340" s="150">
        <f t="shared" si="62"/>
        <v>-1</v>
      </c>
      <c r="M340" s="150">
        <f t="shared" si="63"/>
        <v>-1</v>
      </c>
      <c r="N340" s="151">
        <f t="shared" si="64"/>
        <v>3.1872509960159438E-2</v>
      </c>
      <c r="O340" s="151">
        <f t="shared" si="65"/>
        <v>0.1520177860744889</v>
      </c>
      <c r="P340" s="151">
        <f t="shared" si="66"/>
        <v>0.53703703703703709</v>
      </c>
      <c r="Q340" s="151">
        <f t="shared" si="67"/>
        <v>0.38501925096254819</v>
      </c>
      <c r="R340" s="150">
        <f t="shared" si="68"/>
        <v>2.59</v>
      </c>
      <c r="S340" s="150">
        <f t="shared" si="69"/>
        <v>2.5099999999999998</v>
      </c>
      <c r="T340" s="150">
        <f t="shared" si="70"/>
        <v>1.5714285714285714</v>
      </c>
      <c r="U340" s="152">
        <f t="shared" si="61"/>
        <v>-1</v>
      </c>
      <c r="V340" s="143"/>
      <c r="W340" s="102">
        <f t="shared" si="71"/>
        <v>0</v>
      </c>
      <c r="X340" s="153">
        <f t="shared" si="72"/>
        <v>-1</v>
      </c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</row>
    <row r="341" spans="1:39">
      <c r="A341" s="143" t="s">
        <v>238</v>
      </c>
      <c r="B341" s="143" t="s">
        <v>361</v>
      </c>
      <c r="C341" s="145">
        <v>45884</v>
      </c>
      <c r="D341" s="143" t="s">
        <v>530</v>
      </c>
      <c r="E341" s="146" t="s">
        <v>389</v>
      </c>
      <c r="F341" s="147">
        <v>-223</v>
      </c>
      <c r="G341" s="147">
        <v>-173</v>
      </c>
      <c r="H341" s="148">
        <v>-192</v>
      </c>
      <c r="I341" s="143">
        <v>164</v>
      </c>
      <c r="J341" s="143">
        <v>1</v>
      </c>
      <c r="K341" s="149" t="s">
        <v>311</v>
      </c>
      <c r="L341" s="150">
        <f t="shared" si="62"/>
        <v>-1</v>
      </c>
      <c r="M341" s="150">
        <f t="shared" si="63"/>
        <v>-1</v>
      </c>
      <c r="N341" s="151">
        <f t="shared" si="64"/>
        <v>3.761184575184081E-2</v>
      </c>
      <c r="O341" s="151">
        <f t="shared" si="65"/>
        <v>5.5914193183149941E-2</v>
      </c>
      <c r="P341" s="151">
        <f t="shared" si="66"/>
        <v>0.69040247678018574</v>
      </c>
      <c r="Q341" s="151">
        <f t="shared" si="67"/>
        <v>0.6344882835970358</v>
      </c>
      <c r="R341" s="150">
        <f t="shared" si="68"/>
        <v>1.5780346820809248</v>
      </c>
      <c r="S341" s="150">
        <f t="shared" si="69"/>
        <v>1.5208333333333335</v>
      </c>
      <c r="T341" s="150">
        <f t="shared" si="70"/>
        <v>2.6399999999999997</v>
      </c>
      <c r="U341" s="152">
        <f t="shared" si="61"/>
        <v>-1</v>
      </c>
      <c r="V341" s="143"/>
      <c r="W341" s="102">
        <f t="shared" si="71"/>
        <v>0</v>
      </c>
      <c r="X341" s="153">
        <f t="shared" si="72"/>
        <v>-1</v>
      </c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</row>
    <row r="342" spans="1:39">
      <c r="A342" s="143" t="s">
        <v>238</v>
      </c>
      <c r="B342" s="143" t="s">
        <v>361</v>
      </c>
      <c r="C342" s="145">
        <v>45885</v>
      </c>
      <c r="D342" s="143" t="s">
        <v>530</v>
      </c>
      <c r="E342" s="146" t="s">
        <v>389</v>
      </c>
      <c r="F342" s="147">
        <v>-239</v>
      </c>
      <c r="G342" s="147">
        <v>-169</v>
      </c>
      <c r="H342" s="148">
        <v>-161</v>
      </c>
      <c r="I342" s="143">
        <v>139</v>
      </c>
      <c r="J342" s="143">
        <v>1</v>
      </c>
      <c r="K342" s="149" t="s">
        <v>350</v>
      </c>
      <c r="L342" s="150">
        <f t="shared" si="62"/>
        <v>0.59171597633136086</v>
      </c>
      <c r="M342" s="150">
        <f t="shared" si="63"/>
        <v>0.62111801242236009</v>
      </c>
      <c r="N342" s="151">
        <f t="shared" si="64"/>
        <v>-1.8136888163413245E-2</v>
      </c>
      <c r="O342" s="151">
        <f t="shared" si="65"/>
        <v>0.10917089909452549</v>
      </c>
      <c r="P342" s="151">
        <f t="shared" si="66"/>
        <v>0.70501474926253682</v>
      </c>
      <c r="Q342" s="151">
        <f t="shared" si="67"/>
        <v>0.59584385016801134</v>
      </c>
      <c r="R342" s="150">
        <f t="shared" si="68"/>
        <v>1.5917159763313609</v>
      </c>
      <c r="S342" s="150">
        <f t="shared" si="69"/>
        <v>1.6211180124223601</v>
      </c>
      <c r="T342" s="150">
        <f t="shared" si="70"/>
        <v>2.3899999999999997</v>
      </c>
      <c r="U342" s="152">
        <f t="shared" si="61"/>
        <v>0.59171597633136086</v>
      </c>
      <c r="V342" s="143"/>
      <c r="W342" s="102">
        <f t="shared" si="71"/>
        <v>1</v>
      </c>
      <c r="X342" s="153">
        <f t="shared" si="72"/>
        <v>0.59171597633136086</v>
      </c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</row>
    <row r="343" spans="1:39">
      <c r="A343" s="143" t="s">
        <v>238</v>
      </c>
      <c r="B343" s="143" t="s">
        <v>361</v>
      </c>
      <c r="C343" s="145">
        <v>45885</v>
      </c>
      <c r="D343" s="143" t="s">
        <v>685</v>
      </c>
      <c r="E343" s="146" t="s">
        <v>644</v>
      </c>
      <c r="F343" s="147">
        <v>-174</v>
      </c>
      <c r="G343" s="147">
        <v>-122</v>
      </c>
      <c r="H343" s="148">
        <v>-105</v>
      </c>
      <c r="I343" s="143">
        <v>-109</v>
      </c>
      <c r="J343" s="143">
        <v>1</v>
      </c>
      <c r="K343" s="149" t="s">
        <v>350</v>
      </c>
      <c r="L343" s="150">
        <f t="shared" si="62"/>
        <v>0.81967213114754101</v>
      </c>
      <c r="M343" s="150">
        <f t="shared" si="63"/>
        <v>0.95238095238095233</v>
      </c>
      <c r="N343" s="151">
        <f t="shared" si="64"/>
        <v>-6.7972810875649617E-2</v>
      </c>
      <c r="O343" s="151">
        <f t="shared" si="65"/>
        <v>0.13955218838016847</v>
      </c>
      <c r="P343" s="151">
        <f t="shared" si="66"/>
        <v>0.63503649635036497</v>
      </c>
      <c r="Q343" s="151">
        <f t="shared" si="67"/>
        <v>0.49548430797019649</v>
      </c>
      <c r="R343" s="150">
        <f t="shared" si="68"/>
        <v>1.819672131147541</v>
      </c>
      <c r="S343" s="150">
        <f t="shared" si="69"/>
        <v>1.9523809523809523</v>
      </c>
      <c r="T343" s="150">
        <f t="shared" si="70"/>
        <v>1.9174311926605505</v>
      </c>
      <c r="U343" s="152">
        <f t="shared" si="61"/>
        <v>0.81967213114754101</v>
      </c>
      <c r="V343" s="143"/>
      <c r="W343" s="102">
        <f t="shared" si="71"/>
        <v>1</v>
      </c>
      <c r="X343" s="153">
        <f t="shared" si="72"/>
        <v>0.81967213114754101</v>
      </c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</row>
    <row r="344" spans="1:39">
      <c r="A344" s="143" t="s">
        <v>238</v>
      </c>
      <c r="B344" s="143" t="s">
        <v>361</v>
      </c>
      <c r="C344" s="145">
        <v>45885</v>
      </c>
      <c r="D344" s="143" t="s">
        <v>686</v>
      </c>
      <c r="E344" s="146" t="s">
        <v>458</v>
      </c>
      <c r="F344" s="147">
        <v>-164</v>
      </c>
      <c r="G344" s="147">
        <v>101</v>
      </c>
      <c r="H344" s="148">
        <v>-115</v>
      </c>
      <c r="I344" s="143">
        <v>-104</v>
      </c>
      <c r="J344" s="143">
        <v>1</v>
      </c>
      <c r="K344" s="149" t="s">
        <v>311</v>
      </c>
      <c r="L344" s="150">
        <f t="shared" si="62"/>
        <v>-1</v>
      </c>
      <c r="M344" s="150">
        <f t="shared" si="63"/>
        <v>-1</v>
      </c>
      <c r="N344" s="151">
        <f t="shared" si="64"/>
        <v>7.5116279069767422E-2</v>
      </c>
      <c r="O344" s="151">
        <f t="shared" si="65"/>
        <v>0.10920862928719755</v>
      </c>
      <c r="P344" s="151">
        <f t="shared" si="66"/>
        <v>0.62121212121212122</v>
      </c>
      <c r="Q344" s="151">
        <f t="shared" si="67"/>
        <v>0.51200349192492367</v>
      </c>
      <c r="R344" s="150">
        <f t="shared" si="68"/>
        <v>2.0099999999999998</v>
      </c>
      <c r="S344" s="150">
        <f t="shared" si="69"/>
        <v>1.8695652173913042</v>
      </c>
      <c r="T344" s="150">
        <f t="shared" si="70"/>
        <v>1.9615384615384617</v>
      </c>
      <c r="U344" s="152">
        <f t="shared" si="61"/>
        <v>-1</v>
      </c>
      <c r="V344" s="143"/>
      <c r="W344" s="102">
        <f t="shared" si="71"/>
        <v>0</v>
      </c>
      <c r="X344" s="153">
        <f t="shared" si="72"/>
        <v>-1</v>
      </c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</row>
    <row r="345" spans="1:39">
      <c r="A345" s="143" t="s">
        <v>238</v>
      </c>
      <c r="B345" s="143" t="s">
        <v>361</v>
      </c>
      <c r="C345" s="145">
        <v>45886</v>
      </c>
      <c r="D345" s="143" t="s">
        <v>687</v>
      </c>
      <c r="E345" s="146" t="s">
        <v>525</v>
      </c>
      <c r="F345" s="147">
        <v>-126</v>
      </c>
      <c r="G345" s="147">
        <v>116</v>
      </c>
      <c r="H345" s="148">
        <v>-109</v>
      </c>
      <c r="I345" s="143">
        <v>-105</v>
      </c>
      <c r="J345" s="143">
        <v>1</v>
      </c>
      <c r="K345" s="149" t="s">
        <v>350</v>
      </c>
      <c r="L345" s="150">
        <f t="shared" si="62"/>
        <v>1.1600000000000001</v>
      </c>
      <c r="M345" s="150">
        <f t="shared" si="63"/>
        <v>0.91743119266055051</v>
      </c>
      <c r="N345" s="151">
        <f t="shared" si="64"/>
        <v>0.12650717703349285</v>
      </c>
      <c r="O345" s="151">
        <f t="shared" si="65"/>
        <v>5.300643186400178E-2</v>
      </c>
      <c r="P345" s="151">
        <f t="shared" si="66"/>
        <v>0.55752212389380529</v>
      </c>
      <c r="Q345" s="151">
        <f t="shared" si="67"/>
        <v>0.50451569202980351</v>
      </c>
      <c r="R345" s="150">
        <f t="shared" si="68"/>
        <v>2.16</v>
      </c>
      <c r="S345" s="150">
        <f t="shared" si="69"/>
        <v>1.9174311926605505</v>
      </c>
      <c r="T345" s="150">
        <f t="shared" si="70"/>
        <v>1.9523809523809523</v>
      </c>
      <c r="U345" s="152">
        <f t="shared" si="61"/>
        <v>1.1600000000000001</v>
      </c>
      <c r="V345" s="143"/>
      <c r="W345" s="102">
        <f t="shared" si="71"/>
        <v>1</v>
      </c>
      <c r="X345" s="153">
        <f t="shared" si="72"/>
        <v>1.1600000000000001</v>
      </c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</row>
    <row r="346" spans="1:39">
      <c r="A346" s="143" t="s">
        <v>238</v>
      </c>
      <c r="B346" s="143" t="s">
        <v>361</v>
      </c>
      <c r="C346" s="145">
        <v>45886</v>
      </c>
      <c r="D346" s="143" t="s">
        <v>688</v>
      </c>
      <c r="E346" s="146" t="s">
        <v>447</v>
      </c>
      <c r="F346" s="147">
        <v>117</v>
      </c>
      <c r="G346" s="147">
        <v>214</v>
      </c>
      <c r="H346" s="148">
        <v>221</v>
      </c>
      <c r="I346" s="143">
        <v>-268</v>
      </c>
      <c r="J346" s="143">
        <v>1</v>
      </c>
      <c r="K346" s="149" t="s">
        <v>311</v>
      </c>
      <c r="L346" s="150">
        <f t="shared" si="62"/>
        <v>-1</v>
      </c>
      <c r="M346" s="150">
        <f t="shared" si="63"/>
        <v>-1</v>
      </c>
      <c r="N346" s="151">
        <f t="shared" si="64"/>
        <v>-2.1806853582554537E-2</v>
      </c>
      <c r="O346" s="151">
        <f t="shared" si="65"/>
        <v>0.16122354004753414</v>
      </c>
      <c r="P346" s="151">
        <f t="shared" si="66"/>
        <v>0.46082949308755761</v>
      </c>
      <c r="Q346" s="151">
        <f t="shared" si="67"/>
        <v>0.29960595304002346</v>
      </c>
      <c r="R346" s="150">
        <f t="shared" si="68"/>
        <v>3.14</v>
      </c>
      <c r="S346" s="150">
        <f t="shared" si="69"/>
        <v>3.21</v>
      </c>
      <c r="T346" s="150">
        <f t="shared" si="70"/>
        <v>1.3731343283582089</v>
      </c>
      <c r="U346" s="152">
        <f t="shared" si="61"/>
        <v>-1</v>
      </c>
      <c r="V346" s="143"/>
      <c r="W346" s="102">
        <f t="shared" si="71"/>
        <v>0</v>
      </c>
      <c r="X346" s="153">
        <f t="shared" si="72"/>
        <v>-1</v>
      </c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</row>
    <row r="347" spans="1:39">
      <c r="A347" s="143" t="s">
        <v>238</v>
      </c>
      <c r="B347" s="143" t="s">
        <v>361</v>
      </c>
      <c r="C347" s="145">
        <v>45886</v>
      </c>
      <c r="D347" s="143" t="s">
        <v>686</v>
      </c>
      <c r="E347" s="146" t="s">
        <v>458</v>
      </c>
      <c r="F347" s="147">
        <v>-119</v>
      </c>
      <c r="G347" s="147">
        <v>132</v>
      </c>
      <c r="H347" s="148">
        <v>125</v>
      </c>
      <c r="I347" s="143">
        <v>-144</v>
      </c>
      <c r="J347" s="143">
        <v>1</v>
      </c>
      <c r="K347" s="149" t="s">
        <v>351</v>
      </c>
      <c r="L347" s="150">
        <f t="shared" si="62"/>
        <v>0</v>
      </c>
      <c r="M347" s="150">
        <f t="shared" si="63"/>
        <v>0</v>
      </c>
      <c r="N347" s="151">
        <f t="shared" si="64"/>
        <v>3.1111111111111117E-2</v>
      </c>
      <c r="O347" s="151">
        <f t="shared" si="65"/>
        <v>0.1138015306450576</v>
      </c>
      <c r="P347" s="151">
        <f t="shared" si="66"/>
        <v>0.54337899543378998</v>
      </c>
      <c r="Q347" s="151">
        <f t="shared" si="67"/>
        <v>0.42957746478873238</v>
      </c>
      <c r="R347" s="150">
        <f t="shared" si="68"/>
        <v>2.3200000000000003</v>
      </c>
      <c r="S347" s="150">
        <f t="shared" si="69"/>
        <v>2.25</v>
      </c>
      <c r="T347" s="150">
        <f t="shared" si="70"/>
        <v>1.6944444444444444</v>
      </c>
      <c r="U347" s="152">
        <f t="shared" si="61"/>
        <v>0</v>
      </c>
      <c r="V347" s="143"/>
      <c r="W347" s="102">
        <f t="shared" si="71"/>
        <v>2</v>
      </c>
      <c r="X347" s="153">
        <f t="shared" si="72"/>
        <v>0</v>
      </c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</row>
    <row r="348" spans="1:39">
      <c r="A348" s="143" t="s">
        <v>238</v>
      </c>
      <c r="B348" s="143" t="s">
        <v>361</v>
      </c>
      <c r="C348" s="145">
        <v>45887</v>
      </c>
      <c r="D348" s="143" t="s">
        <v>442</v>
      </c>
      <c r="E348" s="146" t="s">
        <v>689</v>
      </c>
      <c r="F348" s="147">
        <v>-168</v>
      </c>
      <c r="G348" s="147">
        <v>-108</v>
      </c>
      <c r="H348" s="148">
        <v>-111</v>
      </c>
      <c r="I348" s="143">
        <v>-103</v>
      </c>
      <c r="J348" s="143">
        <v>1</v>
      </c>
      <c r="K348" s="149" t="s">
        <v>350</v>
      </c>
      <c r="L348" s="150">
        <f t="shared" si="62"/>
        <v>0.92592592592592604</v>
      </c>
      <c r="M348" s="150">
        <f t="shared" si="63"/>
        <v>0.90090090090090102</v>
      </c>
      <c r="N348" s="151">
        <f t="shared" si="64"/>
        <v>1.3164823591363993E-2</v>
      </c>
      <c r="O348" s="151">
        <f t="shared" si="65"/>
        <v>0.11782939097491363</v>
      </c>
      <c r="P348" s="151">
        <f t="shared" si="66"/>
        <v>0.62686567164179108</v>
      </c>
      <c r="Q348" s="151">
        <f t="shared" si="67"/>
        <v>0.50903628066687745</v>
      </c>
      <c r="R348" s="150">
        <f t="shared" si="68"/>
        <v>1.925925925925926</v>
      </c>
      <c r="S348" s="150">
        <f t="shared" si="69"/>
        <v>1.900900900900901</v>
      </c>
      <c r="T348" s="150">
        <f t="shared" si="70"/>
        <v>1.970873786407767</v>
      </c>
      <c r="U348" s="152">
        <f t="shared" si="61"/>
        <v>0.92592592592592604</v>
      </c>
      <c r="V348" s="143"/>
      <c r="W348" s="102">
        <f t="shared" si="71"/>
        <v>1</v>
      </c>
      <c r="X348" s="153">
        <f t="shared" si="72"/>
        <v>0.92592592592592604</v>
      </c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</row>
    <row r="349" spans="1:39">
      <c r="A349" s="143" t="s">
        <v>238</v>
      </c>
      <c r="B349" s="143" t="s">
        <v>363</v>
      </c>
      <c r="C349" s="145">
        <v>45887</v>
      </c>
      <c r="D349" s="143" t="s">
        <v>690</v>
      </c>
      <c r="E349" s="146" t="s">
        <v>691</v>
      </c>
      <c r="F349" s="147">
        <v>-196</v>
      </c>
      <c r="G349" s="147">
        <v>-136</v>
      </c>
      <c r="H349" s="148">
        <v>-134</v>
      </c>
      <c r="I349" s="143">
        <v>115</v>
      </c>
      <c r="J349" s="143">
        <v>1</v>
      </c>
      <c r="K349" s="149" t="s">
        <v>350</v>
      </c>
      <c r="L349" s="150">
        <f t="shared" si="62"/>
        <v>0.73529411764705888</v>
      </c>
      <c r="M349" s="150">
        <f t="shared" si="63"/>
        <v>0.74626865671641784</v>
      </c>
      <c r="N349" s="151">
        <f t="shared" si="64"/>
        <v>-6.2845651080944221E-3</v>
      </c>
      <c r="O349" s="151">
        <f t="shared" si="65"/>
        <v>0.11035216407750403</v>
      </c>
      <c r="P349" s="151">
        <f t="shared" si="66"/>
        <v>0.66216216216216217</v>
      </c>
      <c r="Q349" s="151">
        <f t="shared" si="67"/>
        <v>0.55180999808465814</v>
      </c>
      <c r="R349" s="150">
        <f t="shared" si="68"/>
        <v>1.7352941176470589</v>
      </c>
      <c r="S349" s="150">
        <f t="shared" si="69"/>
        <v>1.7462686567164178</v>
      </c>
      <c r="T349" s="150">
        <f t="shared" si="70"/>
        <v>2.15</v>
      </c>
      <c r="U349" s="152">
        <f t="shared" si="61"/>
        <v>0.73529411764705888</v>
      </c>
      <c r="V349" s="143"/>
      <c r="W349" s="102">
        <f t="shared" si="71"/>
        <v>1</v>
      </c>
      <c r="X349" s="102" t="str">
        <f t="shared" si="72"/>
        <v/>
      </c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</row>
    <row r="350" spans="1:39">
      <c r="A350" s="143" t="s">
        <v>238</v>
      </c>
      <c r="B350" s="143" t="s">
        <v>361</v>
      </c>
      <c r="C350" s="145">
        <v>45887</v>
      </c>
      <c r="D350" s="143" t="s">
        <v>692</v>
      </c>
      <c r="E350" s="146" t="s">
        <v>559</v>
      </c>
      <c r="F350" s="147">
        <v>-163</v>
      </c>
      <c r="G350" s="147">
        <v>111</v>
      </c>
      <c r="H350" s="148">
        <v>107</v>
      </c>
      <c r="I350" s="143">
        <v>-123</v>
      </c>
      <c r="J350" s="143">
        <v>1</v>
      </c>
      <c r="K350" s="149" t="s">
        <v>350</v>
      </c>
      <c r="L350" s="150">
        <f t="shared" si="62"/>
        <v>1.1100000000000003</v>
      </c>
      <c r="M350" s="150">
        <f t="shared" si="63"/>
        <v>1.0700000000000003</v>
      </c>
      <c r="N350" s="151">
        <f t="shared" si="64"/>
        <v>1.9323671497584485E-2</v>
      </c>
      <c r="O350" s="151">
        <f t="shared" si="65"/>
        <v>0.1528637163035243</v>
      </c>
      <c r="P350" s="151">
        <f t="shared" si="66"/>
        <v>0.61977186311787069</v>
      </c>
      <c r="Q350" s="151">
        <f t="shared" si="67"/>
        <v>0.46690814681434639</v>
      </c>
      <c r="R350" s="150">
        <f t="shared" si="68"/>
        <v>2.1100000000000003</v>
      </c>
      <c r="S350" s="150">
        <f t="shared" si="69"/>
        <v>2.0700000000000003</v>
      </c>
      <c r="T350" s="150">
        <f t="shared" si="70"/>
        <v>1.8130081300813008</v>
      </c>
      <c r="U350" s="152">
        <f t="shared" si="61"/>
        <v>1.1100000000000003</v>
      </c>
      <c r="V350" s="143"/>
      <c r="W350" s="102">
        <f t="shared" si="71"/>
        <v>1</v>
      </c>
      <c r="X350" s="153">
        <f t="shared" si="72"/>
        <v>1.1100000000000003</v>
      </c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</row>
    <row r="351" spans="1:39">
      <c r="A351" s="143" t="s">
        <v>238</v>
      </c>
      <c r="B351" s="143" t="s">
        <v>363</v>
      </c>
      <c r="C351" s="145">
        <v>45888</v>
      </c>
      <c r="D351" s="143" t="s">
        <v>442</v>
      </c>
      <c r="E351" s="146" t="s">
        <v>607</v>
      </c>
      <c r="F351" s="147">
        <v>-208</v>
      </c>
      <c r="G351" s="147">
        <v>-132</v>
      </c>
      <c r="H351" s="148">
        <v>-122</v>
      </c>
      <c r="I351" s="143">
        <v>104</v>
      </c>
      <c r="J351" s="143">
        <v>1</v>
      </c>
      <c r="K351" s="149" t="s">
        <v>350</v>
      </c>
      <c r="L351" s="150">
        <f t="shared" si="62"/>
        <v>0.75757575757575757</v>
      </c>
      <c r="M351" s="150">
        <f t="shared" si="63"/>
        <v>0.81967213114754101</v>
      </c>
      <c r="N351" s="151">
        <f t="shared" si="64"/>
        <v>-3.412503412503428E-2</v>
      </c>
      <c r="O351" s="151">
        <f t="shared" si="65"/>
        <v>0.14678237155301377</v>
      </c>
      <c r="P351" s="151">
        <f t="shared" si="66"/>
        <v>0.67532467532467533</v>
      </c>
      <c r="Q351" s="151">
        <f t="shared" si="67"/>
        <v>0.52854230377166156</v>
      </c>
      <c r="R351" s="150">
        <f t="shared" si="68"/>
        <v>1.7575757575757576</v>
      </c>
      <c r="S351" s="150">
        <f t="shared" si="69"/>
        <v>1.819672131147541</v>
      </c>
      <c r="T351" s="150">
        <f t="shared" si="70"/>
        <v>2.04</v>
      </c>
      <c r="U351" s="152">
        <f t="shared" si="61"/>
        <v>0.75757575757575757</v>
      </c>
      <c r="V351" s="143"/>
      <c r="W351" s="102">
        <f t="shared" si="71"/>
        <v>1</v>
      </c>
      <c r="X351" s="102" t="str">
        <f t="shared" si="72"/>
        <v/>
      </c>
      <c r="Y351" s="102"/>
      <c r="Z351" s="102"/>
      <c r="AA351" s="102"/>
      <c r="AB351" s="102"/>
      <c r="AC351" s="102"/>
      <c r="AD351" s="102"/>
      <c r="AE351" s="102"/>
      <c r="AF351" s="102"/>
      <c r="AG351" s="102"/>
      <c r="AH351" s="102"/>
      <c r="AI351" s="102"/>
      <c r="AJ351" s="102"/>
      <c r="AK351" s="102"/>
      <c r="AL351" s="102"/>
      <c r="AM351" s="102"/>
    </row>
    <row r="352" spans="1:39">
      <c r="A352" s="143" t="s">
        <v>238</v>
      </c>
      <c r="B352" s="143" t="s">
        <v>361</v>
      </c>
      <c r="C352" s="145">
        <v>45888</v>
      </c>
      <c r="D352" s="143" t="s">
        <v>693</v>
      </c>
      <c r="E352" s="146" t="s">
        <v>454</v>
      </c>
      <c r="F352" s="147">
        <v>-117</v>
      </c>
      <c r="G352" s="147">
        <v>134</v>
      </c>
      <c r="H352" s="148">
        <v>132</v>
      </c>
      <c r="I352" s="143">
        <v>-153</v>
      </c>
      <c r="J352" s="143">
        <v>1</v>
      </c>
      <c r="K352" s="149" t="s">
        <v>350</v>
      </c>
      <c r="L352" s="150">
        <f t="shared" si="62"/>
        <v>1.3399999999999999</v>
      </c>
      <c r="M352" s="150">
        <f t="shared" si="63"/>
        <v>1.3200000000000003</v>
      </c>
      <c r="N352" s="151">
        <f t="shared" si="64"/>
        <v>8.6206896551722662E-3</v>
      </c>
      <c r="O352" s="151">
        <f t="shared" si="65"/>
        <v>0.12302470784671438</v>
      </c>
      <c r="P352" s="151">
        <f t="shared" si="66"/>
        <v>0.53917050691244239</v>
      </c>
      <c r="Q352" s="151">
        <f t="shared" si="67"/>
        <v>0.41614579906572802</v>
      </c>
      <c r="R352" s="150">
        <f t="shared" si="68"/>
        <v>2.34</v>
      </c>
      <c r="S352" s="150">
        <f t="shared" si="69"/>
        <v>2.3200000000000003</v>
      </c>
      <c r="T352" s="150">
        <f t="shared" si="70"/>
        <v>1.65359477124183</v>
      </c>
      <c r="U352" s="152">
        <f t="shared" si="61"/>
        <v>1.3399999999999999</v>
      </c>
      <c r="V352" s="143"/>
      <c r="W352" s="102">
        <f t="shared" si="71"/>
        <v>1</v>
      </c>
      <c r="X352" s="153">
        <f t="shared" si="72"/>
        <v>1.3399999999999999</v>
      </c>
      <c r="Y352" s="102"/>
      <c r="Z352" s="102"/>
      <c r="AA352" s="102"/>
      <c r="AB352" s="102"/>
      <c r="AC352" s="102"/>
      <c r="AD352" s="102"/>
      <c r="AE352" s="102"/>
      <c r="AF352" s="102"/>
      <c r="AG352" s="102"/>
      <c r="AH352" s="102"/>
      <c r="AI352" s="102"/>
      <c r="AJ352" s="102"/>
      <c r="AK352" s="102"/>
      <c r="AL352" s="102"/>
      <c r="AM352" s="102"/>
    </row>
    <row r="353" spans="1:39">
      <c r="A353" s="143" t="s">
        <v>238</v>
      </c>
      <c r="B353" s="143" t="s">
        <v>363</v>
      </c>
      <c r="C353" s="145">
        <v>45888</v>
      </c>
      <c r="D353" s="143" t="s">
        <v>694</v>
      </c>
      <c r="E353" s="146" t="s">
        <v>695</v>
      </c>
      <c r="F353" s="147">
        <v>-258</v>
      </c>
      <c r="G353" s="147">
        <v>-173</v>
      </c>
      <c r="H353" s="148">
        <v>-171</v>
      </c>
      <c r="I353" s="143">
        <v>144</v>
      </c>
      <c r="J353" s="143">
        <v>1</v>
      </c>
      <c r="K353" s="149" t="s">
        <v>350</v>
      </c>
      <c r="L353" s="150">
        <f t="shared" si="62"/>
        <v>0.57803468208092479</v>
      </c>
      <c r="M353" s="150">
        <f t="shared" si="63"/>
        <v>0.58479532163742687</v>
      </c>
      <c r="N353" s="151">
        <f t="shared" si="64"/>
        <v>-4.2659386131434799E-3</v>
      </c>
      <c r="O353" s="151">
        <f t="shared" si="65"/>
        <v>0.1144283824598018</v>
      </c>
      <c r="P353" s="151">
        <f t="shared" si="66"/>
        <v>0.72067039106145248</v>
      </c>
      <c r="Q353" s="151">
        <f t="shared" si="67"/>
        <v>0.60624200860165067</v>
      </c>
      <c r="R353" s="150">
        <f t="shared" si="68"/>
        <v>1.5780346820809248</v>
      </c>
      <c r="S353" s="150">
        <f t="shared" si="69"/>
        <v>1.5847953216374269</v>
      </c>
      <c r="T353" s="150">
        <f t="shared" si="70"/>
        <v>2.44</v>
      </c>
      <c r="U353" s="152">
        <f t="shared" si="61"/>
        <v>0.57803468208092479</v>
      </c>
      <c r="V353" s="143"/>
      <c r="W353" s="102">
        <f t="shared" si="71"/>
        <v>1</v>
      </c>
      <c r="X353" s="102" t="str">
        <f t="shared" si="72"/>
        <v/>
      </c>
      <c r="Y353" s="102"/>
      <c r="Z353" s="102"/>
      <c r="AA353" s="102"/>
      <c r="AB353" s="102"/>
      <c r="AC353" s="102"/>
      <c r="AD353" s="102"/>
      <c r="AE353" s="102"/>
      <c r="AF353" s="102"/>
      <c r="AG353" s="102"/>
      <c r="AH353" s="102"/>
      <c r="AI353" s="102"/>
      <c r="AJ353" s="102"/>
      <c r="AK353" s="102"/>
      <c r="AL353" s="102"/>
      <c r="AM353" s="102"/>
    </row>
    <row r="354" spans="1:39">
      <c r="A354" s="143" t="s">
        <v>238</v>
      </c>
      <c r="B354" s="143" t="s">
        <v>361</v>
      </c>
      <c r="C354" s="145">
        <v>45889</v>
      </c>
      <c r="D354" s="143" t="s">
        <v>696</v>
      </c>
      <c r="E354" s="146" t="s">
        <v>445</v>
      </c>
      <c r="F354" s="147">
        <v>-127</v>
      </c>
      <c r="G354" s="147">
        <v>108</v>
      </c>
      <c r="H354" s="148">
        <v>102</v>
      </c>
      <c r="I354" s="143">
        <v>-116</v>
      </c>
      <c r="J354" s="143">
        <v>1</v>
      </c>
      <c r="K354" s="149" t="s">
        <v>351</v>
      </c>
      <c r="L354" s="150">
        <f t="shared" si="62"/>
        <v>0</v>
      </c>
      <c r="M354" s="150">
        <f t="shared" si="63"/>
        <v>0</v>
      </c>
      <c r="N354" s="151">
        <f t="shared" si="64"/>
        <v>2.9702970297029785E-2</v>
      </c>
      <c r="O354" s="151">
        <f t="shared" si="65"/>
        <v>7.9812456418656474E-2</v>
      </c>
      <c r="P354" s="151">
        <f t="shared" si="66"/>
        <v>0.55947136563876654</v>
      </c>
      <c r="Q354" s="151">
        <f t="shared" si="67"/>
        <v>0.47965890922011006</v>
      </c>
      <c r="R354" s="150">
        <f t="shared" si="68"/>
        <v>2.08</v>
      </c>
      <c r="S354" s="150">
        <f t="shared" si="69"/>
        <v>2.02</v>
      </c>
      <c r="T354" s="150">
        <f t="shared" si="70"/>
        <v>1.8620689655172413</v>
      </c>
      <c r="U354" s="152"/>
      <c r="V354" s="143"/>
      <c r="W354" s="102">
        <f t="shared" si="71"/>
        <v>2</v>
      </c>
      <c r="X354" s="153">
        <f t="shared" si="72"/>
        <v>0</v>
      </c>
      <c r="Y354" s="102"/>
      <c r="Z354" s="102"/>
      <c r="AA354" s="102"/>
      <c r="AB354" s="102"/>
      <c r="AC354" s="102"/>
      <c r="AD354" s="102"/>
      <c r="AE354" s="102"/>
      <c r="AF354" s="102"/>
      <c r="AG354" s="102"/>
      <c r="AH354" s="102"/>
      <c r="AI354" s="102"/>
      <c r="AJ354" s="102"/>
      <c r="AK354" s="102"/>
      <c r="AL354" s="102"/>
      <c r="AM354" s="102"/>
    </row>
    <row r="355" spans="1:39">
      <c r="A355" s="143" t="s">
        <v>238</v>
      </c>
      <c r="B355" s="143" t="s">
        <v>361</v>
      </c>
      <c r="C355" s="145">
        <v>45889</v>
      </c>
      <c r="D355" s="143" t="s">
        <v>694</v>
      </c>
      <c r="E355" s="146" t="s">
        <v>458</v>
      </c>
      <c r="F355" s="147">
        <v>-164</v>
      </c>
      <c r="G355" s="147">
        <v>-113</v>
      </c>
      <c r="H355" s="148">
        <v>-122</v>
      </c>
      <c r="I355" s="143">
        <v>106</v>
      </c>
      <c r="J355" s="143">
        <v>1</v>
      </c>
      <c r="K355" s="149" t="s">
        <v>311</v>
      </c>
      <c r="L355" s="150">
        <f t="shared" si="62"/>
        <v>-1</v>
      </c>
      <c r="M355" s="150">
        <f t="shared" si="63"/>
        <v>-1</v>
      </c>
      <c r="N355" s="151">
        <f t="shared" si="64"/>
        <v>3.5876584549150811E-2</v>
      </c>
      <c r="O355" s="151">
        <f t="shared" si="65"/>
        <v>9.0239417755685891E-2</v>
      </c>
      <c r="P355" s="151">
        <f t="shared" si="66"/>
        <v>0.62121212121212122</v>
      </c>
      <c r="Q355" s="151">
        <f t="shared" si="67"/>
        <v>0.53097270345643532</v>
      </c>
      <c r="R355" s="150">
        <f t="shared" si="68"/>
        <v>1.8849557522123894</v>
      </c>
      <c r="S355" s="150">
        <f t="shared" si="69"/>
        <v>1.819672131147541</v>
      </c>
      <c r="T355" s="150">
        <f t="shared" si="70"/>
        <v>2.06</v>
      </c>
      <c r="U355" s="152"/>
      <c r="V355" s="143"/>
      <c r="W355" s="102">
        <f t="shared" si="71"/>
        <v>0</v>
      </c>
      <c r="X355" s="153">
        <f t="shared" si="72"/>
        <v>0</v>
      </c>
      <c r="Y355" s="102"/>
      <c r="Z355" s="102"/>
      <c r="AA355" s="102"/>
      <c r="AB355" s="102"/>
      <c r="AC355" s="102"/>
      <c r="AD355" s="102"/>
      <c r="AE355" s="102"/>
      <c r="AF355" s="102"/>
      <c r="AG355" s="102"/>
      <c r="AH355" s="102"/>
      <c r="AI355" s="102"/>
      <c r="AJ355" s="102"/>
      <c r="AK355" s="102"/>
      <c r="AL355" s="102"/>
      <c r="AM355" s="102"/>
    </row>
    <row r="356" spans="1:39">
      <c r="A356" s="143" t="s">
        <v>238</v>
      </c>
      <c r="B356" s="143" t="s">
        <v>361</v>
      </c>
      <c r="C356" s="145">
        <v>45890</v>
      </c>
      <c r="D356" s="143" t="s">
        <v>697</v>
      </c>
      <c r="E356" s="146" t="s">
        <v>487</v>
      </c>
      <c r="F356" s="147">
        <v>-129</v>
      </c>
      <c r="G356" s="147">
        <v>109</v>
      </c>
      <c r="H356" s="148">
        <v>109</v>
      </c>
      <c r="I356" s="143">
        <v>-126</v>
      </c>
      <c r="J356" s="143">
        <v>1</v>
      </c>
      <c r="K356" s="149" t="s">
        <v>350</v>
      </c>
      <c r="L356" s="150">
        <f t="shared" si="62"/>
        <v>1.0899999999999999</v>
      </c>
      <c r="M356" s="150">
        <f t="shared" si="63"/>
        <v>1.0899999999999999</v>
      </c>
      <c r="N356" s="151">
        <f t="shared" si="64"/>
        <v>0</v>
      </c>
      <c r="O356" s="151">
        <f t="shared" si="65"/>
        <v>0.10147220844474047</v>
      </c>
      <c r="P356" s="151">
        <f t="shared" si="66"/>
        <v>0.5633187772925764</v>
      </c>
      <c r="Q356" s="151">
        <f t="shared" si="67"/>
        <v>0.46184656884783593</v>
      </c>
      <c r="R356" s="150">
        <f t="shared" si="68"/>
        <v>2.09</v>
      </c>
      <c r="S356" s="150">
        <f t="shared" si="69"/>
        <v>2.09</v>
      </c>
      <c r="T356" s="150">
        <f t="shared" si="70"/>
        <v>1.7936507936507935</v>
      </c>
      <c r="U356" s="152"/>
      <c r="V356" s="143"/>
      <c r="W356" s="102">
        <f t="shared" si="71"/>
        <v>1</v>
      </c>
      <c r="X356" s="153">
        <f t="shared" si="72"/>
        <v>0</v>
      </c>
      <c r="Y356" s="102"/>
      <c r="Z356" s="102"/>
      <c r="AA356" s="102"/>
      <c r="AB356" s="102"/>
      <c r="AC356" s="102"/>
      <c r="AD356" s="102"/>
      <c r="AE356" s="102"/>
      <c r="AF356" s="102"/>
      <c r="AG356" s="102"/>
      <c r="AH356" s="102"/>
      <c r="AI356" s="102"/>
      <c r="AJ356" s="102"/>
      <c r="AK356" s="102"/>
      <c r="AL356" s="102"/>
      <c r="AM356" s="102"/>
    </row>
    <row r="357" spans="1:39">
      <c r="A357" s="143" t="s">
        <v>238</v>
      </c>
      <c r="B357" s="143" t="s">
        <v>361</v>
      </c>
      <c r="C357" s="145">
        <v>45891</v>
      </c>
      <c r="D357" s="143" t="s">
        <v>521</v>
      </c>
      <c r="E357" s="146" t="s">
        <v>644</v>
      </c>
      <c r="F357" s="147">
        <v>-179</v>
      </c>
      <c r="G357" s="147">
        <v>-105</v>
      </c>
      <c r="H357" s="148">
        <v>-102</v>
      </c>
      <c r="I357" s="143">
        <v>-113</v>
      </c>
      <c r="J357" s="143">
        <v>1</v>
      </c>
      <c r="K357" s="149" t="s">
        <v>311</v>
      </c>
      <c r="L357" s="150">
        <f t="shared" si="62"/>
        <v>-1</v>
      </c>
      <c r="M357" s="150">
        <f t="shared" si="63"/>
        <v>-1</v>
      </c>
      <c r="N357" s="151">
        <f t="shared" si="64"/>
        <v>-1.4144271570014157E-2</v>
      </c>
      <c r="O357" s="151">
        <f t="shared" si="65"/>
        <v>0.15392218572988842</v>
      </c>
      <c r="P357" s="151">
        <f t="shared" si="66"/>
        <v>0.64157706093189959</v>
      </c>
      <c r="Q357" s="151">
        <f t="shared" si="67"/>
        <v>0.48765487520201117</v>
      </c>
      <c r="R357" s="150">
        <f t="shared" si="68"/>
        <v>1.9523809523809523</v>
      </c>
      <c r="S357" s="150">
        <f t="shared" si="69"/>
        <v>1.9803921568627452</v>
      </c>
      <c r="T357" s="150">
        <f t="shared" si="70"/>
        <v>1.8849557522123894</v>
      </c>
      <c r="U357" s="152"/>
      <c r="V357" s="143"/>
      <c r="W357" s="102">
        <f t="shared" si="71"/>
        <v>0</v>
      </c>
      <c r="X357" s="153">
        <f t="shared" si="72"/>
        <v>0</v>
      </c>
      <c r="Y357" s="102"/>
      <c r="Z357" s="102"/>
      <c r="AA357" s="102"/>
      <c r="AB357" s="102"/>
      <c r="AC357" s="102"/>
      <c r="AD357" s="102"/>
      <c r="AE357" s="102"/>
      <c r="AF357" s="102"/>
      <c r="AG357" s="102"/>
      <c r="AH357" s="102"/>
      <c r="AI357" s="102"/>
      <c r="AJ357" s="102"/>
      <c r="AK357" s="102"/>
      <c r="AL357" s="102"/>
      <c r="AM357" s="102"/>
    </row>
    <row r="358" spans="1:39">
      <c r="A358" s="143" t="s">
        <v>238</v>
      </c>
      <c r="B358" s="143" t="s">
        <v>361</v>
      </c>
      <c r="C358" s="145">
        <v>45891</v>
      </c>
      <c r="D358" s="143" t="s">
        <v>698</v>
      </c>
      <c r="E358" s="146" t="s">
        <v>439</v>
      </c>
      <c r="F358" s="147">
        <v>-247</v>
      </c>
      <c r="G358" s="147">
        <v>-182</v>
      </c>
      <c r="H358" s="148">
        <v>-193</v>
      </c>
      <c r="I358" s="143">
        <v>165</v>
      </c>
      <c r="J358" s="143">
        <v>1</v>
      </c>
      <c r="K358" s="149" t="s">
        <v>351</v>
      </c>
      <c r="L358" s="150">
        <f t="shared" si="62"/>
        <v>0</v>
      </c>
      <c r="M358" s="150">
        <f t="shared" si="63"/>
        <v>0</v>
      </c>
      <c r="N358" s="151">
        <f t="shared" si="64"/>
        <v>2.062783632749501E-2</v>
      </c>
      <c r="O358" s="151">
        <f t="shared" si="65"/>
        <v>7.6039565937527365E-2</v>
      </c>
      <c r="P358" s="151">
        <f t="shared" si="66"/>
        <v>0.71181556195965423</v>
      </c>
      <c r="Q358" s="151">
        <f t="shared" si="67"/>
        <v>0.63577599602212687</v>
      </c>
      <c r="R358" s="150">
        <f t="shared" si="68"/>
        <v>1.5494505494505495</v>
      </c>
      <c r="S358" s="150">
        <f t="shared" si="69"/>
        <v>1.5181347150259068</v>
      </c>
      <c r="T358" s="150">
        <f t="shared" si="70"/>
        <v>2.65</v>
      </c>
      <c r="U358" s="152"/>
      <c r="V358" s="143"/>
      <c r="W358" s="102">
        <f t="shared" si="71"/>
        <v>2</v>
      </c>
      <c r="X358" s="153">
        <f t="shared" si="72"/>
        <v>0</v>
      </c>
      <c r="Y358" s="102"/>
      <c r="Z358" s="102"/>
      <c r="AA358" s="102"/>
      <c r="AB358" s="102"/>
      <c r="AC358" s="102"/>
      <c r="AD358" s="102"/>
      <c r="AE358" s="102"/>
      <c r="AF358" s="102"/>
      <c r="AG358" s="102"/>
      <c r="AH358" s="102"/>
      <c r="AI358" s="102"/>
      <c r="AJ358" s="102"/>
      <c r="AK358" s="102"/>
      <c r="AL358" s="102"/>
      <c r="AM358" s="102"/>
    </row>
    <row r="359" spans="1:39">
      <c r="A359" s="143" t="s">
        <v>238</v>
      </c>
      <c r="B359" s="143" t="s">
        <v>361</v>
      </c>
      <c r="C359" s="145">
        <v>45892</v>
      </c>
      <c r="D359" s="143" t="s">
        <v>699</v>
      </c>
      <c r="E359" s="146" t="s">
        <v>397</v>
      </c>
      <c r="F359" s="147">
        <v>101</v>
      </c>
      <c r="G359" s="147">
        <v>150</v>
      </c>
      <c r="H359" s="148">
        <v>150</v>
      </c>
      <c r="I359" s="143">
        <v>-179</v>
      </c>
      <c r="J359" s="143">
        <v>1</v>
      </c>
      <c r="K359" s="149" t="s">
        <v>350</v>
      </c>
      <c r="L359" s="150">
        <f t="shared" si="62"/>
        <v>1.5</v>
      </c>
      <c r="M359" s="150">
        <f t="shared" si="63"/>
        <v>1.5</v>
      </c>
      <c r="N359" s="151">
        <f t="shared" si="64"/>
        <v>0</v>
      </c>
      <c r="O359" s="151">
        <f t="shared" si="65"/>
        <v>0.11347940271115176</v>
      </c>
      <c r="P359" s="151">
        <f t="shared" si="66"/>
        <v>0.49751243781094528</v>
      </c>
      <c r="Q359" s="151">
        <f t="shared" si="67"/>
        <v>0.38403303509979353</v>
      </c>
      <c r="R359" s="150">
        <f t="shared" si="68"/>
        <v>2.5</v>
      </c>
      <c r="S359" s="150">
        <f t="shared" si="69"/>
        <v>2.5</v>
      </c>
      <c r="T359" s="150">
        <f t="shared" si="70"/>
        <v>1.558659217877095</v>
      </c>
      <c r="U359" s="152"/>
      <c r="V359" s="143"/>
      <c r="W359" s="102">
        <f t="shared" si="71"/>
        <v>1</v>
      </c>
      <c r="X359" s="153">
        <f t="shared" si="72"/>
        <v>0</v>
      </c>
      <c r="Y359" s="102"/>
      <c r="Z359" s="102"/>
      <c r="AA359" s="102"/>
      <c r="AB359" s="102"/>
      <c r="AC359" s="102"/>
      <c r="AD359" s="102"/>
      <c r="AE359" s="102"/>
      <c r="AF359" s="102"/>
      <c r="AG359" s="102"/>
      <c r="AH359" s="102"/>
      <c r="AI359" s="102"/>
      <c r="AJ359" s="102"/>
      <c r="AK359" s="102"/>
      <c r="AL359" s="102"/>
      <c r="AM359" s="102"/>
    </row>
    <row r="360" spans="1:39">
      <c r="A360" s="143" t="s">
        <v>238</v>
      </c>
      <c r="B360" s="143" t="s">
        <v>361</v>
      </c>
      <c r="C360" s="145">
        <v>45892</v>
      </c>
      <c r="D360" s="143" t="s">
        <v>700</v>
      </c>
      <c r="E360" s="146" t="s">
        <v>508</v>
      </c>
      <c r="F360" s="147">
        <v>103</v>
      </c>
      <c r="G360" s="147">
        <v>151</v>
      </c>
      <c r="H360" s="148">
        <v>153</v>
      </c>
      <c r="I360" s="143">
        <v>-178</v>
      </c>
      <c r="J360" s="143">
        <v>1</v>
      </c>
      <c r="K360" s="149" t="s">
        <v>311</v>
      </c>
      <c r="L360" s="150">
        <f t="shared" si="62"/>
        <v>-1</v>
      </c>
      <c r="M360" s="150">
        <f t="shared" si="63"/>
        <v>-1</v>
      </c>
      <c r="N360" s="151">
        <f t="shared" si="64"/>
        <v>-7.9051383399211892E-3</v>
      </c>
      <c r="O360" s="151">
        <f t="shared" si="65"/>
        <v>0.11092096732281836</v>
      </c>
      <c r="P360" s="151">
        <f t="shared" si="66"/>
        <v>0.49261083743842365</v>
      </c>
      <c r="Q360" s="151">
        <f t="shared" si="67"/>
        <v>0.38168987011560529</v>
      </c>
      <c r="R360" s="150">
        <f t="shared" si="68"/>
        <v>2.5099999999999998</v>
      </c>
      <c r="S360" s="150">
        <f t="shared" si="69"/>
        <v>2.5300000000000002</v>
      </c>
      <c r="T360" s="150">
        <f t="shared" si="70"/>
        <v>1.5617977528089888</v>
      </c>
      <c r="U360" s="152"/>
      <c r="V360" s="143"/>
      <c r="W360" s="102">
        <f t="shared" si="71"/>
        <v>0</v>
      </c>
      <c r="X360" s="153">
        <f t="shared" si="72"/>
        <v>0</v>
      </c>
      <c r="Y360" s="102"/>
      <c r="Z360" s="102"/>
      <c r="AA360" s="102"/>
      <c r="AB360" s="102"/>
      <c r="AC360" s="102"/>
      <c r="AD360" s="102"/>
      <c r="AE360" s="102"/>
      <c r="AF360" s="102"/>
      <c r="AG360" s="102"/>
      <c r="AH360" s="102"/>
      <c r="AI360" s="102"/>
      <c r="AJ360" s="102"/>
      <c r="AK360" s="102"/>
      <c r="AL360" s="102"/>
      <c r="AM360" s="102"/>
    </row>
    <row r="361" spans="1:39">
      <c r="A361" s="143" t="s">
        <v>238</v>
      </c>
      <c r="B361" s="143" t="s">
        <v>361</v>
      </c>
      <c r="C361" s="145">
        <v>45892</v>
      </c>
      <c r="D361" s="143" t="s">
        <v>701</v>
      </c>
      <c r="E361" s="146" t="s">
        <v>646</v>
      </c>
      <c r="F361" s="147">
        <v>-243</v>
      </c>
      <c r="G361" s="147">
        <v>-157</v>
      </c>
      <c r="H361" s="148">
        <v>-161</v>
      </c>
      <c r="I361" s="143">
        <v>139</v>
      </c>
      <c r="J361" s="143">
        <v>1</v>
      </c>
      <c r="K361" s="149" t="s">
        <v>311</v>
      </c>
      <c r="L361" s="150">
        <f t="shared" si="62"/>
        <v>-1</v>
      </c>
      <c r="M361" s="150">
        <f t="shared" si="63"/>
        <v>-1</v>
      </c>
      <c r="N361" s="151">
        <f t="shared" si="64"/>
        <v>9.7615735656588608E-3</v>
      </c>
      <c r="O361" s="151">
        <f t="shared" si="65"/>
        <v>0.11261096032761553</v>
      </c>
      <c r="P361" s="151">
        <f t="shared" si="66"/>
        <v>0.70845481049562686</v>
      </c>
      <c r="Q361" s="151">
        <f t="shared" si="67"/>
        <v>0.59584385016801134</v>
      </c>
      <c r="R361" s="150">
        <f t="shared" si="68"/>
        <v>1.6369426751592355</v>
      </c>
      <c r="S361" s="150">
        <f t="shared" si="69"/>
        <v>1.6211180124223601</v>
      </c>
      <c r="T361" s="150">
        <f t="shared" si="70"/>
        <v>2.3899999999999997</v>
      </c>
      <c r="U361" s="152"/>
      <c r="V361" s="143"/>
      <c r="W361" s="102">
        <f t="shared" si="71"/>
        <v>0</v>
      </c>
      <c r="X361" s="153">
        <f t="shared" si="72"/>
        <v>0</v>
      </c>
      <c r="Y361" s="102"/>
      <c r="Z361" s="102"/>
      <c r="AA361" s="102"/>
      <c r="AB361" s="102"/>
      <c r="AC361" s="102"/>
      <c r="AD361" s="102"/>
      <c r="AE361" s="102"/>
      <c r="AF361" s="102"/>
      <c r="AG361" s="102"/>
      <c r="AH361" s="102"/>
      <c r="AI361" s="102"/>
      <c r="AJ361" s="102"/>
      <c r="AK361" s="102"/>
      <c r="AL361" s="102"/>
      <c r="AM361" s="102"/>
    </row>
    <row r="362" spans="1:39">
      <c r="A362" s="143" t="s">
        <v>238</v>
      </c>
      <c r="B362" s="143" t="s">
        <v>361</v>
      </c>
      <c r="C362" s="145">
        <v>45892</v>
      </c>
      <c r="D362" s="143" t="s">
        <v>702</v>
      </c>
      <c r="E362" s="146" t="s">
        <v>447</v>
      </c>
      <c r="F362" s="147">
        <v>-129</v>
      </c>
      <c r="G362" s="147">
        <v>112</v>
      </c>
      <c r="H362" s="148">
        <v>115</v>
      </c>
      <c r="I362" s="143">
        <v>-135</v>
      </c>
      <c r="J362" s="143">
        <v>1</v>
      </c>
      <c r="K362" s="149" t="s">
        <v>311</v>
      </c>
      <c r="L362" s="150">
        <f t="shared" si="62"/>
        <v>-1</v>
      </c>
      <c r="M362" s="150">
        <f t="shared" si="63"/>
        <v>-1</v>
      </c>
      <c r="N362" s="151">
        <f t="shared" si="64"/>
        <v>-1.3953488372092935E-2</v>
      </c>
      <c r="O362" s="151">
        <f t="shared" si="65"/>
        <v>0.11591278014835937</v>
      </c>
      <c r="P362" s="151">
        <f t="shared" si="66"/>
        <v>0.5633187772925764</v>
      </c>
      <c r="Q362" s="151">
        <f t="shared" si="67"/>
        <v>0.44740599714421703</v>
      </c>
      <c r="R362" s="150">
        <f t="shared" si="68"/>
        <v>2.12</v>
      </c>
      <c r="S362" s="150">
        <f t="shared" si="69"/>
        <v>2.15</v>
      </c>
      <c r="T362" s="150">
        <f t="shared" si="70"/>
        <v>1.7407407407407407</v>
      </c>
      <c r="U362" s="152"/>
      <c r="V362" s="143"/>
      <c r="W362" s="102">
        <f t="shared" si="71"/>
        <v>0</v>
      </c>
      <c r="X362" s="153">
        <f t="shared" si="72"/>
        <v>0</v>
      </c>
      <c r="Y362" s="102"/>
      <c r="Z362" s="102"/>
      <c r="AA362" s="102"/>
      <c r="AB362" s="102"/>
      <c r="AC362" s="102"/>
      <c r="AD362" s="102"/>
      <c r="AE362" s="102"/>
      <c r="AF362" s="102"/>
      <c r="AG362" s="102"/>
      <c r="AH362" s="102"/>
      <c r="AI362" s="102"/>
      <c r="AJ362" s="102"/>
      <c r="AK362" s="102"/>
      <c r="AL362" s="102"/>
      <c r="AM362" s="102"/>
    </row>
    <row r="363" spans="1:39">
      <c r="A363" s="143" t="s">
        <v>238</v>
      </c>
      <c r="B363" s="143" t="s">
        <v>361</v>
      </c>
      <c r="C363" s="145">
        <v>45892</v>
      </c>
      <c r="D363" s="143" t="s">
        <v>703</v>
      </c>
      <c r="E363" s="146" t="s">
        <v>413</v>
      </c>
      <c r="F363" s="147">
        <v>116</v>
      </c>
      <c r="G363" s="147">
        <v>194</v>
      </c>
      <c r="H363" s="148">
        <v>192</v>
      </c>
      <c r="I363" s="143">
        <v>-229</v>
      </c>
      <c r="J363" s="143">
        <v>1</v>
      </c>
      <c r="K363" s="149" t="s">
        <v>311</v>
      </c>
      <c r="L363" s="150">
        <f t="shared" si="62"/>
        <v>-1</v>
      </c>
      <c r="M363" s="150">
        <f t="shared" si="63"/>
        <v>-1</v>
      </c>
      <c r="N363" s="151">
        <f t="shared" si="64"/>
        <v>6.8493150684931269E-3</v>
      </c>
      <c r="O363" s="151">
        <f t="shared" si="65"/>
        <v>0.13319790803553133</v>
      </c>
      <c r="P363" s="151">
        <f t="shared" si="66"/>
        <v>0.46296296296296297</v>
      </c>
      <c r="Q363" s="151">
        <f t="shared" si="67"/>
        <v>0.32976505492743163</v>
      </c>
      <c r="R363" s="150">
        <f t="shared" si="68"/>
        <v>2.94</v>
      </c>
      <c r="S363" s="150">
        <f t="shared" si="69"/>
        <v>2.92</v>
      </c>
      <c r="T363" s="150">
        <f t="shared" si="70"/>
        <v>1.4366812227074237</v>
      </c>
      <c r="U363" s="152"/>
      <c r="V363" s="143"/>
      <c r="W363" s="102">
        <f t="shared" si="71"/>
        <v>0</v>
      </c>
      <c r="X363" s="153">
        <f t="shared" si="72"/>
        <v>0</v>
      </c>
      <c r="Y363" s="102"/>
      <c r="Z363" s="102"/>
      <c r="AA363" s="102"/>
      <c r="AB363" s="102"/>
      <c r="AC363" s="102"/>
      <c r="AD363" s="102"/>
      <c r="AE363" s="102"/>
      <c r="AF363" s="102"/>
      <c r="AG363" s="102"/>
      <c r="AH363" s="102"/>
      <c r="AI363" s="102"/>
      <c r="AJ363" s="102"/>
      <c r="AK363" s="102"/>
      <c r="AL363" s="102"/>
      <c r="AM363" s="102"/>
    </row>
    <row r="364" spans="1:39">
      <c r="A364" s="143" t="s">
        <v>238</v>
      </c>
      <c r="B364" s="143" t="s">
        <v>361</v>
      </c>
      <c r="C364" s="145">
        <v>45893</v>
      </c>
      <c r="D364" s="143" t="s">
        <v>699</v>
      </c>
      <c r="E364" s="146" t="s">
        <v>397</v>
      </c>
      <c r="F364" s="147">
        <v>-106</v>
      </c>
      <c r="G364" s="147">
        <v>139</v>
      </c>
      <c r="H364" s="148">
        <v>159</v>
      </c>
      <c r="I364" s="143">
        <v>-174</v>
      </c>
      <c r="J364" s="143">
        <v>1</v>
      </c>
      <c r="K364" s="149" t="s">
        <v>311</v>
      </c>
      <c r="L364" s="150">
        <f t="shared" si="62"/>
        <v>-1</v>
      </c>
      <c r="M364" s="150">
        <f t="shared" si="63"/>
        <v>-1</v>
      </c>
      <c r="N364" s="151">
        <f t="shared" si="64"/>
        <v>-7.7220077220077288E-2</v>
      </c>
      <c r="O364" s="151">
        <f t="shared" si="65"/>
        <v>0.13645475253342776</v>
      </c>
      <c r="P364" s="151">
        <f t="shared" si="66"/>
        <v>0.5145631067961165</v>
      </c>
      <c r="Q364" s="151">
        <f t="shared" si="67"/>
        <v>0.37810835426268874</v>
      </c>
      <c r="R364" s="150">
        <f t="shared" si="68"/>
        <v>2.3899999999999997</v>
      </c>
      <c r="S364" s="150">
        <f t="shared" si="69"/>
        <v>2.59</v>
      </c>
      <c r="T364" s="150">
        <f t="shared" si="70"/>
        <v>1.5747126436781609</v>
      </c>
      <c r="U364" s="152"/>
      <c r="V364" s="143"/>
      <c r="W364" s="102">
        <f t="shared" si="71"/>
        <v>0</v>
      </c>
      <c r="X364" s="153">
        <f t="shared" si="72"/>
        <v>0</v>
      </c>
      <c r="Y364" s="102"/>
      <c r="Z364" s="102"/>
      <c r="AA364" s="102"/>
      <c r="AB364" s="102"/>
      <c r="AC364" s="102"/>
      <c r="AD364" s="102"/>
      <c r="AE364" s="102"/>
      <c r="AF364" s="102"/>
      <c r="AG364" s="102"/>
      <c r="AH364" s="102"/>
      <c r="AI364" s="102"/>
      <c r="AJ364" s="102"/>
      <c r="AK364" s="102"/>
      <c r="AL364" s="102"/>
      <c r="AM364" s="102"/>
    </row>
    <row r="365" spans="1:39">
      <c r="A365" s="143" t="s">
        <v>238</v>
      </c>
      <c r="B365" s="143" t="s">
        <v>361</v>
      </c>
      <c r="C365" s="145">
        <v>45893</v>
      </c>
      <c r="D365" s="143" t="s">
        <v>489</v>
      </c>
      <c r="E365" s="146" t="s">
        <v>406</v>
      </c>
      <c r="F365" s="147">
        <v>-133</v>
      </c>
      <c r="G365" s="147">
        <v>131</v>
      </c>
      <c r="H365" s="148">
        <v>136</v>
      </c>
      <c r="I365" s="143">
        <v>-157</v>
      </c>
      <c r="J365" s="143">
        <v>1</v>
      </c>
      <c r="K365" s="149" t="s">
        <v>311</v>
      </c>
      <c r="L365" s="150">
        <f t="shared" si="62"/>
        <v>-1</v>
      </c>
      <c r="M365" s="150">
        <f t="shared" si="63"/>
        <v>-1</v>
      </c>
      <c r="N365" s="151">
        <f t="shared" si="64"/>
        <v>-2.1186440677966264E-2</v>
      </c>
      <c r="O365" s="151">
        <f t="shared" si="65"/>
        <v>0.16126675100073762</v>
      </c>
      <c r="P365" s="151">
        <f t="shared" si="66"/>
        <v>0.57081545064377681</v>
      </c>
      <c r="Q365" s="151">
        <f t="shared" si="67"/>
        <v>0.40954869964303919</v>
      </c>
      <c r="R365" s="150">
        <f t="shared" si="68"/>
        <v>2.31</v>
      </c>
      <c r="S365" s="150">
        <f t="shared" si="69"/>
        <v>2.3600000000000003</v>
      </c>
      <c r="T365" s="150">
        <f t="shared" si="70"/>
        <v>1.6369426751592355</v>
      </c>
      <c r="U365" s="152"/>
      <c r="V365" s="143"/>
      <c r="W365" s="102">
        <f t="shared" si="71"/>
        <v>0</v>
      </c>
      <c r="X365" s="153">
        <f t="shared" si="72"/>
        <v>0</v>
      </c>
      <c r="Y365" s="102"/>
      <c r="Z365" s="102"/>
      <c r="AA365" s="102"/>
      <c r="AB365" s="102"/>
      <c r="AC365" s="102"/>
      <c r="AD365" s="102"/>
      <c r="AE365" s="102"/>
      <c r="AF365" s="102"/>
      <c r="AG365" s="102"/>
      <c r="AH365" s="102"/>
      <c r="AI365" s="102"/>
      <c r="AJ365" s="102"/>
      <c r="AK365" s="102"/>
      <c r="AL365" s="102"/>
      <c r="AM365" s="102"/>
    </row>
    <row r="366" spans="1:39">
      <c r="A366" s="143" t="s">
        <v>238</v>
      </c>
      <c r="B366" s="143" t="s">
        <v>361</v>
      </c>
      <c r="C366" s="145">
        <v>45893</v>
      </c>
      <c r="D366" s="143" t="s">
        <v>521</v>
      </c>
      <c r="E366" s="146" t="s">
        <v>391</v>
      </c>
      <c r="F366" s="147">
        <v>-197</v>
      </c>
      <c r="G366" s="147">
        <v>-132</v>
      </c>
      <c r="H366" s="148">
        <v>-130</v>
      </c>
      <c r="I366" s="143">
        <v>120</v>
      </c>
      <c r="J366" s="143">
        <v>1</v>
      </c>
      <c r="K366" s="149" t="s">
        <v>350</v>
      </c>
      <c r="L366" s="150">
        <f t="shared" si="62"/>
        <v>0.75757575757575757</v>
      </c>
      <c r="M366" s="150">
        <f t="shared" si="63"/>
        <v>0.76923076923076916</v>
      </c>
      <c r="N366" s="151">
        <f t="shared" si="64"/>
        <v>-6.587615283267385E-3</v>
      </c>
      <c r="O366" s="151">
        <f t="shared" si="65"/>
        <v>0.10903609740819042</v>
      </c>
      <c r="P366" s="151">
        <f t="shared" si="66"/>
        <v>0.66329966329966328</v>
      </c>
      <c r="Q366" s="151">
        <f t="shared" si="67"/>
        <v>0.55426356589147285</v>
      </c>
      <c r="R366" s="150">
        <f t="shared" si="68"/>
        <v>1.7575757575757576</v>
      </c>
      <c r="S366" s="150">
        <f t="shared" si="69"/>
        <v>1.7692307692307692</v>
      </c>
      <c r="T366" s="150">
        <f t="shared" si="70"/>
        <v>2.2000000000000002</v>
      </c>
      <c r="U366" s="152"/>
      <c r="V366" s="143"/>
      <c r="W366" s="102">
        <f t="shared" si="71"/>
        <v>1</v>
      </c>
      <c r="X366" s="153">
        <f t="shared" si="72"/>
        <v>0</v>
      </c>
      <c r="Y366" s="102"/>
      <c r="Z366" s="102"/>
      <c r="AA366" s="102"/>
      <c r="AB366" s="102"/>
      <c r="AC366" s="102"/>
      <c r="AD366" s="102"/>
      <c r="AE366" s="102"/>
      <c r="AF366" s="102"/>
      <c r="AG366" s="102"/>
      <c r="AH366" s="102"/>
      <c r="AI366" s="102"/>
      <c r="AJ366" s="102"/>
      <c r="AK366" s="102"/>
      <c r="AL366" s="102"/>
      <c r="AM366" s="102"/>
    </row>
    <row r="367" spans="1:39">
      <c r="A367" s="143" t="s">
        <v>238</v>
      </c>
      <c r="B367" s="143" t="s">
        <v>361</v>
      </c>
      <c r="C367" s="145">
        <v>45893</v>
      </c>
      <c r="D367" s="143" t="s">
        <v>698</v>
      </c>
      <c r="E367" s="146" t="s">
        <v>439</v>
      </c>
      <c r="F367" s="147">
        <v>-174</v>
      </c>
      <c r="G367" s="147">
        <v>-116</v>
      </c>
      <c r="H367" s="148">
        <v>-123</v>
      </c>
      <c r="I367" s="143">
        <v>113</v>
      </c>
      <c r="J367" s="143">
        <v>1</v>
      </c>
      <c r="K367" s="149" t="s">
        <v>350</v>
      </c>
      <c r="L367" s="150">
        <f t="shared" si="62"/>
        <v>0.86206896551724133</v>
      </c>
      <c r="M367" s="150">
        <f t="shared" si="63"/>
        <v>0.81300813008130079</v>
      </c>
      <c r="N367" s="151">
        <f t="shared" si="64"/>
        <v>2.7060460800989609E-2</v>
      </c>
      <c r="O367" s="151">
        <f t="shared" si="65"/>
        <v>9.4839791263662154E-2</v>
      </c>
      <c r="P367" s="151">
        <f t="shared" si="66"/>
        <v>0.63503649635036497</v>
      </c>
      <c r="Q367" s="151">
        <f t="shared" si="67"/>
        <v>0.54019670508670281</v>
      </c>
      <c r="R367" s="150">
        <f t="shared" si="68"/>
        <v>1.8620689655172413</v>
      </c>
      <c r="S367" s="150">
        <f t="shared" si="69"/>
        <v>1.8130081300813008</v>
      </c>
      <c r="T367" s="150">
        <f t="shared" si="70"/>
        <v>2.13</v>
      </c>
      <c r="U367" s="152"/>
      <c r="V367" s="143"/>
      <c r="W367" s="102">
        <f t="shared" si="71"/>
        <v>1</v>
      </c>
      <c r="X367" s="153">
        <f t="shared" si="72"/>
        <v>0</v>
      </c>
      <c r="Y367" s="102"/>
      <c r="Z367" s="102"/>
      <c r="AA367" s="102"/>
      <c r="AB367" s="102"/>
      <c r="AC367" s="102"/>
      <c r="AD367" s="102"/>
      <c r="AE367" s="102"/>
      <c r="AF367" s="102"/>
      <c r="AG367" s="102"/>
      <c r="AH367" s="102"/>
      <c r="AI367" s="102"/>
      <c r="AJ367" s="102"/>
      <c r="AK367" s="102"/>
      <c r="AL367" s="102"/>
      <c r="AM367" s="102"/>
    </row>
    <row r="368" spans="1:39">
      <c r="A368" s="143" t="s">
        <v>238</v>
      </c>
      <c r="B368" s="143" t="s">
        <v>361</v>
      </c>
      <c r="C368" s="145">
        <v>45894</v>
      </c>
      <c r="D368" s="143" t="s">
        <v>704</v>
      </c>
      <c r="E368" s="146" t="s">
        <v>519</v>
      </c>
      <c r="F368" s="147">
        <v>-239</v>
      </c>
      <c r="G368" s="147">
        <v>-169</v>
      </c>
      <c r="H368" s="148">
        <v>-169</v>
      </c>
      <c r="I368" s="143">
        <v>142</v>
      </c>
      <c r="J368" s="143">
        <v>1</v>
      </c>
      <c r="K368" s="149" t="s">
        <v>350</v>
      </c>
      <c r="L368" s="150">
        <f t="shared" si="62"/>
        <v>0.59171597633136086</v>
      </c>
      <c r="M368" s="150">
        <f t="shared" si="63"/>
        <v>0.59171597633136086</v>
      </c>
      <c r="N368" s="151">
        <f t="shared" si="64"/>
        <v>0</v>
      </c>
      <c r="O368" s="151">
        <f t="shared" si="65"/>
        <v>0.10178161554177811</v>
      </c>
      <c r="P368" s="151">
        <f t="shared" si="66"/>
        <v>0.70501474926253682</v>
      </c>
      <c r="Q368" s="151">
        <f t="shared" si="67"/>
        <v>0.60323313372075871</v>
      </c>
      <c r="R368" s="150">
        <f t="shared" si="68"/>
        <v>1.5917159763313609</v>
      </c>
      <c r="S368" s="150">
        <f t="shared" si="69"/>
        <v>1.5917159763313609</v>
      </c>
      <c r="T368" s="150">
        <f t="shared" si="70"/>
        <v>2.42</v>
      </c>
      <c r="U368" s="152"/>
      <c r="V368" s="143"/>
      <c r="W368" s="102">
        <f t="shared" si="71"/>
        <v>1</v>
      </c>
      <c r="X368" s="153">
        <f t="shared" si="72"/>
        <v>0</v>
      </c>
      <c r="Y368" s="102"/>
      <c r="Z368" s="102"/>
      <c r="AA368" s="102"/>
      <c r="AB368" s="102"/>
      <c r="AC368" s="102"/>
      <c r="AD368" s="102"/>
      <c r="AE368" s="102"/>
      <c r="AF368" s="102"/>
      <c r="AG368" s="102"/>
      <c r="AH368" s="102"/>
      <c r="AI368" s="102"/>
      <c r="AJ368" s="102"/>
      <c r="AK368" s="102"/>
      <c r="AL368" s="102"/>
      <c r="AM368" s="102"/>
    </row>
    <row r="369" spans="1:39">
      <c r="A369" s="143" t="s">
        <v>238</v>
      </c>
      <c r="B369" s="143" t="s">
        <v>361</v>
      </c>
      <c r="C369" s="145">
        <v>45894</v>
      </c>
      <c r="D369" s="143" t="s">
        <v>705</v>
      </c>
      <c r="E369" s="146" t="s">
        <v>413</v>
      </c>
      <c r="F369" s="147">
        <v>-108</v>
      </c>
      <c r="G369" s="147">
        <v>178</v>
      </c>
      <c r="H369" s="148">
        <v>178</v>
      </c>
      <c r="I369" s="143">
        <v>-211</v>
      </c>
      <c r="J369" s="143">
        <v>1</v>
      </c>
      <c r="K369" s="149" t="s">
        <v>311</v>
      </c>
      <c r="L369" s="150">
        <f t="shared" si="62"/>
        <v>-1</v>
      </c>
      <c r="M369" s="150">
        <f t="shared" si="63"/>
        <v>-1</v>
      </c>
      <c r="N369" s="151">
        <f t="shared" si="64"/>
        <v>0</v>
      </c>
      <c r="O369" s="151">
        <f t="shared" si="65"/>
        <v>0.17274354803600117</v>
      </c>
      <c r="P369" s="151">
        <f t="shared" si="66"/>
        <v>0.51923076923076927</v>
      </c>
      <c r="Q369" s="151">
        <f t="shared" si="67"/>
        <v>0.3464872211947681</v>
      </c>
      <c r="R369" s="150">
        <f t="shared" si="68"/>
        <v>2.7800000000000002</v>
      </c>
      <c r="S369" s="150">
        <f t="shared" si="69"/>
        <v>2.7800000000000002</v>
      </c>
      <c r="T369" s="150">
        <f t="shared" si="70"/>
        <v>1.4739336492890995</v>
      </c>
      <c r="U369" s="152"/>
      <c r="V369" s="143"/>
      <c r="W369" s="102">
        <f t="shared" si="71"/>
        <v>0</v>
      </c>
      <c r="X369" s="153">
        <f t="shared" si="72"/>
        <v>0</v>
      </c>
      <c r="Y369" s="102"/>
      <c r="Z369" s="102"/>
      <c r="AA369" s="102"/>
      <c r="AB369" s="102"/>
      <c r="AC369" s="102"/>
      <c r="AD369" s="102"/>
      <c r="AE369" s="102"/>
      <c r="AF369" s="102"/>
      <c r="AG369" s="102"/>
      <c r="AH369" s="102"/>
      <c r="AI369" s="102"/>
      <c r="AJ369" s="102"/>
      <c r="AK369" s="102"/>
      <c r="AL369" s="102"/>
      <c r="AM369" s="102"/>
    </row>
    <row r="370" spans="1:39">
      <c r="A370" s="143" t="s">
        <v>238</v>
      </c>
      <c r="B370" s="143" t="s">
        <v>361</v>
      </c>
      <c r="C370" s="145">
        <v>45895</v>
      </c>
      <c r="D370" s="143" t="s">
        <v>706</v>
      </c>
      <c r="E370" s="146" t="s">
        <v>433</v>
      </c>
      <c r="F370" s="147">
        <v>-186</v>
      </c>
      <c r="G370" s="147">
        <v>-147</v>
      </c>
      <c r="H370" s="148">
        <v>-158</v>
      </c>
      <c r="I370" s="143">
        <v>136</v>
      </c>
      <c r="J370" s="143">
        <v>1</v>
      </c>
      <c r="K370" s="149" t="s">
        <v>311</v>
      </c>
      <c r="L370" s="150">
        <f t="shared" si="62"/>
        <v>-1</v>
      </c>
      <c r="M370" s="150">
        <f t="shared" si="63"/>
        <v>-1</v>
      </c>
      <c r="N370" s="151">
        <f t="shared" si="64"/>
        <v>2.9003849601856094E-2</v>
      </c>
      <c r="O370" s="151">
        <f t="shared" si="65"/>
        <v>5.9302224531745162E-2</v>
      </c>
      <c r="P370" s="151">
        <f t="shared" si="66"/>
        <v>0.65034965034965031</v>
      </c>
      <c r="Q370" s="151">
        <f t="shared" si="67"/>
        <v>0.59104742581790515</v>
      </c>
      <c r="R370" s="150">
        <f t="shared" si="68"/>
        <v>1.6802721088435373</v>
      </c>
      <c r="S370" s="150">
        <f t="shared" si="69"/>
        <v>1.6329113924050633</v>
      </c>
      <c r="T370" s="150">
        <f t="shared" si="70"/>
        <v>2.3600000000000003</v>
      </c>
      <c r="U370" s="152"/>
      <c r="V370" s="143"/>
      <c r="W370" s="102">
        <f t="shared" si="71"/>
        <v>0</v>
      </c>
      <c r="X370" s="153">
        <f t="shared" si="72"/>
        <v>0</v>
      </c>
      <c r="Y370" s="102"/>
      <c r="Z370" s="102"/>
      <c r="AA370" s="102"/>
      <c r="AB370" s="102"/>
      <c r="AC370" s="102"/>
      <c r="AD370" s="102"/>
      <c r="AE370" s="102"/>
      <c r="AF370" s="102"/>
      <c r="AG370" s="102"/>
      <c r="AH370" s="102"/>
      <c r="AI370" s="102"/>
      <c r="AJ370" s="102"/>
      <c r="AK370" s="102"/>
      <c r="AL370" s="102"/>
      <c r="AM370" s="102"/>
    </row>
    <row r="371" spans="1:39">
      <c r="A371" s="143" t="s">
        <v>238</v>
      </c>
      <c r="B371" s="143" t="s">
        <v>361</v>
      </c>
      <c r="C371" s="145">
        <v>45895</v>
      </c>
      <c r="D371" s="143" t="s">
        <v>707</v>
      </c>
      <c r="E371" s="146" t="s">
        <v>454</v>
      </c>
      <c r="F371" s="147">
        <v>-143</v>
      </c>
      <c r="G371" s="147">
        <v>-105</v>
      </c>
      <c r="H371" s="148">
        <v>-103</v>
      </c>
      <c r="I371" s="143">
        <v>-111</v>
      </c>
      <c r="J371" s="143">
        <v>1</v>
      </c>
      <c r="K371" s="149" t="s">
        <v>350</v>
      </c>
      <c r="L371" s="150">
        <f t="shared" si="62"/>
        <v>0.95238095238095233</v>
      </c>
      <c r="M371" s="150">
        <f t="shared" si="63"/>
        <v>0.970873786407767</v>
      </c>
      <c r="N371" s="151">
        <f t="shared" si="64"/>
        <v>-9.3830635702556193E-3</v>
      </c>
      <c r="O371" s="151">
        <f t="shared" si="65"/>
        <v>9.751364692202158E-2</v>
      </c>
      <c r="P371" s="151">
        <f t="shared" si="66"/>
        <v>0.58847736625514402</v>
      </c>
      <c r="Q371" s="151">
        <f t="shared" si="67"/>
        <v>0.49096371933312244</v>
      </c>
      <c r="R371" s="150">
        <f t="shared" si="68"/>
        <v>1.9523809523809523</v>
      </c>
      <c r="S371" s="150">
        <f t="shared" si="69"/>
        <v>1.970873786407767</v>
      </c>
      <c r="T371" s="150">
        <f t="shared" si="70"/>
        <v>1.900900900900901</v>
      </c>
      <c r="U371" s="152"/>
      <c r="V371" s="143"/>
      <c r="W371" s="102">
        <f t="shared" si="71"/>
        <v>1</v>
      </c>
      <c r="X371" s="153">
        <f t="shared" si="72"/>
        <v>0</v>
      </c>
      <c r="Y371" s="102"/>
      <c r="Z371" s="102"/>
      <c r="AA371" s="102"/>
      <c r="AB371" s="102"/>
      <c r="AC371" s="102"/>
      <c r="AD371" s="102"/>
      <c r="AE371" s="102"/>
      <c r="AF371" s="102"/>
      <c r="AG371" s="102"/>
      <c r="AH371" s="102"/>
      <c r="AI371" s="102"/>
      <c r="AJ371" s="102"/>
      <c r="AK371" s="102"/>
      <c r="AL371" s="102"/>
      <c r="AM371" s="102"/>
    </row>
    <row r="372" spans="1:39">
      <c r="A372" s="143" t="s">
        <v>238</v>
      </c>
      <c r="B372" s="143" t="s">
        <v>361</v>
      </c>
      <c r="C372" s="145">
        <v>45896</v>
      </c>
      <c r="D372" s="143" t="s">
        <v>708</v>
      </c>
      <c r="E372" s="146" t="s">
        <v>445</v>
      </c>
      <c r="F372" s="147">
        <v>103</v>
      </c>
      <c r="G372" s="147">
        <v>182</v>
      </c>
      <c r="H372" s="148">
        <v>170</v>
      </c>
      <c r="I372" s="143">
        <v>-200</v>
      </c>
      <c r="J372" s="143">
        <v>1</v>
      </c>
      <c r="K372" s="149" t="s">
        <v>311</v>
      </c>
      <c r="L372" s="150">
        <f t="shared" si="62"/>
        <v>-1</v>
      </c>
      <c r="M372" s="150">
        <f t="shared" si="63"/>
        <v>-1</v>
      </c>
      <c r="N372" s="151">
        <f t="shared" si="64"/>
        <v>4.4444444444444516E-2</v>
      </c>
      <c r="O372" s="151">
        <f t="shared" si="65"/>
        <v>0.1354679802955665</v>
      </c>
      <c r="P372" s="151">
        <f t="shared" si="66"/>
        <v>0.49261083743842365</v>
      </c>
      <c r="Q372" s="151">
        <f t="shared" si="67"/>
        <v>0.35714285714285715</v>
      </c>
      <c r="R372" s="150">
        <f t="shared" si="68"/>
        <v>2.8200000000000003</v>
      </c>
      <c r="S372" s="150">
        <f t="shared" si="69"/>
        <v>2.7</v>
      </c>
      <c r="T372" s="150">
        <f t="shared" si="70"/>
        <v>1.5</v>
      </c>
      <c r="U372" s="152"/>
      <c r="V372" s="143"/>
      <c r="W372" s="102">
        <f t="shared" si="71"/>
        <v>0</v>
      </c>
      <c r="X372" s="153">
        <f t="shared" si="72"/>
        <v>0</v>
      </c>
      <c r="Y372" s="102"/>
      <c r="Z372" s="102"/>
      <c r="AA372" s="102"/>
      <c r="AB372" s="102"/>
      <c r="AC372" s="102"/>
      <c r="AD372" s="102"/>
      <c r="AE372" s="102"/>
      <c r="AF372" s="102"/>
      <c r="AG372" s="102"/>
      <c r="AH372" s="102"/>
      <c r="AI372" s="102"/>
      <c r="AJ372" s="102"/>
      <c r="AK372" s="102"/>
      <c r="AL372" s="102"/>
      <c r="AM372" s="102"/>
    </row>
    <row r="373" spans="1:39">
      <c r="A373" s="143" t="s">
        <v>238</v>
      </c>
      <c r="B373" s="143" t="s">
        <v>361</v>
      </c>
      <c r="C373" s="145">
        <v>45896</v>
      </c>
      <c r="D373" s="143" t="s">
        <v>709</v>
      </c>
      <c r="E373" s="146" t="s">
        <v>710</v>
      </c>
      <c r="F373" s="147">
        <v>-108</v>
      </c>
      <c r="G373" s="147">
        <v>152</v>
      </c>
      <c r="H373" s="148">
        <v>152</v>
      </c>
      <c r="I373" s="143">
        <v>-177</v>
      </c>
      <c r="J373" s="143">
        <v>1</v>
      </c>
      <c r="K373" s="149" t="s">
        <v>311</v>
      </c>
      <c r="L373" s="150">
        <f t="shared" si="62"/>
        <v>-1</v>
      </c>
      <c r="M373" s="150">
        <f t="shared" si="63"/>
        <v>-1</v>
      </c>
      <c r="N373" s="151">
        <f t="shared" si="64"/>
        <v>0</v>
      </c>
      <c r="O373" s="151">
        <f t="shared" si="65"/>
        <v>0.13612610005617309</v>
      </c>
      <c r="P373" s="151">
        <f t="shared" si="66"/>
        <v>0.51923076923076927</v>
      </c>
      <c r="Q373" s="151">
        <f t="shared" si="67"/>
        <v>0.38310466917459618</v>
      </c>
      <c r="R373" s="150">
        <f t="shared" si="68"/>
        <v>2.52</v>
      </c>
      <c r="S373" s="150">
        <f t="shared" si="69"/>
        <v>2.52</v>
      </c>
      <c r="T373" s="150">
        <f t="shared" si="70"/>
        <v>1.5649717514124295</v>
      </c>
      <c r="U373" s="152"/>
      <c r="V373" s="143"/>
      <c r="W373" s="102">
        <f t="shared" si="71"/>
        <v>0</v>
      </c>
      <c r="X373" s="153">
        <f t="shared" si="72"/>
        <v>0</v>
      </c>
      <c r="Y373" s="102"/>
      <c r="Z373" s="102"/>
      <c r="AA373" s="102"/>
      <c r="AB373" s="102"/>
      <c r="AC373" s="102"/>
      <c r="AD373" s="102"/>
      <c r="AE373" s="102"/>
      <c r="AF373" s="102"/>
      <c r="AG373" s="102"/>
      <c r="AH373" s="102"/>
      <c r="AI373" s="102"/>
      <c r="AJ373" s="102"/>
      <c r="AK373" s="102"/>
      <c r="AL373" s="102"/>
      <c r="AM373" s="102"/>
    </row>
    <row r="374" spans="1:39">
      <c r="A374" s="143" t="s">
        <v>238</v>
      </c>
      <c r="B374" s="143" t="s">
        <v>361</v>
      </c>
      <c r="C374" s="145">
        <v>45896</v>
      </c>
      <c r="D374" s="143" t="s">
        <v>711</v>
      </c>
      <c r="E374" s="146" t="s">
        <v>712</v>
      </c>
      <c r="F374" s="147">
        <v>-290</v>
      </c>
      <c r="G374" s="147">
        <v>-159</v>
      </c>
      <c r="H374" s="148">
        <v>-177</v>
      </c>
      <c r="I374" s="143">
        <v>147</v>
      </c>
      <c r="J374" s="143">
        <v>1</v>
      </c>
      <c r="K374" s="149" t="s">
        <v>350</v>
      </c>
      <c r="L374" s="150">
        <f t="shared" si="62"/>
        <v>0.62893081761006275</v>
      </c>
      <c r="M374" s="150">
        <f t="shared" si="63"/>
        <v>0.5649717514124295</v>
      </c>
      <c r="N374" s="151">
        <f t="shared" si="64"/>
        <v>4.0869150602819752E-2</v>
      </c>
      <c r="O374" s="151">
        <f t="shared" si="65"/>
        <v>0.13144171575401364</v>
      </c>
      <c r="P374" s="151">
        <f t="shared" si="66"/>
        <v>0.74358974358974361</v>
      </c>
      <c r="Q374" s="151">
        <f t="shared" si="67"/>
        <v>0.61214802783572997</v>
      </c>
      <c r="R374" s="150">
        <f t="shared" si="68"/>
        <v>1.6289308176100628</v>
      </c>
      <c r="S374" s="150">
        <f t="shared" si="69"/>
        <v>1.5649717514124295</v>
      </c>
      <c r="T374" s="150">
        <f t="shared" si="70"/>
        <v>2.4699999999999998</v>
      </c>
      <c r="U374" s="152"/>
      <c r="V374" s="143"/>
      <c r="W374" s="102">
        <f t="shared" si="71"/>
        <v>1</v>
      </c>
      <c r="X374" s="153">
        <f t="shared" si="72"/>
        <v>0</v>
      </c>
      <c r="Y374" s="102"/>
      <c r="Z374" s="102"/>
      <c r="AA374" s="102"/>
      <c r="AB374" s="102"/>
      <c r="AC374" s="102"/>
      <c r="AD374" s="102"/>
      <c r="AE374" s="102"/>
      <c r="AF374" s="102"/>
      <c r="AG374" s="102"/>
      <c r="AH374" s="102"/>
      <c r="AI374" s="102"/>
      <c r="AJ374" s="102"/>
      <c r="AK374" s="102"/>
      <c r="AL374" s="102"/>
      <c r="AM374" s="102"/>
    </row>
    <row r="375" spans="1:39">
      <c r="A375" s="143" t="s">
        <v>238</v>
      </c>
      <c r="B375" s="143" t="s">
        <v>361</v>
      </c>
      <c r="C375" s="145">
        <v>45897</v>
      </c>
      <c r="D375" s="143" t="s">
        <v>713</v>
      </c>
      <c r="E375" s="146" t="s">
        <v>644</v>
      </c>
      <c r="F375" s="147">
        <v>-130</v>
      </c>
      <c r="G375" s="147">
        <v>166</v>
      </c>
      <c r="H375" s="148">
        <v>159</v>
      </c>
      <c r="I375" s="143">
        <v>-186</v>
      </c>
      <c r="J375" s="143">
        <v>1</v>
      </c>
      <c r="K375" s="149" t="s">
        <v>311</v>
      </c>
      <c r="L375" s="150">
        <f t="shared" si="62"/>
        <v>-1</v>
      </c>
      <c r="M375" s="150">
        <f t="shared" si="63"/>
        <v>-1</v>
      </c>
      <c r="N375" s="151">
        <f t="shared" si="64"/>
        <v>2.7027027027027098E-2</v>
      </c>
      <c r="O375" s="151">
        <f t="shared" si="65"/>
        <v>0.19269544377002623</v>
      </c>
      <c r="P375" s="151">
        <f t="shared" si="66"/>
        <v>0.56521739130434778</v>
      </c>
      <c r="Q375" s="151">
        <f t="shared" si="67"/>
        <v>0.37252194753432155</v>
      </c>
      <c r="R375" s="150">
        <f t="shared" si="68"/>
        <v>2.66</v>
      </c>
      <c r="S375" s="150">
        <f t="shared" si="69"/>
        <v>2.59</v>
      </c>
      <c r="T375" s="150">
        <f t="shared" si="70"/>
        <v>1.5376344086021505</v>
      </c>
      <c r="U375" s="152"/>
      <c r="V375" s="143"/>
      <c r="W375" s="102">
        <f t="shared" si="71"/>
        <v>0</v>
      </c>
      <c r="X375" s="153">
        <f t="shared" si="72"/>
        <v>0</v>
      </c>
      <c r="Y375" s="102"/>
      <c r="Z375" s="102"/>
      <c r="AA375" s="102"/>
      <c r="AB375" s="102"/>
      <c r="AC375" s="102"/>
      <c r="AD375" s="102"/>
      <c r="AE375" s="102"/>
      <c r="AF375" s="102"/>
      <c r="AG375" s="102"/>
      <c r="AH375" s="102"/>
      <c r="AI375" s="102"/>
      <c r="AJ375" s="102"/>
      <c r="AK375" s="102"/>
      <c r="AL375" s="102"/>
      <c r="AM375" s="102"/>
    </row>
    <row r="376" spans="1:39">
      <c r="A376" s="143" t="s">
        <v>238</v>
      </c>
      <c r="B376" s="143" t="s">
        <v>361</v>
      </c>
      <c r="C376" s="145">
        <v>45897</v>
      </c>
      <c r="D376" s="143" t="s">
        <v>709</v>
      </c>
      <c r="E376" s="146" t="s">
        <v>409</v>
      </c>
      <c r="F376" s="147">
        <v>-350</v>
      </c>
      <c r="G376" s="147">
        <v>-111</v>
      </c>
      <c r="H376" s="148">
        <v>-115</v>
      </c>
      <c r="I376" s="143">
        <v>100</v>
      </c>
      <c r="J376" s="143">
        <v>1</v>
      </c>
      <c r="K376" s="149" t="s">
        <v>351</v>
      </c>
      <c r="L376" s="150">
        <f t="shared" si="62"/>
        <v>0</v>
      </c>
      <c r="M376" s="150">
        <f t="shared" si="63"/>
        <v>0</v>
      </c>
      <c r="N376" s="151">
        <f t="shared" si="64"/>
        <v>1.6760946993505266E-2</v>
      </c>
      <c r="O376" s="151">
        <f t="shared" si="65"/>
        <v>0.26092384519350809</v>
      </c>
      <c r="P376" s="151">
        <f t="shared" si="66"/>
        <v>0.77777777777777779</v>
      </c>
      <c r="Q376" s="151">
        <f t="shared" si="67"/>
        <v>0.5168539325842697</v>
      </c>
      <c r="R376" s="150">
        <f t="shared" si="68"/>
        <v>1.900900900900901</v>
      </c>
      <c r="S376" s="150">
        <f t="shared" si="69"/>
        <v>1.8695652173913042</v>
      </c>
      <c r="T376" s="150">
        <f t="shared" si="70"/>
        <v>2</v>
      </c>
      <c r="U376" s="152"/>
      <c r="V376" s="143"/>
      <c r="W376" s="102">
        <f t="shared" si="71"/>
        <v>2</v>
      </c>
      <c r="X376" s="153">
        <f t="shared" si="72"/>
        <v>0</v>
      </c>
      <c r="Y376" s="102"/>
      <c r="Z376" s="102"/>
      <c r="AA376" s="102"/>
      <c r="AB376" s="102"/>
      <c r="AC376" s="102"/>
      <c r="AD376" s="102"/>
      <c r="AE376" s="102"/>
      <c r="AF376" s="102"/>
      <c r="AG376" s="102"/>
      <c r="AH376" s="102"/>
      <c r="AI376" s="102"/>
      <c r="AJ376" s="102"/>
      <c r="AK376" s="102"/>
      <c r="AL376" s="102"/>
      <c r="AM376" s="102"/>
    </row>
    <row r="377" spans="1:39">
      <c r="A377" s="143" t="s">
        <v>238</v>
      </c>
      <c r="B377" s="143" t="s">
        <v>361</v>
      </c>
      <c r="C377" s="145">
        <v>45898</v>
      </c>
      <c r="D377" s="143" t="s">
        <v>714</v>
      </c>
      <c r="E377" s="146" t="s">
        <v>715</v>
      </c>
      <c r="F377" s="147">
        <v>-117</v>
      </c>
      <c r="G377" s="147">
        <v>129</v>
      </c>
      <c r="H377" s="148">
        <v>137</v>
      </c>
      <c r="I377" s="143">
        <v>-158</v>
      </c>
      <c r="J377" s="143">
        <v>1</v>
      </c>
      <c r="K377" s="149" t="s">
        <v>311</v>
      </c>
      <c r="L377" s="150">
        <f t="shared" si="62"/>
        <v>-1</v>
      </c>
      <c r="M377" s="150">
        <f t="shared" si="63"/>
        <v>-1</v>
      </c>
      <c r="N377" s="151">
        <f t="shared" si="64"/>
        <v>-3.3755274261603525E-2</v>
      </c>
      <c r="O377" s="151">
        <f t="shared" si="65"/>
        <v>0.13123957056864199</v>
      </c>
      <c r="P377" s="151">
        <f t="shared" si="66"/>
        <v>0.53917050691244239</v>
      </c>
      <c r="Q377" s="151">
        <f t="shared" si="67"/>
        <v>0.4079309363438004</v>
      </c>
      <c r="R377" s="150">
        <f t="shared" si="68"/>
        <v>2.29</v>
      </c>
      <c r="S377" s="150">
        <f t="shared" si="69"/>
        <v>2.37</v>
      </c>
      <c r="T377" s="150">
        <f t="shared" si="70"/>
        <v>1.6329113924050633</v>
      </c>
      <c r="U377" s="152"/>
      <c r="V377" s="143"/>
      <c r="W377" s="102">
        <f t="shared" si="71"/>
        <v>0</v>
      </c>
      <c r="X377" s="153">
        <f t="shared" si="72"/>
        <v>0</v>
      </c>
      <c r="Y377" s="102"/>
      <c r="Z377" s="102"/>
      <c r="AA377" s="102"/>
      <c r="AB377" s="102"/>
      <c r="AC377" s="102"/>
      <c r="AD377" s="102"/>
      <c r="AE377" s="102"/>
      <c r="AF377" s="102"/>
      <c r="AG377" s="102"/>
      <c r="AH377" s="102"/>
      <c r="AI377" s="102"/>
      <c r="AJ377" s="102"/>
      <c r="AK377" s="102"/>
      <c r="AL377" s="102"/>
      <c r="AM377" s="102"/>
    </row>
    <row r="378" spans="1:39">
      <c r="A378" s="143" t="s">
        <v>238</v>
      </c>
      <c r="B378" s="143" t="s">
        <v>361</v>
      </c>
      <c r="C378" s="145">
        <v>45898</v>
      </c>
      <c r="D378" s="143" t="s">
        <v>716</v>
      </c>
      <c r="E378" s="146" t="s">
        <v>409</v>
      </c>
      <c r="F378" s="147">
        <v>-165</v>
      </c>
      <c r="G378" s="147">
        <v>-119</v>
      </c>
      <c r="H378" s="148">
        <v>-123</v>
      </c>
      <c r="I378" s="143">
        <v>107</v>
      </c>
      <c r="J378" s="143">
        <v>1</v>
      </c>
      <c r="K378" s="149" t="s">
        <v>311</v>
      </c>
      <c r="L378" s="150">
        <f t="shared" si="62"/>
        <v>-1</v>
      </c>
      <c r="M378" s="150">
        <f t="shared" si="63"/>
        <v>-1</v>
      </c>
      <c r="N378" s="151">
        <f t="shared" si="64"/>
        <v>1.507329389154788E-2</v>
      </c>
      <c r="O378" s="151">
        <f t="shared" si="65"/>
        <v>8.9549656248308573E-2</v>
      </c>
      <c r="P378" s="151">
        <f t="shared" si="66"/>
        <v>0.62264150943396224</v>
      </c>
      <c r="Q378" s="151">
        <f t="shared" si="67"/>
        <v>0.53309185318565366</v>
      </c>
      <c r="R378" s="150">
        <f t="shared" si="68"/>
        <v>1.8403361344537816</v>
      </c>
      <c r="S378" s="150">
        <f t="shared" si="69"/>
        <v>1.8130081300813008</v>
      </c>
      <c r="T378" s="150">
        <f t="shared" si="70"/>
        <v>2.0700000000000003</v>
      </c>
      <c r="U378" s="152"/>
      <c r="V378" s="143"/>
      <c r="W378" s="102">
        <f t="shared" si="71"/>
        <v>0</v>
      </c>
      <c r="X378" s="153">
        <f t="shared" si="72"/>
        <v>0</v>
      </c>
      <c r="Y378" s="102"/>
      <c r="Z378" s="102"/>
      <c r="AA378" s="102"/>
      <c r="AB378" s="102"/>
      <c r="AC378" s="102"/>
      <c r="AD378" s="102"/>
      <c r="AE378" s="102"/>
      <c r="AF378" s="102"/>
      <c r="AG378" s="102"/>
      <c r="AH378" s="102"/>
      <c r="AI378" s="102"/>
      <c r="AJ378" s="102"/>
      <c r="AK378" s="102"/>
      <c r="AL378" s="102"/>
      <c r="AM378" s="102"/>
    </row>
    <row r="379" spans="1:39">
      <c r="A379" s="143" t="s">
        <v>238</v>
      </c>
      <c r="B379" s="143" t="s">
        <v>361</v>
      </c>
      <c r="C379" s="145">
        <v>45898</v>
      </c>
      <c r="D379" s="143" t="s">
        <v>717</v>
      </c>
      <c r="E379" s="146" t="s">
        <v>465</v>
      </c>
      <c r="F379" s="147">
        <v>-201</v>
      </c>
      <c r="G379" s="147">
        <v>-153</v>
      </c>
      <c r="H379" s="148">
        <v>-154</v>
      </c>
      <c r="I379" s="143">
        <v>134</v>
      </c>
      <c r="J379" s="143">
        <v>1</v>
      </c>
      <c r="K379" s="149" t="s">
        <v>350</v>
      </c>
      <c r="L379" s="150">
        <f t="shared" si="62"/>
        <v>0.65359477124182996</v>
      </c>
      <c r="M379" s="150">
        <f t="shared" si="63"/>
        <v>0.64935064935064934</v>
      </c>
      <c r="N379" s="151">
        <f t="shared" si="64"/>
        <v>2.5732077607945598E-3</v>
      </c>
      <c r="O379" s="151">
        <f t="shared" si="65"/>
        <v>8.1212461272936465E-2</v>
      </c>
      <c r="P379" s="151">
        <f t="shared" si="66"/>
        <v>0.66777408637873759</v>
      </c>
      <c r="Q379" s="151">
        <f t="shared" si="67"/>
        <v>0.58656162510580112</v>
      </c>
      <c r="R379" s="150">
        <f t="shared" si="68"/>
        <v>1.65359477124183</v>
      </c>
      <c r="S379" s="150">
        <f t="shared" si="69"/>
        <v>1.6493506493506493</v>
      </c>
      <c r="T379" s="150">
        <f t="shared" si="70"/>
        <v>2.34</v>
      </c>
      <c r="U379" s="152"/>
      <c r="V379" s="143"/>
      <c r="W379" s="102">
        <f t="shared" si="71"/>
        <v>1</v>
      </c>
      <c r="X379" s="153">
        <f t="shared" si="72"/>
        <v>0</v>
      </c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</row>
    <row r="380" spans="1:39">
      <c r="A380" s="143" t="s">
        <v>238</v>
      </c>
      <c r="B380" s="143" t="s">
        <v>361</v>
      </c>
      <c r="C380" s="145">
        <v>45900</v>
      </c>
      <c r="D380" s="143" t="s">
        <v>713</v>
      </c>
      <c r="E380" s="146" t="s">
        <v>644</v>
      </c>
      <c r="F380" s="147">
        <v>-181</v>
      </c>
      <c r="G380" s="147">
        <v>134</v>
      </c>
      <c r="H380" s="148">
        <v>136</v>
      </c>
      <c r="I380" s="143">
        <v>-158</v>
      </c>
      <c r="J380" s="143">
        <v>1</v>
      </c>
      <c r="K380" s="149" t="s">
        <v>311</v>
      </c>
      <c r="L380" s="150">
        <f t="shared" si="62"/>
        <v>-1</v>
      </c>
      <c r="M380" s="150">
        <f t="shared" si="63"/>
        <v>-1</v>
      </c>
      <c r="N380" s="151">
        <f t="shared" si="64"/>
        <v>-8.4745762711866991E-3</v>
      </c>
      <c r="O380" s="151">
        <f t="shared" si="65"/>
        <v>0.2351755396969088</v>
      </c>
      <c r="P380" s="151">
        <f t="shared" si="66"/>
        <v>0.64412811387900359</v>
      </c>
      <c r="Q380" s="151">
        <f t="shared" si="67"/>
        <v>0.4089525741820948</v>
      </c>
      <c r="R380" s="150">
        <f t="shared" si="68"/>
        <v>2.34</v>
      </c>
      <c r="S380" s="150">
        <f t="shared" si="69"/>
        <v>2.3600000000000003</v>
      </c>
      <c r="T380" s="150">
        <f t="shared" si="70"/>
        <v>1.6329113924050633</v>
      </c>
      <c r="U380" s="152"/>
      <c r="V380" s="143"/>
      <c r="W380" s="102">
        <f t="shared" si="71"/>
        <v>0</v>
      </c>
      <c r="X380" s="153">
        <f t="shared" si="72"/>
        <v>0</v>
      </c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</row>
    <row r="381" spans="1:39">
      <c r="A381" s="143" t="s">
        <v>238</v>
      </c>
      <c r="B381" s="143" t="s">
        <v>361</v>
      </c>
      <c r="C381" s="145">
        <v>45900</v>
      </c>
      <c r="D381" s="143" t="s">
        <v>718</v>
      </c>
      <c r="E381" s="146" t="s">
        <v>454</v>
      </c>
      <c r="F381" s="147">
        <v>-159</v>
      </c>
      <c r="G381" s="147">
        <v>124</v>
      </c>
      <c r="H381" s="148">
        <v>129</v>
      </c>
      <c r="I381" s="143">
        <v>-149</v>
      </c>
      <c r="J381" s="143">
        <v>1</v>
      </c>
      <c r="K381" s="149" t="s">
        <v>311</v>
      </c>
      <c r="L381" s="150">
        <f t="shared" si="62"/>
        <v>-1</v>
      </c>
      <c r="M381" s="150">
        <f t="shared" si="63"/>
        <v>-1</v>
      </c>
      <c r="N381" s="151">
        <f t="shared" si="64"/>
        <v>-2.1834061135371067E-2</v>
      </c>
      <c r="O381" s="151">
        <f t="shared" si="65"/>
        <v>0.19201587760236377</v>
      </c>
      <c r="P381" s="151">
        <f t="shared" si="66"/>
        <v>0.61389961389961389</v>
      </c>
      <c r="Q381" s="151">
        <f t="shared" si="67"/>
        <v>0.42188373629725012</v>
      </c>
      <c r="R381" s="150">
        <f t="shared" si="68"/>
        <v>2.2400000000000002</v>
      </c>
      <c r="S381" s="150">
        <f t="shared" si="69"/>
        <v>2.29</v>
      </c>
      <c r="T381" s="150">
        <f t="shared" si="70"/>
        <v>1.6711409395973154</v>
      </c>
      <c r="U381" s="152"/>
      <c r="V381" s="143"/>
      <c r="W381" s="102">
        <f t="shared" si="71"/>
        <v>0</v>
      </c>
      <c r="X381" s="153">
        <f t="shared" si="72"/>
        <v>0</v>
      </c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</row>
    <row r="382" spans="1:39">
      <c r="A382" s="143" t="s">
        <v>238</v>
      </c>
      <c r="B382" s="143" t="s">
        <v>361</v>
      </c>
      <c r="C382" s="145">
        <v>45900</v>
      </c>
      <c r="D382" s="143" t="s">
        <v>470</v>
      </c>
      <c r="E382" s="146" t="s">
        <v>441</v>
      </c>
      <c r="F382" s="147">
        <v>106</v>
      </c>
      <c r="G382" s="147">
        <v>157</v>
      </c>
      <c r="H382" s="148">
        <v>156</v>
      </c>
      <c r="I382" s="143">
        <v>-182</v>
      </c>
      <c r="J382" s="143">
        <v>1</v>
      </c>
      <c r="K382" s="149" t="s">
        <v>311</v>
      </c>
      <c r="L382" s="150">
        <f t="shared" si="62"/>
        <v>-1</v>
      </c>
      <c r="M382" s="150">
        <f t="shared" si="63"/>
        <v>-1</v>
      </c>
      <c r="N382" s="151">
        <f t="shared" si="64"/>
        <v>3.9062500000001292E-3</v>
      </c>
      <c r="O382" s="151">
        <f t="shared" si="65"/>
        <v>0.10839121986983707</v>
      </c>
      <c r="P382" s="151">
        <f t="shared" si="66"/>
        <v>0.4854368932038835</v>
      </c>
      <c r="Q382" s="151">
        <f t="shared" si="67"/>
        <v>0.37704567333404643</v>
      </c>
      <c r="R382" s="150">
        <f t="shared" si="68"/>
        <v>2.5700000000000003</v>
      </c>
      <c r="S382" s="150">
        <f t="shared" si="69"/>
        <v>2.56</v>
      </c>
      <c r="T382" s="150">
        <f t="shared" si="70"/>
        <v>1.5494505494505495</v>
      </c>
      <c r="U382" s="152"/>
      <c r="V382" s="143"/>
      <c r="W382" s="102">
        <f t="shared" si="71"/>
        <v>0</v>
      </c>
      <c r="X382" s="153">
        <f t="shared" si="72"/>
        <v>0</v>
      </c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</row>
    <row r="383" spans="1:39">
      <c r="A383" s="143" t="s">
        <v>238</v>
      </c>
      <c r="B383" s="143" t="s">
        <v>361</v>
      </c>
      <c r="C383" s="145">
        <v>45900</v>
      </c>
      <c r="D383" s="143" t="s">
        <v>719</v>
      </c>
      <c r="E383" s="146" t="s">
        <v>439</v>
      </c>
      <c r="F383" s="147">
        <v>-235</v>
      </c>
      <c r="G383" s="147">
        <v>-152</v>
      </c>
      <c r="H383" s="148">
        <v>-171</v>
      </c>
      <c r="I383" s="143">
        <v>147</v>
      </c>
      <c r="J383" s="143">
        <v>1</v>
      </c>
      <c r="K383" s="149" t="s">
        <v>350</v>
      </c>
      <c r="L383" s="150">
        <f t="shared" si="62"/>
        <v>0.65789473684210531</v>
      </c>
      <c r="M383" s="150">
        <f t="shared" si="63"/>
        <v>0.58479532163742687</v>
      </c>
      <c r="N383" s="151">
        <f t="shared" si="64"/>
        <v>4.6125461254612608E-2</v>
      </c>
      <c r="O383" s="151">
        <f t="shared" si="65"/>
        <v>9.2337252256392555E-2</v>
      </c>
      <c r="P383" s="151">
        <f t="shared" si="66"/>
        <v>0.70149253731343286</v>
      </c>
      <c r="Q383" s="151">
        <f t="shared" si="67"/>
        <v>0.60915528505704031</v>
      </c>
      <c r="R383" s="150">
        <f t="shared" si="68"/>
        <v>1.6578947368421053</v>
      </c>
      <c r="S383" s="150">
        <f t="shared" si="69"/>
        <v>1.5847953216374269</v>
      </c>
      <c r="T383" s="150">
        <f t="shared" si="70"/>
        <v>2.4699999999999998</v>
      </c>
      <c r="U383" s="152"/>
      <c r="V383" s="143"/>
      <c r="W383" s="102">
        <f t="shared" si="71"/>
        <v>1</v>
      </c>
      <c r="X383" s="153">
        <f t="shared" si="72"/>
        <v>0</v>
      </c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</row>
    <row r="384" spans="1:39">
      <c r="A384" s="143" t="s">
        <v>238</v>
      </c>
      <c r="B384" s="143" t="s">
        <v>361</v>
      </c>
      <c r="C384" s="145">
        <v>45901</v>
      </c>
      <c r="D384" s="143" t="s">
        <v>720</v>
      </c>
      <c r="E384" s="146" t="s">
        <v>721</v>
      </c>
      <c r="F384" s="147">
        <v>-202</v>
      </c>
      <c r="G384" s="147">
        <v>127</v>
      </c>
      <c r="H384" s="148">
        <v>136</v>
      </c>
      <c r="I384" s="143">
        <v>-157</v>
      </c>
      <c r="J384" s="143">
        <v>1</v>
      </c>
      <c r="K384" s="149" t="s">
        <v>350</v>
      </c>
      <c r="L384" s="150">
        <f t="shared" si="62"/>
        <v>1.27</v>
      </c>
      <c r="M384" s="150">
        <f t="shared" si="63"/>
        <v>1.3600000000000003</v>
      </c>
      <c r="N384" s="151">
        <f t="shared" si="64"/>
        <v>-3.813559322033911E-2</v>
      </c>
      <c r="O384" s="151">
        <f t="shared" si="65"/>
        <v>0.25932547254239124</v>
      </c>
      <c r="P384" s="151">
        <f t="shared" si="66"/>
        <v>0.66887417218543044</v>
      </c>
      <c r="Q384" s="151">
        <f t="shared" si="67"/>
        <v>0.40954869964303919</v>
      </c>
      <c r="R384" s="150">
        <f t="shared" si="68"/>
        <v>2.27</v>
      </c>
      <c r="S384" s="150">
        <f t="shared" si="69"/>
        <v>2.3600000000000003</v>
      </c>
      <c r="T384" s="150">
        <f t="shared" si="70"/>
        <v>1.6369426751592355</v>
      </c>
      <c r="U384" s="152"/>
      <c r="V384" s="143"/>
      <c r="W384" s="102">
        <f t="shared" si="71"/>
        <v>1</v>
      </c>
      <c r="X384" s="153">
        <f t="shared" si="72"/>
        <v>0</v>
      </c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</row>
    <row r="385" spans="1:39">
      <c r="A385" s="143" t="s">
        <v>238</v>
      </c>
      <c r="B385" s="143" t="s">
        <v>361</v>
      </c>
      <c r="C385" s="145">
        <v>45901</v>
      </c>
      <c r="D385" s="143" t="s">
        <v>722</v>
      </c>
      <c r="E385" s="146" t="s">
        <v>723</v>
      </c>
      <c r="F385" s="147">
        <v>-136</v>
      </c>
      <c r="G385" s="147">
        <v>127</v>
      </c>
      <c r="H385" s="148">
        <v>121</v>
      </c>
      <c r="I385" s="143">
        <v>-140</v>
      </c>
      <c r="J385" s="143">
        <v>1</v>
      </c>
      <c r="K385" s="149" t="s">
        <v>311</v>
      </c>
      <c r="L385" s="150">
        <f t="shared" si="62"/>
        <v>-1</v>
      </c>
      <c r="M385" s="150">
        <f t="shared" si="63"/>
        <v>-1</v>
      </c>
      <c r="N385" s="151">
        <f t="shared" si="64"/>
        <v>2.7149321266968372E-2</v>
      </c>
      <c r="O385" s="151">
        <f t="shared" si="65"/>
        <v>0.13943099714326257</v>
      </c>
      <c r="P385" s="151">
        <f t="shared" si="66"/>
        <v>0.57627118644067798</v>
      </c>
      <c r="Q385" s="151">
        <f t="shared" si="67"/>
        <v>0.43684018929741542</v>
      </c>
      <c r="R385" s="150">
        <f t="shared" si="68"/>
        <v>2.27</v>
      </c>
      <c r="S385" s="150">
        <f t="shared" si="69"/>
        <v>2.21</v>
      </c>
      <c r="T385" s="150">
        <f t="shared" si="70"/>
        <v>1.7142857142857144</v>
      </c>
      <c r="U385" s="152"/>
      <c r="V385" s="143"/>
      <c r="W385" s="102">
        <f t="shared" si="71"/>
        <v>0</v>
      </c>
      <c r="X385" s="153">
        <f t="shared" si="72"/>
        <v>0</v>
      </c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</row>
    <row r="386" spans="1:39">
      <c r="A386" s="143" t="s">
        <v>238</v>
      </c>
      <c r="B386" s="143" t="s">
        <v>361</v>
      </c>
      <c r="C386" s="145">
        <v>45902</v>
      </c>
      <c r="D386" s="143" t="s">
        <v>724</v>
      </c>
      <c r="E386" s="146" t="s">
        <v>391</v>
      </c>
      <c r="F386" s="147">
        <v>-285</v>
      </c>
      <c r="G386" s="147">
        <v>-142</v>
      </c>
      <c r="H386" s="148">
        <v>-138</v>
      </c>
      <c r="I386" s="143">
        <v>120</v>
      </c>
      <c r="J386" s="143">
        <v>1</v>
      </c>
      <c r="K386" s="149" t="s">
        <v>350</v>
      </c>
      <c r="L386" s="150">
        <f t="shared" si="62"/>
        <v>0.70422535211267601</v>
      </c>
      <c r="M386" s="150">
        <f t="shared" si="63"/>
        <v>0.7246376811594204</v>
      </c>
      <c r="N386" s="151">
        <f t="shared" si="64"/>
        <v>-1.1835720203574566E-2</v>
      </c>
      <c r="O386" s="151">
        <f t="shared" si="65"/>
        <v>0.17969844040745087</v>
      </c>
      <c r="P386" s="151">
        <f t="shared" si="66"/>
        <v>0.74025974025974028</v>
      </c>
      <c r="Q386" s="151">
        <f t="shared" si="67"/>
        <v>0.56056129985228942</v>
      </c>
      <c r="R386" s="150">
        <f t="shared" si="68"/>
        <v>1.704225352112676</v>
      </c>
      <c r="S386" s="150">
        <f t="shared" si="69"/>
        <v>1.7246376811594204</v>
      </c>
      <c r="T386" s="150">
        <f t="shared" si="70"/>
        <v>2.2000000000000002</v>
      </c>
      <c r="U386" s="152"/>
      <c r="V386" s="143"/>
      <c r="W386" s="102">
        <f t="shared" si="71"/>
        <v>1</v>
      </c>
      <c r="X386" s="153">
        <f t="shared" si="72"/>
        <v>0</v>
      </c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</row>
    <row r="387" spans="1:39">
      <c r="A387" s="143" t="s">
        <v>238</v>
      </c>
      <c r="B387" s="143" t="s">
        <v>361</v>
      </c>
      <c r="C387" s="145">
        <v>45903</v>
      </c>
      <c r="D387" s="143" t="s">
        <v>725</v>
      </c>
      <c r="E387" s="146" t="s">
        <v>525</v>
      </c>
      <c r="F387" s="147">
        <v>-109</v>
      </c>
      <c r="G387" s="147">
        <v>129</v>
      </c>
      <c r="H387" s="148">
        <v>137</v>
      </c>
      <c r="I387" s="143">
        <v>-158</v>
      </c>
      <c r="J387" s="143">
        <v>1</v>
      </c>
      <c r="K387" s="149" t="s">
        <v>350</v>
      </c>
      <c r="L387" s="150">
        <f t="shared" si="62"/>
        <v>1.29</v>
      </c>
      <c r="M387" s="150">
        <f t="shared" si="63"/>
        <v>1.37</v>
      </c>
      <c r="N387" s="151">
        <f t="shared" si="64"/>
        <v>-3.3755274261603525E-2</v>
      </c>
      <c r="O387" s="151">
        <f t="shared" si="65"/>
        <v>0.11360016413466845</v>
      </c>
      <c r="P387" s="151">
        <f t="shared" si="66"/>
        <v>0.52153110047846885</v>
      </c>
      <c r="Q387" s="151">
        <f t="shared" si="67"/>
        <v>0.4079309363438004</v>
      </c>
      <c r="R387" s="150">
        <f t="shared" si="68"/>
        <v>2.29</v>
      </c>
      <c r="S387" s="150">
        <f t="shared" si="69"/>
        <v>2.37</v>
      </c>
      <c r="T387" s="150">
        <f t="shared" si="70"/>
        <v>1.6329113924050633</v>
      </c>
      <c r="U387" s="152"/>
      <c r="V387" s="143"/>
      <c r="W387" s="102">
        <f t="shared" si="71"/>
        <v>1</v>
      </c>
      <c r="X387" s="153">
        <f t="shared" si="72"/>
        <v>0</v>
      </c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</row>
    <row r="388" spans="1:39">
      <c r="A388" s="143" t="s">
        <v>238</v>
      </c>
      <c r="B388" s="143" t="s">
        <v>361</v>
      </c>
      <c r="C388" s="145">
        <v>45903</v>
      </c>
      <c r="D388" s="143" t="s">
        <v>726</v>
      </c>
      <c r="E388" s="146" t="s">
        <v>454</v>
      </c>
      <c r="F388" s="147">
        <v>-132</v>
      </c>
      <c r="G388" s="147">
        <v>142</v>
      </c>
      <c r="H388" s="148">
        <v>153</v>
      </c>
      <c r="I388" s="143">
        <v>-178</v>
      </c>
      <c r="J388" s="143">
        <v>1</v>
      </c>
      <c r="K388" s="149" t="s">
        <v>311</v>
      </c>
      <c r="L388" s="150">
        <f t="shared" si="62"/>
        <v>-1</v>
      </c>
      <c r="M388" s="150">
        <f t="shared" si="63"/>
        <v>-1</v>
      </c>
      <c r="N388" s="151">
        <f t="shared" si="64"/>
        <v>-4.347826086956539E-2</v>
      </c>
      <c r="O388" s="151">
        <f t="shared" si="65"/>
        <v>0.18727564712577405</v>
      </c>
      <c r="P388" s="151">
        <f t="shared" si="66"/>
        <v>0.56896551724137934</v>
      </c>
      <c r="Q388" s="151">
        <f t="shared" si="67"/>
        <v>0.38168987011560529</v>
      </c>
      <c r="R388" s="150">
        <f t="shared" si="68"/>
        <v>2.42</v>
      </c>
      <c r="S388" s="150">
        <f t="shared" si="69"/>
        <v>2.5300000000000002</v>
      </c>
      <c r="T388" s="150">
        <f t="shared" si="70"/>
        <v>1.5617977528089888</v>
      </c>
      <c r="U388" s="152"/>
      <c r="V388" s="143"/>
      <c r="W388" s="102">
        <f t="shared" si="71"/>
        <v>0</v>
      </c>
      <c r="X388" s="153">
        <f t="shared" si="72"/>
        <v>0</v>
      </c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</row>
    <row r="389" spans="1:39">
      <c r="A389" s="143" t="s">
        <v>238</v>
      </c>
      <c r="B389" s="143" t="s">
        <v>361</v>
      </c>
      <c r="C389" s="145">
        <v>45903</v>
      </c>
      <c r="D389" s="143" t="s">
        <v>727</v>
      </c>
      <c r="E389" s="146" t="s">
        <v>519</v>
      </c>
      <c r="F389" s="147">
        <v>-143</v>
      </c>
      <c r="G389" s="147">
        <v>101</v>
      </c>
      <c r="H389" s="148">
        <v>108</v>
      </c>
      <c r="I389" s="143">
        <v>-124</v>
      </c>
      <c r="J389" s="143">
        <v>1</v>
      </c>
      <c r="K389" s="149" t="s">
        <v>350</v>
      </c>
      <c r="L389" s="150">
        <f t="shared" si="62"/>
        <v>1.0099999999999998</v>
      </c>
      <c r="M389" s="150">
        <f t="shared" si="63"/>
        <v>1.08</v>
      </c>
      <c r="N389" s="151">
        <f t="shared" si="64"/>
        <v>-3.3653846153846367E-2</v>
      </c>
      <c r="O389" s="151">
        <f t="shared" si="65"/>
        <v>0.12366992933615328</v>
      </c>
      <c r="P389" s="151">
        <f t="shared" si="66"/>
        <v>0.58847736625514402</v>
      </c>
      <c r="Q389" s="151">
        <f t="shared" si="67"/>
        <v>0.46480743691899074</v>
      </c>
      <c r="R389" s="150">
        <f t="shared" si="68"/>
        <v>2.0099999999999998</v>
      </c>
      <c r="S389" s="150">
        <f t="shared" si="69"/>
        <v>2.08</v>
      </c>
      <c r="T389" s="150">
        <f t="shared" si="70"/>
        <v>1.8064516129032258</v>
      </c>
      <c r="U389" s="152"/>
      <c r="V389" s="143"/>
      <c r="W389" s="102">
        <f t="shared" si="71"/>
        <v>1</v>
      </c>
      <c r="X389" s="153">
        <f t="shared" si="72"/>
        <v>0</v>
      </c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</row>
    <row r="390" spans="1:39">
      <c r="A390" s="143" t="s">
        <v>238</v>
      </c>
      <c r="B390" s="143" t="s">
        <v>361</v>
      </c>
      <c r="C390" s="145">
        <v>45903</v>
      </c>
      <c r="D390" s="143" t="s">
        <v>728</v>
      </c>
      <c r="E390" s="146" t="s">
        <v>409</v>
      </c>
      <c r="F390" s="147">
        <v>-185</v>
      </c>
      <c r="G390" s="147">
        <v>127</v>
      </c>
      <c r="H390" s="148">
        <v>128</v>
      </c>
      <c r="I390" s="143">
        <v>-148</v>
      </c>
      <c r="J390" s="143">
        <v>1</v>
      </c>
      <c r="K390" s="149" t="s">
        <v>350</v>
      </c>
      <c r="L390" s="150">
        <f t="shared" si="62"/>
        <v>1.27</v>
      </c>
      <c r="M390" s="150">
        <f t="shared" si="63"/>
        <v>1.2800000000000002</v>
      </c>
      <c r="N390" s="151">
        <f t="shared" si="64"/>
        <v>-4.3859649122807163E-3</v>
      </c>
      <c r="O390" s="151">
        <f t="shared" si="65"/>
        <v>0.22550979799868626</v>
      </c>
      <c r="P390" s="151">
        <f t="shared" si="66"/>
        <v>0.64912280701754388</v>
      </c>
      <c r="Q390" s="151">
        <f t="shared" si="67"/>
        <v>0.42361300901885762</v>
      </c>
      <c r="R390" s="150">
        <f t="shared" si="68"/>
        <v>2.27</v>
      </c>
      <c r="S390" s="150">
        <f t="shared" si="69"/>
        <v>2.2800000000000002</v>
      </c>
      <c r="T390" s="150">
        <f t="shared" si="70"/>
        <v>1.6756756756756757</v>
      </c>
      <c r="U390" s="152"/>
      <c r="V390" s="143"/>
      <c r="W390" s="102">
        <f t="shared" si="71"/>
        <v>1</v>
      </c>
      <c r="X390" s="153">
        <f t="shared" si="72"/>
        <v>0</v>
      </c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</row>
    <row r="391" spans="1:39">
      <c r="A391" s="143" t="s">
        <v>238</v>
      </c>
      <c r="B391" s="143" t="s">
        <v>361</v>
      </c>
      <c r="C391" s="145">
        <v>45905</v>
      </c>
      <c r="D391" s="143" t="s">
        <v>729</v>
      </c>
      <c r="E391" s="146" t="s">
        <v>454</v>
      </c>
      <c r="F391" s="147">
        <v>-114</v>
      </c>
      <c r="G391" s="147">
        <v>145</v>
      </c>
      <c r="H391" s="148">
        <v>156</v>
      </c>
      <c r="I391" s="143">
        <v>-182</v>
      </c>
      <c r="J391" s="143">
        <v>1</v>
      </c>
      <c r="K391" s="149" t="s">
        <v>351</v>
      </c>
      <c r="L391" s="150">
        <f t="shared" si="62"/>
        <v>0</v>
      </c>
      <c r="M391" s="150">
        <f t="shared" si="63"/>
        <v>0</v>
      </c>
      <c r="N391" s="151">
        <f t="shared" si="64"/>
        <v>-4.2968749999999889E-2</v>
      </c>
      <c r="O391" s="151">
        <f t="shared" si="65"/>
        <v>0.1556646070397853</v>
      </c>
      <c r="P391" s="151">
        <f t="shared" si="66"/>
        <v>0.53271028037383172</v>
      </c>
      <c r="Q391" s="151">
        <f t="shared" si="67"/>
        <v>0.37704567333404643</v>
      </c>
      <c r="R391" s="150">
        <f t="shared" si="68"/>
        <v>2.4500000000000002</v>
      </c>
      <c r="S391" s="150">
        <f t="shared" si="69"/>
        <v>2.56</v>
      </c>
      <c r="T391" s="150">
        <f t="shared" si="70"/>
        <v>1.5494505494505495</v>
      </c>
      <c r="U391" s="152"/>
      <c r="V391" s="143"/>
      <c r="W391" s="102">
        <f t="shared" si="71"/>
        <v>2</v>
      </c>
      <c r="X391" s="153">
        <f t="shared" si="72"/>
        <v>0</v>
      </c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</row>
    <row r="392" spans="1:39">
      <c r="A392" s="143" t="s">
        <v>238</v>
      </c>
      <c r="B392" s="143" t="s">
        <v>361</v>
      </c>
      <c r="C392" s="145">
        <v>45905</v>
      </c>
      <c r="D392" s="143" t="s">
        <v>730</v>
      </c>
      <c r="E392" s="146" t="s">
        <v>451</v>
      </c>
      <c r="F392" s="147">
        <v>-120</v>
      </c>
      <c r="G392" s="147">
        <v>112</v>
      </c>
      <c r="H392" s="148">
        <v>119</v>
      </c>
      <c r="I392" s="143">
        <v>-137</v>
      </c>
      <c r="J392" s="143">
        <v>1</v>
      </c>
      <c r="K392" s="149" t="s">
        <v>350</v>
      </c>
      <c r="L392" s="150">
        <f t="shared" si="62"/>
        <v>1.1200000000000001</v>
      </c>
      <c r="M392" s="150">
        <f t="shared" si="63"/>
        <v>1.19</v>
      </c>
      <c r="N392" s="151">
        <f t="shared" si="64"/>
        <v>-3.1963470319634535E-2</v>
      </c>
      <c r="O392" s="151">
        <f t="shared" si="65"/>
        <v>0.10413841786390798</v>
      </c>
      <c r="P392" s="151">
        <f t="shared" si="66"/>
        <v>0.54545454545454541</v>
      </c>
      <c r="Q392" s="151">
        <f t="shared" si="67"/>
        <v>0.44131612759063743</v>
      </c>
      <c r="R392" s="150">
        <f t="shared" si="68"/>
        <v>2.12</v>
      </c>
      <c r="S392" s="150">
        <f t="shared" si="69"/>
        <v>2.19</v>
      </c>
      <c r="T392" s="150">
        <f t="shared" si="70"/>
        <v>1.7299270072992701</v>
      </c>
      <c r="U392" s="152"/>
      <c r="V392" s="143"/>
      <c r="W392" s="102">
        <f t="shared" si="71"/>
        <v>1</v>
      </c>
      <c r="X392" s="153">
        <f t="shared" si="72"/>
        <v>0</v>
      </c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</row>
    <row r="393" spans="1:39">
      <c r="A393" s="143" t="s">
        <v>238</v>
      </c>
      <c r="B393" s="143" t="s">
        <v>361</v>
      </c>
      <c r="C393" s="145">
        <v>45905</v>
      </c>
      <c r="D393" s="143" t="s">
        <v>731</v>
      </c>
      <c r="E393" s="146" t="s">
        <v>413</v>
      </c>
      <c r="F393" s="147">
        <v>120</v>
      </c>
      <c r="G393" s="147">
        <v>172</v>
      </c>
      <c r="H393" s="148">
        <v>170</v>
      </c>
      <c r="I393" s="143">
        <v>-200</v>
      </c>
      <c r="J393" s="143">
        <v>1</v>
      </c>
      <c r="K393" s="149" t="s">
        <v>311</v>
      </c>
      <c r="L393" s="150">
        <f t="shared" si="62"/>
        <v>-1</v>
      </c>
      <c r="M393" s="150">
        <f t="shared" si="63"/>
        <v>-1</v>
      </c>
      <c r="N393" s="151">
        <f t="shared" si="64"/>
        <v>7.4074074074072802E-3</v>
      </c>
      <c r="O393" s="151">
        <f t="shared" si="65"/>
        <v>9.740259740259738E-2</v>
      </c>
      <c r="P393" s="151">
        <f t="shared" si="66"/>
        <v>0.45454545454545453</v>
      </c>
      <c r="Q393" s="151">
        <f t="shared" si="67"/>
        <v>0.35714285714285715</v>
      </c>
      <c r="R393" s="150">
        <f t="shared" si="68"/>
        <v>2.7199999999999998</v>
      </c>
      <c r="S393" s="150">
        <f t="shared" si="69"/>
        <v>2.7</v>
      </c>
      <c r="T393" s="150">
        <f t="shared" si="70"/>
        <v>1.5</v>
      </c>
      <c r="U393" s="152"/>
      <c r="V393" s="143"/>
      <c r="W393" s="102">
        <f t="shared" si="71"/>
        <v>0</v>
      </c>
      <c r="X393" s="153">
        <f t="shared" si="72"/>
        <v>0</v>
      </c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</row>
    <row r="394" spans="1:39">
      <c r="A394" s="143" t="s">
        <v>238</v>
      </c>
      <c r="B394" s="143" t="s">
        <v>361</v>
      </c>
      <c r="C394" s="145">
        <v>45906</v>
      </c>
      <c r="D394" s="143" t="s">
        <v>732</v>
      </c>
      <c r="E394" s="146" t="s">
        <v>525</v>
      </c>
      <c r="F394" s="147">
        <v>-129</v>
      </c>
      <c r="G394" s="147">
        <v>109</v>
      </c>
      <c r="H394" s="148">
        <v>104</v>
      </c>
      <c r="I394" s="143">
        <v>-119</v>
      </c>
      <c r="J394" s="143">
        <v>1</v>
      </c>
      <c r="K394" s="149" t="s">
        <v>311</v>
      </c>
      <c r="L394" s="150">
        <f t="shared" ref="L394:L457" si="73">IF(K394="","",IF(K394="W",R394*J394-J394,IF(K394="L",-J394,0)))</f>
        <v>-1</v>
      </c>
      <c r="M394" s="150">
        <f t="shared" ref="M394:M457" si="74">IF(K394="","",IF(K394="W",S394*J394-J394,IF(K394="L",-J394,0)))</f>
        <v>-1</v>
      </c>
      <c r="N394" s="151">
        <f t="shared" ref="N394:N457" si="75">IFERROR((1/S394-1/R394)/(1/R394),"")</f>
        <v>2.4509803921568468E-2</v>
      </c>
      <c r="O394" s="151">
        <f t="shared" ref="O394:O457" si="76">IFERROR(IF(Q394="","",P394 - Q394),"")</f>
        <v>8.9046428020227053E-2</v>
      </c>
      <c r="P394" s="151">
        <f t="shared" ref="P394:P457" si="77">IF(F394="","",IF(F394 &lt; 0, -F394 / (-F394 + 100), 100 / (F394 + 100)))</f>
        <v>0.5633187772925764</v>
      </c>
      <c r="Q394" s="151">
        <f t="shared" ref="Q394:Q457" si="78">IFERROR((1/S394) / ((1/S394) + (1/T394)),"")</f>
        <v>0.47427234927234935</v>
      </c>
      <c r="R394" s="150">
        <f t="shared" ref="R394:R457" si="79">IFERROR(IF(G394&gt;0, G394/100 + 1, 100/ABS(G394) + 1),"")</f>
        <v>2.09</v>
      </c>
      <c r="S394" s="150">
        <f t="shared" ref="S394:S457" si="80">IFERROR(IF(H394&gt;0, H394/100 + 1, 100/ABS(H394) + 1),"")</f>
        <v>2.04</v>
      </c>
      <c r="T394" s="150">
        <f t="shared" ref="T394:T457" si="81">IFERROR(IF(I394&gt;0, I394/100 + 1, 100/ABS(I394) + 1),"")</f>
        <v>1.8403361344537816</v>
      </c>
      <c r="U394" s="152"/>
      <c r="V394" s="143"/>
      <c r="W394" s="102">
        <f t="shared" si="71"/>
        <v>0</v>
      </c>
      <c r="X394" s="153">
        <f t="shared" ref="X394:X457" si="82">IF(B394=$D$3,U394,"")</f>
        <v>0</v>
      </c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</row>
    <row r="395" spans="1:39">
      <c r="A395" s="143" t="s">
        <v>238</v>
      </c>
      <c r="B395" s="143" t="s">
        <v>361</v>
      </c>
      <c r="C395" s="145">
        <v>45906</v>
      </c>
      <c r="D395" s="143" t="s">
        <v>729</v>
      </c>
      <c r="E395" s="146" t="s">
        <v>454</v>
      </c>
      <c r="F395" s="147">
        <v>117</v>
      </c>
      <c r="G395" s="147">
        <v>260</v>
      </c>
      <c r="H395" s="148">
        <v>251</v>
      </c>
      <c r="I395" s="143">
        <v>-310</v>
      </c>
      <c r="J395" s="143">
        <v>1</v>
      </c>
      <c r="K395" s="149" t="s">
        <v>311</v>
      </c>
      <c r="L395" s="150">
        <f t="shared" si="73"/>
        <v>-1</v>
      </c>
      <c r="M395" s="150">
        <f t="shared" si="74"/>
        <v>-1</v>
      </c>
      <c r="N395" s="151">
        <f t="shared" si="75"/>
        <v>2.5641025641025616E-2</v>
      </c>
      <c r="O395" s="151">
        <f t="shared" si="76"/>
        <v>0.18714949842765505</v>
      </c>
      <c r="P395" s="151">
        <f t="shared" si="77"/>
        <v>0.46082949308755761</v>
      </c>
      <c r="Q395" s="151">
        <f t="shared" si="78"/>
        <v>0.27367999465990256</v>
      </c>
      <c r="R395" s="150">
        <f t="shared" si="79"/>
        <v>3.6</v>
      </c>
      <c r="S395" s="150">
        <f t="shared" si="80"/>
        <v>3.51</v>
      </c>
      <c r="T395" s="150">
        <f t="shared" si="81"/>
        <v>1.3225806451612903</v>
      </c>
      <c r="U395" s="152"/>
      <c r="V395" s="143"/>
      <c r="W395" s="102">
        <f t="shared" si="71"/>
        <v>0</v>
      </c>
      <c r="X395" s="153">
        <f t="shared" si="82"/>
        <v>0</v>
      </c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</row>
    <row r="396" spans="1:39">
      <c r="A396" s="143" t="s">
        <v>238</v>
      </c>
      <c r="B396" s="143" t="s">
        <v>361</v>
      </c>
      <c r="C396" s="145">
        <v>45915</v>
      </c>
      <c r="D396" s="143" t="s">
        <v>733</v>
      </c>
      <c r="E396" s="146" t="s">
        <v>409</v>
      </c>
      <c r="F396" s="147">
        <v>-163</v>
      </c>
      <c r="G396" s="147">
        <v>-104</v>
      </c>
      <c r="H396" s="148">
        <v>-104</v>
      </c>
      <c r="I396" s="143">
        <v>-110</v>
      </c>
      <c r="J396" s="143">
        <v>1</v>
      </c>
      <c r="K396" s="149" t="s">
        <v>311</v>
      </c>
      <c r="L396" s="150">
        <f t="shared" si="73"/>
        <v>-1</v>
      </c>
      <c r="M396" s="150">
        <f t="shared" si="74"/>
        <v>-1</v>
      </c>
      <c r="N396" s="151">
        <f t="shared" si="75"/>
        <v>0</v>
      </c>
      <c r="O396" s="151">
        <f t="shared" si="76"/>
        <v>0.12654693086854818</v>
      </c>
      <c r="P396" s="151">
        <f t="shared" si="77"/>
        <v>0.61977186311787069</v>
      </c>
      <c r="Q396" s="151">
        <f t="shared" si="78"/>
        <v>0.49322493224932251</v>
      </c>
      <c r="R396" s="150">
        <f t="shared" si="79"/>
        <v>1.9615384615384617</v>
      </c>
      <c r="S396" s="150">
        <f t="shared" si="80"/>
        <v>1.9615384615384617</v>
      </c>
      <c r="T396" s="150">
        <f t="shared" si="81"/>
        <v>1.9090909090909092</v>
      </c>
      <c r="U396" s="152"/>
      <c r="V396" s="143"/>
      <c r="W396" s="102">
        <f t="shared" si="71"/>
        <v>0</v>
      </c>
      <c r="X396" s="153">
        <f t="shared" si="82"/>
        <v>0</v>
      </c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</row>
    <row r="397" spans="1:39">
      <c r="A397" s="143" t="s">
        <v>238</v>
      </c>
      <c r="B397" s="143" t="s">
        <v>361</v>
      </c>
      <c r="C397" s="145">
        <v>45915</v>
      </c>
      <c r="D397" s="143" t="s">
        <v>734</v>
      </c>
      <c r="E397" s="146" t="s">
        <v>451</v>
      </c>
      <c r="F397" s="147">
        <v>-205</v>
      </c>
      <c r="G397" s="147">
        <v>-115</v>
      </c>
      <c r="H397" s="148">
        <v>-126</v>
      </c>
      <c r="I397" s="143">
        <v>104</v>
      </c>
      <c r="J397" s="143">
        <v>1</v>
      </c>
      <c r="K397" s="149" t="s">
        <v>350</v>
      </c>
      <c r="L397" s="150">
        <f t="shared" si="73"/>
        <v>0.86956521739130421</v>
      </c>
      <c r="M397" s="150">
        <f t="shared" si="74"/>
        <v>0.7936507936507935</v>
      </c>
      <c r="N397" s="151">
        <f t="shared" si="75"/>
        <v>4.2323970757983886E-2</v>
      </c>
      <c r="O397" s="151">
        <f t="shared" si="76"/>
        <v>0.14000130322167248</v>
      </c>
      <c r="P397" s="151">
        <f t="shared" si="77"/>
        <v>0.67213114754098358</v>
      </c>
      <c r="Q397" s="151">
        <f t="shared" si="78"/>
        <v>0.5321298443193111</v>
      </c>
      <c r="R397" s="150">
        <f t="shared" si="79"/>
        <v>1.8695652173913042</v>
      </c>
      <c r="S397" s="150">
        <f t="shared" si="80"/>
        <v>1.7936507936507935</v>
      </c>
      <c r="T397" s="150">
        <f t="shared" si="81"/>
        <v>2.04</v>
      </c>
      <c r="U397" s="152"/>
      <c r="V397" s="143"/>
      <c r="W397" s="102">
        <f t="shared" si="71"/>
        <v>1</v>
      </c>
      <c r="X397" s="153">
        <f t="shared" si="82"/>
        <v>0</v>
      </c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</row>
    <row r="398" spans="1:39">
      <c r="A398" s="143" t="s">
        <v>238</v>
      </c>
      <c r="B398" s="143" t="s">
        <v>361</v>
      </c>
      <c r="C398" s="145">
        <v>45915</v>
      </c>
      <c r="D398" s="143" t="s">
        <v>429</v>
      </c>
      <c r="E398" s="146" t="s">
        <v>413</v>
      </c>
      <c r="F398" s="147">
        <v>103</v>
      </c>
      <c r="G398" s="147">
        <v>149</v>
      </c>
      <c r="H398" s="148">
        <v>149</v>
      </c>
      <c r="I398" s="143">
        <v>-173</v>
      </c>
      <c r="J398" s="143">
        <v>1</v>
      </c>
      <c r="K398" s="149" t="s">
        <v>311</v>
      </c>
      <c r="L398" s="150">
        <f t="shared" si="73"/>
        <v>-1</v>
      </c>
      <c r="M398" s="150">
        <f t="shared" si="74"/>
        <v>-1</v>
      </c>
      <c r="N398" s="151">
        <f t="shared" si="75"/>
        <v>0</v>
      </c>
      <c r="O398" s="151">
        <f t="shared" si="76"/>
        <v>0.10470001430018255</v>
      </c>
      <c r="P398" s="151">
        <f t="shared" si="77"/>
        <v>0.49261083743842365</v>
      </c>
      <c r="Q398" s="151">
        <f t="shared" si="78"/>
        <v>0.3879108231382411</v>
      </c>
      <c r="R398" s="150">
        <f t="shared" si="79"/>
        <v>2.4900000000000002</v>
      </c>
      <c r="S398" s="150">
        <f t="shared" si="80"/>
        <v>2.4900000000000002</v>
      </c>
      <c r="T398" s="150">
        <f t="shared" si="81"/>
        <v>1.5780346820809248</v>
      </c>
      <c r="U398" s="152"/>
      <c r="V398" s="143"/>
      <c r="W398" s="102">
        <f t="shared" si="71"/>
        <v>0</v>
      </c>
      <c r="X398" s="153">
        <f t="shared" si="82"/>
        <v>0</v>
      </c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</row>
    <row r="399" spans="1:39">
      <c r="A399" s="143"/>
      <c r="B399" s="143"/>
      <c r="C399" s="155"/>
      <c r="D399" s="143"/>
      <c r="E399" s="146"/>
      <c r="F399" s="147"/>
      <c r="G399" s="147"/>
      <c r="H399" s="148"/>
      <c r="I399" s="143"/>
      <c r="J399" s="143"/>
      <c r="K399" s="149"/>
      <c r="L399" s="150" t="str">
        <f t="shared" si="73"/>
        <v/>
      </c>
      <c r="M399" s="150" t="str">
        <f t="shared" si="74"/>
        <v/>
      </c>
      <c r="N399" s="151" t="str">
        <f t="shared" si="75"/>
        <v/>
      </c>
      <c r="O399" s="151" t="str">
        <f t="shared" si="76"/>
        <v/>
      </c>
      <c r="P399" s="151" t="str">
        <f t="shared" si="77"/>
        <v/>
      </c>
      <c r="Q399" s="151" t="str">
        <f t="shared" si="78"/>
        <v/>
      </c>
      <c r="R399" s="150" t="str">
        <f t="shared" si="79"/>
        <v/>
      </c>
      <c r="S399" s="150" t="str">
        <f t="shared" si="80"/>
        <v/>
      </c>
      <c r="T399" s="150" t="str">
        <f t="shared" si="81"/>
        <v/>
      </c>
      <c r="U399" s="152"/>
      <c r="V399" s="143"/>
      <c r="W399" s="102"/>
      <c r="X399" s="102" t="str">
        <f t="shared" si="82"/>
        <v/>
      </c>
      <c r="Y399" s="102"/>
      <c r="Z399" s="102"/>
      <c r="AA399" s="102"/>
      <c r="AB399" s="102"/>
      <c r="AC399" s="102"/>
      <c r="AD399" s="102"/>
      <c r="AE399" s="102"/>
      <c r="AF399" s="102"/>
      <c r="AG399" s="102"/>
      <c r="AH399" s="102"/>
      <c r="AI399" s="102"/>
      <c r="AJ399" s="102"/>
      <c r="AK399" s="102"/>
      <c r="AL399" s="102"/>
      <c r="AM399" s="102"/>
    </row>
    <row r="400" spans="1:39">
      <c r="A400" s="143"/>
      <c r="B400" s="143"/>
      <c r="C400" s="155"/>
      <c r="D400" s="143"/>
      <c r="E400" s="146"/>
      <c r="F400" s="147"/>
      <c r="G400" s="147"/>
      <c r="H400" s="148"/>
      <c r="I400" s="143"/>
      <c r="J400" s="143"/>
      <c r="K400" s="149"/>
      <c r="L400" s="150" t="str">
        <f t="shared" si="73"/>
        <v/>
      </c>
      <c r="M400" s="150" t="str">
        <f t="shared" si="74"/>
        <v/>
      </c>
      <c r="N400" s="151" t="str">
        <f t="shared" si="75"/>
        <v/>
      </c>
      <c r="O400" s="151" t="str">
        <f t="shared" si="76"/>
        <v/>
      </c>
      <c r="P400" s="151" t="str">
        <f t="shared" si="77"/>
        <v/>
      </c>
      <c r="Q400" s="151" t="str">
        <f t="shared" si="78"/>
        <v/>
      </c>
      <c r="R400" s="150" t="str">
        <f t="shared" si="79"/>
        <v/>
      </c>
      <c r="S400" s="150" t="str">
        <f t="shared" si="80"/>
        <v/>
      </c>
      <c r="T400" s="150" t="str">
        <f t="shared" si="81"/>
        <v/>
      </c>
      <c r="U400" s="152"/>
      <c r="V400" s="143"/>
      <c r="W400" s="102"/>
      <c r="X400" s="102" t="str">
        <f t="shared" si="82"/>
        <v/>
      </c>
      <c r="Y400" s="102"/>
      <c r="Z400" s="102"/>
      <c r="AA400" s="102"/>
      <c r="AB400" s="102"/>
      <c r="AC400" s="102"/>
      <c r="AD400" s="102"/>
      <c r="AE400" s="102"/>
      <c r="AF400" s="102"/>
      <c r="AG400" s="102"/>
      <c r="AH400" s="102"/>
      <c r="AI400" s="102"/>
      <c r="AJ400" s="102"/>
      <c r="AK400" s="102"/>
      <c r="AL400" s="102"/>
      <c r="AM400" s="102"/>
    </row>
    <row r="401" spans="1:39">
      <c r="A401" s="143"/>
      <c r="B401" s="143"/>
      <c r="C401" s="155"/>
      <c r="D401" s="143"/>
      <c r="E401" s="146"/>
      <c r="F401" s="147"/>
      <c r="G401" s="147"/>
      <c r="H401" s="148"/>
      <c r="I401" s="143"/>
      <c r="J401" s="143"/>
      <c r="K401" s="149"/>
      <c r="L401" s="150" t="str">
        <f t="shared" si="73"/>
        <v/>
      </c>
      <c r="M401" s="150" t="str">
        <f t="shared" si="74"/>
        <v/>
      </c>
      <c r="N401" s="151" t="str">
        <f t="shared" si="75"/>
        <v/>
      </c>
      <c r="O401" s="151" t="str">
        <f t="shared" si="76"/>
        <v/>
      </c>
      <c r="P401" s="151" t="str">
        <f t="shared" si="77"/>
        <v/>
      </c>
      <c r="Q401" s="151" t="str">
        <f t="shared" si="78"/>
        <v/>
      </c>
      <c r="R401" s="150" t="str">
        <f t="shared" si="79"/>
        <v/>
      </c>
      <c r="S401" s="150" t="str">
        <f t="shared" si="80"/>
        <v/>
      </c>
      <c r="T401" s="150" t="str">
        <f t="shared" si="81"/>
        <v/>
      </c>
      <c r="U401" s="152"/>
      <c r="V401" s="143"/>
      <c r="W401" s="102"/>
      <c r="X401" s="102" t="str">
        <f t="shared" si="82"/>
        <v/>
      </c>
      <c r="Y401" s="102"/>
      <c r="Z401" s="102"/>
      <c r="AA401" s="102"/>
      <c r="AB401" s="102"/>
      <c r="AC401" s="102"/>
      <c r="AD401" s="102"/>
      <c r="AE401" s="102"/>
      <c r="AF401" s="102"/>
      <c r="AG401" s="102"/>
      <c r="AH401" s="102"/>
      <c r="AI401" s="102"/>
      <c r="AJ401" s="102"/>
      <c r="AK401" s="102"/>
      <c r="AL401" s="102"/>
      <c r="AM401" s="102"/>
    </row>
    <row r="402" spans="1:39">
      <c r="A402" s="143"/>
      <c r="B402" s="143"/>
      <c r="C402" s="155"/>
      <c r="D402" s="143"/>
      <c r="E402" s="146"/>
      <c r="F402" s="147"/>
      <c r="G402" s="147"/>
      <c r="H402" s="148"/>
      <c r="I402" s="143"/>
      <c r="J402" s="143"/>
      <c r="K402" s="149"/>
      <c r="L402" s="150" t="str">
        <f t="shared" si="73"/>
        <v/>
      </c>
      <c r="M402" s="150" t="str">
        <f t="shared" si="74"/>
        <v/>
      </c>
      <c r="N402" s="151" t="str">
        <f t="shared" si="75"/>
        <v/>
      </c>
      <c r="O402" s="151" t="str">
        <f t="shared" si="76"/>
        <v/>
      </c>
      <c r="P402" s="151" t="str">
        <f t="shared" si="77"/>
        <v/>
      </c>
      <c r="Q402" s="151" t="str">
        <f t="shared" si="78"/>
        <v/>
      </c>
      <c r="R402" s="150" t="str">
        <f t="shared" si="79"/>
        <v/>
      </c>
      <c r="S402" s="150" t="str">
        <f t="shared" si="80"/>
        <v/>
      </c>
      <c r="T402" s="150" t="str">
        <f t="shared" si="81"/>
        <v/>
      </c>
      <c r="U402" s="152"/>
      <c r="V402" s="143"/>
      <c r="W402" s="102"/>
      <c r="X402" s="102" t="str">
        <f t="shared" si="82"/>
        <v/>
      </c>
      <c r="Y402" s="102"/>
      <c r="Z402" s="102"/>
      <c r="AA402" s="102"/>
      <c r="AB402" s="102"/>
      <c r="AC402" s="102"/>
      <c r="AD402" s="102"/>
      <c r="AE402" s="102"/>
      <c r="AF402" s="102"/>
      <c r="AG402" s="102"/>
      <c r="AH402" s="102"/>
      <c r="AI402" s="102"/>
      <c r="AJ402" s="102"/>
      <c r="AK402" s="102"/>
      <c r="AL402" s="102"/>
      <c r="AM402" s="102"/>
    </row>
    <row r="403" spans="1:39">
      <c r="A403" s="143"/>
      <c r="B403" s="143"/>
      <c r="C403" s="155"/>
      <c r="D403" s="143"/>
      <c r="E403" s="146"/>
      <c r="F403" s="147"/>
      <c r="G403" s="147"/>
      <c r="H403" s="148"/>
      <c r="I403" s="143"/>
      <c r="J403" s="143"/>
      <c r="K403" s="149"/>
      <c r="L403" s="150" t="str">
        <f t="shared" si="73"/>
        <v/>
      </c>
      <c r="M403" s="150" t="str">
        <f t="shared" si="74"/>
        <v/>
      </c>
      <c r="N403" s="151" t="str">
        <f t="shared" si="75"/>
        <v/>
      </c>
      <c r="O403" s="151" t="str">
        <f t="shared" si="76"/>
        <v/>
      </c>
      <c r="P403" s="151" t="str">
        <f t="shared" si="77"/>
        <v/>
      </c>
      <c r="Q403" s="151" t="str">
        <f t="shared" si="78"/>
        <v/>
      </c>
      <c r="R403" s="150" t="str">
        <f t="shared" si="79"/>
        <v/>
      </c>
      <c r="S403" s="150" t="str">
        <f t="shared" si="80"/>
        <v/>
      </c>
      <c r="T403" s="150" t="str">
        <f t="shared" si="81"/>
        <v/>
      </c>
      <c r="U403" s="152"/>
      <c r="V403" s="143"/>
      <c r="W403" s="102"/>
      <c r="X403" s="102" t="str">
        <f t="shared" si="82"/>
        <v/>
      </c>
      <c r="Y403" s="102"/>
      <c r="Z403" s="102"/>
      <c r="AA403" s="102"/>
      <c r="AB403" s="102"/>
      <c r="AC403" s="102"/>
      <c r="AD403" s="102"/>
      <c r="AE403" s="102"/>
      <c r="AF403" s="102"/>
      <c r="AG403" s="102"/>
      <c r="AH403" s="102"/>
      <c r="AI403" s="102"/>
      <c r="AJ403" s="102"/>
      <c r="AK403" s="102"/>
      <c r="AL403" s="102"/>
      <c r="AM403" s="102"/>
    </row>
    <row r="404" spans="1:39">
      <c r="A404" s="143"/>
      <c r="B404" s="143"/>
      <c r="C404" s="155"/>
      <c r="D404" s="143"/>
      <c r="E404" s="146"/>
      <c r="F404" s="147"/>
      <c r="G404" s="147"/>
      <c r="H404" s="148"/>
      <c r="I404" s="143"/>
      <c r="J404" s="143"/>
      <c r="K404" s="149"/>
      <c r="L404" s="150" t="str">
        <f t="shared" si="73"/>
        <v/>
      </c>
      <c r="M404" s="150" t="str">
        <f t="shared" si="74"/>
        <v/>
      </c>
      <c r="N404" s="151" t="str">
        <f t="shared" si="75"/>
        <v/>
      </c>
      <c r="O404" s="151" t="str">
        <f t="shared" si="76"/>
        <v/>
      </c>
      <c r="P404" s="151" t="str">
        <f t="shared" si="77"/>
        <v/>
      </c>
      <c r="Q404" s="151" t="str">
        <f t="shared" si="78"/>
        <v/>
      </c>
      <c r="R404" s="150" t="str">
        <f t="shared" si="79"/>
        <v/>
      </c>
      <c r="S404" s="150" t="str">
        <f t="shared" si="80"/>
        <v/>
      </c>
      <c r="T404" s="150" t="str">
        <f t="shared" si="81"/>
        <v/>
      </c>
      <c r="U404" s="152"/>
      <c r="V404" s="143"/>
      <c r="W404" s="102"/>
      <c r="X404" s="102" t="str">
        <f t="shared" si="82"/>
        <v/>
      </c>
      <c r="Y404" s="102"/>
      <c r="Z404" s="102"/>
      <c r="AA404" s="102"/>
      <c r="AB404" s="102"/>
      <c r="AC404" s="102"/>
      <c r="AD404" s="102"/>
      <c r="AE404" s="102"/>
      <c r="AF404" s="102"/>
      <c r="AG404" s="102"/>
      <c r="AH404" s="102"/>
      <c r="AI404" s="102"/>
      <c r="AJ404" s="102"/>
      <c r="AK404" s="102"/>
      <c r="AL404" s="102"/>
      <c r="AM404" s="102"/>
    </row>
    <row r="405" spans="1:39">
      <c r="A405" s="143"/>
      <c r="B405" s="143"/>
      <c r="C405" s="155"/>
      <c r="D405" s="143"/>
      <c r="E405" s="146"/>
      <c r="F405" s="147"/>
      <c r="G405" s="147"/>
      <c r="H405" s="148"/>
      <c r="I405" s="143"/>
      <c r="J405" s="143"/>
      <c r="K405" s="149"/>
      <c r="L405" s="150" t="str">
        <f t="shared" si="73"/>
        <v/>
      </c>
      <c r="M405" s="150" t="str">
        <f t="shared" si="74"/>
        <v/>
      </c>
      <c r="N405" s="151" t="str">
        <f t="shared" si="75"/>
        <v/>
      </c>
      <c r="O405" s="151" t="str">
        <f t="shared" si="76"/>
        <v/>
      </c>
      <c r="P405" s="151" t="str">
        <f t="shared" si="77"/>
        <v/>
      </c>
      <c r="Q405" s="151" t="str">
        <f t="shared" si="78"/>
        <v/>
      </c>
      <c r="R405" s="150" t="str">
        <f t="shared" si="79"/>
        <v/>
      </c>
      <c r="S405" s="150" t="str">
        <f t="shared" si="80"/>
        <v/>
      </c>
      <c r="T405" s="150" t="str">
        <f t="shared" si="81"/>
        <v/>
      </c>
      <c r="U405" s="152"/>
      <c r="V405" s="143"/>
      <c r="W405" s="102"/>
      <c r="X405" s="102" t="str">
        <f t="shared" si="82"/>
        <v/>
      </c>
      <c r="Y405" s="102"/>
      <c r="Z405" s="102"/>
      <c r="AA405" s="102"/>
      <c r="AB405" s="102"/>
      <c r="AC405" s="102"/>
      <c r="AD405" s="102"/>
      <c r="AE405" s="102"/>
      <c r="AF405" s="102"/>
      <c r="AG405" s="102"/>
      <c r="AH405" s="102"/>
      <c r="AI405" s="102"/>
      <c r="AJ405" s="102"/>
      <c r="AK405" s="102"/>
      <c r="AL405" s="102"/>
      <c r="AM405" s="102"/>
    </row>
    <row r="406" spans="1:39">
      <c r="A406" s="143"/>
      <c r="B406" s="143"/>
      <c r="C406" s="155"/>
      <c r="D406" s="143"/>
      <c r="E406" s="146"/>
      <c r="F406" s="147"/>
      <c r="G406" s="147"/>
      <c r="H406" s="148"/>
      <c r="I406" s="143"/>
      <c r="J406" s="143"/>
      <c r="K406" s="149"/>
      <c r="L406" s="150" t="str">
        <f t="shared" si="73"/>
        <v/>
      </c>
      <c r="M406" s="150" t="str">
        <f t="shared" si="74"/>
        <v/>
      </c>
      <c r="N406" s="151" t="str">
        <f t="shared" si="75"/>
        <v/>
      </c>
      <c r="O406" s="151" t="str">
        <f t="shared" si="76"/>
        <v/>
      </c>
      <c r="P406" s="151" t="str">
        <f t="shared" si="77"/>
        <v/>
      </c>
      <c r="Q406" s="151" t="str">
        <f t="shared" si="78"/>
        <v/>
      </c>
      <c r="R406" s="150" t="str">
        <f t="shared" si="79"/>
        <v/>
      </c>
      <c r="S406" s="150" t="str">
        <f t="shared" si="80"/>
        <v/>
      </c>
      <c r="T406" s="150" t="str">
        <f t="shared" si="81"/>
        <v/>
      </c>
      <c r="U406" s="152"/>
      <c r="V406" s="143"/>
      <c r="W406" s="102"/>
      <c r="X406" s="102" t="str">
        <f t="shared" si="82"/>
        <v/>
      </c>
      <c r="Y406" s="102"/>
      <c r="Z406" s="102"/>
      <c r="AA406" s="102"/>
      <c r="AB406" s="102"/>
      <c r="AC406" s="102"/>
      <c r="AD406" s="102"/>
      <c r="AE406" s="102"/>
      <c r="AF406" s="102"/>
      <c r="AG406" s="102"/>
      <c r="AH406" s="102"/>
      <c r="AI406" s="102"/>
      <c r="AJ406" s="102"/>
      <c r="AK406" s="102"/>
      <c r="AL406" s="102"/>
      <c r="AM406" s="102"/>
    </row>
    <row r="407" spans="1:39">
      <c r="A407" s="143"/>
      <c r="B407" s="143"/>
      <c r="C407" s="155"/>
      <c r="D407" s="143"/>
      <c r="E407" s="146"/>
      <c r="F407" s="147"/>
      <c r="G407" s="147"/>
      <c r="H407" s="148"/>
      <c r="I407" s="143"/>
      <c r="J407" s="143"/>
      <c r="K407" s="149"/>
      <c r="L407" s="150" t="str">
        <f t="shared" si="73"/>
        <v/>
      </c>
      <c r="M407" s="150" t="str">
        <f t="shared" si="74"/>
        <v/>
      </c>
      <c r="N407" s="151" t="str">
        <f t="shared" si="75"/>
        <v/>
      </c>
      <c r="O407" s="151" t="str">
        <f t="shared" si="76"/>
        <v/>
      </c>
      <c r="P407" s="151" t="str">
        <f t="shared" si="77"/>
        <v/>
      </c>
      <c r="Q407" s="151" t="str">
        <f t="shared" si="78"/>
        <v/>
      </c>
      <c r="R407" s="150" t="str">
        <f t="shared" si="79"/>
        <v/>
      </c>
      <c r="S407" s="150" t="str">
        <f t="shared" si="80"/>
        <v/>
      </c>
      <c r="T407" s="150" t="str">
        <f t="shared" si="81"/>
        <v/>
      </c>
      <c r="U407" s="152"/>
      <c r="V407" s="143"/>
      <c r="W407" s="102"/>
      <c r="X407" s="102" t="str">
        <f t="shared" si="82"/>
        <v/>
      </c>
      <c r="Y407" s="102"/>
      <c r="Z407" s="102"/>
      <c r="AA407" s="102"/>
      <c r="AB407" s="102"/>
      <c r="AC407" s="102"/>
      <c r="AD407" s="102"/>
      <c r="AE407" s="102"/>
      <c r="AF407" s="102"/>
      <c r="AG407" s="102"/>
      <c r="AH407" s="102"/>
      <c r="AI407" s="102"/>
      <c r="AJ407" s="102"/>
      <c r="AK407" s="102"/>
      <c r="AL407" s="102"/>
      <c r="AM407" s="102"/>
    </row>
    <row r="408" spans="1:39">
      <c r="A408" s="143"/>
      <c r="B408" s="143"/>
      <c r="C408" s="155"/>
      <c r="D408" s="143"/>
      <c r="E408" s="146"/>
      <c r="F408" s="147"/>
      <c r="G408" s="147"/>
      <c r="H408" s="148"/>
      <c r="I408" s="143"/>
      <c r="J408" s="143"/>
      <c r="K408" s="149"/>
      <c r="L408" s="150" t="str">
        <f t="shared" si="73"/>
        <v/>
      </c>
      <c r="M408" s="150" t="str">
        <f t="shared" si="74"/>
        <v/>
      </c>
      <c r="N408" s="151" t="str">
        <f t="shared" si="75"/>
        <v/>
      </c>
      <c r="O408" s="151" t="str">
        <f t="shared" si="76"/>
        <v/>
      </c>
      <c r="P408" s="151" t="str">
        <f t="shared" si="77"/>
        <v/>
      </c>
      <c r="Q408" s="151" t="str">
        <f t="shared" si="78"/>
        <v/>
      </c>
      <c r="R408" s="150" t="str">
        <f t="shared" si="79"/>
        <v/>
      </c>
      <c r="S408" s="150" t="str">
        <f t="shared" si="80"/>
        <v/>
      </c>
      <c r="T408" s="150" t="str">
        <f t="shared" si="81"/>
        <v/>
      </c>
      <c r="U408" s="152"/>
      <c r="V408" s="143"/>
      <c r="W408" s="102"/>
      <c r="X408" s="102" t="str">
        <f t="shared" si="82"/>
        <v/>
      </c>
      <c r="Y408" s="102"/>
      <c r="Z408" s="102"/>
      <c r="AA408" s="102"/>
      <c r="AB408" s="102"/>
      <c r="AC408" s="102"/>
      <c r="AD408" s="102"/>
      <c r="AE408" s="102"/>
      <c r="AF408" s="102"/>
      <c r="AG408" s="102"/>
      <c r="AH408" s="102"/>
      <c r="AI408" s="102"/>
      <c r="AJ408" s="102"/>
      <c r="AK408" s="102"/>
      <c r="AL408" s="102"/>
      <c r="AM408" s="102"/>
    </row>
    <row r="409" spans="1:39">
      <c r="A409" s="143"/>
      <c r="B409" s="143"/>
      <c r="C409" s="155"/>
      <c r="D409" s="143"/>
      <c r="E409" s="146"/>
      <c r="F409" s="147"/>
      <c r="G409" s="147"/>
      <c r="H409" s="148"/>
      <c r="I409" s="143"/>
      <c r="J409" s="143"/>
      <c r="K409" s="149"/>
      <c r="L409" s="150" t="str">
        <f t="shared" si="73"/>
        <v/>
      </c>
      <c r="M409" s="150" t="str">
        <f t="shared" si="74"/>
        <v/>
      </c>
      <c r="N409" s="151" t="str">
        <f t="shared" si="75"/>
        <v/>
      </c>
      <c r="O409" s="151" t="str">
        <f t="shared" si="76"/>
        <v/>
      </c>
      <c r="P409" s="151" t="str">
        <f t="shared" si="77"/>
        <v/>
      </c>
      <c r="Q409" s="151" t="str">
        <f t="shared" si="78"/>
        <v/>
      </c>
      <c r="R409" s="150" t="str">
        <f t="shared" si="79"/>
        <v/>
      </c>
      <c r="S409" s="150" t="str">
        <f t="shared" si="80"/>
        <v/>
      </c>
      <c r="T409" s="150" t="str">
        <f t="shared" si="81"/>
        <v/>
      </c>
      <c r="U409" s="152"/>
      <c r="V409" s="143"/>
      <c r="W409" s="102"/>
      <c r="X409" s="102" t="str">
        <f t="shared" si="82"/>
        <v/>
      </c>
      <c r="Y409" s="102"/>
      <c r="Z409" s="102"/>
      <c r="AA409" s="102"/>
      <c r="AB409" s="102"/>
      <c r="AC409" s="102"/>
      <c r="AD409" s="102"/>
      <c r="AE409" s="102"/>
      <c r="AF409" s="102"/>
      <c r="AG409" s="102"/>
      <c r="AH409" s="102"/>
      <c r="AI409" s="102"/>
      <c r="AJ409" s="102"/>
      <c r="AK409" s="102"/>
      <c r="AL409" s="102"/>
      <c r="AM409" s="102"/>
    </row>
    <row r="410" spans="1:39">
      <c r="A410" s="143"/>
      <c r="B410" s="143"/>
      <c r="C410" s="155"/>
      <c r="D410" s="143"/>
      <c r="E410" s="146"/>
      <c r="F410" s="147"/>
      <c r="G410" s="147"/>
      <c r="H410" s="148"/>
      <c r="I410" s="143"/>
      <c r="J410" s="143"/>
      <c r="K410" s="149"/>
      <c r="L410" s="150" t="str">
        <f t="shared" si="73"/>
        <v/>
      </c>
      <c r="M410" s="150" t="str">
        <f t="shared" si="74"/>
        <v/>
      </c>
      <c r="N410" s="151" t="str">
        <f t="shared" si="75"/>
        <v/>
      </c>
      <c r="O410" s="151" t="str">
        <f t="shared" si="76"/>
        <v/>
      </c>
      <c r="P410" s="151" t="str">
        <f t="shared" si="77"/>
        <v/>
      </c>
      <c r="Q410" s="151" t="str">
        <f t="shared" si="78"/>
        <v/>
      </c>
      <c r="R410" s="150" t="str">
        <f t="shared" si="79"/>
        <v/>
      </c>
      <c r="S410" s="150" t="str">
        <f t="shared" si="80"/>
        <v/>
      </c>
      <c r="T410" s="150" t="str">
        <f t="shared" si="81"/>
        <v/>
      </c>
      <c r="U410" s="152"/>
      <c r="V410" s="143"/>
      <c r="W410" s="102"/>
      <c r="X410" s="102" t="str">
        <f t="shared" si="82"/>
        <v/>
      </c>
      <c r="Y410" s="102"/>
      <c r="Z410" s="102"/>
      <c r="AA410" s="102"/>
      <c r="AB410" s="102"/>
      <c r="AC410" s="102"/>
      <c r="AD410" s="102"/>
      <c r="AE410" s="102"/>
      <c r="AF410" s="102"/>
      <c r="AG410" s="102"/>
      <c r="AH410" s="102"/>
      <c r="AI410" s="102"/>
      <c r="AJ410" s="102"/>
      <c r="AK410" s="102"/>
      <c r="AL410" s="102"/>
      <c r="AM410" s="102"/>
    </row>
    <row r="411" spans="1:39">
      <c r="A411" s="143"/>
      <c r="B411" s="143"/>
      <c r="C411" s="155"/>
      <c r="D411" s="143"/>
      <c r="E411" s="146"/>
      <c r="F411" s="147"/>
      <c r="G411" s="147"/>
      <c r="H411" s="148"/>
      <c r="I411" s="143"/>
      <c r="J411" s="143"/>
      <c r="K411" s="149"/>
      <c r="L411" s="150" t="str">
        <f t="shared" si="73"/>
        <v/>
      </c>
      <c r="M411" s="150" t="str">
        <f t="shared" si="74"/>
        <v/>
      </c>
      <c r="N411" s="151" t="str">
        <f t="shared" si="75"/>
        <v/>
      </c>
      <c r="O411" s="151" t="str">
        <f t="shared" si="76"/>
        <v/>
      </c>
      <c r="P411" s="151" t="str">
        <f t="shared" si="77"/>
        <v/>
      </c>
      <c r="Q411" s="151" t="str">
        <f t="shared" si="78"/>
        <v/>
      </c>
      <c r="R411" s="150" t="str">
        <f t="shared" si="79"/>
        <v/>
      </c>
      <c r="S411" s="150" t="str">
        <f t="shared" si="80"/>
        <v/>
      </c>
      <c r="T411" s="150" t="str">
        <f t="shared" si="81"/>
        <v/>
      </c>
      <c r="U411" s="152"/>
      <c r="V411" s="143"/>
      <c r="W411" s="102"/>
      <c r="X411" s="102" t="str">
        <f t="shared" si="82"/>
        <v/>
      </c>
      <c r="Y411" s="102"/>
      <c r="Z411" s="102"/>
      <c r="AA411" s="102"/>
      <c r="AB411" s="102"/>
      <c r="AC411" s="102"/>
      <c r="AD411" s="102"/>
      <c r="AE411" s="102"/>
      <c r="AF411" s="102"/>
      <c r="AG411" s="102"/>
      <c r="AH411" s="102"/>
      <c r="AI411" s="102"/>
      <c r="AJ411" s="102"/>
      <c r="AK411" s="102"/>
      <c r="AL411" s="102"/>
      <c r="AM411" s="102"/>
    </row>
    <row r="412" spans="1:39">
      <c r="A412" s="143"/>
      <c r="B412" s="143"/>
      <c r="C412" s="155"/>
      <c r="D412" s="143"/>
      <c r="E412" s="146"/>
      <c r="F412" s="147"/>
      <c r="G412" s="147"/>
      <c r="H412" s="148"/>
      <c r="I412" s="143"/>
      <c r="J412" s="143"/>
      <c r="K412" s="149"/>
      <c r="L412" s="150" t="str">
        <f t="shared" si="73"/>
        <v/>
      </c>
      <c r="M412" s="150" t="str">
        <f t="shared" si="74"/>
        <v/>
      </c>
      <c r="N412" s="151" t="str">
        <f t="shared" si="75"/>
        <v/>
      </c>
      <c r="O412" s="151" t="str">
        <f t="shared" si="76"/>
        <v/>
      </c>
      <c r="P412" s="151" t="str">
        <f t="shared" si="77"/>
        <v/>
      </c>
      <c r="Q412" s="151" t="str">
        <f t="shared" si="78"/>
        <v/>
      </c>
      <c r="R412" s="150" t="str">
        <f t="shared" si="79"/>
        <v/>
      </c>
      <c r="S412" s="150" t="str">
        <f t="shared" si="80"/>
        <v/>
      </c>
      <c r="T412" s="150" t="str">
        <f t="shared" si="81"/>
        <v/>
      </c>
      <c r="U412" s="152"/>
      <c r="V412" s="143"/>
      <c r="W412" s="102"/>
      <c r="X412" s="102" t="str">
        <f t="shared" si="82"/>
        <v/>
      </c>
      <c r="Y412" s="102"/>
      <c r="Z412" s="102"/>
      <c r="AA412" s="102"/>
      <c r="AB412" s="102"/>
      <c r="AC412" s="102"/>
      <c r="AD412" s="102"/>
      <c r="AE412" s="102"/>
      <c r="AF412" s="102"/>
      <c r="AG412" s="102"/>
      <c r="AH412" s="102"/>
      <c r="AI412" s="102"/>
      <c r="AJ412" s="102"/>
      <c r="AK412" s="102"/>
      <c r="AL412" s="102"/>
      <c r="AM412" s="102"/>
    </row>
    <row r="413" spans="1:39">
      <c r="A413" s="143"/>
      <c r="B413" s="143"/>
      <c r="C413" s="155"/>
      <c r="D413" s="143"/>
      <c r="E413" s="146"/>
      <c r="F413" s="147"/>
      <c r="G413" s="147"/>
      <c r="H413" s="148"/>
      <c r="I413" s="143"/>
      <c r="J413" s="143"/>
      <c r="K413" s="149"/>
      <c r="L413" s="150" t="str">
        <f t="shared" si="73"/>
        <v/>
      </c>
      <c r="M413" s="150" t="str">
        <f t="shared" si="74"/>
        <v/>
      </c>
      <c r="N413" s="151" t="str">
        <f t="shared" si="75"/>
        <v/>
      </c>
      <c r="O413" s="151" t="str">
        <f t="shared" si="76"/>
        <v/>
      </c>
      <c r="P413" s="151" t="str">
        <f t="shared" si="77"/>
        <v/>
      </c>
      <c r="Q413" s="151" t="str">
        <f t="shared" si="78"/>
        <v/>
      </c>
      <c r="R413" s="150" t="str">
        <f t="shared" si="79"/>
        <v/>
      </c>
      <c r="S413" s="150" t="str">
        <f t="shared" si="80"/>
        <v/>
      </c>
      <c r="T413" s="150" t="str">
        <f t="shared" si="81"/>
        <v/>
      </c>
      <c r="U413" s="152"/>
      <c r="V413" s="143"/>
      <c r="W413" s="102"/>
      <c r="X413" s="102" t="str">
        <f t="shared" si="82"/>
        <v/>
      </c>
      <c r="Y413" s="102"/>
      <c r="Z413" s="102"/>
      <c r="AA413" s="102"/>
      <c r="AB413" s="102"/>
      <c r="AC413" s="102"/>
      <c r="AD413" s="102"/>
      <c r="AE413" s="102"/>
      <c r="AF413" s="102"/>
      <c r="AG413" s="102"/>
      <c r="AH413" s="102"/>
      <c r="AI413" s="102"/>
      <c r="AJ413" s="102"/>
      <c r="AK413" s="102"/>
      <c r="AL413" s="102"/>
      <c r="AM413" s="102"/>
    </row>
    <row r="414" spans="1:39">
      <c r="A414" s="143"/>
      <c r="B414" s="143"/>
      <c r="C414" s="155"/>
      <c r="D414" s="143"/>
      <c r="E414" s="146"/>
      <c r="F414" s="147"/>
      <c r="G414" s="147"/>
      <c r="H414" s="148"/>
      <c r="I414" s="143"/>
      <c r="J414" s="143"/>
      <c r="K414" s="149"/>
      <c r="L414" s="150" t="str">
        <f t="shared" si="73"/>
        <v/>
      </c>
      <c r="M414" s="150" t="str">
        <f t="shared" si="74"/>
        <v/>
      </c>
      <c r="N414" s="151" t="str">
        <f t="shared" si="75"/>
        <v/>
      </c>
      <c r="O414" s="151" t="str">
        <f t="shared" si="76"/>
        <v/>
      </c>
      <c r="P414" s="151" t="str">
        <f t="shared" si="77"/>
        <v/>
      </c>
      <c r="Q414" s="151" t="str">
        <f t="shared" si="78"/>
        <v/>
      </c>
      <c r="R414" s="150" t="str">
        <f t="shared" si="79"/>
        <v/>
      </c>
      <c r="S414" s="150" t="str">
        <f t="shared" si="80"/>
        <v/>
      </c>
      <c r="T414" s="150" t="str">
        <f t="shared" si="81"/>
        <v/>
      </c>
      <c r="U414" s="152"/>
      <c r="V414" s="143"/>
      <c r="W414" s="102"/>
      <c r="X414" s="102" t="str">
        <f t="shared" si="82"/>
        <v/>
      </c>
      <c r="Y414" s="102"/>
      <c r="Z414" s="102"/>
      <c r="AA414" s="102"/>
      <c r="AB414" s="102"/>
      <c r="AC414" s="102"/>
      <c r="AD414" s="102"/>
      <c r="AE414" s="102"/>
      <c r="AF414" s="102"/>
      <c r="AG414" s="102"/>
      <c r="AH414" s="102"/>
      <c r="AI414" s="102"/>
      <c r="AJ414" s="102"/>
      <c r="AK414" s="102"/>
      <c r="AL414" s="102"/>
      <c r="AM414" s="102"/>
    </row>
    <row r="415" spans="1:39">
      <c r="A415" s="143"/>
      <c r="B415" s="143"/>
      <c r="C415" s="155"/>
      <c r="D415" s="143"/>
      <c r="E415" s="146"/>
      <c r="F415" s="147"/>
      <c r="G415" s="147"/>
      <c r="H415" s="148"/>
      <c r="I415" s="143"/>
      <c r="J415" s="143"/>
      <c r="K415" s="149"/>
      <c r="L415" s="150" t="str">
        <f t="shared" si="73"/>
        <v/>
      </c>
      <c r="M415" s="150" t="str">
        <f t="shared" si="74"/>
        <v/>
      </c>
      <c r="N415" s="151" t="str">
        <f t="shared" si="75"/>
        <v/>
      </c>
      <c r="O415" s="151" t="str">
        <f t="shared" si="76"/>
        <v/>
      </c>
      <c r="P415" s="151" t="str">
        <f t="shared" si="77"/>
        <v/>
      </c>
      <c r="Q415" s="151" t="str">
        <f t="shared" si="78"/>
        <v/>
      </c>
      <c r="R415" s="150" t="str">
        <f t="shared" si="79"/>
        <v/>
      </c>
      <c r="S415" s="150" t="str">
        <f t="shared" si="80"/>
        <v/>
      </c>
      <c r="T415" s="150" t="str">
        <f t="shared" si="81"/>
        <v/>
      </c>
      <c r="U415" s="152"/>
      <c r="V415" s="143"/>
      <c r="W415" s="102"/>
      <c r="X415" s="102" t="str">
        <f t="shared" si="82"/>
        <v/>
      </c>
      <c r="Y415" s="102"/>
      <c r="Z415" s="102"/>
      <c r="AA415" s="102"/>
      <c r="AB415" s="102"/>
      <c r="AC415" s="102"/>
      <c r="AD415" s="102"/>
      <c r="AE415" s="102"/>
      <c r="AF415" s="102"/>
      <c r="AG415" s="102"/>
      <c r="AH415" s="102"/>
      <c r="AI415" s="102"/>
      <c r="AJ415" s="102"/>
      <c r="AK415" s="102"/>
      <c r="AL415" s="102"/>
      <c r="AM415" s="102"/>
    </row>
    <row r="416" spans="1:39">
      <c r="A416" s="143"/>
      <c r="B416" s="143"/>
      <c r="C416" s="155"/>
      <c r="D416" s="143"/>
      <c r="E416" s="146"/>
      <c r="F416" s="147"/>
      <c r="G416" s="147"/>
      <c r="H416" s="148"/>
      <c r="I416" s="143"/>
      <c r="J416" s="143"/>
      <c r="K416" s="149"/>
      <c r="L416" s="150" t="str">
        <f t="shared" si="73"/>
        <v/>
      </c>
      <c r="M416" s="150" t="str">
        <f t="shared" si="74"/>
        <v/>
      </c>
      <c r="N416" s="151" t="str">
        <f t="shared" si="75"/>
        <v/>
      </c>
      <c r="O416" s="151" t="str">
        <f t="shared" si="76"/>
        <v/>
      </c>
      <c r="P416" s="151" t="str">
        <f t="shared" si="77"/>
        <v/>
      </c>
      <c r="Q416" s="151" t="str">
        <f t="shared" si="78"/>
        <v/>
      </c>
      <c r="R416" s="150" t="str">
        <f t="shared" si="79"/>
        <v/>
      </c>
      <c r="S416" s="150" t="str">
        <f t="shared" si="80"/>
        <v/>
      </c>
      <c r="T416" s="150" t="str">
        <f t="shared" si="81"/>
        <v/>
      </c>
      <c r="U416" s="152"/>
      <c r="V416" s="143"/>
      <c r="W416" s="102"/>
      <c r="X416" s="102" t="str">
        <f t="shared" si="82"/>
        <v/>
      </c>
      <c r="Y416" s="102"/>
      <c r="Z416" s="102"/>
      <c r="AA416" s="102"/>
      <c r="AB416" s="102"/>
      <c r="AC416" s="102"/>
      <c r="AD416" s="102"/>
      <c r="AE416" s="102"/>
      <c r="AF416" s="102"/>
      <c r="AG416" s="102"/>
      <c r="AH416" s="102"/>
      <c r="AI416" s="102"/>
      <c r="AJ416" s="102"/>
      <c r="AK416" s="102"/>
      <c r="AL416" s="102"/>
      <c r="AM416" s="102"/>
    </row>
    <row r="417" spans="1:39">
      <c r="A417" s="143"/>
      <c r="B417" s="143"/>
      <c r="C417" s="155"/>
      <c r="D417" s="143"/>
      <c r="E417" s="146"/>
      <c r="F417" s="147"/>
      <c r="G417" s="147"/>
      <c r="H417" s="148"/>
      <c r="I417" s="143"/>
      <c r="J417" s="143"/>
      <c r="K417" s="149"/>
      <c r="L417" s="150" t="str">
        <f t="shared" si="73"/>
        <v/>
      </c>
      <c r="M417" s="150" t="str">
        <f t="shared" si="74"/>
        <v/>
      </c>
      <c r="N417" s="151" t="str">
        <f t="shared" si="75"/>
        <v/>
      </c>
      <c r="O417" s="151" t="str">
        <f t="shared" si="76"/>
        <v/>
      </c>
      <c r="P417" s="151" t="str">
        <f t="shared" si="77"/>
        <v/>
      </c>
      <c r="Q417" s="151" t="str">
        <f t="shared" si="78"/>
        <v/>
      </c>
      <c r="R417" s="150" t="str">
        <f t="shared" si="79"/>
        <v/>
      </c>
      <c r="S417" s="150" t="str">
        <f t="shared" si="80"/>
        <v/>
      </c>
      <c r="T417" s="150" t="str">
        <f t="shared" si="81"/>
        <v/>
      </c>
      <c r="U417" s="152"/>
      <c r="V417" s="143"/>
      <c r="W417" s="102"/>
      <c r="X417" s="102" t="str">
        <f t="shared" si="82"/>
        <v/>
      </c>
      <c r="Y417" s="102"/>
      <c r="Z417" s="102"/>
      <c r="AA417" s="102"/>
      <c r="AB417" s="102"/>
      <c r="AC417" s="102"/>
      <c r="AD417" s="102"/>
      <c r="AE417" s="102"/>
      <c r="AF417" s="102"/>
      <c r="AG417" s="102"/>
      <c r="AH417" s="102"/>
      <c r="AI417" s="102"/>
      <c r="AJ417" s="102"/>
      <c r="AK417" s="102"/>
      <c r="AL417" s="102"/>
      <c r="AM417" s="102"/>
    </row>
    <row r="418" spans="1:39">
      <c r="A418" s="143"/>
      <c r="B418" s="143"/>
      <c r="C418" s="155"/>
      <c r="D418" s="143"/>
      <c r="E418" s="146"/>
      <c r="F418" s="147"/>
      <c r="G418" s="147"/>
      <c r="H418" s="148"/>
      <c r="I418" s="143"/>
      <c r="J418" s="143"/>
      <c r="K418" s="149"/>
      <c r="L418" s="150" t="str">
        <f t="shared" si="73"/>
        <v/>
      </c>
      <c r="M418" s="150" t="str">
        <f t="shared" si="74"/>
        <v/>
      </c>
      <c r="N418" s="151" t="str">
        <f t="shared" si="75"/>
        <v/>
      </c>
      <c r="O418" s="151" t="str">
        <f t="shared" si="76"/>
        <v/>
      </c>
      <c r="P418" s="151" t="str">
        <f t="shared" si="77"/>
        <v/>
      </c>
      <c r="Q418" s="151" t="str">
        <f t="shared" si="78"/>
        <v/>
      </c>
      <c r="R418" s="150" t="str">
        <f t="shared" si="79"/>
        <v/>
      </c>
      <c r="S418" s="150" t="str">
        <f t="shared" si="80"/>
        <v/>
      </c>
      <c r="T418" s="150" t="str">
        <f t="shared" si="81"/>
        <v/>
      </c>
      <c r="U418" s="152"/>
      <c r="V418" s="143"/>
      <c r="W418" s="102"/>
      <c r="X418" s="102" t="str">
        <f t="shared" si="82"/>
        <v/>
      </c>
      <c r="Y418" s="102"/>
      <c r="Z418" s="102"/>
      <c r="AA418" s="102"/>
      <c r="AB418" s="102"/>
      <c r="AC418" s="102"/>
      <c r="AD418" s="102"/>
      <c r="AE418" s="102"/>
      <c r="AF418" s="102"/>
      <c r="AG418" s="102"/>
      <c r="AH418" s="102"/>
      <c r="AI418" s="102"/>
      <c r="AJ418" s="102"/>
      <c r="AK418" s="102"/>
      <c r="AL418" s="102"/>
      <c r="AM418" s="102"/>
    </row>
    <row r="419" spans="1:39">
      <c r="A419" s="143"/>
      <c r="B419" s="143"/>
      <c r="C419" s="155"/>
      <c r="D419" s="143"/>
      <c r="E419" s="146"/>
      <c r="F419" s="147"/>
      <c r="G419" s="147"/>
      <c r="H419" s="148"/>
      <c r="I419" s="143"/>
      <c r="J419" s="143"/>
      <c r="K419" s="149"/>
      <c r="L419" s="150" t="str">
        <f t="shared" si="73"/>
        <v/>
      </c>
      <c r="M419" s="150" t="str">
        <f t="shared" si="74"/>
        <v/>
      </c>
      <c r="N419" s="151" t="str">
        <f t="shared" si="75"/>
        <v/>
      </c>
      <c r="O419" s="151" t="str">
        <f t="shared" si="76"/>
        <v/>
      </c>
      <c r="P419" s="151" t="str">
        <f t="shared" si="77"/>
        <v/>
      </c>
      <c r="Q419" s="151" t="str">
        <f t="shared" si="78"/>
        <v/>
      </c>
      <c r="R419" s="150" t="str">
        <f t="shared" si="79"/>
        <v/>
      </c>
      <c r="S419" s="150" t="str">
        <f t="shared" si="80"/>
        <v/>
      </c>
      <c r="T419" s="150" t="str">
        <f t="shared" si="81"/>
        <v/>
      </c>
      <c r="U419" s="152"/>
      <c r="V419" s="143"/>
      <c r="W419" s="102"/>
      <c r="X419" s="102" t="str">
        <f t="shared" si="82"/>
        <v/>
      </c>
      <c r="Y419" s="102"/>
      <c r="Z419" s="102"/>
      <c r="AA419" s="102"/>
      <c r="AB419" s="102"/>
      <c r="AC419" s="102"/>
      <c r="AD419" s="102"/>
      <c r="AE419" s="102"/>
      <c r="AF419" s="102"/>
      <c r="AG419" s="102"/>
      <c r="AH419" s="102"/>
      <c r="AI419" s="102"/>
      <c r="AJ419" s="102"/>
      <c r="AK419" s="102"/>
      <c r="AL419" s="102"/>
      <c r="AM419" s="102"/>
    </row>
    <row r="420" spans="1:39">
      <c r="A420" s="143"/>
      <c r="B420" s="143"/>
      <c r="C420" s="155"/>
      <c r="D420" s="143"/>
      <c r="E420" s="146"/>
      <c r="F420" s="147"/>
      <c r="G420" s="147"/>
      <c r="H420" s="148"/>
      <c r="I420" s="143"/>
      <c r="J420" s="143"/>
      <c r="K420" s="149"/>
      <c r="L420" s="150" t="str">
        <f t="shared" si="73"/>
        <v/>
      </c>
      <c r="M420" s="150" t="str">
        <f t="shared" si="74"/>
        <v/>
      </c>
      <c r="N420" s="151" t="str">
        <f t="shared" si="75"/>
        <v/>
      </c>
      <c r="O420" s="151" t="str">
        <f t="shared" si="76"/>
        <v/>
      </c>
      <c r="P420" s="151" t="str">
        <f t="shared" si="77"/>
        <v/>
      </c>
      <c r="Q420" s="151" t="str">
        <f t="shared" si="78"/>
        <v/>
      </c>
      <c r="R420" s="150" t="str">
        <f t="shared" si="79"/>
        <v/>
      </c>
      <c r="S420" s="150" t="str">
        <f t="shared" si="80"/>
        <v/>
      </c>
      <c r="T420" s="150" t="str">
        <f t="shared" si="81"/>
        <v/>
      </c>
      <c r="U420" s="152"/>
      <c r="V420" s="143"/>
      <c r="W420" s="102"/>
      <c r="X420" s="102" t="str">
        <f t="shared" si="82"/>
        <v/>
      </c>
      <c r="Y420" s="102"/>
      <c r="Z420" s="102"/>
      <c r="AA420" s="102"/>
      <c r="AB420" s="102"/>
      <c r="AC420" s="102"/>
      <c r="AD420" s="102"/>
      <c r="AE420" s="102"/>
      <c r="AF420" s="102"/>
      <c r="AG420" s="102"/>
      <c r="AH420" s="102"/>
      <c r="AI420" s="102"/>
      <c r="AJ420" s="102"/>
      <c r="AK420" s="102"/>
      <c r="AL420" s="102"/>
      <c r="AM420" s="102"/>
    </row>
    <row r="421" spans="1:39">
      <c r="A421" s="143"/>
      <c r="B421" s="143"/>
      <c r="C421" s="155"/>
      <c r="D421" s="143"/>
      <c r="E421" s="146"/>
      <c r="F421" s="147"/>
      <c r="G421" s="147"/>
      <c r="H421" s="148"/>
      <c r="I421" s="143"/>
      <c r="J421" s="143"/>
      <c r="K421" s="149"/>
      <c r="L421" s="150" t="str">
        <f t="shared" si="73"/>
        <v/>
      </c>
      <c r="M421" s="150" t="str">
        <f t="shared" si="74"/>
        <v/>
      </c>
      <c r="N421" s="151" t="str">
        <f t="shared" si="75"/>
        <v/>
      </c>
      <c r="O421" s="151" t="str">
        <f t="shared" si="76"/>
        <v/>
      </c>
      <c r="P421" s="151" t="str">
        <f t="shared" si="77"/>
        <v/>
      </c>
      <c r="Q421" s="151" t="str">
        <f t="shared" si="78"/>
        <v/>
      </c>
      <c r="R421" s="150" t="str">
        <f t="shared" si="79"/>
        <v/>
      </c>
      <c r="S421" s="150" t="str">
        <f t="shared" si="80"/>
        <v/>
      </c>
      <c r="T421" s="150" t="str">
        <f t="shared" si="81"/>
        <v/>
      </c>
      <c r="U421" s="152"/>
      <c r="V421" s="143"/>
      <c r="W421" s="102"/>
      <c r="X421" s="102" t="str">
        <f t="shared" si="82"/>
        <v/>
      </c>
      <c r="Y421" s="102"/>
      <c r="Z421" s="102"/>
      <c r="AA421" s="102"/>
      <c r="AB421" s="102"/>
      <c r="AC421" s="102"/>
      <c r="AD421" s="102"/>
      <c r="AE421" s="102"/>
      <c r="AF421" s="102"/>
      <c r="AG421" s="102"/>
      <c r="AH421" s="102"/>
      <c r="AI421" s="102"/>
      <c r="AJ421" s="102"/>
      <c r="AK421" s="102"/>
      <c r="AL421" s="102"/>
      <c r="AM421" s="102"/>
    </row>
    <row r="422" spans="1:39">
      <c r="A422" s="143"/>
      <c r="B422" s="143"/>
      <c r="C422" s="155"/>
      <c r="D422" s="143"/>
      <c r="E422" s="146"/>
      <c r="F422" s="147"/>
      <c r="G422" s="147"/>
      <c r="H422" s="148"/>
      <c r="I422" s="143"/>
      <c r="J422" s="143"/>
      <c r="K422" s="149"/>
      <c r="L422" s="150" t="str">
        <f t="shared" si="73"/>
        <v/>
      </c>
      <c r="M422" s="150" t="str">
        <f t="shared" si="74"/>
        <v/>
      </c>
      <c r="N422" s="151" t="str">
        <f t="shared" si="75"/>
        <v/>
      </c>
      <c r="O422" s="151" t="str">
        <f t="shared" si="76"/>
        <v/>
      </c>
      <c r="P422" s="151" t="str">
        <f t="shared" si="77"/>
        <v/>
      </c>
      <c r="Q422" s="151" t="str">
        <f t="shared" si="78"/>
        <v/>
      </c>
      <c r="R422" s="150" t="str">
        <f t="shared" si="79"/>
        <v/>
      </c>
      <c r="S422" s="150" t="str">
        <f t="shared" si="80"/>
        <v/>
      </c>
      <c r="T422" s="150" t="str">
        <f t="shared" si="81"/>
        <v/>
      </c>
      <c r="U422" s="152"/>
      <c r="V422" s="143"/>
      <c r="W422" s="102"/>
      <c r="X422" s="102" t="str">
        <f t="shared" si="82"/>
        <v/>
      </c>
      <c r="Y422" s="102"/>
      <c r="Z422" s="102"/>
      <c r="AA422" s="102"/>
      <c r="AB422" s="102"/>
      <c r="AC422" s="102"/>
      <c r="AD422" s="102"/>
      <c r="AE422" s="102"/>
      <c r="AF422" s="102"/>
      <c r="AG422" s="102"/>
      <c r="AH422" s="102"/>
      <c r="AI422" s="102"/>
      <c r="AJ422" s="102"/>
      <c r="AK422" s="102"/>
      <c r="AL422" s="102"/>
      <c r="AM422" s="102"/>
    </row>
    <row r="423" spans="1:39">
      <c r="A423" s="143"/>
      <c r="B423" s="143"/>
      <c r="C423" s="155"/>
      <c r="D423" s="143"/>
      <c r="E423" s="146"/>
      <c r="F423" s="147"/>
      <c r="G423" s="147"/>
      <c r="H423" s="148"/>
      <c r="I423" s="143"/>
      <c r="J423" s="143"/>
      <c r="K423" s="149"/>
      <c r="L423" s="150" t="str">
        <f t="shared" si="73"/>
        <v/>
      </c>
      <c r="M423" s="150" t="str">
        <f t="shared" si="74"/>
        <v/>
      </c>
      <c r="N423" s="151" t="str">
        <f t="shared" si="75"/>
        <v/>
      </c>
      <c r="O423" s="151" t="str">
        <f t="shared" si="76"/>
        <v/>
      </c>
      <c r="P423" s="151" t="str">
        <f t="shared" si="77"/>
        <v/>
      </c>
      <c r="Q423" s="151" t="str">
        <f t="shared" si="78"/>
        <v/>
      </c>
      <c r="R423" s="150" t="str">
        <f t="shared" si="79"/>
        <v/>
      </c>
      <c r="S423" s="150" t="str">
        <f t="shared" si="80"/>
        <v/>
      </c>
      <c r="T423" s="150" t="str">
        <f t="shared" si="81"/>
        <v/>
      </c>
      <c r="U423" s="152"/>
      <c r="V423" s="143"/>
      <c r="W423" s="102"/>
      <c r="X423" s="102" t="str">
        <f t="shared" si="82"/>
        <v/>
      </c>
      <c r="Y423" s="102"/>
      <c r="Z423" s="102"/>
      <c r="AA423" s="102"/>
      <c r="AB423" s="102"/>
      <c r="AC423" s="102"/>
      <c r="AD423" s="102"/>
      <c r="AE423" s="102"/>
      <c r="AF423" s="102"/>
      <c r="AG423" s="102"/>
      <c r="AH423" s="102"/>
      <c r="AI423" s="102"/>
      <c r="AJ423" s="102"/>
      <c r="AK423" s="102"/>
      <c r="AL423" s="102"/>
      <c r="AM423" s="102"/>
    </row>
    <row r="424" spans="1:39">
      <c r="A424" s="143"/>
      <c r="B424" s="143"/>
      <c r="C424" s="155"/>
      <c r="D424" s="143"/>
      <c r="E424" s="146"/>
      <c r="F424" s="147"/>
      <c r="G424" s="147"/>
      <c r="H424" s="148"/>
      <c r="I424" s="143"/>
      <c r="J424" s="143"/>
      <c r="K424" s="149"/>
      <c r="L424" s="150" t="str">
        <f t="shared" si="73"/>
        <v/>
      </c>
      <c r="M424" s="150" t="str">
        <f t="shared" si="74"/>
        <v/>
      </c>
      <c r="N424" s="151" t="str">
        <f t="shared" si="75"/>
        <v/>
      </c>
      <c r="O424" s="151" t="str">
        <f t="shared" si="76"/>
        <v/>
      </c>
      <c r="P424" s="151" t="str">
        <f t="shared" si="77"/>
        <v/>
      </c>
      <c r="Q424" s="151" t="str">
        <f t="shared" si="78"/>
        <v/>
      </c>
      <c r="R424" s="150" t="str">
        <f t="shared" si="79"/>
        <v/>
      </c>
      <c r="S424" s="150" t="str">
        <f t="shared" si="80"/>
        <v/>
      </c>
      <c r="T424" s="150" t="str">
        <f t="shared" si="81"/>
        <v/>
      </c>
      <c r="U424" s="152"/>
      <c r="V424" s="143"/>
      <c r="W424" s="102"/>
      <c r="X424" s="102" t="str">
        <f t="shared" si="82"/>
        <v/>
      </c>
      <c r="Y424" s="102"/>
      <c r="Z424" s="102"/>
      <c r="AA424" s="102"/>
      <c r="AB424" s="102"/>
      <c r="AC424" s="102"/>
      <c r="AD424" s="102"/>
      <c r="AE424" s="102"/>
      <c r="AF424" s="102"/>
      <c r="AG424" s="102"/>
      <c r="AH424" s="102"/>
      <c r="AI424" s="102"/>
      <c r="AJ424" s="102"/>
      <c r="AK424" s="102"/>
      <c r="AL424" s="102"/>
      <c r="AM424" s="102"/>
    </row>
    <row r="425" spans="1:39">
      <c r="A425" s="143"/>
      <c r="B425" s="143"/>
      <c r="C425" s="155"/>
      <c r="D425" s="143"/>
      <c r="E425" s="146"/>
      <c r="F425" s="147"/>
      <c r="G425" s="147"/>
      <c r="H425" s="148"/>
      <c r="I425" s="143"/>
      <c r="J425" s="143"/>
      <c r="K425" s="149"/>
      <c r="L425" s="150" t="str">
        <f t="shared" si="73"/>
        <v/>
      </c>
      <c r="M425" s="150" t="str">
        <f t="shared" si="74"/>
        <v/>
      </c>
      <c r="N425" s="151" t="str">
        <f t="shared" si="75"/>
        <v/>
      </c>
      <c r="O425" s="151" t="str">
        <f t="shared" si="76"/>
        <v/>
      </c>
      <c r="P425" s="151" t="str">
        <f t="shared" si="77"/>
        <v/>
      </c>
      <c r="Q425" s="151" t="str">
        <f t="shared" si="78"/>
        <v/>
      </c>
      <c r="R425" s="150" t="str">
        <f t="shared" si="79"/>
        <v/>
      </c>
      <c r="S425" s="150" t="str">
        <f t="shared" si="80"/>
        <v/>
      </c>
      <c r="T425" s="150" t="str">
        <f t="shared" si="81"/>
        <v/>
      </c>
      <c r="U425" s="152"/>
      <c r="V425" s="143"/>
      <c r="W425" s="102"/>
      <c r="X425" s="102" t="str">
        <f t="shared" si="82"/>
        <v/>
      </c>
      <c r="Y425" s="102"/>
      <c r="Z425" s="102"/>
      <c r="AA425" s="102"/>
      <c r="AB425" s="102"/>
      <c r="AC425" s="102"/>
      <c r="AD425" s="102"/>
      <c r="AE425" s="102"/>
      <c r="AF425" s="102"/>
      <c r="AG425" s="102"/>
      <c r="AH425" s="102"/>
      <c r="AI425" s="102"/>
      <c r="AJ425" s="102"/>
      <c r="AK425" s="102"/>
      <c r="AL425" s="102"/>
      <c r="AM425" s="102"/>
    </row>
    <row r="426" spans="1:39">
      <c r="A426" s="143"/>
      <c r="B426" s="143"/>
      <c r="C426" s="155"/>
      <c r="D426" s="143"/>
      <c r="E426" s="146"/>
      <c r="F426" s="147"/>
      <c r="G426" s="147"/>
      <c r="H426" s="148"/>
      <c r="I426" s="143"/>
      <c r="J426" s="143"/>
      <c r="K426" s="149"/>
      <c r="L426" s="150" t="str">
        <f t="shared" si="73"/>
        <v/>
      </c>
      <c r="M426" s="150" t="str">
        <f t="shared" si="74"/>
        <v/>
      </c>
      <c r="N426" s="151" t="str">
        <f t="shared" si="75"/>
        <v/>
      </c>
      <c r="O426" s="151" t="str">
        <f t="shared" si="76"/>
        <v/>
      </c>
      <c r="P426" s="151" t="str">
        <f t="shared" si="77"/>
        <v/>
      </c>
      <c r="Q426" s="151" t="str">
        <f t="shared" si="78"/>
        <v/>
      </c>
      <c r="R426" s="150" t="str">
        <f t="shared" si="79"/>
        <v/>
      </c>
      <c r="S426" s="150" t="str">
        <f t="shared" si="80"/>
        <v/>
      </c>
      <c r="T426" s="150" t="str">
        <f t="shared" si="81"/>
        <v/>
      </c>
      <c r="U426" s="152"/>
      <c r="V426" s="143"/>
      <c r="W426" s="102"/>
      <c r="X426" s="102" t="str">
        <f t="shared" si="82"/>
        <v/>
      </c>
      <c r="Y426" s="102"/>
      <c r="Z426" s="102"/>
      <c r="AA426" s="102"/>
      <c r="AB426" s="102"/>
      <c r="AC426" s="102"/>
      <c r="AD426" s="102"/>
      <c r="AE426" s="102"/>
      <c r="AF426" s="102"/>
      <c r="AG426" s="102"/>
      <c r="AH426" s="102"/>
      <c r="AI426" s="102"/>
      <c r="AJ426" s="102"/>
      <c r="AK426" s="102"/>
      <c r="AL426" s="102"/>
      <c r="AM426" s="102"/>
    </row>
    <row r="427" spans="1:39">
      <c r="A427" s="143"/>
      <c r="B427" s="143"/>
      <c r="C427" s="155"/>
      <c r="D427" s="143"/>
      <c r="E427" s="146"/>
      <c r="F427" s="147"/>
      <c r="G427" s="147"/>
      <c r="H427" s="148"/>
      <c r="I427" s="143"/>
      <c r="J427" s="143"/>
      <c r="K427" s="149"/>
      <c r="L427" s="150" t="str">
        <f t="shared" si="73"/>
        <v/>
      </c>
      <c r="M427" s="150" t="str">
        <f t="shared" si="74"/>
        <v/>
      </c>
      <c r="N427" s="151" t="str">
        <f t="shared" si="75"/>
        <v/>
      </c>
      <c r="O427" s="151" t="str">
        <f t="shared" si="76"/>
        <v/>
      </c>
      <c r="P427" s="151" t="str">
        <f t="shared" si="77"/>
        <v/>
      </c>
      <c r="Q427" s="151" t="str">
        <f t="shared" si="78"/>
        <v/>
      </c>
      <c r="R427" s="150" t="str">
        <f t="shared" si="79"/>
        <v/>
      </c>
      <c r="S427" s="150" t="str">
        <f t="shared" si="80"/>
        <v/>
      </c>
      <c r="T427" s="150" t="str">
        <f t="shared" si="81"/>
        <v/>
      </c>
      <c r="U427" s="152"/>
      <c r="V427" s="143"/>
      <c r="W427" s="102"/>
      <c r="X427" s="102" t="str">
        <f t="shared" si="82"/>
        <v/>
      </c>
      <c r="Y427" s="102"/>
      <c r="Z427" s="102"/>
      <c r="AA427" s="102"/>
      <c r="AB427" s="102"/>
      <c r="AC427" s="102"/>
      <c r="AD427" s="102"/>
      <c r="AE427" s="102"/>
      <c r="AF427" s="102"/>
      <c r="AG427" s="102"/>
      <c r="AH427" s="102"/>
      <c r="AI427" s="102"/>
      <c r="AJ427" s="102"/>
      <c r="AK427" s="102"/>
      <c r="AL427" s="102"/>
      <c r="AM427" s="102"/>
    </row>
    <row r="428" spans="1:39">
      <c r="A428" s="143"/>
      <c r="B428" s="143"/>
      <c r="C428" s="155"/>
      <c r="D428" s="143"/>
      <c r="E428" s="146"/>
      <c r="F428" s="147"/>
      <c r="G428" s="147"/>
      <c r="H428" s="148"/>
      <c r="I428" s="143"/>
      <c r="J428" s="143"/>
      <c r="K428" s="149"/>
      <c r="L428" s="150" t="str">
        <f t="shared" si="73"/>
        <v/>
      </c>
      <c r="M428" s="150" t="str">
        <f t="shared" si="74"/>
        <v/>
      </c>
      <c r="N428" s="151" t="str">
        <f t="shared" si="75"/>
        <v/>
      </c>
      <c r="O428" s="151" t="str">
        <f t="shared" si="76"/>
        <v/>
      </c>
      <c r="P428" s="151" t="str">
        <f t="shared" si="77"/>
        <v/>
      </c>
      <c r="Q428" s="151" t="str">
        <f t="shared" si="78"/>
        <v/>
      </c>
      <c r="R428" s="150" t="str">
        <f t="shared" si="79"/>
        <v/>
      </c>
      <c r="S428" s="150" t="str">
        <f t="shared" si="80"/>
        <v/>
      </c>
      <c r="T428" s="150" t="str">
        <f t="shared" si="81"/>
        <v/>
      </c>
      <c r="U428" s="152"/>
      <c r="V428" s="143"/>
      <c r="W428" s="102"/>
      <c r="X428" s="102" t="str">
        <f t="shared" si="82"/>
        <v/>
      </c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</row>
    <row r="429" spans="1:39">
      <c r="A429" s="143"/>
      <c r="B429" s="143"/>
      <c r="C429" s="155"/>
      <c r="D429" s="143"/>
      <c r="E429" s="146"/>
      <c r="F429" s="147"/>
      <c r="G429" s="147"/>
      <c r="H429" s="148"/>
      <c r="I429" s="143"/>
      <c r="J429" s="143"/>
      <c r="K429" s="149"/>
      <c r="L429" s="150" t="str">
        <f t="shared" si="73"/>
        <v/>
      </c>
      <c r="M429" s="150" t="str">
        <f t="shared" si="74"/>
        <v/>
      </c>
      <c r="N429" s="151" t="str">
        <f t="shared" si="75"/>
        <v/>
      </c>
      <c r="O429" s="151" t="str">
        <f t="shared" si="76"/>
        <v/>
      </c>
      <c r="P429" s="151" t="str">
        <f t="shared" si="77"/>
        <v/>
      </c>
      <c r="Q429" s="151" t="str">
        <f t="shared" si="78"/>
        <v/>
      </c>
      <c r="R429" s="150" t="str">
        <f t="shared" si="79"/>
        <v/>
      </c>
      <c r="S429" s="150" t="str">
        <f t="shared" si="80"/>
        <v/>
      </c>
      <c r="T429" s="150" t="str">
        <f t="shared" si="81"/>
        <v/>
      </c>
      <c r="U429" s="152"/>
      <c r="V429" s="143"/>
      <c r="W429" s="102"/>
      <c r="X429" s="102" t="str">
        <f t="shared" si="82"/>
        <v/>
      </c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</row>
    <row r="430" spans="1:39">
      <c r="A430" s="143"/>
      <c r="B430" s="143"/>
      <c r="C430" s="155"/>
      <c r="D430" s="143"/>
      <c r="E430" s="146"/>
      <c r="F430" s="147"/>
      <c r="G430" s="147"/>
      <c r="H430" s="148"/>
      <c r="I430" s="143"/>
      <c r="J430" s="143"/>
      <c r="K430" s="149"/>
      <c r="L430" s="150" t="str">
        <f t="shared" si="73"/>
        <v/>
      </c>
      <c r="M430" s="150" t="str">
        <f t="shared" si="74"/>
        <v/>
      </c>
      <c r="N430" s="151" t="str">
        <f t="shared" si="75"/>
        <v/>
      </c>
      <c r="O430" s="151" t="str">
        <f t="shared" si="76"/>
        <v/>
      </c>
      <c r="P430" s="151" t="str">
        <f t="shared" si="77"/>
        <v/>
      </c>
      <c r="Q430" s="151" t="str">
        <f t="shared" si="78"/>
        <v/>
      </c>
      <c r="R430" s="150" t="str">
        <f t="shared" si="79"/>
        <v/>
      </c>
      <c r="S430" s="150" t="str">
        <f t="shared" si="80"/>
        <v/>
      </c>
      <c r="T430" s="150" t="str">
        <f t="shared" si="81"/>
        <v/>
      </c>
      <c r="U430" s="152"/>
      <c r="V430" s="143"/>
      <c r="W430" s="102"/>
      <c r="X430" s="102" t="str">
        <f t="shared" si="82"/>
        <v/>
      </c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</row>
    <row r="431" spans="1:39">
      <c r="A431" s="143"/>
      <c r="B431" s="143"/>
      <c r="C431" s="155"/>
      <c r="D431" s="143"/>
      <c r="E431" s="146"/>
      <c r="F431" s="147"/>
      <c r="G431" s="147"/>
      <c r="H431" s="148"/>
      <c r="I431" s="143"/>
      <c r="J431" s="143"/>
      <c r="K431" s="149"/>
      <c r="L431" s="150" t="str">
        <f t="shared" si="73"/>
        <v/>
      </c>
      <c r="M431" s="150" t="str">
        <f t="shared" si="74"/>
        <v/>
      </c>
      <c r="N431" s="151" t="str">
        <f t="shared" si="75"/>
        <v/>
      </c>
      <c r="O431" s="151" t="str">
        <f t="shared" si="76"/>
        <v/>
      </c>
      <c r="P431" s="151" t="str">
        <f t="shared" si="77"/>
        <v/>
      </c>
      <c r="Q431" s="151" t="str">
        <f t="shared" si="78"/>
        <v/>
      </c>
      <c r="R431" s="150" t="str">
        <f t="shared" si="79"/>
        <v/>
      </c>
      <c r="S431" s="150" t="str">
        <f t="shared" si="80"/>
        <v/>
      </c>
      <c r="T431" s="150" t="str">
        <f t="shared" si="81"/>
        <v/>
      </c>
      <c r="U431" s="152"/>
      <c r="V431" s="143"/>
      <c r="W431" s="102"/>
      <c r="X431" s="102" t="str">
        <f t="shared" si="82"/>
        <v/>
      </c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</row>
    <row r="432" spans="1:39">
      <c r="A432" s="143"/>
      <c r="B432" s="143"/>
      <c r="C432" s="155"/>
      <c r="D432" s="143"/>
      <c r="E432" s="146"/>
      <c r="F432" s="147"/>
      <c r="G432" s="147"/>
      <c r="H432" s="148"/>
      <c r="I432" s="143"/>
      <c r="J432" s="143"/>
      <c r="K432" s="149"/>
      <c r="L432" s="150" t="str">
        <f t="shared" si="73"/>
        <v/>
      </c>
      <c r="M432" s="150" t="str">
        <f t="shared" si="74"/>
        <v/>
      </c>
      <c r="N432" s="151" t="str">
        <f t="shared" si="75"/>
        <v/>
      </c>
      <c r="O432" s="151" t="str">
        <f t="shared" si="76"/>
        <v/>
      </c>
      <c r="P432" s="151" t="str">
        <f t="shared" si="77"/>
        <v/>
      </c>
      <c r="Q432" s="151" t="str">
        <f t="shared" si="78"/>
        <v/>
      </c>
      <c r="R432" s="150" t="str">
        <f t="shared" si="79"/>
        <v/>
      </c>
      <c r="S432" s="150" t="str">
        <f t="shared" si="80"/>
        <v/>
      </c>
      <c r="T432" s="150" t="str">
        <f t="shared" si="81"/>
        <v/>
      </c>
      <c r="U432" s="152"/>
      <c r="V432" s="143"/>
      <c r="W432" s="102"/>
      <c r="X432" s="102" t="str">
        <f t="shared" si="82"/>
        <v/>
      </c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</row>
    <row r="433" spans="1:39">
      <c r="A433" s="143"/>
      <c r="B433" s="143"/>
      <c r="C433" s="155"/>
      <c r="D433" s="143"/>
      <c r="E433" s="146"/>
      <c r="F433" s="147"/>
      <c r="G433" s="147"/>
      <c r="H433" s="148"/>
      <c r="I433" s="143"/>
      <c r="J433" s="143"/>
      <c r="K433" s="149"/>
      <c r="L433" s="150" t="str">
        <f t="shared" si="73"/>
        <v/>
      </c>
      <c r="M433" s="150" t="str">
        <f t="shared" si="74"/>
        <v/>
      </c>
      <c r="N433" s="151" t="str">
        <f t="shared" si="75"/>
        <v/>
      </c>
      <c r="O433" s="151" t="str">
        <f t="shared" si="76"/>
        <v/>
      </c>
      <c r="P433" s="151" t="str">
        <f t="shared" si="77"/>
        <v/>
      </c>
      <c r="Q433" s="151" t="str">
        <f t="shared" si="78"/>
        <v/>
      </c>
      <c r="R433" s="150" t="str">
        <f t="shared" si="79"/>
        <v/>
      </c>
      <c r="S433" s="150" t="str">
        <f t="shared" si="80"/>
        <v/>
      </c>
      <c r="T433" s="150" t="str">
        <f t="shared" si="81"/>
        <v/>
      </c>
      <c r="U433" s="152"/>
      <c r="V433" s="143"/>
      <c r="W433" s="102"/>
      <c r="X433" s="102" t="str">
        <f t="shared" si="82"/>
        <v/>
      </c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</row>
    <row r="434" spans="1:39">
      <c r="A434" s="143"/>
      <c r="B434" s="143"/>
      <c r="C434" s="155"/>
      <c r="D434" s="143"/>
      <c r="E434" s="146"/>
      <c r="F434" s="147"/>
      <c r="G434" s="147"/>
      <c r="H434" s="148"/>
      <c r="I434" s="143"/>
      <c r="J434" s="143"/>
      <c r="K434" s="149"/>
      <c r="L434" s="150" t="str">
        <f t="shared" si="73"/>
        <v/>
      </c>
      <c r="M434" s="150" t="str">
        <f t="shared" si="74"/>
        <v/>
      </c>
      <c r="N434" s="151" t="str">
        <f t="shared" si="75"/>
        <v/>
      </c>
      <c r="O434" s="151" t="str">
        <f t="shared" si="76"/>
        <v/>
      </c>
      <c r="P434" s="151" t="str">
        <f t="shared" si="77"/>
        <v/>
      </c>
      <c r="Q434" s="151" t="str">
        <f t="shared" si="78"/>
        <v/>
      </c>
      <c r="R434" s="150" t="str">
        <f t="shared" si="79"/>
        <v/>
      </c>
      <c r="S434" s="150" t="str">
        <f t="shared" si="80"/>
        <v/>
      </c>
      <c r="T434" s="150" t="str">
        <f t="shared" si="81"/>
        <v/>
      </c>
      <c r="U434" s="152"/>
      <c r="V434" s="143"/>
      <c r="W434" s="102"/>
      <c r="X434" s="102" t="str">
        <f t="shared" si="82"/>
        <v/>
      </c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</row>
    <row r="435" spans="1:39">
      <c r="A435" s="143"/>
      <c r="B435" s="143"/>
      <c r="C435" s="155"/>
      <c r="D435" s="143"/>
      <c r="E435" s="146"/>
      <c r="F435" s="147"/>
      <c r="G435" s="147"/>
      <c r="H435" s="148"/>
      <c r="I435" s="143"/>
      <c r="J435" s="143"/>
      <c r="K435" s="149"/>
      <c r="L435" s="150" t="str">
        <f t="shared" si="73"/>
        <v/>
      </c>
      <c r="M435" s="150" t="str">
        <f t="shared" si="74"/>
        <v/>
      </c>
      <c r="N435" s="151" t="str">
        <f t="shared" si="75"/>
        <v/>
      </c>
      <c r="O435" s="151" t="str">
        <f t="shared" si="76"/>
        <v/>
      </c>
      <c r="P435" s="151" t="str">
        <f t="shared" si="77"/>
        <v/>
      </c>
      <c r="Q435" s="151" t="str">
        <f t="shared" si="78"/>
        <v/>
      </c>
      <c r="R435" s="150" t="str">
        <f t="shared" si="79"/>
        <v/>
      </c>
      <c r="S435" s="150" t="str">
        <f t="shared" si="80"/>
        <v/>
      </c>
      <c r="T435" s="150" t="str">
        <f t="shared" si="81"/>
        <v/>
      </c>
      <c r="U435" s="152"/>
      <c r="V435" s="143"/>
      <c r="W435" s="102"/>
      <c r="X435" s="102" t="str">
        <f t="shared" si="82"/>
        <v/>
      </c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</row>
    <row r="436" spans="1:39">
      <c r="A436" s="143"/>
      <c r="B436" s="143"/>
      <c r="C436" s="155"/>
      <c r="D436" s="143"/>
      <c r="E436" s="146"/>
      <c r="F436" s="147"/>
      <c r="G436" s="147"/>
      <c r="H436" s="148"/>
      <c r="I436" s="143"/>
      <c r="J436" s="143"/>
      <c r="K436" s="149"/>
      <c r="L436" s="150" t="str">
        <f t="shared" si="73"/>
        <v/>
      </c>
      <c r="M436" s="150" t="str">
        <f t="shared" si="74"/>
        <v/>
      </c>
      <c r="N436" s="151" t="str">
        <f t="shared" si="75"/>
        <v/>
      </c>
      <c r="O436" s="151" t="str">
        <f t="shared" si="76"/>
        <v/>
      </c>
      <c r="P436" s="151" t="str">
        <f t="shared" si="77"/>
        <v/>
      </c>
      <c r="Q436" s="151" t="str">
        <f t="shared" si="78"/>
        <v/>
      </c>
      <c r="R436" s="150" t="str">
        <f t="shared" si="79"/>
        <v/>
      </c>
      <c r="S436" s="150" t="str">
        <f t="shared" si="80"/>
        <v/>
      </c>
      <c r="T436" s="150" t="str">
        <f t="shared" si="81"/>
        <v/>
      </c>
      <c r="U436" s="152"/>
      <c r="V436" s="143"/>
      <c r="W436" s="102"/>
      <c r="X436" s="102" t="str">
        <f t="shared" si="82"/>
        <v/>
      </c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</row>
    <row r="437" spans="1:39">
      <c r="A437" s="143"/>
      <c r="B437" s="143"/>
      <c r="C437" s="155"/>
      <c r="D437" s="143"/>
      <c r="E437" s="146"/>
      <c r="F437" s="147"/>
      <c r="G437" s="147"/>
      <c r="H437" s="148"/>
      <c r="I437" s="143"/>
      <c r="J437" s="143"/>
      <c r="K437" s="149"/>
      <c r="L437" s="150" t="str">
        <f t="shared" si="73"/>
        <v/>
      </c>
      <c r="M437" s="150" t="str">
        <f t="shared" si="74"/>
        <v/>
      </c>
      <c r="N437" s="151" t="str">
        <f t="shared" si="75"/>
        <v/>
      </c>
      <c r="O437" s="151" t="str">
        <f t="shared" si="76"/>
        <v/>
      </c>
      <c r="P437" s="151" t="str">
        <f t="shared" si="77"/>
        <v/>
      </c>
      <c r="Q437" s="151" t="str">
        <f t="shared" si="78"/>
        <v/>
      </c>
      <c r="R437" s="150" t="str">
        <f t="shared" si="79"/>
        <v/>
      </c>
      <c r="S437" s="150" t="str">
        <f t="shared" si="80"/>
        <v/>
      </c>
      <c r="T437" s="150" t="str">
        <f t="shared" si="81"/>
        <v/>
      </c>
      <c r="U437" s="152"/>
      <c r="V437" s="143"/>
      <c r="W437" s="102"/>
      <c r="X437" s="102" t="str">
        <f t="shared" si="82"/>
        <v/>
      </c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</row>
    <row r="438" spans="1:39">
      <c r="A438" s="143"/>
      <c r="B438" s="143"/>
      <c r="C438" s="155"/>
      <c r="D438" s="143"/>
      <c r="E438" s="146"/>
      <c r="F438" s="147"/>
      <c r="G438" s="147"/>
      <c r="H438" s="148"/>
      <c r="I438" s="143"/>
      <c r="J438" s="143"/>
      <c r="K438" s="149"/>
      <c r="L438" s="150" t="str">
        <f t="shared" si="73"/>
        <v/>
      </c>
      <c r="M438" s="150" t="str">
        <f t="shared" si="74"/>
        <v/>
      </c>
      <c r="N438" s="151" t="str">
        <f t="shared" si="75"/>
        <v/>
      </c>
      <c r="O438" s="151" t="str">
        <f t="shared" si="76"/>
        <v/>
      </c>
      <c r="P438" s="151" t="str">
        <f t="shared" si="77"/>
        <v/>
      </c>
      <c r="Q438" s="151" t="str">
        <f t="shared" si="78"/>
        <v/>
      </c>
      <c r="R438" s="150" t="str">
        <f t="shared" si="79"/>
        <v/>
      </c>
      <c r="S438" s="150" t="str">
        <f t="shared" si="80"/>
        <v/>
      </c>
      <c r="T438" s="150" t="str">
        <f t="shared" si="81"/>
        <v/>
      </c>
      <c r="U438" s="152"/>
      <c r="V438" s="143"/>
      <c r="W438" s="102"/>
      <c r="X438" s="102" t="str">
        <f t="shared" si="82"/>
        <v/>
      </c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</row>
    <row r="439" spans="1:39">
      <c r="A439" s="143"/>
      <c r="B439" s="143"/>
      <c r="C439" s="155"/>
      <c r="D439" s="143"/>
      <c r="E439" s="146"/>
      <c r="F439" s="147"/>
      <c r="G439" s="147"/>
      <c r="H439" s="148"/>
      <c r="I439" s="143"/>
      <c r="J439" s="143"/>
      <c r="K439" s="149"/>
      <c r="L439" s="150" t="str">
        <f t="shared" si="73"/>
        <v/>
      </c>
      <c r="M439" s="150" t="str">
        <f t="shared" si="74"/>
        <v/>
      </c>
      <c r="N439" s="151" t="str">
        <f t="shared" si="75"/>
        <v/>
      </c>
      <c r="O439" s="151" t="str">
        <f t="shared" si="76"/>
        <v/>
      </c>
      <c r="P439" s="151" t="str">
        <f t="shared" si="77"/>
        <v/>
      </c>
      <c r="Q439" s="151" t="str">
        <f t="shared" si="78"/>
        <v/>
      </c>
      <c r="R439" s="150" t="str">
        <f t="shared" si="79"/>
        <v/>
      </c>
      <c r="S439" s="150" t="str">
        <f t="shared" si="80"/>
        <v/>
      </c>
      <c r="T439" s="150" t="str">
        <f t="shared" si="81"/>
        <v/>
      </c>
      <c r="U439" s="152"/>
      <c r="V439" s="143"/>
      <c r="W439" s="102"/>
      <c r="X439" s="102" t="str">
        <f t="shared" si="82"/>
        <v/>
      </c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</row>
    <row r="440" spans="1:39">
      <c r="A440" s="143"/>
      <c r="B440" s="143"/>
      <c r="C440" s="155"/>
      <c r="D440" s="143"/>
      <c r="E440" s="146"/>
      <c r="F440" s="147"/>
      <c r="G440" s="147"/>
      <c r="H440" s="148"/>
      <c r="I440" s="143"/>
      <c r="J440" s="143"/>
      <c r="K440" s="149"/>
      <c r="L440" s="150" t="str">
        <f t="shared" si="73"/>
        <v/>
      </c>
      <c r="M440" s="150" t="str">
        <f t="shared" si="74"/>
        <v/>
      </c>
      <c r="N440" s="151" t="str">
        <f t="shared" si="75"/>
        <v/>
      </c>
      <c r="O440" s="151" t="str">
        <f t="shared" si="76"/>
        <v/>
      </c>
      <c r="P440" s="151" t="str">
        <f t="shared" si="77"/>
        <v/>
      </c>
      <c r="Q440" s="151" t="str">
        <f t="shared" si="78"/>
        <v/>
      </c>
      <c r="R440" s="150" t="str">
        <f t="shared" si="79"/>
        <v/>
      </c>
      <c r="S440" s="150" t="str">
        <f t="shared" si="80"/>
        <v/>
      </c>
      <c r="T440" s="150" t="str">
        <f t="shared" si="81"/>
        <v/>
      </c>
      <c r="U440" s="152"/>
      <c r="V440" s="143"/>
      <c r="W440" s="102"/>
      <c r="X440" s="102" t="str">
        <f t="shared" si="82"/>
        <v/>
      </c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</row>
    <row r="441" spans="1:39">
      <c r="A441" s="143"/>
      <c r="B441" s="143"/>
      <c r="C441" s="155"/>
      <c r="D441" s="143"/>
      <c r="E441" s="146"/>
      <c r="F441" s="147"/>
      <c r="G441" s="147"/>
      <c r="H441" s="148"/>
      <c r="I441" s="143"/>
      <c r="J441" s="143"/>
      <c r="K441" s="149"/>
      <c r="L441" s="150" t="str">
        <f t="shared" si="73"/>
        <v/>
      </c>
      <c r="M441" s="150" t="str">
        <f t="shared" si="74"/>
        <v/>
      </c>
      <c r="N441" s="151" t="str">
        <f t="shared" si="75"/>
        <v/>
      </c>
      <c r="O441" s="151" t="str">
        <f t="shared" si="76"/>
        <v/>
      </c>
      <c r="P441" s="151" t="str">
        <f t="shared" si="77"/>
        <v/>
      </c>
      <c r="Q441" s="151" t="str">
        <f t="shared" si="78"/>
        <v/>
      </c>
      <c r="R441" s="150" t="str">
        <f t="shared" si="79"/>
        <v/>
      </c>
      <c r="S441" s="150" t="str">
        <f t="shared" si="80"/>
        <v/>
      </c>
      <c r="T441" s="150" t="str">
        <f t="shared" si="81"/>
        <v/>
      </c>
      <c r="U441" s="152"/>
      <c r="V441" s="143"/>
      <c r="W441" s="102"/>
      <c r="X441" s="102" t="str">
        <f t="shared" si="82"/>
        <v/>
      </c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</row>
    <row r="442" spans="1:39">
      <c r="A442" s="143"/>
      <c r="B442" s="143"/>
      <c r="C442" s="155"/>
      <c r="D442" s="143"/>
      <c r="E442" s="146"/>
      <c r="F442" s="147"/>
      <c r="G442" s="147"/>
      <c r="H442" s="148"/>
      <c r="I442" s="143"/>
      <c r="J442" s="143"/>
      <c r="K442" s="149"/>
      <c r="L442" s="150" t="str">
        <f t="shared" si="73"/>
        <v/>
      </c>
      <c r="M442" s="150" t="str">
        <f t="shared" si="74"/>
        <v/>
      </c>
      <c r="N442" s="151" t="str">
        <f t="shared" si="75"/>
        <v/>
      </c>
      <c r="O442" s="151" t="str">
        <f t="shared" si="76"/>
        <v/>
      </c>
      <c r="P442" s="151" t="str">
        <f t="shared" si="77"/>
        <v/>
      </c>
      <c r="Q442" s="151" t="str">
        <f t="shared" si="78"/>
        <v/>
      </c>
      <c r="R442" s="150" t="str">
        <f t="shared" si="79"/>
        <v/>
      </c>
      <c r="S442" s="150" t="str">
        <f t="shared" si="80"/>
        <v/>
      </c>
      <c r="T442" s="150" t="str">
        <f t="shared" si="81"/>
        <v/>
      </c>
      <c r="U442" s="152"/>
      <c r="V442" s="143"/>
      <c r="W442" s="102"/>
      <c r="X442" s="102" t="str">
        <f t="shared" si="82"/>
        <v/>
      </c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</row>
    <row r="443" spans="1:39">
      <c r="A443" s="143"/>
      <c r="B443" s="143"/>
      <c r="C443" s="155"/>
      <c r="D443" s="143"/>
      <c r="E443" s="146"/>
      <c r="F443" s="147"/>
      <c r="G443" s="147"/>
      <c r="H443" s="148"/>
      <c r="I443" s="143"/>
      <c r="J443" s="143"/>
      <c r="K443" s="149"/>
      <c r="L443" s="150" t="str">
        <f t="shared" si="73"/>
        <v/>
      </c>
      <c r="M443" s="150" t="str">
        <f t="shared" si="74"/>
        <v/>
      </c>
      <c r="N443" s="151" t="str">
        <f t="shared" si="75"/>
        <v/>
      </c>
      <c r="O443" s="151" t="str">
        <f t="shared" si="76"/>
        <v/>
      </c>
      <c r="P443" s="151" t="str">
        <f t="shared" si="77"/>
        <v/>
      </c>
      <c r="Q443" s="151" t="str">
        <f t="shared" si="78"/>
        <v/>
      </c>
      <c r="R443" s="150" t="str">
        <f t="shared" si="79"/>
        <v/>
      </c>
      <c r="S443" s="150" t="str">
        <f t="shared" si="80"/>
        <v/>
      </c>
      <c r="T443" s="150" t="str">
        <f t="shared" si="81"/>
        <v/>
      </c>
      <c r="U443" s="152"/>
      <c r="V443" s="143"/>
      <c r="W443" s="102"/>
      <c r="X443" s="102" t="str">
        <f t="shared" si="82"/>
        <v/>
      </c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</row>
    <row r="444" spans="1:39">
      <c r="A444" s="143"/>
      <c r="B444" s="143"/>
      <c r="C444" s="155"/>
      <c r="D444" s="143"/>
      <c r="E444" s="146"/>
      <c r="F444" s="147"/>
      <c r="G444" s="147"/>
      <c r="H444" s="148"/>
      <c r="I444" s="143"/>
      <c r="J444" s="143"/>
      <c r="K444" s="149"/>
      <c r="L444" s="150" t="str">
        <f t="shared" si="73"/>
        <v/>
      </c>
      <c r="M444" s="150" t="str">
        <f t="shared" si="74"/>
        <v/>
      </c>
      <c r="N444" s="151" t="str">
        <f t="shared" si="75"/>
        <v/>
      </c>
      <c r="O444" s="151" t="str">
        <f t="shared" si="76"/>
        <v/>
      </c>
      <c r="P444" s="151" t="str">
        <f t="shared" si="77"/>
        <v/>
      </c>
      <c r="Q444" s="151" t="str">
        <f t="shared" si="78"/>
        <v/>
      </c>
      <c r="R444" s="150" t="str">
        <f t="shared" si="79"/>
        <v/>
      </c>
      <c r="S444" s="150" t="str">
        <f t="shared" si="80"/>
        <v/>
      </c>
      <c r="T444" s="150" t="str">
        <f t="shared" si="81"/>
        <v/>
      </c>
      <c r="U444" s="152"/>
      <c r="V444" s="143"/>
      <c r="W444" s="102"/>
      <c r="X444" s="102" t="str">
        <f t="shared" si="82"/>
        <v/>
      </c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</row>
    <row r="445" spans="1:39">
      <c r="A445" s="143"/>
      <c r="B445" s="143"/>
      <c r="C445" s="155"/>
      <c r="D445" s="143"/>
      <c r="E445" s="146"/>
      <c r="F445" s="147"/>
      <c r="G445" s="147"/>
      <c r="H445" s="148"/>
      <c r="I445" s="143"/>
      <c r="J445" s="143"/>
      <c r="K445" s="149"/>
      <c r="L445" s="150" t="str">
        <f t="shared" si="73"/>
        <v/>
      </c>
      <c r="M445" s="150" t="str">
        <f t="shared" si="74"/>
        <v/>
      </c>
      <c r="N445" s="151" t="str">
        <f t="shared" si="75"/>
        <v/>
      </c>
      <c r="O445" s="151" t="str">
        <f t="shared" si="76"/>
        <v/>
      </c>
      <c r="P445" s="151" t="str">
        <f t="shared" si="77"/>
        <v/>
      </c>
      <c r="Q445" s="151" t="str">
        <f t="shared" si="78"/>
        <v/>
      </c>
      <c r="R445" s="150" t="str">
        <f t="shared" si="79"/>
        <v/>
      </c>
      <c r="S445" s="150" t="str">
        <f t="shared" si="80"/>
        <v/>
      </c>
      <c r="T445" s="150" t="str">
        <f t="shared" si="81"/>
        <v/>
      </c>
      <c r="U445" s="152"/>
      <c r="V445" s="143"/>
      <c r="W445" s="102"/>
      <c r="X445" s="102" t="str">
        <f t="shared" si="82"/>
        <v/>
      </c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</row>
    <row r="446" spans="1:39">
      <c r="A446" s="143"/>
      <c r="B446" s="143"/>
      <c r="C446" s="155"/>
      <c r="D446" s="143"/>
      <c r="E446" s="146"/>
      <c r="F446" s="147"/>
      <c r="G446" s="147"/>
      <c r="H446" s="148"/>
      <c r="I446" s="143"/>
      <c r="J446" s="143"/>
      <c r="K446" s="149"/>
      <c r="L446" s="150" t="str">
        <f t="shared" si="73"/>
        <v/>
      </c>
      <c r="M446" s="150" t="str">
        <f t="shared" si="74"/>
        <v/>
      </c>
      <c r="N446" s="151" t="str">
        <f t="shared" si="75"/>
        <v/>
      </c>
      <c r="O446" s="151" t="str">
        <f t="shared" si="76"/>
        <v/>
      </c>
      <c r="P446" s="151" t="str">
        <f t="shared" si="77"/>
        <v/>
      </c>
      <c r="Q446" s="151" t="str">
        <f t="shared" si="78"/>
        <v/>
      </c>
      <c r="R446" s="150" t="str">
        <f t="shared" si="79"/>
        <v/>
      </c>
      <c r="S446" s="150" t="str">
        <f t="shared" si="80"/>
        <v/>
      </c>
      <c r="T446" s="150" t="str">
        <f t="shared" si="81"/>
        <v/>
      </c>
      <c r="U446" s="152"/>
      <c r="V446" s="143"/>
      <c r="W446" s="102"/>
      <c r="X446" s="102" t="str">
        <f t="shared" si="82"/>
        <v/>
      </c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</row>
    <row r="447" spans="1:39">
      <c r="A447" s="143"/>
      <c r="B447" s="143"/>
      <c r="C447" s="155"/>
      <c r="D447" s="143"/>
      <c r="E447" s="146"/>
      <c r="F447" s="147"/>
      <c r="G447" s="147"/>
      <c r="H447" s="148"/>
      <c r="I447" s="143"/>
      <c r="J447" s="143"/>
      <c r="K447" s="149"/>
      <c r="L447" s="150" t="str">
        <f t="shared" si="73"/>
        <v/>
      </c>
      <c r="M447" s="150" t="str">
        <f t="shared" si="74"/>
        <v/>
      </c>
      <c r="N447" s="151" t="str">
        <f t="shared" si="75"/>
        <v/>
      </c>
      <c r="O447" s="151" t="str">
        <f t="shared" si="76"/>
        <v/>
      </c>
      <c r="P447" s="151" t="str">
        <f t="shared" si="77"/>
        <v/>
      </c>
      <c r="Q447" s="151" t="str">
        <f t="shared" si="78"/>
        <v/>
      </c>
      <c r="R447" s="150" t="str">
        <f t="shared" si="79"/>
        <v/>
      </c>
      <c r="S447" s="150" t="str">
        <f t="shared" si="80"/>
        <v/>
      </c>
      <c r="T447" s="150" t="str">
        <f t="shared" si="81"/>
        <v/>
      </c>
      <c r="U447" s="152"/>
      <c r="V447" s="143"/>
      <c r="W447" s="102"/>
      <c r="X447" s="102" t="str">
        <f t="shared" si="82"/>
        <v/>
      </c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</row>
    <row r="448" spans="1:39">
      <c r="A448" s="143"/>
      <c r="B448" s="143"/>
      <c r="C448" s="155"/>
      <c r="D448" s="143"/>
      <c r="E448" s="146"/>
      <c r="F448" s="147"/>
      <c r="G448" s="147"/>
      <c r="H448" s="148"/>
      <c r="I448" s="143"/>
      <c r="J448" s="143"/>
      <c r="K448" s="149"/>
      <c r="L448" s="150" t="str">
        <f t="shared" si="73"/>
        <v/>
      </c>
      <c r="M448" s="150" t="str">
        <f t="shared" si="74"/>
        <v/>
      </c>
      <c r="N448" s="151" t="str">
        <f t="shared" si="75"/>
        <v/>
      </c>
      <c r="O448" s="151" t="str">
        <f t="shared" si="76"/>
        <v/>
      </c>
      <c r="P448" s="151" t="str">
        <f t="shared" si="77"/>
        <v/>
      </c>
      <c r="Q448" s="151" t="str">
        <f t="shared" si="78"/>
        <v/>
      </c>
      <c r="R448" s="150" t="str">
        <f t="shared" si="79"/>
        <v/>
      </c>
      <c r="S448" s="150" t="str">
        <f t="shared" si="80"/>
        <v/>
      </c>
      <c r="T448" s="150" t="str">
        <f t="shared" si="81"/>
        <v/>
      </c>
      <c r="U448" s="152"/>
      <c r="V448" s="143"/>
      <c r="W448" s="102"/>
      <c r="X448" s="102" t="str">
        <f t="shared" si="82"/>
        <v/>
      </c>
      <c r="Y448" s="102"/>
      <c r="Z448" s="102"/>
      <c r="AA448" s="102"/>
      <c r="AB448" s="102"/>
      <c r="AC448" s="102"/>
      <c r="AD448" s="102"/>
      <c r="AE448" s="102"/>
      <c r="AF448" s="102"/>
      <c r="AG448" s="102"/>
      <c r="AH448" s="102"/>
      <c r="AI448" s="102"/>
      <c r="AJ448" s="102"/>
      <c r="AK448" s="102"/>
      <c r="AL448" s="102"/>
      <c r="AM448" s="102"/>
    </row>
    <row r="449" spans="1:39">
      <c r="A449" s="143"/>
      <c r="B449" s="143"/>
      <c r="C449" s="155"/>
      <c r="D449" s="143"/>
      <c r="E449" s="146"/>
      <c r="F449" s="147"/>
      <c r="G449" s="147"/>
      <c r="H449" s="148"/>
      <c r="I449" s="143"/>
      <c r="J449" s="143"/>
      <c r="K449" s="149"/>
      <c r="L449" s="150" t="str">
        <f t="shared" si="73"/>
        <v/>
      </c>
      <c r="M449" s="150" t="str">
        <f t="shared" si="74"/>
        <v/>
      </c>
      <c r="N449" s="151" t="str">
        <f t="shared" si="75"/>
        <v/>
      </c>
      <c r="O449" s="151" t="str">
        <f t="shared" si="76"/>
        <v/>
      </c>
      <c r="P449" s="151" t="str">
        <f t="shared" si="77"/>
        <v/>
      </c>
      <c r="Q449" s="151" t="str">
        <f t="shared" si="78"/>
        <v/>
      </c>
      <c r="R449" s="150" t="str">
        <f t="shared" si="79"/>
        <v/>
      </c>
      <c r="S449" s="150" t="str">
        <f t="shared" si="80"/>
        <v/>
      </c>
      <c r="T449" s="150" t="str">
        <f t="shared" si="81"/>
        <v/>
      </c>
      <c r="U449" s="152"/>
      <c r="V449" s="143"/>
      <c r="W449" s="102"/>
      <c r="X449" s="102" t="str">
        <f t="shared" si="82"/>
        <v/>
      </c>
      <c r="Y449" s="102"/>
      <c r="Z449" s="102"/>
      <c r="AA449" s="102"/>
      <c r="AB449" s="102"/>
      <c r="AC449" s="102"/>
      <c r="AD449" s="102"/>
      <c r="AE449" s="102"/>
      <c r="AF449" s="102"/>
      <c r="AG449" s="102"/>
      <c r="AH449" s="102"/>
      <c r="AI449" s="102"/>
      <c r="AJ449" s="102"/>
      <c r="AK449" s="102"/>
      <c r="AL449" s="102"/>
      <c r="AM449" s="102"/>
    </row>
    <row r="450" spans="1:39">
      <c r="A450" s="143"/>
      <c r="B450" s="143"/>
      <c r="C450" s="155"/>
      <c r="D450" s="143"/>
      <c r="E450" s="146"/>
      <c r="F450" s="147"/>
      <c r="G450" s="147"/>
      <c r="H450" s="148"/>
      <c r="I450" s="143"/>
      <c r="J450" s="143"/>
      <c r="K450" s="149"/>
      <c r="L450" s="150" t="str">
        <f t="shared" si="73"/>
        <v/>
      </c>
      <c r="M450" s="150" t="str">
        <f t="shared" si="74"/>
        <v/>
      </c>
      <c r="N450" s="151" t="str">
        <f t="shared" si="75"/>
        <v/>
      </c>
      <c r="O450" s="151" t="str">
        <f t="shared" si="76"/>
        <v/>
      </c>
      <c r="P450" s="151" t="str">
        <f t="shared" si="77"/>
        <v/>
      </c>
      <c r="Q450" s="151" t="str">
        <f t="shared" si="78"/>
        <v/>
      </c>
      <c r="R450" s="150" t="str">
        <f t="shared" si="79"/>
        <v/>
      </c>
      <c r="S450" s="150" t="str">
        <f t="shared" si="80"/>
        <v/>
      </c>
      <c r="T450" s="150" t="str">
        <f t="shared" si="81"/>
        <v/>
      </c>
      <c r="U450" s="152"/>
      <c r="V450" s="143"/>
      <c r="W450" s="102"/>
      <c r="X450" s="102" t="str">
        <f t="shared" si="82"/>
        <v/>
      </c>
      <c r="Y450" s="102"/>
      <c r="Z450" s="102"/>
      <c r="AA450" s="102"/>
      <c r="AB450" s="102"/>
      <c r="AC450" s="102"/>
      <c r="AD450" s="102"/>
      <c r="AE450" s="102"/>
      <c r="AF450" s="102"/>
      <c r="AG450" s="102"/>
      <c r="AH450" s="102"/>
      <c r="AI450" s="102"/>
      <c r="AJ450" s="102"/>
      <c r="AK450" s="102"/>
      <c r="AL450" s="102"/>
      <c r="AM450" s="102"/>
    </row>
    <row r="451" spans="1:39">
      <c r="A451" s="143"/>
      <c r="B451" s="143"/>
      <c r="C451" s="155"/>
      <c r="D451" s="143"/>
      <c r="E451" s="146"/>
      <c r="F451" s="147"/>
      <c r="G451" s="147"/>
      <c r="H451" s="148"/>
      <c r="I451" s="143"/>
      <c r="J451" s="143"/>
      <c r="K451" s="149"/>
      <c r="L451" s="150" t="str">
        <f t="shared" si="73"/>
        <v/>
      </c>
      <c r="M451" s="150" t="str">
        <f t="shared" si="74"/>
        <v/>
      </c>
      <c r="N451" s="151" t="str">
        <f t="shared" si="75"/>
        <v/>
      </c>
      <c r="O451" s="151" t="str">
        <f t="shared" si="76"/>
        <v/>
      </c>
      <c r="P451" s="151" t="str">
        <f t="shared" si="77"/>
        <v/>
      </c>
      <c r="Q451" s="151" t="str">
        <f t="shared" si="78"/>
        <v/>
      </c>
      <c r="R451" s="150" t="str">
        <f t="shared" si="79"/>
        <v/>
      </c>
      <c r="S451" s="150" t="str">
        <f t="shared" si="80"/>
        <v/>
      </c>
      <c r="T451" s="150" t="str">
        <f t="shared" si="81"/>
        <v/>
      </c>
      <c r="U451" s="152"/>
      <c r="V451" s="143"/>
      <c r="W451" s="102"/>
      <c r="X451" s="102" t="str">
        <f t="shared" si="82"/>
        <v/>
      </c>
      <c r="Y451" s="102"/>
      <c r="Z451" s="102"/>
      <c r="AA451" s="102"/>
      <c r="AB451" s="102"/>
      <c r="AC451" s="102"/>
      <c r="AD451" s="102"/>
      <c r="AE451" s="102"/>
      <c r="AF451" s="102"/>
      <c r="AG451" s="102"/>
      <c r="AH451" s="102"/>
      <c r="AI451" s="102"/>
      <c r="AJ451" s="102"/>
      <c r="AK451" s="102"/>
      <c r="AL451" s="102"/>
      <c r="AM451" s="102"/>
    </row>
    <row r="452" spans="1:39">
      <c r="A452" s="143"/>
      <c r="B452" s="143"/>
      <c r="C452" s="155"/>
      <c r="D452" s="143"/>
      <c r="E452" s="146"/>
      <c r="F452" s="147"/>
      <c r="G452" s="147"/>
      <c r="H452" s="148"/>
      <c r="I452" s="143"/>
      <c r="J452" s="143"/>
      <c r="K452" s="149"/>
      <c r="L452" s="150" t="str">
        <f t="shared" si="73"/>
        <v/>
      </c>
      <c r="M452" s="150" t="str">
        <f t="shared" si="74"/>
        <v/>
      </c>
      <c r="N452" s="151" t="str">
        <f t="shared" si="75"/>
        <v/>
      </c>
      <c r="O452" s="151" t="str">
        <f t="shared" si="76"/>
        <v/>
      </c>
      <c r="P452" s="151" t="str">
        <f t="shared" si="77"/>
        <v/>
      </c>
      <c r="Q452" s="151" t="str">
        <f t="shared" si="78"/>
        <v/>
      </c>
      <c r="R452" s="150" t="str">
        <f t="shared" si="79"/>
        <v/>
      </c>
      <c r="S452" s="150" t="str">
        <f t="shared" si="80"/>
        <v/>
      </c>
      <c r="T452" s="150" t="str">
        <f t="shared" si="81"/>
        <v/>
      </c>
      <c r="U452" s="152"/>
      <c r="V452" s="143"/>
      <c r="W452" s="102"/>
      <c r="X452" s="102" t="str">
        <f t="shared" si="82"/>
        <v/>
      </c>
      <c r="Y452" s="102"/>
      <c r="Z452" s="102"/>
      <c r="AA452" s="102"/>
      <c r="AB452" s="102"/>
      <c r="AC452" s="102"/>
      <c r="AD452" s="102"/>
      <c r="AE452" s="102"/>
      <c r="AF452" s="102"/>
      <c r="AG452" s="102"/>
      <c r="AH452" s="102"/>
      <c r="AI452" s="102"/>
      <c r="AJ452" s="102"/>
      <c r="AK452" s="102"/>
      <c r="AL452" s="102"/>
      <c r="AM452" s="102"/>
    </row>
    <row r="453" spans="1:39">
      <c r="A453" s="143"/>
      <c r="B453" s="143"/>
      <c r="C453" s="155"/>
      <c r="D453" s="143"/>
      <c r="E453" s="146"/>
      <c r="F453" s="147"/>
      <c r="G453" s="147"/>
      <c r="H453" s="148"/>
      <c r="I453" s="143"/>
      <c r="J453" s="143"/>
      <c r="K453" s="149"/>
      <c r="L453" s="150" t="str">
        <f t="shared" si="73"/>
        <v/>
      </c>
      <c r="M453" s="150" t="str">
        <f t="shared" si="74"/>
        <v/>
      </c>
      <c r="N453" s="151" t="str">
        <f t="shared" si="75"/>
        <v/>
      </c>
      <c r="O453" s="151" t="str">
        <f t="shared" si="76"/>
        <v/>
      </c>
      <c r="P453" s="151" t="str">
        <f t="shared" si="77"/>
        <v/>
      </c>
      <c r="Q453" s="151" t="str">
        <f t="shared" si="78"/>
        <v/>
      </c>
      <c r="R453" s="150" t="str">
        <f t="shared" si="79"/>
        <v/>
      </c>
      <c r="S453" s="150" t="str">
        <f t="shared" si="80"/>
        <v/>
      </c>
      <c r="T453" s="150" t="str">
        <f t="shared" si="81"/>
        <v/>
      </c>
      <c r="U453" s="152"/>
      <c r="V453" s="143"/>
      <c r="W453" s="102"/>
      <c r="X453" s="102" t="str">
        <f t="shared" si="82"/>
        <v/>
      </c>
      <c r="Y453" s="102"/>
      <c r="Z453" s="102"/>
      <c r="AA453" s="102"/>
      <c r="AB453" s="102"/>
      <c r="AC453" s="102"/>
      <c r="AD453" s="102"/>
      <c r="AE453" s="102"/>
      <c r="AF453" s="102"/>
      <c r="AG453" s="102"/>
      <c r="AH453" s="102"/>
      <c r="AI453" s="102"/>
      <c r="AJ453" s="102"/>
      <c r="AK453" s="102"/>
      <c r="AL453" s="102"/>
      <c r="AM453" s="102"/>
    </row>
    <row r="454" spans="1:39">
      <c r="A454" s="143"/>
      <c r="B454" s="143"/>
      <c r="C454" s="155"/>
      <c r="D454" s="143"/>
      <c r="E454" s="146"/>
      <c r="F454" s="147"/>
      <c r="G454" s="147"/>
      <c r="H454" s="148"/>
      <c r="I454" s="143"/>
      <c r="J454" s="143"/>
      <c r="K454" s="149"/>
      <c r="L454" s="150" t="str">
        <f t="shared" si="73"/>
        <v/>
      </c>
      <c r="M454" s="150" t="str">
        <f t="shared" si="74"/>
        <v/>
      </c>
      <c r="N454" s="151" t="str">
        <f t="shared" si="75"/>
        <v/>
      </c>
      <c r="O454" s="151" t="str">
        <f t="shared" si="76"/>
        <v/>
      </c>
      <c r="P454" s="151" t="str">
        <f t="shared" si="77"/>
        <v/>
      </c>
      <c r="Q454" s="151" t="str">
        <f t="shared" si="78"/>
        <v/>
      </c>
      <c r="R454" s="150" t="str">
        <f t="shared" si="79"/>
        <v/>
      </c>
      <c r="S454" s="150" t="str">
        <f t="shared" si="80"/>
        <v/>
      </c>
      <c r="T454" s="150" t="str">
        <f t="shared" si="81"/>
        <v/>
      </c>
      <c r="U454" s="152"/>
      <c r="V454" s="143"/>
      <c r="W454" s="102"/>
      <c r="X454" s="102" t="str">
        <f t="shared" si="82"/>
        <v/>
      </c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</row>
    <row r="455" spans="1:39">
      <c r="A455" s="143"/>
      <c r="B455" s="143"/>
      <c r="C455" s="155"/>
      <c r="D455" s="143"/>
      <c r="E455" s="146"/>
      <c r="F455" s="147"/>
      <c r="G455" s="147"/>
      <c r="H455" s="148"/>
      <c r="I455" s="143"/>
      <c r="J455" s="143"/>
      <c r="K455" s="149"/>
      <c r="L455" s="150" t="str">
        <f t="shared" si="73"/>
        <v/>
      </c>
      <c r="M455" s="150" t="str">
        <f t="shared" si="74"/>
        <v/>
      </c>
      <c r="N455" s="151" t="str">
        <f t="shared" si="75"/>
        <v/>
      </c>
      <c r="O455" s="151" t="str">
        <f t="shared" si="76"/>
        <v/>
      </c>
      <c r="P455" s="151" t="str">
        <f t="shared" si="77"/>
        <v/>
      </c>
      <c r="Q455" s="151" t="str">
        <f t="shared" si="78"/>
        <v/>
      </c>
      <c r="R455" s="150" t="str">
        <f t="shared" si="79"/>
        <v/>
      </c>
      <c r="S455" s="150" t="str">
        <f t="shared" si="80"/>
        <v/>
      </c>
      <c r="T455" s="150" t="str">
        <f t="shared" si="81"/>
        <v/>
      </c>
      <c r="U455" s="152"/>
      <c r="V455" s="143"/>
      <c r="W455" s="102"/>
      <c r="X455" s="102" t="str">
        <f t="shared" si="82"/>
        <v/>
      </c>
      <c r="Y455" s="102"/>
      <c r="Z455" s="102"/>
      <c r="AA455" s="102"/>
      <c r="AB455" s="102"/>
      <c r="AC455" s="102"/>
      <c r="AD455" s="102"/>
      <c r="AE455" s="102"/>
      <c r="AF455" s="102"/>
      <c r="AG455" s="102"/>
      <c r="AH455" s="102"/>
      <c r="AI455" s="102"/>
      <c r="AJ455" s="102"/>
      <c r="AK455" s="102"/>
      <c r="AL455" s="102"/>
      <c r="AM455" s="102"/>
    </row>
    <row r="456" spans="1:39">
      <c r="A456" s="143"/>
      <c r="B456" s="143"/>
      <c r="C456" s="155"/>
      <c r="D456" s="143"/>
      <c r="E456" s="146"/>
      <c r="F456" s="147"/>
      <c r="G456" s="147"/>
      <c r="H456" s="148"/>
      <c r="I456" s="143"/>
      <c r="J456" s="143"/>
      <c r="K456" s="149"/>
      <c r="L456" s="150" t="str">
        <f t="shared" si="73"/>
        <v/>
      </c>
      <c r="M456" s="150" t="str">
        <f t="shared" si="74"/>
        <v/>
      </c>
      <c r="N456" s="151" t="str">
        <f t="shared" si="75"/>
        <v/>
      </c>
      <c r="O456" s="151" t="str">
        <f t="shared" si="76"/>
        <v/>
      </c>
      <c r="P456" s="151" t="str">
        <f t="shared" si="77"/>
        <v/>
      </c>
      <c r="Q456" s="151" t="str">
        <f t="shared" si="78"/>
        <v/>
      </c>
      <c r="R456" s="150" t="str">
        <f t="shared" si="79"/>
        <v/>
      </c>
      <c r="S456" s="150" t="str">
        <f t="shared" si="80"/>
        <v/>
      </c>
      <c r="T456" s="150" t="str">
        <f t="shared" si="81"/>
        <v/>
      </c>
      <c r="U456" s="152"/>
      <c r="V456" s="143"/>
      <c r="W456" s="102"/>
      <c r="X456" s="102" t="str">
        <f t="shared" si="82"/>
        <v/>
      </c>
      <c r="Y456" s="102"/>
      <c r="Z456" s="102"/>
      <c r="AA456" s="102"/>
      <c r="AB456" s="102"/>
      <c r="AC456" s="102"/>
      <c r="AD456" s="102"/>
      <c r="AE456" s="102"/>
      <c r="AF456" s="102"/>
      <c r="AG456" s="102"/>
      <c r="AH456" s="102"/>
      <c r="AI456" s="102"/>
      <c r="AJ456" s="102"/>
      <c r="AK456" s="102"/>
      <c r="AL456" s="102"/>
      <c r="AM456" s="102"/>
    </row>
    <row r="457" spans="1:39">
      <c r="A457" s="143"/>
      <c r="B457" s="143"/>
      <c r="C457" s="155"/>
      <c r="D457" s="143"/>
      <c r="E457" s="146"/>
      <c r="F457" s="147"/>
      <c r="G457" s="147"/>
      <c r="H457" s="148"/>
      <c r="I457" s="143"/>
      <c r="J457" s="143"/>
      <c r="K457" s="149"/>
      <c r="L457" s="150" t="str">
        <f t="shared" si="73"/>
        <v/>
      </c>
      <c r="M457" s="150" t="str">
        <f t="shared" si="74"/>
        <v/>
      </c>
      <c r="N457" s="151" t="str">
        <f t="shared" si="75"/>
        <v/>
      </c>
      <c r="O457" s="151" t="str">
        <f t="shared" si="76"/>
        <v/>
      </c>
      <c r="P457" s="151" t="str">
        <f t="shared" si="77"/>
        <v/>
      </c>
      <c r="Q457" s="151" t="str">
        <f t="shared" si="78"/>
        <v/>
      </c>
      <c r="R457" s="150" t="str">
        <f t="shared" si="79"/>
        <v/>
      </c>
      <c r="S457" s="150" t="str">
        <f t="shared" si="80"/>
        <v/>
      </c>
      <c r="T457" s="150" t="str">
        <f t="shared" si="81"/>
        <v/>
      </c>
      <c r="U457" s="152"/>
      <c r="V457" s="143"/>
      <c r="W457" s="102"/>
      <c r="X457" s="102" t="str">
        <f t="shared" si="82"/>
        <v/>
      </c>
      <c r="Y457" s="102"/>
      <c r="Z457" s="102"/>
      <c r="AA457" s="102"/>
      <c r="AB457" s="102"/>
      <c r="AC457" s="102"/>
      <c r="AD457" s="102"/>
      <c r="AE457" s="102"/>
      <c r="AF457" s="102"/>
      <c r="AG457" s="102"/>
      <c r="AH457" s="102"/>
      <c r="AI457" s="102"/>
      <c r="AJ457" s="102"/>
      <c r="AK457" s="102"/>
      <c r="AL457" s="102"/>
      <c r="AM457" s="102"/>
    </row>
    <row r="458" spans="1:39">
      <c r="A458" s="143"/>
      <c r="B458" s="143"/>
      <c r="C458" s="155"/>
      <c r="D458" s="143"/>
      <c r="E458" s="146"/>
      <c r="F458" s="147"/>
      <c r="G458" s="147"/>
      <c r="H458" s="148"/>
      <c r="I458" s="143"/>
      <c r="J458" s="143"/>
      <c r="K458" s="149"/>
      <c r="L458" s="150" t="str">
        <f t="shared" ref="L458:L521" si="83">IF(K458="","",IF(K458="W",R458*J458-J458,IF(K458="L",-J458,0)))</f>
        <v/>
      </c>
      <c r="M458" s="150" t="str">
        <f t="shared" ref="M458:M521" si="84">IF(K458="","",IF(K458="W",S458*J458-J458,IF(K458="L",-J458,0)))</f>
        <v/>
      </c>
      <c r="N458" s="151" t="str">
        <f t="shared" ref="N458:N521" si="85">IFERROR((1/S458-1/R458)/(1/R458),"")</f>
        <v/>
      </c>
      <c r="O458" s="151" t="str">
        <f t="shared" ref="O458:O521" si="86">IFERROR(IF(Q458="","",P458 - Q458),"")</f>
        <v/>
      </c>
      <c r="P458" s="151" t="str">
        <f t="shared" ref="P458:P521" si="87">IF(F458="","",IF(F458 &lt; 0, -F458 / (-F458 + 100), 100 / (F458 + 100)))</f>
        <v/>
      </c>
      <c r="Q458" s="151" t="str">
        <f t="shared" ref="Q458:Q521" si="88">IFERROR((1/S458) / ((1/S458) + (1/T458)),"")</f>
        <v/>
      </c>
      <c r="R458" s="150" t="str">
        <f t="shared" ref="R458:R521" si="89">IFERROR(IF(G458&gt;0, G458/100 + 1, 100/ABS(G458) + 1),"")</f>
        <v/>
      </c>
      <c r="S458" s="150" t="str">
        <f t="shared" ref="S458:S521" si="90">IFERROR(IF(H458&gt;0, H458/100 + 1, 100/ABS(H458) + 1),"")</f>
        <v/>
      </c>
      <c r="T458" s="150" t="str">
        <f t="shared" ref="T458:T521" si="91">IFERROR(IF(I458&gt;0, I458/100 + 1, 100/ABS(I458) + 1),"")</f>
        <v/>
      </c>
      <c r="U458" s="152"/>
      <c r="V458" s="143"/>
      <c r="W458" s="102"/>
      <c r="X458" s="102" t="str">
        <f t="shared" ref="X458:X521" si="92">IF(B458=$D$3,U458,"")</f>
        <v/>
      </c>
      <c r="Y458" s="102"/>
      <c r="Z458" s="102"/>
      <c r="AA458" s="102"/>
      <c r="AB458" s="102"/>
      <c r="AC458" s="102"/>
      <c r="AD458" s="102"/>
      <c r="AE458" s="102"/>
      <c r="AF458" s="102"/>
      <c r="AG458" s="102"/>
      <c r="AH458" s="102"/>
      <c r="AI458" s="102"/>
      <c r="AJ458" s="102"/>
      <c r="AK458" s="102"/>
      <c r="AL458" s="102"/>
      <c r="AM458" s="102"/>
    </row>
    <row r="459" spans="1:39">
      <c r="A459" s="143"/>
      <c r="B459" s="143"/>
      <c r="C459" s="155"/>
      <c r="D459" s="143"/>
      <c r="E459" s="146"/>
      <c r="F459" s="147"/>
      <c r="G459" s="147"/>
      <c r="H459" s="148"/>
      <c r="I459" s="143"/>
      <c r="J459" s="143"/>
      <c r="K459" s="149"/>
      <c r="L459" s="150" t="str">
        <f t="shared" si="83"/>
        <v/>
      </c>
      <c r="M459" s="150" t="str">
        <f t="shared" si="84"/>
        <v/>
      </c>
      <c r="N459" s="151" t="str">
        <f t="shared" si="85"/>
        <v/>
      </c>
      <c r="O459" s="151" t="str">
        <f t="shared" si="86"/>
        <v/>
      </c>
      <c r="P459" s="151" t="str">
        <f t="shared" si="87"/>
        <v/>
      </c>
      <c r="Q459" s="151" t="str">
        <f t="shared" si="88"/>
        <v/>
      </c>
      <c r="R459" s="150" t="str">
        <f t="shared" si="89"/>
        <v/>
      </c>
      <c r="S459" s="150" t="str">
        <f t="shared" si="90"/>
        <v/>
      </c>
      <c r="T459" s="150" t="str">
        <f t="shared" si="91"/>
        <v/>
      </c>
      <c r="U459" s="152"/>
      <c r="V459" s="143"/>
      <c r="W459" s="102"/>
      <c r="X459" s="102" t="str">
        <f t="shared" si="92"/>
        <v/>
      </c>
      <c r="Y459" s="102"/>
      <c r="Z459" s="102"/>
      <c r="AA459" s="102"/>
      <c r="AB459" s="102"/>
      <c r="AC459" s="102"/>
      <c r="AD459" s="102"/>
      <c r="AE459" s="102"/>
      <c r="AF459" s="102"/>
      <c r="AG459" s="102"/>
      <c r="AH459" s="102"/>
      <c r="AI459" s="102"/>
      <c r="AJ459" s="102"/>
      <c r="AK459" s="102"/>
      <c r="AL459" s="102"/>
      <c r="AM459" s="102"/>
    </row>
    <row r="460" spans="1:39">
      <c r="A460" s="143"/>
      <c r="B460" s="143"/>
      <c r="C460" s="155"/>
      <c r="D460" s="143"/>
      <c r="E460" s="146"/>
      <c r="F460" s="147"/>
      <c r="G460" s="147"/>
      <c r="H460" s="148"/>
      <c r="I460" s="143"/>
      <c r="J460" s="143"/>
      <c r="K460" s="149"/>
      <c r="L460" s="150" t="str">
        <f t="shared" si="83"/>
        <v/>
      </c>
      <c r="M460" s="150" t="str">
        <f t="shared" si="84"/>
        <v/>
      </c>
      <c r="N460" s="151" t="str">
        <f t="shared" si="85"/>
        <v/>
      </c>
      <c r="O460" s="151" t="str">
        <f t="shared" si="86"/>
        <v/>
      </c>
      <c r="P460" s="151" t="str">
        <f t="shared" si="87"/>
        <v/>
      </c>
      <c r="Q460" s="151" t="str">
        <f t="shared" si="88"/>
        <v/>
      </c>
      <c r="R460" s="150" t="str">
        <f t="shared" si="89"/>
        <v/>
      </c>
      <c r="S460" s="150" t="str">
        <f t="shared" si="90"/>
        <v/>
      </c>
      <c r="T460" s="150" t="str">
        <f t="shared" si="91"/>
        <v/>
      </c>
      <c r="U460" s="152"/>
      <c r="V460" s="143"/>
      <c r="W460" s="102"/>
      <c r="X460" s="102" t="str">
        <f t="shared" si="92"/>
        <v/>
      </c>
      <c r="Y460" s="102"/>
      <c r="Z460" s="102"/>
      <c r="AA460" s="102"/>
      <c r="AB460" s="102"/>
      <c r="AC460" s="102"/>
      <c r="AD460" s="102"/>
      <c r="AE460" s="102"/>
      <c r="AF460" s="102"/>
      <c r="AG460" s="102"/>
      <c r="AH460" s="102"/>
      <c r="AI460" s="102"/>
      <c r="AJ460" s="102"/>
      <c r="AK460" s="102"/>
      <c r="AL460" s="102"/>
      <c r="AM460" s="102"/>
    </row>
    <row r="461" spans="1:39">
      <c r="A461" s="143"/>
      <c r="B461" s="143"/>
      <c r="C461" s="155"/>
      <c r="D461" s="143"/>
      <c r="E461" s="146"/>
      <c r="F461" s="147"/>
      <c r="G461" s="147"/>
      <c r="H461" s="148"/>
      <c r="I461" s="143"/>
      <c r="J461" s="143"/>
      <c r="K461" s="149"/>
      <c r="L461" s="150" t="str">
        <f t="shared" si="83"/>
        <v/>
      </c>
      <c r="M461" s="150" t="str">
        <f t="shared" si="84"/>
        <v/>
      </c>
      <c r="N461" s="151" t="str">
        <f t="shared" si="85"/>
        <v/>
      </c>
      <c r="O461" s="151" t="str">
        <f t="shared" si="86"/>
        <v/>
      </c>
      <c r="P461" s="151" t="str">
        <f t="shared" si="87"/>
        <v/>
      </c>
      <c r="Q461" s="151" t="str">
        <f t="shared" si="88"/>
        <v/>
      </c>
      <c r="R461" s="150" t="str">
        <f t="shared" si="89"/>
        <v/>
      </c>
      <c r="S461" s="150" t="str">
        <f t="shared" si="90"/>
        <v/>
      </c>
      <c r="T461" s="150" t="str">
        <f t="shared" si="91"/>
        <v/>
      </c>
      <c r="U461" s="152"/>
      <c r="V461" s="143"/>
      <c r="W461" s="102"/>
      <c r="X461" s="102" t="str">
        <f t="shared" si="92"/>
        <v/>
      </c>
      <c r="Y461" s="102"/>
      <c r="Z461" s="102"/>
      <c r="AA461" s="102"/>
      <c r="AB461" s="102"/>
      <c r="AC461" s="102"/>
      <c r="AD461" s="102"/>
      <c r="AE461" s="102"/>
      <c r="AF461" s="102"/>
      <c r="AG461" s="102"/>
      <c r="AH461" s="102"/>
      <c r="AI461" s="102"/>
      <c r="AJ461" s="102"/>
      <c r="AK461" s="102"/>
      <c r="AL461" s="102"/>
      <c r="AM461" s="102"/>
    </row>
    <row r="462" spans="1:39">
      <c r="A462" s="143"/>
      <c r="B462" s="143"/>
      <c r="C462" s="155"/>
      <c r="D462" s="143"/>
      <c r="E462" s="146"/>
      <c r="F462" s="147"/>
      <c r="G462" s="147"/>
      <c r="H462" s="148"/>
      <c r="I462" s="143"/>
      <c r="J462" s="143"/>
      <c r="K462" s="149"/>
      <c r="L462" s="150" t="str">
        <f t="shared" si="83"/>
        <v/>
      </c>
      <c r="M462" s="150" t="str">
        <f t="shared" si="84"/>
        <v/>
      </c>
      <c r="N462" s="151" t="str">
        <f t="shared" si="85"/>
        <v/>
      </c>
      <c r="O462" s="151" t="str">
        <f t="shared" si="86"/>
        <v/>
      </c>
      <c r="P462" s="151" t="str">
        <f t="shared" si="87"/>
        <v/>
      </c>
      <c r="Q462" s="151" t="str">
        <f t="shared" si="88"/>
        <v/>
      </c>
      <c r="R462" s="150" t="str">
        <f t="shared" si="89"/>
        <v/>
      </c>
      <c r="S462" s="150" t="str">
        <f t="shared" si="90"/>
        <v/>
      </c>
      <c r="T462" s="150" t="str">
        <f t="shared" si="91"/>
        <v/>
      </c>
      <c r="U462" s="152"/>
      <c r="V462" s="143"/>
      <c r="W462" s="102"/>
      <c r="X462" s="102" t="str">
        <f t="shared" si="92"/>
        <v/>
      </c>
      <c r="Y462" s="102"/>
      <c r="Z462" s="102"/>
      <c r="AA462" s="102"/>
      <c r="AB462" s="102"/>
      <c r="AC462" s="102"/>
      <c r="AD462" s="102"/>
      <c r="AE462" s="102"/>
      <c r="AF462" s="102"/>
      <c r="AG462" s="102"/>
      <c r="AH462" s="102"/>
      <c r="AI462" s="102"/>
      <c r="AJ462" s="102"/>
      <c r="AK462" s="102"/>
      <c r="AL462" s="102"/>
      <c r="AM462" s="102"/>
    </row>
    <row r="463" spans="1:39">
      <c r="A463" s="143"/>
      <c r="B463" s="143"/>
      <c r="C463" s="155"/>
      <c r="D463" s="143"/>
      <c r="E463" s="146"/>
      <c r="F463" s="147"/>
      <c r="G463" s="147"/>
      <c r="H463" s="148"/>
      <c r="I463" s="143"/>
      <c r="J463" s="143"/>
      <c r="K463" s="149"/>
      <c r="L463" s="150" t="str">
        <f t="shared" si="83"/>
        <v/>
      </c>
      <c r="M463" s="150" t="str">
        <f t="shared" si="84"/>
        <v/>
      </c>
      <c r="N463" s="151" t="str">
        <f t="shared" si="85"/>
        <v/>
      </c>
      <c r="O463" s="151" t="str">
        <f t="shared" si="86"/>
        <v/>
      </c>
      <c r="P463" s="151" t="str">
        <f t="shared" si="87"/>
        <v/>
      </c>
      <c r="Q463" s="151" t="str">
        <f t="shared" si="88"/>
        <v/>
      </c>
      <c r="R463" s="150" t="str">
        <f t="shared" si="89"/>
        <v/>
      </c>
      <c r="S463" s="150" t="str">
        <f t="shared" si="90"/>
        <v/>
      </c>
      <c r="T463" s="150" t="str">
        <f t="shared" si="91"/>
        <v/>
      </c>
      <c r="U463" s="152"/>
      <c r="V463" s="143"/>
      <c r="W463" s="102"/>
      <c r="X463" s="102" t="str">
        <f t="shared" si="92"/>
        <v/>
      </c>
      <c r="Y463" s="102"/>
      <c r="Z463" s="102"/>
      <c r="AA463" s="102"/>
      <c r="AB463" s="102"/>
      <c r="AC463" s="102"/>
      <c r="AD463" s="102"/>
      <c r="AE463" s="102"/>
      <c r="AF463" s="102"/>
      <c r="AG463" s="102"/>
      <c r="AH463" s="102"/>
      <c r="AI463" s="102"/>
      <c r="AJ463" s="102"/>
      <c r="AK463" s="102"/>
      <c r="AL463" s="102"/>
      <c r="AM463" s="102"/>
    </row>
    <row r="464" spans="1:39">
      <c r="A464" s="143"/>
      <c r="B464" s="143"/>
      <c r="C464" s="155"/>
      <c r="D464" s="143"/>
      <c r="E464" s="146"/>
      <c r="F464" s="147"/>
      <c r="G464" s="147"/>
      <c r="H464" s="148"/>
      <c r="I464" s="143"/>
      <c r="J464" s="143"/>
      <c r="K464" s="149"/>
      <c r="L464" s="150" t="str">
        <f t="shared" si="83"/>
        <v/>
      </c>
      <c r="M464" s="150" t="str">
        <f t="shared" si="84"/>
        <v/>
      </c>
      <c r="N464" s="151" t="str">
        <f t="shared" si="85"/>
        <v/>
      </c>
      <c r="O464" s="151" t="str">
        <f t="shared" si="86"/>
        <v/>
      </c>
      <c r="P464" s="151" t="str">
        <f t="shared" si="87"/>
        <v/>
      </c>
      <c r="Q464" s="151" t="str">
        <f t="shared" si="88"/>
        <v/>
      </c>
      <c r="R464" s="150" t="str">
        <f t="shared" si="89"/>
        <v/>
      </c>
      <c r="S464" s="150" t="str">
        <f t="shared" si="90"/>
        <v/>
      </c>
      <c r="T464" s="150" t="str">
        <f t="shared" si="91"/>
        <v/>
      </c>
      <c r="U464" s="152"/>
      <c r="V464" s="143"/>
      <c r="W464" s="102"/>
      <c r="X464" s="102" t="str">
        <f t="shared" si="92"/>
        <v/>
      </c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</row>
    <row r="465" spans="1:39">
      <c r="A465" s="143"/>
      <c r="B465" s="143"/>
      <c r="C465" s="155"/>
      <c r="D465" s="143"/>
      <c r="E465" s="146"/>
      <c r="F465" s="147"/>
      <c r="G465" s="147"/>
      <c r="H465" s="148"/>
      <c r="I465" s="143"/>
      <c r="J465" s="143"/>
      <c r="K465" s="149"/>
      <c r="L465" s="150" t="str">
        <f t="shared" si="83"/>
        <v/>
      </c>
      <c r="M465" s="150" t="str">
        <f t="shared" si="84"/>
        <v/>
      </c>
      <c r="N465" s="151" t="str">
        <f t="shared" si="85"/>
        <v/>
      </c>
      <c r="O465" s="151" t="str">
        <f t="shared" si="86"/>
        <v/>
      </c>
      <c r="P465" s="151" t="str">
        <f t="shared" si="87"/>
        <v/>
      </c>
      <c r="Q465" s="151" t="str">
        <f t="shared" si="88"/>
        <v/>
      </c>
      <c r="R465" s="150" t="str">
        <f t="shared" si="89"/>
        <v/>
      </c>
      <c r="S465" s="150" t="str">
        <f t="shared" si="90"/>
        <v/>
      </c>
      <c r="T465" s="150" t="str">
        <f t="shared" si="91"/>
        <v/>
      </c>
      <c r="U465" s="152"/>
      <c r="V465" s="143"/>
      <c r="W465" s="102"/>
      <c r="X465" s="102" t="str">
        <f t="shared" si="92"/>
        <v/>
      </c>
      <c r="Y465" s="102"/>
      <c r="Z465" s="102"/>
      <c r="AA465" s="102"/>
      <c r="AB465" s="102"/>
      <c r="AC465" s="102"/>
      <c r="AD465" s="102"/>
      <c r="AE465" s="102"/>
      <c r="AF465" s="102"/>
      <c r="AG465" s="102"/>
      <c r="AH465" s="102"/>
      <c r="AI465" s="102"/>
      <c r="AJ465" s="102"/>
      <c r="AK465" s="102"/>
      <c r="AL465" s="102"/>
      <c r="AM465" s="102"/>
    </row>
    <row r="466" spans="1:39">
      <c r="A466" s="143"/>
      <c r="B466" s="143"/>
      <c r="C466" s="155"/>
      <c r="D466" s="143"/>
      <c r="E466" s="146"/>
      <c r="F466" s="147"/>
      <c r="G466" s="147"/>
      <c r="H466" s="148"/>
      <c r="I466" s="143"/>
      <c r="J466" s="143"/>
      <c r="K466" s="149"/>
      <c r="L466" s="150" t="str">
        <f t="shared" si="83"/>
        <v/>
      </c>
      <c r="M466" s="150" t="str">
        <f t="shared" si="84"/>
        <v/>
      </c>
      <c r="N466" s="151" t="str">
        <f t="shared" si="85"/>
        <v/>
      </c>
      <c r="O466" s="151" t="str">
        <f t="shared" si="86"/>
        <v/>
      </c>
      <c r="P466" s="151" t="str">
        <f t="shared" si="87"/>
        <v/>
      </c>
      <c r="Q466" s="151" t="str">
        <f t="shared" si="88"/>
        <v/>
      </c>
      <c r="R466" s="150" t="str">
        <f t="shared" si="89"/>
        <v/>
      </c>
      <c r="S466" s="150" t="str">
        <f t="shared" si="90"/>
        <v/>
      </c>
      <c r="T466" s="150" t="str">
        <f t="shared" si="91"/>
        <v/>
      </c>
      <c r="U466" s="152"/>
      <c r="V466" s="143"/>
      <c r="W466" s="102"/>
      <c r="X466" s="102" t="str">
        <f t="shared" si="92"/>
        <v/>
      </c>
      <c r="Y466" s="102"/>
      <c r="Z466" s="102"/>
      <c r="AA466" s="102"/>
      <c r="AB466" s="102"/>
      <c r="AC466" s="102"/>
      <c r="AD466" s="102"/>
      <c r="AE466" s="102"/>
      <c r="AF466" s="102"/>
      <c r="AG466" s="102"/>
      <c r="AH466" s="102"/>
      <c r="AI466" s="102"/>
      <c r="AJ466" s="102"/>
      <c r="AK466" s="102"/>
      <c r="AL466" s="102"/>
      <c r="AM466" s="102"/>
    </row>
    <row r="467" spans="1:39">
      <c r="A467" s="143"/>
      <c r="B467" s="143"/>
      <c r="C467" s="155"/>
      <c r="D467" s="143"/>
      <c r="E467" s="146"/>
      <c r="F467" s="147"/>
      <c r="G467" s="147"/>
      <c r="H467" s="148"/>
      <c r="I467" s="143"/>
      <c r="J467" s="143"/>
      <c r="K467" s="149"/>
      <c r="L467" s="150" t="str">
        <f t="shared" si="83"/>
        <v/>
      </c>
      <c r="M467" s="150" t="str">
        <f t="shared" si="84"/>
        <v/>
      </c>
      <c r="N467" s="151" t="str">
        <f t="shared" si="85"/>
        <v/>
      </c>
      <c r="O467" s="151" t="str">
        <f t="shared" si="86"/>
        <v/>
      </c>
      <c r="P467" s="151" t="str">
        <f t="shared" si="87"/>
        <v/>
      </c>
      <c r="Q467" s="151" t="str">
        <f t="shared" si="88"/>
        <v/>
      </c>
      <c r="R467" s="150" t="str">
        <f t="shared" si="89"/>
        <v/>
      </c>
      <c r="S467" s="150" t="str">
        <f t="shared" si="90"/>
        <v/>
      </c>
      <c r="T467" s="150" t="str">
        <f t="shared" si="91"/>
        <v/>
      </c>
      <c r="U467" s="152"/>
      <c r="V467" s="143"/>
      <c r="W467" s="102"/>
      <c r="X467" s="102" t="str">
        <f t="shared" si="92"/>
        <v/>
      </c>
      <c r="Y467" s="102"/>
      <c r="Z467" s="102"/>
      <c r="AA467" s="102"/>
      <c r="AB467" s="102"/>
      <c r="AC467" s="102"/>
      <c r="AD467" s="102"/>
      <c r="AE467" s="102"/>
      <c r="AF467" s="102"/>
      <c r="AG467" s="102"/>
      <c r="AH467" s="102"/>
      <c r="AI467" s="102"/>
      <c r="AJ467" s="102"/>
      <c r="AK467" s="102"/>
      <c r="AL467" s="102"/>
      <c r="AM467" s="102"/>
    </row>
    <row r="468" spans="1:39">
      <c r="A468" s="143"/>
      <c r="B468" s="143"/>
      <c r="C468" s="155"/>
      <c r="D468" s="143"/>
      <c r="E468" s="146"/>
      <c r="F468" s="147"/>
      <c r="G468" s="147"/>
      <c r="H468" s="148"/>
      <c r="I468" s="143"/>
      <c r="J468" s="143"/>
      <c r="K468" s="149"/>
      <c r="L468" s="150" t="str">
        <f t="shared" si="83"/>
        <v/>
      </c>
      <c r="M468" s="150" t="str">
        <f t="shared" si="84"/>
        <v/>
      </c>
      <c r="N468" s="151" t="str">
        <f t="shared" si="85"/>
        <v/>
      </c>
      <c r="O468" s="151" t="str">
        <f t="shared" si="86"/>
        <v/>
      </c>
      <c r="P468" s="151" t="str">
        <f t="shared" si="87"/>
        <v/>
      </c>
      <c r="Q468" s="151" t="str">
        <f t="shared" si="88"/>
        <v/>
      </c>
      <c r="R468" s="150" t="str">
        <f t="shared" si="89"/>
        <v/>
      </c>
      <c r="S468" s="150" t="str">
        <f t="shared" si="90"/>
        <v/>
      </c>
      <c r="T468" s="150" t="str">
        <f t="shared" si="91"/>
        <v/>
      </c>
      <c r="U468" s="152"/>
      <c r="V468" s="143"/>
      <c r="W468" s="102"/>
      <c r="X468" s="102" t="str">
        <f t="shared" si="92"/>
        <v/>
      </c>
      <c r="Y468" s="102"/>
      <c r="Z468" s="102"/>
      <c r="AA468" s="102"/>
      <c r="AB468" s="102"/>
      <c r="AC468" s="102"/>
      <c r="AD468" s="102"/>
      <c r="AE468" s="102"/>
      <c r="AF468" s="102"/>
      <c r="AG468" s="102"/>
      <c r="AH468" s="102"/>
      <c r="AI468" s="102"/>
      <c r="AJ468" s="102"/>
      <c r="AK468" s="102"/>
      <c r="AL468" s="102"/>
      <c r="AM468" s="102"/>
    </row>
    <row r="469" spans="1:39">
      <c r="A469" s="143"/>
      <c r="B469" s="143"/>
      <c r="C469" s="155"/>
      <c r="D469" s="143"/>
      <c r="E469" s="146"/>
      <c r="F469" s="147"/>
      <c r="G469" s="147"/>
      <c r="H469" s="148"/>
      <c r="I469" s="143"/>
      <c r="J469" s="143"/>
      <c r="K469" s="149"/>
      <c r="L469" s="150" t="str">
        <f t="shared" si="83"/>
        <v/>
      </c>
      <c r="M469" s="150" t="str">
        <f t="shared" si="84"/>
        <v/>
      </c>
      <c r="N469" s="151" t="str">
        <f t="shared" si="85"/>
        <v/>
      </c>
      <c r="O469" s="151" t="str">
        <f t="shared" si="86"/>
        <v/>
      </c>
      <c r="P469" s="151" t="str">
        <f t="shared" si="87"/>
        <v/>
      </c>
      <c r="Q469" s="151" t="str">
        <f t="shared" si="88"/>
        <v/>
      </c>
      <c r="R469" s="150" t="str">
        <f t="shared" si="89"/>
        <v/>
      </c>
      <c r="S469" s="150" t="str">
        <f t="shared" si="90"/>
        <v/>
      </c>
      <c r="T469" s="150" t="str">
        <f t="shared" si="91"/>
        <v/>
      </c>
      <c r="U469" s="152"/>
      <c r="V469" s="143"/>
      <c r="W469" s="102"/>
      <c r="X469" s="102" t="str">
        <f t="shared" si="92"/>
        <v/>
      </c>
      <c r="Y469" s="102"/>
      <c r="Z469" s="102"/>
      <c r="AA469" s="102"/>
      <c r="AB469" s="102"/>
      <c r="AC469" s="102"/>
      <c r="AD469" s="102"/>
      <c r="AE469" s="102"/>
      <c r="AF469" s="102"/>
      <c r="AG469" s="102"/>
      <c r="AH469" s="102"/>
      <c r="AI469" s="102"/>
      <c r="AJ469" s="102"/>
      <c r="AK469" s="102"/>
      <c r="AL469" s="102"/>
      <c r="AM469" s="102"/>
    </row>
    <row r="470" spans="1:39">
      <c r="A470" s="143"/>
      <c r="B470" s="143"/>
      <c r="C470" s="155"/>
      <c r="D470" s="143"/>
      <c r="E470" s="146"/>
      <c r="F470" s="147"/>
      <c r="G470" s="147"/>
      <c r="H470" s="148"/>
      <c r="I470" s="143"/>
      <c r="J470" s="143"/>
      <c r="K470" s="149"/>
      <c r="L470" s="150" t="str">
        <f t="shared" si="83"/>
        <v/>
      </c>
      <c r="M470" s="150" t="str">
        <f t="shared" si="84"/>
        <v/>
      </c>
      <c r="N470" s="151" t="str">
        <f t="shared" si="85"/>
        <v/>
      </c>
      <c r="O470" s="151" t="str">
        <f t="shared" si="86"/>
        <v/>
      </c>
      <c r="P470" s="151" t="str">
        <f t="shared" si="87"/>
        <v/>
      </c>
      <c r="Q470" s="151" t="str">
        <f t="shared" si="88"/>
        <v/>
      </c>
      <c r="R470" s="150" t="str">
        <f t="shared" si="89"/>
        <v/>
      </c>
      <c r="S470" s="150" t="str">
        <f t="shared" si="90"/>
        <v/>
      </c>
      <c r="T470" s="150" t="str">
        <f t="shared" si="91"/>
        <v/>
      </c>
      <c r="U470" s="152"/>
      <c r="V470" s="143"/>
      <c r="W470" s="102"/>
      <c r="X470" s="102" t="str">
        <f t="shared" si="92"/>
        <v/>
      </c>
      <c r="Y470" s="102"/>
      <c r="Z470" s="102"/>
      <c r="AA470" s="102"/>
      <c r="AB470" s="102"/>
      <c r="AC470" s="102"/>
      <c r="AD470" s="102"/>
      <c r="AE470" s="102"/>
      <c r="AF470" s="102"/>
      <c r="AG470" s="102"/>
      <c r="AH470" s="102"/>
      <c r="AI470" s="102"/>
      <c r="AJ470" s="102"/>
      <c r="AK470" s="102"/>
      <c r="AL470" s="102"/>
      <c r="AM470" s="102"/>
    </row>
    <row r="471" spans="1:39">
      <c r="A471" s="143"/>
      <c r="B471" s="143"/>
      <c r="C471" s="155"/>
      <c r="D471" s="143"/>
      <c r="E471" s="146"/>
      <c r="F471" s="147"/>
      <c r="G471" s="147"/>
      <c r="H471" s="148"/>
      <c r="I471" s="143"/>
      <c r="J471" s="143"/>
      <c r="K471" s="149"/>
      <c r="L471" s="150" t="str">
        <f t="shared" si="83"/>
        <v/>
      </c>
      <c r="M471" s="150" t="str">
        <f t="shared" si="84"/>
        <v/>
      </c>
      <c r="N471" s="151" t="str">
        <f t="shared" si="85"/>
        <v/>
      </c>
      <c r="O471" s="151" t="str">
        <f t="shared" si="86"/>
        <v/>
      </c>
      <c r="P471" s="151" t="str">
        <f t="shared" si="87"/>
        <v/>
      </c>
      <c r="Q471" s="151" t="str">
        <f t="shared" si="88"/>
        <v/>
      </c>
      <c r="R471" s="150" t="str">
        <f t="shared" si="89"/>
        <v/>
      </c>
      <c r="S471" s="150" t="str">
        <f t="shared" si="90"/>
        <v/>
      </c>
      <c r="T471" s="150" t="str">
        <f t="shared" si="91"/>
        <v/>
      </c>
      <c r="U471" s="152"/>
      <c r="V471" s="143"/>
      <c r="W471" s="102"/>
      <c r="X471" s="102" t="str">
        <f t="shared" si="92"/>
        <v/>
      </c>
      <c r="Y471" s="102"/>
      <c r="Z471" s="102"/>
      <c r="AA471" s="102"/>
      <c r="AB471" s="102"/>
      <c r="AC471" s="102"/>
      <c r="AD471" s="102"/>
      <c r="AE471" s="102"/>
      <c r="AF471" s="102"/>
      <c r="AG471" s="102"/>
      <c r="AH471" s="102"/>
      <c r="AI471" s="102"/>
      <c r="AJ471" s="102"/>
      <c r="AK471" s="102"/>
      <c r="AL471" s="102"/>
      <c r="AM471" s="102"/>
    </row>
    <row r="472" spans="1:39">
      <c r="A472" s="143"/>
      <c r="B472" s="143"/>
      <c r="C472" s="155"/>
      <c r="D472" s="143"/>
      <c r="E472" s="146"/>
      <c r="F472" s="147"/>
      <c r="G472" s="147"/>
      <c r="H472" s="148"/>
      <c r="I472" s="143"/>
      <c r="J472" s="143"/>
      <c r="K472" s="149"/>
      <c r="L472" s="150" t="str">
        <f t="shared" si="83"/>
        <v/>
      </c>
      <c r="M472" s="150" t="str">
        <f t="shared" si="84"/>
        <v/>
      </c>
      <c r="N472" s="151" t="str">
        <f t="shared" si="85"/>
        <v/>
      </c>
      <c r="O472" s="151" t="str">
        <f t="shared" si="86"/>
        <v/>
      </c>
      <c r="P472" s="151" t="str">
        <f t="shared" si="87"/>
        <v/>
      </c>
      <c r="Q472" s="151" t="str">
        <f t="shared" si="88"/>
        <v/>
      </c>
      <c r="R472" s="150" t="str">
        <f t="shared" si="89"/>
        <v/>
      </c>
      <c r="S472" s="150" t="str">
        <f t="shared" si="90"/>
        <v/>
      </c>
      <c r="T472" s="150" t="str">
        <f t="shared" si="91"/>
        <v/>
      </c>
      <c r="U472" s="152"/>
      <c r="V472" s="143"/>
      <c r="W472" s="102"/>
      <c r="X472" s="102" t="str">
        <f t="shared" si="92"/>
        <v/>
      </c>
      <c r="Y472" s="102"/>
      <c r="Z472" s="102"/>
      <c r="AA472" s="102"/>
      <c r="AB472" s="102"/>
      <c r="AC472" s="102"/>
      <c r="AD472" s="102"/>
      <c r="AE472" s="102"/>
      <c r="AF472" s="102"/>
      <c r="AG472" s="102"/>
      <c r="AH472" s="102"/>
      <c r="AI472" s="102"/>
      <c r="AJ472" s="102"/>
      <c r="AK472" s="102"/>
      <c r="AL472" s="102"/>
      <c r="AM472" s="102"/>
    </row>
    <row r="473" spans="1:39">
      <c r="A473" s="143"/>
      <c r="B473" s="143"/>
      <c r="C473" s="155"/>
      <c r="D473" s="143"/>
      <c r="E473" s="146"/>
      <c r="F473" s="147"/>
      <c r="G473" s="147"/>
      <c r="H473" s="148"/>
      <c r="I473" s="143"/>
      <c r="J473" s="143"/>
      <c r="K473" s="149"/>
      <c r="L473" s="150" t="str">
        <f t="shared" si="83"/>
        <v/>
      </c>
      <c r="M473" s="150" t="str">
        <f t="shared" si="84"/>
        <v/>
      </c>
      <c r="N473" s="151" t="str">
        <f t="shared" si="85"/>
        <v/>
      </c>
      <c r="O473" s="151" t="str">
        <f t="shared" si="86"/>
        <v/>
      </c>
      <c r="P473" s="151" t="str">
        <f t="shared" si="87"/>
        <v/>
      </c>
      <c r="Q473" s="151" t="str">
        <f t="shared" si="88"/>
        <v/>
      </c>
      <c r="R473" s="150" t="str">
        <f t="shared" si="89"/>
        <v/>
      </c>
      <c r="S473" s="150" t="str">
        <f t="shared" si="90"/>
        <v/>
      </c>
      <c r="T473" s="150" t="str">
        <f t="shared" si="91"/>
        <v/>
      </c>
      <c r="U473" s="152"/>
      <c r="V473" s="143"/>
      <c r="W473" s="102"/>
      <c r="X473" s="102" t="str">
        <f t="shared" si="92"/>
        <v/>
      </c>
      <c r="Y473" s="102"/>
      <c r="Z473" s="102"/>
      <c r="AA473" s="102"/>
      <c r="AB473" s="102"/>
      <c r="AC473" s="102"/>
      <c r="AD473" s="102"/>
      <c r="AE473" s="102"/>
      <c r="AF473" s="102"/>
      <c r="AG473" s="102"/>
      <c r="AH473" s="102"/>
      <c r="AI473" s="102"/>
      <c r="AJ473" s="102"/>
      <c r="AK473" s="102"/>
      <c r="AL473" s="102"/>
      <c r="AM473" s="102"/>
    </row>
    <row r="474" spans="1:39">
      <c r="A474" s="143"/>
      <c r="B474" s="143"/>
      <c r="C474" s="155"/>
      <c r="D474" s="143"/>
      <c r="E474" s="146"/>
      <c r="F474" s="147"/>
      <c r="G474" s="147"/>
      <c r="H474" s="148"/>
      <c r="I474" s="143"/>
      <c r="J474" s="143"/>
      <c r="K474" s="149"/>
      <c r="L474" s="150" t="str">
        <f t="shared" si="83"/>
        <v/>
      </c>
      <c r="M474" s="150" t="str">
        <f t="shared" si="84"/>
        <v/>
      </c>
      <c r="N474" s="151" t="str">
        <f t="shared" si="85"/>
        <v/>
      </c>
      <c r="O474" s="151" t="str">
        <f t="shared" si="86"/>
        <v/>
      </c>
      <c r="P474" s="151" t="str">
        <f t="shared" si="87"/>
        <v/>
      </c>
      <c r="Q474" s="151" t="str">
        <f t="shared" si="88"/>
        <v/>
      </c>
      <c r="R474" s="150" t="str">
        <f t="shared" si="89"/>
        <v/>
      </c>
      <c r="S474" s="150" t="str">
        <f t="shared" si="90"/>
        <v/>
      </c>
      <c r="T474" s="150" t="str">
        <f t="shared" si="91"/>
        <v/>
      </c>
      <c r="U474" s="152"/>
      <c r="V474" s="143"/>
      <c r="W474" s="102"/>
      <c r="X474" s="102" t="str">
        <f t="shared" si="92"/>
        <v/>
      </c>
      <c r="Y474" s="102"/>
      <c r="Z474" s="102"/>
      <c r="AA474" s="102"/>
      <c r="AB474" s="102"/>
      <c r="AC474" s="102"/>
      <c r="AD474" s="102"/>
      <c r="AE474" s="102"/>
      <c r="AF474" s="102"/>
      <c r="AG474" s="102"/>
      <c r="AH474" s="102"/>
      <c r="AI474" s="102"/>
      <c r="AJ474" s="102"/>
      <c r="AK474" s="102"/>
      <c r="AL474" s="102"/>
      <c r="AM474" s="102"/>
    </row>
    <row r="475" spans="1:39">
      <c r="A475" s="143"/>
      <c r="B475" s="143"/>
      <c r="C475" s="155"/>
      <c r="D475" s="143"/>
      <c r="E475" s="146"/>
      <c r="F475" s="147"/>
      <c r="G475" s="147"/>
      <c r="H475" s="148"/>
      <c r="I475" s="143"/>
      <c r="J475" s="143"/>
      <c r="K475" s="149"/>
      <c r="L475" s="150" t="str">
        <f t="shared" si="83"/>
        <v/>
      </c>
      <c r="M475" s="150" t="str">
        <f t="shared" si="84"/>
        <v/>
      </c>
      <c r="N475" s="151" t="str">
        <f t="shared" si="85"/>
        <v/>
      </c>
      <c r="O475" s="151" t="str">
        <f t="shared" si="86"/>
        <v/>
      </c>
      <c r="P475" s="151" t="str">
        <f t="shared" si="87"/>
        <v/>
      </c>
      <c r="Q475" s="151" t="str">
        <f t="shared" si="88"/>
        <v/>
      </c>
      <c r="R475" s="150" t="str">
        <f t="shared" si="89"/>
        <v/>
      </c>
      <c r="S475" s="150" t="str">
        <f t="shared" si="90"/>
        <v/>
      </c>
      <c r="T475" s="150" t="str">
        <f t="shared" si="91"/>
        <v/>
      </c>
      <c r="U475" s="152"/>
      <c r="V475" s="143"/>
      <c r="W475" s="102"/>
      <c r="X475" s="102" t="str">
        <f t="shared" si="92"/>
        <v/>
      </c>
      <c r="Y475" s="102"/>
      <c r="Z475" s="102"/>
      <c r="AA475" s="102"/>
      <c r="AB475" s="102"/>
      <c r="AC475" s="102"/>
      <c r="AD475" s="102"/>
      <c r="AE475" s="102"/>
      <c r="AF475" s="102"/>
      <c r="AG475" s="102"/>
      <c r="AH475" s="102"/>
      <c r="AI475" s="102"/>
      <c r="AJ475" s="102"/>
      <c r="AK475" s="102"/>
      <c r="AL475" s="102"/>
      <c r="AM475" s="102"/>
    </row>
    <row r="476" spans="1:39">
      <c r="A476" s="143"/>
      <c r="B476" s="143"/>
      <c r="C476" s="155"/>
      <c r="D476" s="143"/>
      <c r="E476" s="146"/>
      <c r="F476" s="147"/>
      <c r="G476" s="147"/>
      <c r="H476" s="148"/>
      <c r="I476" s="143"/>
      <c r="J476" s="143"/>
      <c r="K476" s="149"/>
      <c r="L476" s="150" t="str">
        <f t="shared" si="83"/>
        <v/>
      </c>
      <c r="M476" s="150" t="str">
        <f t="shared" si="84"/>
        <v/>
      </c>
      <c r="N476" s="151" t="str">
        <f t="shared" si="85"/>
        <v/>
      </c>
      <c r="O476" s="151" t="str">
        <f t="shared" si="86"/>
        <v/>
      </c>
      <c r="P476" s="151" t="str">
        <f t="shared" si="87"/>
        <v/>
      </c>
      <c r="Q476" s="151" t="str">
        <f t="shared" si="88"/>
        <v/>
      </c>
      <c r="R476" s="150" t="str">
        <f t="shared" si="89"/>
        <v/>
      </c>
      <c r="S476" s="150" t="str">
        <f t="shared" si="90"/>
        <v/>
      </c>
      <c r="T476" s="150" t="str">
        <f t="shared" si="91"/>
        <v/>
      </c>
      <c r="U476" s="152"/>
      <c r="V476" s="143"/>
      <c r="W476" s="102"/>
      <c r="X476" s="102" t="str">
        <f t="shared" si="92"/>
        <v/>
      </c>
      <c r="Y476" s="102"/>
      <c r="Z476" s="102"/>
      <c r="AA476" s="102"/>
      <c r="AB476" s="102"/>
      <c r="AC476" s="102"/>
      <c r="AD476" s="102"/>
      <c r="AE476" s="102"/>
      <c r="AF476" s="102"/>
      <c r="AG476" s="102"/>
      <c r="AH476" s="102"/>
      <c r="AI476" s="102"/>
      <c r="AJ476" s="102"/>
      <c r="AK476" s="102"/>
      <c r="AL476" s="102"/>
      <c r="AM476" s="102"/>
    </row>
    <row r="477" spans="1:39">
      <c r="A477" s="143"/>
      <c r="B477" s="143"/>
      <c r="C477" s="155"/>
      <c r="D477" s="143"/>
      <c r="E477" s="146"/>
      <c r="F477" s="147"/>
      <c r="G477" s="147"/>
      <c r="H477" s="148"/>
      <c r="I477" s="143"/>
      <c r="J477" s="143"/>
      <c r="K477" s="149"/>
      <c r="L477" s="150" t="str">
        <f t="shared" si="83"/>
        <v/>
      </c>
      <c r="M477" s="150" t="str">
        <f t="shared" si="84"/>
        <v/>
      </c>
      <c r="N477" s="151" t="str">
        <f t="shared" si="85"/>
        <v/>
      </c>
      <c r="O477" s="151" t="str">
        <f t="shared" si="86"/>
        <v/>
      </c>
      <c r="P477" s="151" t="str">
        <f t="shared" si="87"/>
        <v/>
      </c>
      <c r="Q477" s="151" t="str">
        <f t="shared" si="88"/>
        <v/>
      </c>
      <c r="R477" s="150" t="str">
        <f t="shared" si="89"/>
        <v/>
      </c>
      <c r="S477" s="150" t="str">
        <f t="shared" si="90"/>
        <v/>
      </c>
      <c r="T477" s="150" t="str">
        <f t="shared" si="91"/>
        <v/>
      </c>
      <c r="U477" s="152"/>
      <c r="V477" s="143"/>
      <c r="W477" s="102"/>
      <c r="X477" s="102" t="str">
        <f t="shared" si="92"/>
        <v/>
      </c>
      <c r="Y477" s="102"/>
      <c r="Z477" s="102"/>
      <c r="AA477" s="102"/>
      <c r="AB477" s="102"/>
      <c r="AC477" s="102"/>
      <c r="AD477" s="102"/>
      <c r="AE477" s="102"/>
      <c r="AF477" s="102"/>
      <c r="AG477" s="102"/>
      <c r="AH477" s="102"/>
      <c r="AI477" s="102"/>
      <c r="AJ477" s="102"/>
      <c r="AK477" s="102"/>
      <c r="AL477" s="102"/>
      <c r="AM477" s="102"/>
    </row>
    <row r="478" spans="1:39">
      <c r="A478" s="143"/>
      <c r="B478" s="143"/>
      <c r="C478" s="155"/>
      <c r="D478" s="143"/>
      <c r="E478" s="146"/>
      <c r="F478" s="147"/>
      <c r="G478" s="147"/>
      <c r="H478" s="148"/>
      <c r="I478" s="143"/>
      <c r="J478" s="143"/>
      <c r="K478" s="149"/>
      <c r="L478" s="150" t="str">
        <f t="shared" si="83"/>
        <v/>
      </c>
      <c r="M478" s="150" t="str">
        <f t="shared" si="84"/>
        <v/>
      </c>
      <c r="N478" s="151" t="str">
        <f t="shared" si="85"/>
        <v/>
      </c>
      <c r="O478" s="151" t="str">
        <f t="shared" si="86"/>
        <v/>
      </c>
      <c r="P478" s="151" t="str">
        <f t="shared" si="87"/>
        <v/>
      </c>
      <c r="Q478" s="151" t="str">
        <f t="shared" si="88"/>
        <v/>
      </c>
      <c r="R478" s="150" t="str">
        <f t="shared" si="89"/>
        <v/>
      </c>
      <c r="S478" s="150" t="str">
        <f t="shared" si="90"/>
        <v/>
      </c>
      <c r="T478" s="150" t="str">
        <f t="shared" si="91"/>
        <v/>
      </c>
      <c r="U478" s="152"/>
      <c r="V478" s="143"/>
      <c r="W478" s="102"/>
      <c r="X478" s="102" t="str">
        <f t="shared" si="92"/>
        <v/>
      </c>
      <c r="Y478" s="102"/>
      <c r="Z478" s="102"/>
      <c r="AA478" s="102"/>
      <c r="AB478" s="102"/>
      <c r="AC478" s="102"/>
      <c r="AD478" s="102"/>
      <c r="AE478" s="102"/>
      <c r="AF478" s="102"/>
      <c r="AG478" s="102"/>
      <c r="AH478" s="102"/>
      <c r="AI478" s="102"/>
      <c r="AJ478" s="102"/>
      <c r="AK478" s="102"/>
      <c r="AL478" s="102"/>
      <c r="AM478" s="102"/>
    </row>
    <row r="479" spans="1:39">
      <c r="A479" s="143"/>
      <c r="B479" s="143"/>
      <c r="C479" s="155"/>
      <c r="D479" s="143"/>
      <c r="E479" s="146"/>
      <c r="F479" s="147"/>
      <c r="G479" s="147"/>
      <c r="H479" s="148"/>
      <c r="I479" s="143"/>
      <c r="J479" s="143"/>
      <c r="K479" s="149"/>
      <c r="L479" s="150" t="str">
        <f t="shared" si="83"/>
        <v/>
      </c>
      <c r="M479" s="150" t="str">
        <f t="shared" si="84"/>
        <v/>
      </c>
      <c r="N479" s="151" t="str">
        <f t="shared" si="85"/>
        <v/>
      </c>
      <c r="O479" s="151" t="str">
        <f t="shared" si="86"/>
        <v/>
      </c>
      <c r="P479" s="151" t="str">
        <f t="shared" si="87"/>
        <v/>
      </c>
      <c r="Q479" s="151" t="str">
        <f t="shared" si="88"/>
        <v/>
      </c>
      <c r="R479" s="150" t="str">
        <f t="shared" si="89"/>
        <v/>
      </c>
      <c r="S479" s="150" t="str">
        <f t="shared" si="90"/>
        <v/>
      </c>
      <c r="T479" s="150" t="str">
        <f t="shared" si="91"/>
        <v/>
      </c>
      <c r="U479" s="152"/>
      <c r="V479" s="143"/>
      <c r="W479" s="102"/>
      <c r="X479" s="102" t="str">
        <f t="shared" si="92"/>
        <v/>
      </c>
      <c r="Y479" s="102"/>
      <c r="Z479" s="102"/>
      <c r="AA479" s="102"/>
      <c r="AB479" s="102"/>
      <c r="AC479" s="102"/>
      <c r="AD479" s="102"/>
      <c r="AE479" s="102"/>
      <c r="AF479" s="102"/>
      <c r="AG479" s="102"/>
      <c r="AH479" s="102"/>
      <c r="AI479" s="102"/>
      <c r="AJ479" s="102"/>
      <c r="AK479" s="102"/>
      <c r="AL479" s="102"/>
      <c r="AM479" s="102"/>
    </row>
    <row r="480" spans="1:39">
      <c r="A480" s="143"/>
      <c r="B480" s="143"/>
      <c r="C480" s="155"/>
      <c r="D480" s="143"/>
      <c r="E480" s="146"/>
      <c r="F480" s="147"/>
      <c r="G480" s="147"/>
      <c r="H480" s="148"/>
      <c r="I480" s="143"/>
      <c r="J480" s="143"/>
      <c r="K480" s="149"/>
      <c r="L480" s="150" t="str">
        <f t="shared" si="83"/>
        <v/>
      </c>
      <c r="M480" s="150" t="str">
        <f t="shared" si="84"/>
        <v/>
      </c>
      <c r="N480" s="151" t="str">
        <f t="shared" si="85"/>
        <v/>
      </c>
      <c r="O480" s="151" t="str">
        <f t="shared" si="86"/>
        <v/>
      </c>
      <c r="P480" s="151" t="str">
        <f t="shared" si="87"/>
        <v/>
      </c>
      <c r="Q480" s="151" t="str">
        <f t="shared" si="88"/>
        <v/>
      </c>
      <c r="R480" s="150" t="str">
        <f t="shared" si="89"/>
        <v/>
      </c>
      <c r="S480" s="150" t="str">
        <f t="shared" si="90"/>
        <v/>
      </c>
      <c r="T480" s="150" t="str">
        <f t="shared" si="91"/>
        <v/>
      </c>
      <c r="U480" s="152"/>
      <c r="V480" s="143"/>
      <c r="W480" s="102"/>
      <c r="X480" s="102" t="str">
        <f t="shared" si="92"/>
        <v/>
      </c>
      <c r="Y480" s="102"/>
      <c r="Z480" s="102"/>
      <c r="AA480" s="102"/>
      <c r="AB480" s="102"/>
      <c r="AC480" s="102"/>
      <c r="AD480" s="102"/>
      <c r="AE480" s="102"/>
      <c r="AF480" s="102"/>
      <c r="AG480" s="102"/>
      <c r="AH480" s="102"/>
      <c r="AI480" s="102"/>
      <c r="AJ480" s="102"/>
      <c r="AK480" s="102"/>
      <c r="AL480" s="102"/>
      <c r="AM480" s="102"/>
    </row>
    <row r="481" spans="1:39">
      <c r="A481" s="143"/>
      <c r="B481" s="143"/>
      <c r="C481" s="155"/>
      <c r="D481" s="143"/>
      <c r="E481" s="146"/>
      <c r="F481" s="147"/>
      <c r="G481" s="147"/>
      <c r="H481" s="148"/>
      <c r="I481" s="143"/>
      <c r="J481" s="143"/>
      <c r="K481" s="149"/>
      <c r="L481" s="150" t="str">
        <f t="shared" si="83"/>
        <v/>
      </c>
      <c r="M481" s="150" t="str">
        <f t="shared" si="84"/>
        <v/>
      </c>
      <c r="N481" s="151" t="str">
        <f t="shared" si="85"/>
        <v/>
      </c>
      <c r="O481" s="151" t="str">
        <f t="shared" si="86"/>
        <v/>
      </c>
      <c r="P481" s="151" t="str">
        <f t="shared" si="87"/>
        <v/>
      </c>
      <c r="Q481" s="151" t="str">
        <f t="shared" si="88"/>
        <v/>
      </c>
      <c r="R481" s="150" t="str">
        <f t="shared" si="89"/>
        <v/>
      </c>
      <c r="S481" s="150" t="str">
        <f t="shared" si="90"/>
        <v/>
      </c>
      <c r="T481" s="150" t="str">
        <f t="shared" si="91"/>
        <v/>
      </c>
      <c r="U481" s="152"/>
      <c r="V481" s="143"/>
      <c r="W481" s="102"/>
      <c r="X481" s="102" t="str">
        <f t="shared" si="92"/>
        <v/>
      </c>
      <c r="Y481" s="102"/>
      <c r="Z481" s="102"/>
      <c r="AA481" s="102"/>
      <c r="AB481" s="102"/>
      <c r="AC481" s="102"/>
      <c r="AD481" s="102"/>
      <c r="AE481" s="102"/>
      <c r="AF481" s="102"/>
      <c r="AG481" s="102"/>
      <c r="AH481" s="102"/>
      <c r="AI481" s="102"/>
      <c r="AJ481" s="102"/>
      <c r="AK481" s="102"/>
      <c r="AL481" s="102"/>
      <c r="AM481" s="102"/>
    </row>
    <row r="482" spans="1:39">
      <c r="A482" s="143"/>
      <c r="B482" s="143"/>
      <c r="C482" s="155"/>
      <c r="D482" s="143"/>
      <c r="E482" s="146"/>
      <c r="F482" s="147"/>
      <c r="G482" s="147"/>
      <c r="H482" s="148"/>
      <c r="I482" s="143"/>
      <c r="J482" s="143"/>
      <c r="K482" s="149"/>
      <c r="L482" s="150" t="str">
        <f t="shared" si="83"/>
        <v/>
      </c>
      <c r="M482" s="150" t="str">
        <f t="shared" si="84"/>
        <v/>
      </c>
      <c r="N482" s="151" t="str">
        <f t="shared" si="85"/>
        <v/>
      </c>
      <c r="O482" s="151" t="str">
        <f t="shared" si="86"/>
        <v/>
      </c>
      <c r="P482" s="151" t="str">
        <f t="shared" si="87"/>
        <v/>
      </c>
      <c r="Q482" s="151" t="str">
        <f t="shared" si="88"/>
        <v/>
      </c>
      <c r="R482" s="150" t="str">
        <f t="shared" si="89"/>
        <v/>
      </c>
      <c r="S482" s="150" t="str">
        <f t="shared" si="90"/>
        <v/>
      </c>
      <c r="T482" s="150" t="str">
        <f t="shared" si="91"/>
        <v/>
      </c>
      <c r="U482" s="152"/>
      <c r="V482" s="143"/>
      <c r="W482" s="102"/>
      <c r="X482" s="102" t="str">
        <f t="shared" si="92"/>
        <v/>
      </c>
      <c r="Y482" s="102"/>
      <c r="Z482" s="102"/>
      <c r="AA482" s="102"/>
      <c r="AB482" s="102"/>
      <c r="AC482" s="102"/>
      <c r="AD482" s="102"/>
      <c r="AE482" s="102"/>
      <c r="AF482" s="102"/>
      <c r="AG482" s="102"/>
      <c r="AH482" s="102"/>
      <c r="AI482" s="102"/>
      <c r="AJ482" s="102"/>
      <c r="AK482" s="102"/>
      <c r="AL482" s="102"/>
      <c r="AM482" s="102"/>
    </row>
    <row r="483" spans="1:39">
      <c r="A483" s="143"/>
      <c r="B483" s="143"/>
      <c r="C483" s="155"/>
      <c r="D483" s="143"/>
      <c r="E483" s="146"/>
      <c r="F483" s="147"/>
      <c r="G483" s="147"/>
      <c r="H483" s="148"/>
      <c r="I483" s="143"/>
      <c r="J483" s="143"/>
      <c r="K483" s="149"/>
      <c r="L483" s="150" t="str">
        <f t="shared" si="83"/>
        <v/>
      </c>
      <c r="M483" s="150" t="str">
        <f t="shared" si="84"/>
        <v/>
      </c>
      <c r="N483" s="151" t="str">
        <f t="shared" si="85"/>
        <v/>
      </c>
      <c r="O483" s="151" t="str">
        <f t="shared" si="86"/>
        <v/>
      </c>
      <c r="P483" s="151" t="str">
        <f t="shared" si="87"/>
        <v/>
      </c>
      <c r="Q483" s="151" t="str">
        <f t="shared" si="88"/>
        <v/>
      </c>
      <c r="R483" s="150" t="str">
        <f t="shared" si="89"/>
        <v/>
      </c>
      <c r="S483" s="150" t="str">
        <f t="shared" si="90"/>
        <v/>
      </c>
      <c r="T483" s="150" t="str">
        <f t="shared" si="91"/>
        <v/>
      </c>
      <c r="U483" s="152"/>
      <c r="V483" s="143"/>
      <c r="W483" s="102"/>
      <c r="X483" s="102" t="str">
        <f t="shared" si="92"/>
        <v/>
      </c>
      <c r="Y483" s="102"/>
      <c r="Z483" s="102"/>
      <c r="AA483" s="102"/>
      <c r="AB483" s="102"/>
      <c r="AC483" s="102"/>
      <c r="AD483" s="102"/>
      <c r="AE483" s="102"/>
      <c r="AF483" s="102"/>
      <c r="AG483" s="102"/>
      <c r="AH483" s="102"/>
      <c r="AI483" s="102"/>
      <c r="AJ483" s="102"/>
      <c r="AK483" s="102"/>
      <c r="AL483" s="102"/>
      <c r="AM483" s="102"/>
    </row>
    <row r="484" spans="1:39">
      <c r="A484" s="143"/>
      <c r="B484" s="143"/>
      <c r="C484" s="155"/>
      <c r="D484" s="143"/>
      <c r="E484" s="146"/>
      <c r="F484" s="147"/>
      <c r="G484" s="147"/>
      <c r="H484" s="148"/>
      <c r="I484" s="143"/>
      <c r="J484" s="143"/>
      <c r="K484" s="149"/>
      <c r="L484" s="150" t="str">
        <f t="shared" si="83"/>
        <v/>
      </c>
      <c r="M484" s="150" t="str">
        <f t="shared" si="84"/>
        <v/>
      </c>
      <c r="N484" s="151" t="str">
        <f t="shared" si="85"/>
        <v/>
      </c>
      <c r="O484" s="151" t="str">
        <f t="shared" si="86"/>
        <v/>
      </c>
      <c r="P484" s="151" t="str">
        <f t="shared" si="87"/>
        <v/>
      </c>
      <c r="Q484" s="151" t="str">
        <f t="shared" si="88"/>
        <v/>
      </c>
      <c r="R484" s="150" t="str">
        <f t="shared" si="89"/>
        <v/>
      </c>
      <c r="S484" s="150" t="str">
        <f t="shared" si="90"/>
        <v/>
      </c>
      <c r="T484" s="150" t="str">
        <f t="shared" si="91"/>
        <v/>
      </c>
      <c r="U484" s="152"/>
      <c r="V484" s="143"/>
      <c r="W484" s="102"/>
      <c r="X484" s="102" t="str">
        <f t="shared" si="92"/>
        <v/>
      </c>
      <c r="Y484" s="102"/>
      <c r="Z484" s="102"/>
      <c r="AA484" s="102"/>
      <c r="AB484" s="102"/>
      <c r="AC484" s="102"/>
      <c r="AD484" s="102"/>
      <c r="AE484" s="102"/>
      <c r="AF484" s="102"/>
      <c r="AG484" s="102"/>
      <c r="AH484" s="102"/>
      <c r="AI484" s="102"/>
      <c r="AJ484" s="102"/>
      <c r="AK484" s="102"/>
      <c r="AL484" s="102"/>
      <c r="AM484" s="102"/>
    </row>
    <row r="485" spans="1:39">
      <c r="A485" s="143"/>
      <c r="B485" s="143"/>
      <c r="C485" s="155"/>
      <c r="D485" s="143"/>
      <c r="E485" s="146"/>
      <c r="F485" s="147"/>
      <c r="G485" s="147"/>
      <c r="H485" s="148"/>
      <c r="I485" s="143"/>
      <c r="J485" s="143"/>
      <c r="K485" s="149"/>
      <c r="L485" s="150" t="str">
        <f t="shared" si="83"/>
        <v/>
      </c>
      <c r="M485" s="150" t="str">
        <f t="shared" si="84"/>
        <v/>
      </c>
      <c r="N485" s="151" t="str">
        <f t="shared" si="85"/>
        <v/>
      </c>
      <c r="O485" s="151" t="str">
        <f t="shared" si="86"/>
        <v/>
      </c>
      <c r="P485" s="151" t="str">
        <f t="shared" si="87"/>
        <v/>
      </c>
      <c r="Q485" s="151" t="str">
        <f t="shared" si="88"/>
        <v/>
      </c>
      <c r="R485" s="150" t="str">
        <f t="shared" si="89"/>
        <v/>
      </c>
      <c r="S485" s="150" t="str">
        <f t="shared" si="90"/>
        <v/>
      </c>
      <c r="T485" s="150" t="str">
        <f t="shared" si="91"/>
        <v/>
      </c>
      <c r="U485" s="152"/>
      <c r="V485" s="143"/>
      <c r="W485" s="102"/>
      <c r="X485" s="102" t="str">
        <f t="shared" si="92"/>
        <v/>
      </c>
      <c r="Y485" s="102"/>
      <c r="Z485" s="102"/>
      <c r="AA485" s="102"/>
      <c r="AB485" s="102"/>
      <c r="AC485" s="102"/>
      <c r="AD485" s="102"/>
      <c r="AE485" s="102"/>
      <c r="AF485" s="102"/>
      <c r="AG485" s="102"/>
      <c r="AH485" s="102"/>
      <c r="AI485" s="102"/>
      <c r="AJ485" s="102"/>
      <c r="AK485" s="102"/>
      <c r="AL485" s="102"/>
      <c r="AM485" s="102"/>
    </row>
    <row r="486" spans="1:39">
      <c r="A486" s="143"/>
      <c r="B486" s="143"/>
      <c r="C486" s="155"/>
      <c r="D486" s="143"/>
      <c r="E486" s="146"/>
      <c r="F486" s="147"/>
      <c r="G486" s="147"/>
      <c r="H486" s="148"/>
      <c r="I486" s="143"/>
      <c r="J486" s="143"/>
      <c r="K486" s="149"/>
      <c r="L486" s="150" t="str">
        <f t="shared" si="83"/>
        <v/>
      </c>
      <c r="M486" s="150" t="str">
        <f t="shared" si="84"/>
        <v/>
      </c>
      <c r="N486" s="151" t="str">
        <f t="shared" si="85"/>
        <v/>
      </c>
      <c r="O486" s="151" t="str">
        <f t="shared" si="86"/>
        <v/>
      </c>
      <c r="P486" s="151" t="str">
        <f t="shared" si="87"/>
        <v/>
      </c>
      <c r="Q486" s="151" t="str">
        <f t="shared" si="88"/>
        <v/>
      </c>
      <c r="R486" s="150" t="str">
        <f t="shared" si="89"/>
        <v/>
      </c>
      <c r="S486" s="150" t="str">
        <f t="shared" si="90"/>
        <v/>
      </c>
      <c r="T486" s="150" t="str">
        <f t="shared" si="91"/>
        <v/>
      </c>
      <c r="U486" s="152"/>
      <c r="V486" s="143"/>
      <c r="W486" s="102"/>
      <c r="X486" s="102" t="str">
        <f t="shared" si="92"/>
        <v/>
      </c>
      <c r="Y486" s="102"/>
      <c r="Z486" s="102"/>
      <c r="AA486" s="102"/>
      <c r="AB486" s="102"/>
      <c r="AC486" s="102"/>
      <c r="AD486" s="102"/>
      <c r="AE486" s="102"/>
      <c r="AF486" s="102"/>
      <c r="AG486" s="102"/>
      <c r="AH486" s="102"/>
      <c r="AI486" s="102"/>
      <c r="AJ486" s="102"/>
      <c r="AK486" s="102"/>
      <c r="AL486" s="102"/>
      <c r="AM486" s="102"/>
    </row>
    <row r="487" spans="1:39">
      <c r="A487" s="143"/>
      <c r="B487" s="143"/>
      <c r="C487" s="155"/>
      <c r="D487" s="143"/>
      <c r="E487" s="146"/>
      <c r="F487" s="147"/>
      <c r="G487" s="147"/>
      <c r="H487" s="148"/>
      <c r="I487" s="143"/>
      <c r="J487" s="143"/>
      <c r="K487" s="149"/>
      <c r="L487" s="150" t="str">
        <f t="shared" si="83"/>
        <v/>
      </c>
      <c r="M487" s="150" t="str">
        <f t="shared" si="84"/>
        <v/>
      </c>
      <c r="N487" s="151" t="str">
        <f t="shared" si="85"/>
        <v/>
      </c>
      <c r="O487" s="151" t="str">
        <f t="shared" si="86"/>
        <v/>
      </c>
      <c r="P487" s="151" t="str">
        <f t="shared" si="87"/>
        <v/>
      </c>
      <c r="Q487" s="151" t="str">
        <f t="shared" si="88"/>
        <v/>
      </c>
      <c r="R487" s="150" t="str">
        <f t="shared" si="89"/>
        <v/>
      </c>
      <c r="S487" s="150" t="str">
        <f t="shared" si="90"/>
        <v/>
      </c>
      <c r="T487" s="150" t="str">
        <f t="shared" si="91"/>
        <v/>
      </c>
      <c r="U487" s="152"/>
      <c r="V487" s="143"/>
      <c r="W487" s="102"/>
      <c r="X487" s="102" t="str">
        <f t="shared" si="92"/>
        <v/>
      </c>
      <c r="Y487" s="102"/>
      <c r="Z487" s="102"/>
      <c r="AA487" s="102"/>
      <c r="AB487" s="102"/>
      <c r="AC487" s="102"/>
      <c r="AD487" s="102"/>
      <c r="AE487" s="102"/>
      <c r="AF487" s="102"/>
      <c r="AG487" s="102"/>
      <c r="AH487" s="102"/>
      <c r="AI487" s="102"/>
      <c r="AJ487" s="102"/>
      <c r="AK487" s="102"/>
      <c r="AL487" s="102"/>
      <c r="AM487" s="102"/>
    </row>
    <row r="488" spans="1:39">
      <c r="A488" s="143"/>
      <c r="B488" s="143"/>
      <c r="C488" s="155"/>
      <c r="D488" s="143"/>
      <c r="E488" s="146"/>
      <c r="F488" s="147"/>
      <c r="G488" s="147"/>
      <c r="H488" s="148"/>
      <c r="I488" s="143"/>
      <c r="J488" s="143"/>
      <c r="K488" s="149"/>
      <c r="L488" s="150" t="str">
        <f t="shared" si="83"/>
        <v/>
      </c>
      <c r="M488" s="150" t="str">
        <f t="shared" si="84"/>
        <v/>
      </c>
      <c r="N488" s="151" t="str">
        <f t="shared" si="85"/>
        <v/>
      </c>
      <c r="O488" s="151" t="str">
        <f t="shared" si="86"/>
        <v/>
      </c>
      <c r="P488" s="151" t="str">
        <f t="shared" si="87"/>
        <v/>
      </c>
      <c r="Q488" s="151" t="str">
        <f t="shared" si="88"/>
        <v/>
      </c>
      <c r="R488" s="150" t="str">
        <f t="shared" si="89"/>
        <v/>
      </c>
      <c r="S488" s="150" t="str">
        <f t="shared" si="90"/>
        <v/>
      </c>
      <c r="T488" s="150" t="str">
        <f t="shared" si="91"/>
        <v/>
      </c>
      <c r="U488" s="152"/>
      <c r="V488" s="143"/>
      <c r="W488" s="102"/>
      <c r="X488" s="102" t="str">
        <f t="shared" si="92"/>
        <v/>
      </c>
      <c r="Y488" s="102"/>
      <c r="Z488" s="102"/>
      <c r="AA488" s="102"/>
      <c r="AB488" s="102"/>
      <c r="AC488" s="102"/>
      <c r="AD488" s="102"/>
      <c r="AE488" s="102"/>
      <c r="AF488" s="102"/>
      <c r="AG488" s="102"/>
      <c r="AH488" s="102"/>
      <c r="AI488" s="102"/>
      <c r="AJ488" s="102"/>
      <c r="AK488" s="102"/>
      <c r="AL488" s="102"/>
      <c r="AM488" s="102"/>
    </row>
    <row r="489" spans="1:39">
      <c r="A489" s="143"/>
      <c r="B489" s="143"/>
      <c r="C489" s="155"/>
      <c r="D489" s="143"/>
      <c r="E489" s="146"/>
      <c r="F489" s="147"/>
      <c r="G489" s="147"/>
      <c r="H489" s="148"/>
      <c r="I489" s="143"/>
      <c r="J489" s="143"/>
      <c r="K489" s="149"/>
      <c r="L489" s="150" t="str">
        <f t="shared" si="83"/>
        <v/>
      </c>
      <c r="M489" s="150" t="str">
        <f t="shared" si="84"/>
        <v/>
      </c>
      <c r="N489" s="151" t="str">
        <f t="shared" si="85"/>
        <v/>
      </c>
      <c r="O489" s="151" t="str">
        <f t="shared" si="86"/>
        <v/>
      </c>
      <c r="P489" s="151" t="str">
        <f t="shared" si="87"/>
        <v/>
      </c>
      <c r="Q489" s="151" t="str">
        <f t="shared" si="88"/>
        <v/>
      </c>
      <c r="R489" s="150" t="str">
        <f t="shared" si="89"/>
        <v/>
      </c>
      <c r="S489" s="150" t="str">
        <f t="shared" si="90"/>
        <v/>
      </c>
      <c r="T489" s="150" t="str">
        <f t="shared" si="91"/>
        <v/>
      </c>
      <c r="U489" s="152"/>
      <c r="V489" s="143"/>
      <c r="W489" s="102"/>
      <c r="X489" s="102" t="str">
        <f t="shared" si="92"/>
        <v/>
      </c>
      <c r="Y489" s="102"/>
      <c r="Z489" s="102"/>
      <c r="AA489" s="102"/>
      <c r="AB489" s="102"/>
      <c r="AC489" s="102"/>
      <c r="AD489" s="102"/>
      <c r="AE489" s="102"/>
      <c r="AF489" s="102"/>
      <c r="AG489" s="102"/>
      <c r="AH489" s="102"/>
      <c r="AI489" s="102"/>
      <c r="AJ489" s="102"/>
      <c r="AK489" s="102"/>
      <c r="AL489" s="102"/>
      <c r="AM489" s="102"/>
    </row>
    <row r="490" spans="1:39">
      <c r="A490" s="143"/>
      <c r="B490" s="143"/>
      <c r="C490" s="155"/>
      <c r="D490" s="143"/>
      <c r="E490" s="146"/>
      <c r="F490" s="147"/>
      <c r="G490" s="147"/>
      <c r="H490" s="148"/>
      <c r="I490" s="143"/>
      <c r="J490" s="143"/>
      <c r="K490" s="149"/>
      <c r="L490" s="150" t="str">
        <f t="shared" si="83"/>
        <v/>
      </c>
      <c r="M490" s="150" t="str">
        <f t="shared" si="84"/>
        <v/>
      </c>
      <c r="N490" s="151" t="str">
        <f t="shared" si="85"/>
        <v/>
      </c>
      <c r="O490" s="151" t="str">
        <f t="shared" si="86"/>
        <v/>
      </c>
      <c r="P490" s="151" t="str">
        <f t="shared" si="87"/>
        <v/>
      </c>
      <c r="Q490" s="151" t="str">
        <f t="shared" si="88"/>
        <v/>
      </c>
      <c r="R490" s="150" t="str">
        <f t="shared" si="89"/>
        <v/>
      </c>
      <c r="S490" s="150" t="str">
        <f t="shared" si="90"/>
        <v/>
      </c>
      <c r="T490" s="150" t="str">
        <f t="shared" si="91"/>
        <v/>
      </c>
      <c r="U490" s="152"/>
      <c r="V490" s="143"/>
      <c r="W490" s="102"/>
      <c r="X490" s="102" t="str">
        <f t="shared" si="92"/>
        <v/>
      </c>
      <c r="Y490" s="102"/>
      <c r="Z490" s="102"/>
      <c r="AA490" s="102"/>
      <c r="AB490" s="102"/>
      <c r="AC490" s="102"/>
      <c r="AD490" s="102"/>
      <c r="AE490" s="102"/>
      <c r="AF490" s="102"/>
      <c r="AG490" s="102"/>
      <c r="AH490" s="102"/>
      <c r="AI490" s="102"/>
      <c r="AJ490" s="102"/>
      <c r="AK490" s="102"/>
      <c r="AL490" s="102"/>
      <c r="AM490" s="102"/>
    </row>
    <row r="491" spans="1:39">
      <c r="A491" s="143"/>
      <c r="B491" s="143"/>
      <c r="C491" s="155"/>
      <c r="D491" s="143"/>
      <c r="E491" s="146"/>
      <c r="F491" s="147"/>
      <c r="G491" s="147"/>
      <c r="H491" s="148"/>
      <c r="I491" s="143"/>
      <c r="J491" s="143"/>
      <c r="K491" s="149"/>
      <c r="L491" s="150" t="str">
        <f t="shared" si="83"/>
        <v/>
      </c>
      <c r="M491" s="150" t="str">
        <f t="shared" si="84"/>
        <v/>
      </c>
      <c r="N491" s="151" t="str">
        <f t="shared" si="85"/>
        <v/>
      </c>
      <c r="O491" s="151" t="str">
        <f t="shared" si="86"/>
        <v/>
      </c>
      <c r="P491" s="151" t="str">
        <f t="shared" si="87"/>
        <v/>
      </c>
      <c r="Q491" s="151" t="str">
        <f t="shared" si="88"/>
        <v/>
      </c>
      <c r="R491" s="150" t="str">
        <f t="shared" si="89"/>
        <v/>
      </c>
      <c r="S491" s="150" t="str">
        <f t="shared" si="90"/>
        <v/>
      </c>
      <c r="T491" s="150" t="str">
        <f t="shared" si="91"/>
        <v/>
      </c>
      <c r="U491" s="152"/>
      <c r="V491" s="143"/>
      <c r="W491" s="102"/>
      <c r="X491" s="102" t="str">
        <f t="shared" si="92"/>
        <v/>
      </c>
      <c r="Y491" s="102"/>
      <c r="Z491" s="102"/>
      <c r="AA491" s="102"/>
      <c r="AB491" s="102"/>
      <c r="AC491" s="102"/>
      <c r="AD491" s="102"/>
      <c r="AE491" s="102"/>
      <c r="AF491" s="102"/>
      <c r="AG491" s="102"/>
      <c r="AH491" s="102"/>
      <c r="AI491" s="102"/>
      <c r="AJ491" s="102"/>
      <c r="AK491" s="102"/>
      <c r="AL491" s="102"/>
      <c r="AM491" s="102"/>
    </row>
    <row r="492" spans="1:39">
      <c r="A492" s="143"/>
      <c r="B492" s="143"/>
      <c r="C492" s="155"/>
      <c r="D492" s="143"/>
      <c r="E492" s="146"/>
      <c r="F492" s="147"/>
      <c r="G492" s="147"/>
      <c r="H492" s="148"/>
      <c r="I492" s="143"/>
      <c r="J492" s="143"/>
      <c r="K492" s="149"/>
      <c r="L492" s="150" t="str">
        <f t="shared" si="83"/>
        <v/>
      </c>
      <c r="M492" s="150" t="str">
        <f t="shared" si="84"/>
        <v/>
      </c>
      <c r="N492" s="151" t="str">
        <f t="shared" si="85"/>
        <v/>
      </c>
      <c r="O492" s="151" t="str">
        <f t="shared" si="86"/>
        <v/>
      </c>
      <c r="P492" s="151" t="str">
        <f t="shared" si="87"/>
        <v/>
      </c>
      <c r="Q492" s="151" t="str">
        <f t="shared" si="88"/>
        <v/>
      </c>
      <c r="R492" s="150" t="str">
        <f t="shared" si="89"/>
        <v/>
      </c>
      <c r="S492" s="150" t="str">
        <f t="shared" si="90"/>
        <v/>
      </c>
      <c r="T492" s="150" t="str">
        <f t="shared" si="91"/>
        <v/>
      </c>
      <c r="U492" s="152"/>
      <c r="V492" s="143"/>
      <c r="W492" s="102"/>
      <c r="X492" s="102" t="str">
        <f t="shared" si="92"/>
        <v/>
      </c>
      <c r="Y492" s="102"/>
      <c r="Z492" s="102"/>
      <c r="AA492" s="102"/>
      <c r="AB492" s="102"/>
      <c r="AC492" s="102"/>
      <c r="AD492" s="102"/>
      <c r="AE492" s="102"/>
      <c r="AF492" s="102"/>
      <c r="AG492" s="102"/>
      <c r="AH492" s="102"/>
      <c r="AI492" s="102"/>
      <c r="AJ492" s="102"/>
      <c r="AK492" s="102"/>
      <c r="AL492" s="102"/>
      <c r="AM492" s="102"/>
    </row>
    <row r="493" spans="1:39">
      <c r="A493" s="143"/>
      <c r="B493" s="143"/>
      <c r="C493" s="155"/>
      <c r="D493" s="143"/>
      <c r="E493" s="146"/>
      <c r="F493" s="147"/>
      <c r="G493" s="147"/>
      <c r="H493" s="148"/>
      <c r="I493" s="143"/>
      <c r="J493" s="143"/>
      <c r="K493" s="149"/>
      <c r="L493" s="150" t="str">
        <f t="shared" si="83"/>
        <v/>
      </c>
      <c r="M493" s="150" t="str">
        <f t="shared" si="84"/>
        <v/>
      </c>
      <c r="N493" s="151" t="str">
        <f t="shared" si="85"/>
        <v/>
      </c>
      <c r="O493" s="151" t="str">
        <f t="shared" si="86"/>
        <v/>
      </c>
      <c r="P493" s="151" t="str">
        <f t="shared" si="87"/>
        <v/>
      </c>
      <c r="Q493" s="151" t="str">
        <f t="shared" si="88"/>
        <v/>
      </c>
      <c r="R493" s="150" t="str">
        <f t="shared" si="89"/>
        <v/>
      </c>
      <c r="S493" s="150" t="str">
        <f t="shared" si="90"/>
        <v/>
      </c>
      <c r="T493" s="150" t="str">
        <f t="shared" si="91"/>
        <v/>
      </c>
      <c r="U493" s="152"/>
      <c r="V493" s="143"/>
      <c r="W493" s="102"/>
      <c r="X493" s="102" t="str">
        <f t="shared" si="92"/>
        <v/>
      </c>
      <c r="Y493" s="102"/>
      <c r="Z493" s="102"/>
      <c r="AA493" s="102"/>
      <c r="AB493" s="102"/>
      <c r="AC493" s="102"/>
      <c r="AD493" s="102"/>
      <c r="AE493" s="102"/>
      <c r="AF493" s="102"/>
      <c r="AG493" s="102"/>
      <c r="AH493" s="102"/>
      <c r="AI493" s="102"/>
      <c r="AJ493" s="102"/>
      <c r="AK493" s="102"/>
      <c r="AL493" s="102"/>
      <c r="AM493" s="102"/>
    </row>
    <row r="494" spans="1:39">
      <c r="A494" s="143"/>
      <c r="B494" s="143"/>
      <c r="C494" s="155"/>
      <c r="D494" s="143"/>
      <c r="E494" s="146"/>
      <c r="F494" s="147"/>
      <c r="G494" s="147"/>
      <c r="H494" s="148"/>
      <c r="I494" s="143"/>
      <c r="J494" s="143"/>
      <c r="K494" s="149"/>
      <c r="L494" s="150" t="str">
        <f t="shared" si="83"/>
        <v/>
      </c>
      <c r="M494" s="150" t="str">
        <f t="shared" si="84"/>
        <v/>
      </c>
      <c r="N494" s="151" t="str">
        <f t="shared" si="85"/>
        <v/>
      </c>
      <c r="O494" s="151" t="str">
        <f t="shared" si="86"/>
        <v/>
      </c>
      <c r="P494" s="151" t="str">
        <f t="shared" si="87"/>
        <v/>
      </c>
      <c r="Q494" s="151" t="str">
        <f t="shared" si="88"/>
        <v/>
      </c>
      <c r="R494" s="150" t="str">
        <f t="shared" si="89"/>
        <v/>
      </c>
      <c r="S494" s="150" t="str">
        <f t="shared" si="90"/>
        <v/>
      </c>
      <c r="T494" s="150" t="str">
        <f t="shared" si="91"/>
        <v/>
      </c>
      <c r="U494" s="152"/>
      <c r="V494" s="143"/>
      <c r="W494" s="102"/>
      <c r="X494" s="102" t="str">
        <f t="shared" si="92"/>
        <v/>
      </c>
      <c r="Y494" s="102"/>
      <c r="Z494" s="102"/>
      <c r="AA494" s="102"/>
      <c r="AB494" s="102"/>
      <c r="AC494" s="102"/>
      <c r="AD494" s="102"/>
      <c r="AE494" s="102"/>
      <c r="AF494" s="102"/>
      <c r="AG494" s="102"/>
      <c r="AH494" s="102"/>
      <c r="AI494" s="102"/>
      <c r="AJ494" s="102"/>
      <c r="AK494" s="102"/>
      <c r="AL494" s="102"/>
      <c r="AM494" s="102"/>
    </row>
    <row r="495" spans="1:39">
      <c r="A495" s="143"/>
      <c r="B495" s="143"/>
      <c r="C495" s="155"/>
      <c r="D495" s="143"/>
      <c r="E495" s="146"/>
      <c r="F495" s="147"/>
      <c r="G495" s="147"/>
      <c r="H495" s="148"/>
      <c r="I495" s="143"/>
      <c r="J495" s="143"/>
      <c r="K495" s="149"/>
      <c r="L495" s="150" t="str">
        <f t="shared" si="83"/>
        <v/>
      </c>
      <c r="M495" s="150" t="str">
        <f t="shared" si="84"/>
        <v/>
      </c>
      <c r="N495" s="151" t="str">
        <f t="shared" si="85"/>
        <v/>
      </c>
      <c r="O495" s="151" t="str">
        <f t="shared" si="86"/>
        <v/>
      </c>
      <c r="P495" s="151" t="str">
        <f t="shared" si="87"/>
        <v/>
      </c>
      <c r="Q495" s="151" t="str">
        <f t="shared" si="88"/>
        <v/>
      </c>
      <c r="R495" s="150" t="str">
        <f t="shared" si="89"/>
        <v/>
      </c>
      <c r="S495" s="150" t="str">
        <f t="shared" si="90"/>
        <v/>
      </c>
      <c r="T495" s="150" t="str">
        <f t="shared" si="91"/>
        <v/>
      </c>
      <c r="U495" s="152"/>
      <c r="V495" s="143"/>
      <c r="W495" s="102"/>
      <c r="X495" s="102" t="str">
        <f t="shared" si="92"/>
        <v/>
      </c>
      <c r="Y495" s="102"/>
      <c r="Z495" s="102"/>
      <c r="AA495" s="102"/>
      <c r="AB495" s="102"/>
      <c r="AC495" s="102"/>
      <c r="AD495" s="102"/>
      <c r="AE495" s="102"/>
      <c r="AF495" s="102"/>
      <c r="AG495" s="102"/>
      <c r="AH495" s="102"/>
      <c r="AI495" s="102"/>
      <c r="AJ495" s="102"/>
      <c r="AK495" s="102"/>
      <c r="AL495" s="102"/>
      <c r="AM495" s="102"/>
    </row>
    <row r="496" spans="1:39">
      <c r="A496" s="143"/>
      <c r="B496" s="143"/>
      <c r="C496" s="155"/>
      <c r="D496" s="143"/>
      <c r="E496" s="146"/>
      <c r="F496" s="147"/>
      <c r="G496" s="147"/>
      <c r="H496" s="148"/>
      <c r="I496" s="143"/>
      <c r="J496" s="143"/>
      <c r="K496" s="149"/>
      <c r="L496" s="150" t="str">
        <f t="shared" si="83"/>
        <v/>
      </c>
      <c r="M496" s="150" t="str">
        <f t="shared" si="84"/>
        <v/>
      </c>
      <c r="N496" s="151" t="str">
        <f t="shared" si="85"/>
        <v/>
      </c>
      <c r="O496" s="151" t="str">
        <f t="shared" si="86"/>
        <v/>
      </c>
      <c r="P496" s="151" t="str">
        <f t="shared" si="87"/>
        <v/>
      </c>
      <c r="Q496" s="151" t="str">
        <f t="shared" si="88"/>
        <v/>
      </c>
      <c r="R496" s="150" t="str">
        <f t="shared" si="89"/>
        <v/>
      </c>
      <c r="S496" s="150" t="str">
        <f t="shared" si="90"/>
        <v/>
      </c>
      <c r="T496" s="150" t="str">
        <f t="shared" si="91"/>
        <v/>
      </c>
      <c r="U496" s="152"/>
      <c r="V496" s="143"/>
      <c r="W496" s="102"/>
      <c r="X496" s="102" t="str">
        <f t="shared" si="92"/>
        <v/>
      </c>
      <c r="Y496" s="102"/>
      <c r="Z496" s="102"/>
      <c r="AA496" s="102"/>
      <c r="AB496" s="102"/>
      <c r="AC496" s="102"/>
      <c r="AD496" s="102"/>
      <c r="AE496" s="102"/>
      <c r="AF496" s="102"/>
      <c r="AG496" s="102"/>
      <c r="AH496" s="102"/>
      <c r="AI496" s="102"/>
      <c r="AJ496" s="102"/>
      <c r="AK496" s="102"/>
      <c r="AL496" s="102"/>
      <c r="AM496" s="102"/>
    </row>
    <row r="497" spans="1:39">
      <c r="A497" s="143"/>
      <c r="B497" s="143"/>
      <c r="C497" s="155"/>
      <c r="D497" s="143"/>
      <c r="E497" s="146"/>
      <c r="F497" s="147"/>
      <c r="G497" s="147"/>
      <c r="H497" s="148"/>
      <c r="I497" s="143"/>
      <c r="J497" s="143"/>
      <c r="K497" s="149"/>
      <c r="L497" s="150" t="str">
        <f t="shared" si="83"/>
        <v/>
      </c>
      <c r="M497" s="150" t="str">
        <f t="shared" si="84"/>
        <v/>
      </c>
      <c r="N497" s="151" t="str">
        <f t="shared" si="85"/>
        <v/>
      </c>
      <c r="O497" s="151" t="str">
        <f t="shared" si="86"/>
        <v/>
      </c>
      <c r="P497" s="151" t="str">
        <f t="shared" si="87"/>
        <v/>
      </c>
      <c r="Q497" s="151" t="str">
        <f t="shared" si="88"/>
        <v/>
      </c>
      <c r="R497" s="150" t="str">
        <f t="shared" si="89"/>
        <v/>
      </c>
      <c r="S497" s="150" t="str">
        <f t="shared" si="90"/>
        <v/>
      </c>
      <c r="T497" s="150" t="str">
        <f t="shared" si="91"/>
        <v/>
      </c>
      <c r="U497" s="152"/>
      <c r="V497" s="143"/>
      <c r="W497" s="102"/>
      <c r="X497" s="102" t="str">
        <f t="shared" si="92"/>
        <v/>
      </c>
      <c r="Y497" s="102"/>
      <c r="Z497" s="102"/>
      <c r="AA497" s="102"/>
      <c r="AB497" s="102"/>
      <c r="AC497" s="102"/>
      <c r="AD497" s="102"/>
      <c r="AE497" s="102"/>
      <c r="AF497" s="102"/>
      <c r="AG497" s="102"/>
      <c r="AH497" s="102"/>
      <c r="AI497" s="102"/>
      <c r="AJ497" s="102"/>
      <c r="AK497" s="102"/>
      <c r="AL497" s="102"/>
      <c r="AM497" s="102"/>
    </row>
    <row r="498" spans="1:39">
      <c r="A498" s="143"/>
      <c r="B498" s="143"/>
      <c r="C498" s="155"/>
      <c r="D498" s="143"/>
      <c r="E498" s="146"/>
      <c r="F498" s="147"/>
      <c r="G498" s="147"/>
      <c r="H498" s="148"/>
      <c r="I498" s="143"/>
      <c r="J498" s="143"/>
      <c r="K498" s="149"/>
      <c r="L498" s="150" t="str">
        <f t="shared" si="83"/>
        <v/>
      </c>
      <c r="M498" s="150" t="str">
        <f t="shared" si="84"/>
        <v/>
      </c>
      <c r="N498" s="151" t="str">
        <f t="shared" si="85"/>
        <v/>
      </c>
      <c r="O498" s="151" t="str">
        <f t="shared" si="86"/>
        <v/>
      </c>
      <c r="P498" s="151" t="str">
        <f t="shared" si="87"/>
        <v/>
      </c>
      <c r="Q498" s="151" t="str">
        <f t="shared" si="88"/>
        <v/>
      </c>
      <c r="R498" s="150" t="str">
        <f t="shared" si="89"/>
        <v/>
      </c>
      <c r="S498" s="150" t="str">
        <f t="shared" si="90"/>
        <v/>
      </c>
      <c r="T498" s="150" t="str">
        <f t="shared" si="91"/>
        <v/>
      </c>
      <c r="U498" s="152"/>
      <c r="V498" s="143"/>
      <c r="W498" s="102"/>
      <c r="X498" s="102" t="str">
        <f t="shared" si="92"/>
        <v/>
      </c>
      <c r="Y498" s="102"/>
      <c r="Z498" s="102"/>
      <c r="AA498" s="102"/>
      <c r="AB498" s="102"/>
      <c r="AC498" s="102"/>
      <c r="AD498" s="102"/>
      <c r="AE498" s="102"/>
      <c r="AF498" s="102"/>
      <c r="AG498" s="102"/>
      <c r="AH498" s="102"/>
      <c r="AI498" s="102"/>
      <c r="AJ498" s="102"/>
      <c r="AK498" s="102"/>
      <c r="AL498" s="102"/>
      <c r="AM498" s="102"/>
    </row>
    <row r="499" spans="1:39">
      <c r="A499" s="143"/>
      <c r="B499" s="143"/>
      <c r="C499" s="155"/>
      <c r="D499" s="143"/>
      <c r="E499" s="146"/>
      <c r="F499" s="147"/>
      <c r="G499" s="147"/>
      <c r="H499" s="148"/>
      <c r="I499" s="143"/>
      <c r="J499" s="143"/>
      <c r="K499" s="149"/>
      <c r="L499" s="150" t="str">
        <f t="shared" si="83"/>
        <v/>
      </c>
      <c r="M499" s="150" t="str">
        <f t="shared" si="84"/>
        <v/>
      </c>
      <c r="N499" s="151" t="str">
        <f t="shared" si="85"/>
        <v/>
      </c>
      <c r="O499" s="151" t="str">
        <f t="shared" si="86"/>
        <v/>
      </c>
      <c r="P499" s="151" t="str">
        <f t="shared" si="87"/>
        <v/>
      </c>
      <c r="Q499" s="151" t="str">
        <f t="shared" si="88"/>
        <v/>
      </c>
      <c r="R499" s="150" t="str">
        <f t="shared" si="89"/>
        <v/>
      </c>
      <c r="S499" s="150" t="str">
        <f t="shared" si="90"/>
        <v/>
      </c>
      <c r="T499" s="150" t="str">
        <f t="shared" si="91"/>
        <v/>
      </c>
      <c r="U499" s="152"/>
      <c r="V499" s="143"/>
      <c r="W499" s="102"/>
      <c r="X499" s="102" t="str">
        <f t="shared" si="92"/>
        <v/>
      </c>
      <c r="Y499" s="102"/>
      <c r="Z499" s="102"/>
      <c r="AA499" s="102"/>
      <c r="AB499" s="102"/>
      <c r="AC499" s="102"/>
      <c r="AD499" s="102"/>
      <c r="AE499" s="102"/>
      <c r="AF499" s="102"/>
      <c r="AG499" s="102"/>
      <c r="AH499" s="102"/>
      <c r="AI499" s="102"/>
      <c r="AJ499" s="102"/>
      <c r="AK499" s="102"/>
      <c r="AL499" s="102"/>
      <c r="AM499" s="102"/>
    </row>
    <row r="500" spans="1:39">
      <c r="A500" s="143"/>
      <c r="B500" s="143"/>
      <c r="C500" s="155"/>
      <c r="D500" s="143"/>
      <c r="E500" s="146"/>
      <c r="F500" s="147"/>
      <c r="G500" s="147"/>
      <c r="H500" s="148"/>
      <c r="I500" s="143"/>
      <c r="J500" s="143"/>
      <c r="K500" s="149"/>
      <c r="L500" s="150" t="str">
        <f t="shared" si="83"/>
        <v/>
      </c>
      <c r="M500" s="150" t="str">
        <f t="shared" si="84"/>
        <v/>
      </c>
      <c r="N500" s="151" t="str">
        <f t="shared" si="85"/>
        <v/>
      </c>
      <c r="O500" s="151" t="str">
        <f t="shared" si="86"/>
        <v/>
      </c>
      <c r="P500" s="151" t="str">
        <f t="shared" si="87"/>
        <v/>
      </c>
      <c r="Q500" s="151" t="str">
        <f t="shared" si="88"/>
        <v/>
      </c>
      <c r="R500" s="150" t="str">
        <f t="shared" si="89"/>
        <v/>
      </c>
      <c r="S500" s="150" t="str">
        <f t="shared" si="90"/>
        <v/>
      </c>
      <c r="T500" s="150" t="str">
        <f t="shared" si="91"/>
        <v/>
      </c>
      <c r="U500" s="152"/>
      <c r="V500" s="143"/>
      <c r="W500" s="102"/>
      <c r="X500" s="102" t="str">
        <f t="shared" si="92"/>
        <v/>
      </c>
      <c r="Y500" s="102"/>
      <c r="Z500" s="102"/>
      <c r="AA500" s="102"/>
      <c r="AB500" s="102"/>
      <c r="AC500" s="102"/>
      <c r="AD500" s="102"/>
      <c r="AE500" s="102"/>
      <c r="AF500" s="102"/>
      <c r="AG500" s="102"/>
      <c r="AH500" s="102"/>
      <c r="AI500" s="102"/>
      <c r="AJ500" s="102"/>
      <c r="AK500" s="102"/>
      <c r="AL500" s="102"/>
      <c r="AM500" s="102"/>
    </row>
    <row r="501" spans="1:39">
      <c r="A501" s="143"/>
      <c r="B501" s="143"/>
      <c r="C501" s="155"/>
      <c r="D501" s="143"/>
      <c r="E501" s="146"/>
      <c r="F501" s="147"/>
      <c r="G501" s="147"/>
      <c r="H501" s="148"/>
      <c r="I501" s="143"/>
      <c r="J501" s="143"/>
      <c r="K501" s="149"/>
      <c r="L501" s="150" t="str">
        <f t="shared" si="83"/>
        <v/>
      </c>
      <c r="M501" s="150" t="str">
        <f t="shared" si="84"/>
        <v/>
      </c>
      <c r="N501" s="151" t="str">
        <f t="shared" si="85"/>
        <v/>
      </c>
      <c r="O501" s="151" t="str">
        <f t="shared" si="86"/>
        <v/>
      </c>
      <c r="P501" s="151" t="str">
        <f t="shared" si="87"/>
        <v/>
      </c>
      <c r="Q501" s="151" t="str">
        <f t="shared" si="88"/>
        <v/>
      </c>
      <c r="R501" s="150" t="str">
        <f t="shared" si="89"/>
        <v/>
      </c>
      <c r="S501" s="150" t="str">
        <f t="shared" si="90"/>
        <v/>
      </c>
      <c r="T501" s="150" t="str">
        <f t="shared" si="91"/>
        <v/>
      </c>
      <c r="U501" s="152"/>
      <c r="V501" s="143"/>
      <c r="W501" s="102"/>
      <c r="X501" s="102" t="str">
        <f t="shared" si="92"/>
        <v/>
      </c>
      <c r="Y501" s="102"/>
      <c r="Z501" s="102"/>
      <c r="AA501" s="102"/>
      <c r="AB501" s="102"/>
      <c r="AC501" s="102"/>
      <c r="AD501" s="102"/>
      <c r="AE501" s="102"/>
      <c r="AF501" s="102"/>
      <c r="AG501" s="102"/>
      <c r="AH501" s="102"/>
      <c r="AI501" s="102"/>
      <c r="AJ501" s="102"/>
      <c r="AK501" s="102"/>
      <c r="AL501" s="102"/>
      <c r="AM501" s="102"/>
    </row>
    <row r="502" spans="1:39">
      <c r="A502" s="143"/>
      <c r="B502" s="143"/>
      <c r="C502" s="155"/>
      <c r="D502" s="143"/>
      <c r="E502" s="146"/>
      <c r="F502" s="147"/>
      <c r="G502" s="147"/>
      <c r="H502" s="148"/>
      <c r="I502" s="143"/>
      <c r="J502" s="143"/>
      <c r="K502" s="149"/>
      <c r="L502" s="150" t="str">
        <f t="shared" si="83"/>
        <v/>
      </c>
      <c r="M502" s="150" t="str">
        <f t="shared" si="84"/>
        <v/>
      </c>
      <c r="N502" s="151" t="str">
        <f t="shared" si="85"/>
        <v/>
      </c>
      <c r="O502" s="151" t="str">
        <f t="shared" si="86"/>
        <v/>
      </c>
      <c r="P502" s="151" t="str">
        <f t="shared" si="87"/>
        <v/>
      </c>
      <c r="Q502" s="151" t="str">
        <f t="shared" si="88"/>
        <v/>
      </c>
      <c r="R502" s="150" t="str">
        <f t="shared" si="89"/>
        <v/>
      </c>
      <c r="S502" s="150" t="str">
        <f t="shared" si="90"/>
        <v/>
      </c>
      <c r="T502" s="150" t="str">
        <f t="shared" si="91"/>
        <v/>
      </c>
      <c r="U502" s="152"/>
      <c r="V502" s="143"/>
      <c r="W502" s="102"/>
      <c r="X502" s="102" t="str">
        <f t="shared" si="92"/>
        <v/>
      </c>
      <c r="Y502" s="102"/>
      <c r="Z502" s="102"/>
      <c r="AA502" s="102"/>
      <c r="AB502" s="102"/>
      <c r="AC502" s="102"/>
      <c r="AD502" s="102"/>
      <c r="AE502" s="102"/>
      <c r="AF502" s="102"/>
      <c r="AG502" s="102"/>
      <c r="AH502" s="102"/>
      <c r="AI502" s="102"/>
      <c r="AJ502" s="102"/>
      <c r="AK502" s="102"/>
      <c r="AL502" s="102"/>
      <c r="AM502" s="102"/>
    </row>
    <row r="503" spans="1:39">
      <c r="A503" s="143"/>
      <c r="B503" s="143"/>
      <c r="C503" s="155"/>
      <c r="D503" s="143"/>
      <c r="E503" s="146"/>
      <c r="F503" s="147"/>
      <c r="G503" s="147"/>
      <c r="H503" s="148"/>
      <c r="I503" s="143"/>
      <c r="J503" s="143"/>
      <c r="K503" s="149"/>
      <c r="L503" s="150" t="str">
        <f t="shared" si="83"/>
        <v/>
      </c>
      <c r="M503" s="150" t="str">
        <f t="shared" si="84"/>
        <v/>
      </c>
      <c r="N503" s="151" t="str">
        <f t="shared" si="85"/>
        <v/>
      </c>
      <c r="O503" s="151" t="str">
        <f t="shared" si="86"/>
        <v/>
      </c>
      <c r="P503" s="151" t="str">
        <f t="shared" si="87"/>
        <v/>
      </c>
      <c r="Q503" s="151" t="str">
        <f t="shared" si="88"/>
        <v/>
      </c>
      <c r="R503" s="150" t="str">
        <f t="shared" si="89"/>
        <v/>
      </c>
      <c r="S503" s="150" t="str">
        <f t="shared" si="90"/>
        <v/>
      </c>
      <c r="T503" s="150" t="str">
        <f t="shared" si="91"/>
        <v/>
      </c>
      <c r="U503" s="152"/>
      <c r="V503" s="143"/>
      <c r="W503" s="102"/>
      <c r="X503" s="102" t="str">
        <f t="shared" si="92"/>
        <v/>
      </c>
      <c r="Y503" s="102"/>
      <c r="Z503" s="102"/>
      <c r="AA503" s="102"/>
      <c r="AB503" s="102"/>
      <c r="AC503" s="102"/>
      <c r="AD503" s="102"/>
      <c r="AE503" s="102"/>
      <c r="AF503" s="102"/>
      <c r="AG503" s="102"/>
      <c r="AH503" s="102"/>
      <c r="AI503" s="102"/>
      <c r="AJ503" s="102"/>
      <c r="AK503" s="102"/>
      <c r="AL503" s="102"/>
      <c r="AM503" s="102"/>
    </row>
    <row r="504" spans="1:39">
      <c r="A504" s="143"/>
      <c r="B504" s="143"/>
      <c r="C504" s="155"/>
      <c r="D504" s="143"/>
      <c r="E504" s="146"/>
      <c r="F504" s="147"/>
      <c r="G504" s="147"/>
      <c r="H504" s="148"/>
      <c r="I504" s="143"/>
      <c r="J504" s="143"/>
      <c r="K504" s="149"/>
      <c r="L504" s="150" t="str">
        <f t="shared" si="83"/>
        <v/>
      </c>
      <c r="M504" s="150" t="str">
        <f t="shared" si="84"/>
        <v/>
      </c>
      <c r="N504" s="151" t="str">
        <f t="shared" si="85"/>
        <v/>
      </c>
      <c r="O504" s="151" t="str">
        <f t="shared" si="86"/>
        <v/>
      </c>
      <c r="P504" s="151" t="str">
        <f t="shared" si="87"/>
        <v/>
      </c>
      <c r="Q504" s="151" t="str">
        <f t="shared" si="88"/>
        <v/>
      </c>
      <c r="R504" s="150" t="str">
        <f t="shared" si="89"/>
        <v/>
      </c>
      <c r="S504" s="150" t="str">
        <f t="shared" si="90"/>
        <v/>
      </c>
      <c r="T504" s="150" t="str">
        <f t="shared" si="91"/>
        <v/>
      </c>
      <c r="U504" s="152"/>
      <c r="V504" s="143"/>
      <c r="W504" s="102"/>
      <c r="X504" s="102" t="str">
        <f t="shared" si="92"/>
        <v/>
      </c>
      <c r="Y504" s="102"/>
      <c r="Z504" s="102"/>
      <c r="AA504" s="102"/>
      <c r="AB504" s="102"/>
      <c r="AC504" s="102"/>
      <c r="AD504" s="102"/>
      <c r="AE504" s="102"/>
      <c r="AF504" s="102"/>
      <c r="AG504" s="102"/>
      <c r="AH504" s="102"/>
      <c r="AI504" s="102"/>
      <c r="AJ504" s="102"/>
      <c r="AK504" s="102"/>
      <c r="AL504" s="102"/>
      <c r="AM504" s="102"/>
    </row>
    <row r="505" spans="1:39">
      <c r="A505" s="143"/>
      <c r="B505" s="143"/>
      <c r="C505" s="155"/>
      <c r="D505" s="143"/>
      <c r="E505" s="146"/>
      <c r="F505" s="147"/>
      <c r="G505" s="147"/>
      <c r="H505" s="148"/>
      <c r="I505" s="143"/>
      <c r="J505" s="143"/>
      <c r="K505" s="149"/>
      <c r="L505" s="150" t="str">
        <f t="shared" si="83"/>
        <v/>
      </c>
      <c r="M505" s="150" t="str">
        <f t="shared" si="84"/>
        <v/>
      </c>
      <c r="N505" s="151" t="str">
        <f t="shared" si="85"/>
        <v/>
      </c>
      <c r="O505" s="151" t="str">
        <f t="shared" si="86"/>
        <v/>
      </c>
      <c r="P505" s="151" t="str">
        <f t="shared" si="87"/>
        <v/>
      </c>
      <c r="Q505" s="151" t="str">
        <f t="shared" si="88"/>
        <v/>
      </c>
      <c r="R505" s="150" t="str">
        <f t="shared" si="89"/>
        <v/>
      </c>
      <c r="S505" s="150" t="str">
        <f t="shared" si="90"/>
        <v/>
      </c>
      <c r="T505" s="150" t="str">
        <f t="shared" si="91"/>
        <v/>
      </c>
      <c r="U505" s="152"/>
      <c r="V505" s="143"/>
      <c r="W505" s="102"/>
      <c r="X505" s="102" t="str">
        <f t="shared" si="92"/>
        <v/>
      </c>
      <c r="Y505" s="102"/>
      <c r="Z505" s="102"/>
      <c r="AA505" s="102"/>
      <c r="AB505" s="102"/>
      <c r="AC505" s="102"/>
      <c r="AD505" s="102"/>
      <c r="AE505" s="102"/>
      <c r="AF505" s="102"/>
      <c r="AG505" s="102"/>
      <c r="AH505" s="102"/>
      <c r="AI505" s="102"/>
      <c r="AJ505" s="102"/>
      <c r="AK505" s="102"/>
      <c r="AL505" s="102"/>
      <c r="AM505" s="102"/>
    </row>
    <row r="506" spans="1:39">
      <c r="A506" s="143"/>
      <c r="B506" s="143"/>
      <c r="C506" s="155"/>
      <c r="D506" s="143"/>
      <c r="E506" s="146"/>
      <c r="F506" s="147"/>
      <c r="G506" s="147"/>
      <c r="H506" s="148"/>
      <c r="I506" s="143"/>
      <c r="J506" s="143"/>
      <c r="K506" s="149"/>
      <c r="L506" s="150" t="str">
        <f t="shared" si="83"/>
        <v/>
      </c>
      <c r="M506" s="150" t="str">
        <f t="shared" si="84"/>
        <v/>
      </c>
      <c r="N506" s="151" t="str">
        <f t="shared" si="85"/>
        <v/>
      </c>
      <c r="O506" s="151" t="str">
        <f t="shared" si="86"/>
        <v/>
      </c>
      <c r="P506" s="151" t="str">
        <f t="shared" si="87"/>
        <v/>
      </c>
      <c r="Q506" s="151" t="str">
        <f t="shared" si="88"/>
        <v/>
      </c>
      <c r="R506" s="150" t="str">
        <f t="shared" si="89"/>
        <v/>
      </c>
      <c r="S506" s="150" t="str">
        <f t="shared" si="90"/>
        <v/>
      </c>
      <c r="T506" s="150" t="str">
        <f t="shared" si="91"/>
        <v/>
      </c>
      <c r="U506" s="152"/>
      <c r="V506" s="143"/>
      <c r="W506" s="102"/>
      <c r="X506" s="102" t="str">
        <f t="shared" si="92"/>
        <v/>
      </c>
      <c r="Y506" s="102"/>
      <c r="Z506" s="102"/>
      <c r="AA506" s="102"/>
      <c r="AB506" s="102"/>
      <c r="AC506" s="102"/>
      <c r="AD506" s="102"/>
      <c r="AE506" s="102"/>
      <c r="AF506" s="102"/>
      <c r="AG506" s="102"/>
      <c r="AH506" s="102"/>
      <c r="AI506" s="102"/>
      <c r="AJ506" s="102"/>
      <c r="AK506" s="102"/>
      <c r="AL506" s="102"/>
      <c r="AM506" s="102"/>
    </row>
    <row r="507" spans="1:39">
      <c r="A507" s="143"/>
      <c r="B507" s="143"/>
      <c r="C507" s="155"/>
      <c r="D507" s="143"/>
      <c r="E507" s="146"/>
      <c r="F507" s="147"/>
      <c r="G507" s="147"/>
      <c r="H507" s="148"/>
      <c r="I507" s="143"/>
      <c r="J507" s="143"/>
      <c r="K507" s="149"/>
      <c r="L507" s="150" t="str">
        <f t="shared" si="83"/>
        <v/>
      </c>
      <c r="M507" s="150" t="str">
        <f t="shared" si="84"/>
        <v/>
      </c>
      <c r="N507" s="151" t="str">
        <f t="shared" si="85"/>
        <v/>
      </c>
      <c r="O507" s="151" t="str">
        <f t="shared" si="86"/>
        <v/>
      </c>
      <c r="P507" s="151" t="str">
        <f t="shared" si="87"/>
        <v/>
      </c>
      <c r="Q507" s="151" t="str">
        <f t="shared" si="88"/>
        <v/>
      </c>
      <c r="R507" s="150" t="str">
        <f t="shared" si="89"/>
        <v/>
      </c>
      <c r="S507" s="150" t="str">
        <f t="shared" si="90"/>
        <v/>
      </c>
      <c r="T507" s="150" t="str">
        <f t="shared" si="91"/>
        <v/>
      </c>
      <c r="U507" s="152"/>
      <c r="V507" s="143"/>
      <c r="W507" s="102"/>
      <c r="X507" s="102" t="str">
        <f t="shared" si="92"/>
        <v/>
      </c>
      <c r="Y507" s="102"/>
      <c r="Z507" s="102"/>
      <c r="AA507" s="102"/>
      <c r="AB507" s="102"/>
      <c r="AC507" s="102"/>
      <c r="AD507" s="102"/>
      <c r="AE507" s="102"/>
      <c r="AF507" s="102"/>
      <c r="AG507" s="102"/>
      <c r="AH507" s="102"/>
      <c r="AI507" s="102"/>
      <c r="AJ507" s="102"/>
      <c r="AK507" s="102"/>
      <c r="AL507" s="102"/>
      <c r="AM507" s="102"/>
    </row>
    <row r="508" spans="1:39">
      <c r="A508" s="143"/>
      <c r="B508" s="143"/>
      <c r="C508" s="155"/>
      <c r="D508" s="143"/>
      <c r="E508" s="146"/>
      <c r="F508" s="147"/>
      <c r="G508" s="147"/>
      <c r="H508" s="148"/>
      <c r="I508" s="143"/>
      <c r="J508" s="143"/>
      <c r="K508" s="149"/>
      <c r="L508" s="150" t="str">
        <f t="shared" si="83"/>
        <v/>
      </c>
      <c r="M508" s="150" t="str">
        <f t="shared" si="84"/>
        <v/>
      </c>
      <c r="N508" s="151" t="str">
        <f t="shared" si="85"/>
        <v/>
      </c>
      <c r="O508" s="151" t="str">
        <f t="shared" si="86"/>
        <v/>
      </c>
      <c r="P508" s="151" t="str">
        <f t="shared" si="87"/>
        <v/>
      </c>
      <c r="Q508" s="151" t="str">
        <f t="shared" si="88"/>
        <v/>
      </c>
      <c r="R508" s="150" t="str">
        <f t="shared" si="89"/>
        <v/>
      </c>
      <c r="S508" s="150" t="str">
        <f t="shared" si="90"/>
        <v/>
      </c>
      <c r="T508" s="150" t="str">
        <f t="shared" si="91"/>
        <v/>
      </c>
      <c r="U508" s="152"/>
      <c r="V508" s="143"/>
      <c r="W508" s="102"/>
      <c r="X508" s="102" t="str">
        <f t="shared" si="92"/>
        <v/>
      </c>
      <c r="Y508" s="102"/>
      <c r="Z508" s="102"/>
      <c r="AA508" s="102"/>
      <c r="AB508" s="102"/>
      <c r="AC508" s="102"/>
      <c r="AD508" s="102"/>
      <c r="AE508" s="102"/>
      <c r="AF508" s="102"/>
      <c r="AG508" s="102"/>
      <c r="AH508" s="102"/>
      <c r="AI508" s="102"/>
      <c r="AJ508" s="102"/>
      <c r="AK508" s="102"/>
      <c r="AL508" s="102"/>
      <c r="AM508" s="102"/>
    </row>
    <row r="509" spans="1:39">
      <c r="A509" s="143"/>
      <c r="B509" s="143"/>
      <c r="C509" s="155"/>
      <c r="D509" s="143"/>
      <c r="E509" s="146"/>
      <c r="F509" s="147"/>
      <c r="G509" s="147"/>
      <c r="H509" s="148"/>
      <c r="I509" s="143"/>
      <c r="J509" s="143"/>
      <c r="K509" s="149"/>
      <c r="L509" s="150" t="str">
        <f t="shared" si="83"/>
        <v/>
      </c>
      <c r="M509" s="150" t="str">
        <f t="shared" si="84"/>
        <v/>
      </c>
      <c r="N509" s="151" t="str">
        <f t="shared" si="85"/>
        <v/>
      </c>
      <c r="O509" s="151" t="str">
        <f t="shared" si="86"/>
        <v/>
      </c>
      <c r="P509" s="151" t="str">
        <f t="shared" si="87"/>
        <v/>
      </c>
      <c r="Q509" s="151" t="str">
        <f t="shared" si="88"/>
        <v/>
      </c>
      <c r="R509" s="150" t="str">
        <f t="shared" si="89"/>
        <v/>
      </c>
      <c r="S509" s="150" t="str">
        <f t="shared" si="90"/>
        <v/>
      </c>
      <c r="T509" s="150" t="str">
        <f t="shared" si="91"/>
        <v/>
      </c>
      <c r="U509" s="152"/>
      <c r="V509" s="143"/>
      <c r="W509" s="102"/>
      <c r="X509" s="102" t="str">
        <f t="shared" si="92"/>
        <v/>
      </c>
      <c r="Y509" s="102"/>
      <c r="Z509" s="102"/>
      <c r="AA509" s="102"/>
      <c r="AB509" s="102"/>
      <c r="AC509" s="102"/>
      <c r="AD509" s="102"/>
      <c r="AE509" s="102"/>
      <c r="AF509" s="102"/>
      <c r="AG509" s="102"/>
      <c r="AH509" s="102"/>
      <c r="AI509" s="102"/>
      <c r="AJ509" s="102"/>
      <c r="AK509" s="102"/>
      <c r="AL509" s="102"/>
      <c r="AM509" s="102"/>
    </row>
    <row r="510" spans="1:39">
      <c r="A510" s="143"/>
      <c r="B510" s="143"/>
      <c r="C510" s="155"/>
      <c r="D510" s="143"/>
      <c r="E510" s="146"/>
      <c r="F510" s="147"/>
      <c r="G510" s="147"/>
      <c r="H510" s="148"/>
      <c r="I510" s="143"/>
      <c r="J510" s="143"/>
      <c r="K510" s="149"/>
      <c r="L510" s="150" t="str">
        <f t="shared" si="83"/>
        <v/>
      </c>
      <c r="M510" s="150" t="str">
        <f t="shared" si="84"/>
        <v/>
      </c>
      <c r="N510" s="151" t="str">
        <f t="shared" si="85"/>
        <v/>
      </c>
      <c r="O510" s="151" t="str">
        <f t="shared" si="86"/>
        <v/>
      </c>
      <c r="P510" s="151" t="str">
        <f t="shared" si="87"/>
        <v/>
      </c>
      <c r="Q510" s="151" t="str">
        <f t="shared" si="88"/>
        <v/>
      </c>
      <c r="R510" s="150" t="str">
        <f t="shared" si="89"/>
        <v/>
      </c>
      <c r="S510" s="150" t="str">
        <f t="shared" si="90"/>
        <v/>
      </c>
      <c r="T510" s="150" t="str">
        <f t="shared" si="91"/>
        <v/>
      </c>
      <c r="U510" s="152"/>
      <c r="V510" s="143"/>
      <c r="W510" s="102"/>
      <c r="X510" s="102" t="str">
        <f t="shared" si="92"/>
        <v/>
      </c>
      <c r="Y510" s="102"/>
      <c r="Z510" s="102"/>
      <c r="AA510" s="102"/>
      <c r="AB510" s="102"/>
      <c r="AC510" s="102"/>
      <c r="AD510" s="102"/>
      <c r="AE510" s="102"/>
      <c r="AF510" s="102"/>
      <c r="AG510" s="102"/>
      <c r="AH510" s="102"/>
      <c r="AI510" s="102"/>
      <c r="AJ510" s="102"/>
      <c r="AK510" s="102"/>
      <c r="AL510" s="102"/>
      <c r="AM510" s="102"/>
    </row>
    <row r="511" spans="1:39">
      <c r="A511" s="143"/>
      <c r="B511" s="143"/>
      <c r="C511" s="155"/>
      <c r="D511" s="143"/>
      <c r="E511" s="146"/>
      <c r="F511" s="147"/>
      <c r="G511" s="147"/>
      <c r="H511" s="148"/>
      <c r="I511" s="143"/>
      <c r="J511" s="143"/>
      <c r="K511" s="149"/>
      <c r="L511" s="150" t="str">
        <f t="shared" si="83"/>
        <v/>
      </c>
      <c r="M511" s="150" t="str">
        <f t="shared" si="84"/>
        <v/>
      </c>
      <c r="N511" s="151" t="str">
        <f t="shared" si="85"/>
        <v/>
      </c>
      <c r="O511" s="151" t="str">
        <f t="shared" si="86"/>
        <v/>
      </c>
      <c r="P511" s="151" t="str">
        <f t="shared" si="87"/>
        <v/>
      </c>
      <c r="Q511" s="151" t="str">
        <f t="shared" si="88"/>
        <v/>
      </c>
      <c r="R511" s="150" t="str">
        <f t="shared" si="89"/>
        <v/>
      </c>
      <c r="S511" s="150" t="str">
        <f t="shared" si="90"/>
        <v/>
      </c>
      <c r="T511" s="150" t="str">
        <f t="shared" si="91"/>
        <v/>
      </c>
      <c r="U511" s="152"/>
      <c r="V511" s="143"/>
      <c r="W511" s="102"/>
      <c r="X511" s="102" t="str">
        <f t="shared" si="92"/>
        <v/>
      </c>
      <c r="Y511" s="102"/>
      <c r="Z511" s="102"/>
      <c r="AA511" s="102"/>
      <c r="AB511" s="102"/>
      <c r="AC511" s="102"/>
      <c r="AD511" s="102"/>
      <c r="AE511" s="102"/>
      <c r="AF511" s="102"/>
      <c r="AG511" s="102"/>
      <c r="AH511" s="102"/>
      <c r="AI511" s="102"/>
      <c r="AJ511" s="102"/>
      <c r="AK511" s="102"/>
      <c r="AL511" s="102"/>
      <c r="AM511" s="102"/>
    </row>
    <row r="512" spans="1:39">
      <c r="A512" s="143"/>
      <c r="B512" s="143"/>
      <c r="C512" s="155"/>
      <c r="D512" s="143"/>
      <c r="E512" s="146"/>
      <c r="F512" s="147"/>
      <c r="G512" s="147"/>
      <c r="H512" s="148"/>
      <c r="I512" s="143"/>
      <c r="J512" s="143"/>
      <c r="K512" s="149"/>
      <c r="L512" s="150" t="str">
        <f t="shared" si="83"/>
        <v/>
      </c>
      <c r="M512" s="150" t="str">
        <f t="shared" si="84"/>
        <v/>
      </c>
      <c r="N512" s="151" t="str">
        <f t="shared" si="85"/>
        <v/>
      </c>
      <c r="O512" s="151" t="str">
        <f t="shared" si="86"/>
        <v/>
      </c>
      <c r="P512" s="151" t="str">
        <f t="shared" si="87"/>
        <v/>
      </c>
      <c r="Q512" s="151" t="str">
        <f t="shared" si="88"/>
        <v/>
      </c>
      <c r="R512" s="150" t="str">
        <f t="shared" si="89"/>
        <v/>
      </c>
      <c r="S512" s="150" t="str">
        <f t="shared" si="90"/>
        <v/>
      </c>
      <c r="T512" s="150" t="str">
        <f t="shared" si="91"/>
        <v/>
      </c>
      <c r="U512" s="152"/>
      <c r="V512" s="143"/>
      <c r="W512" s="102"/>
      <c r="X512" s="102" t="str">
        <f t="shared" si="92"/>
        <v/>
      </c>
      <c r="Y512" s="102"/>
      <c r="Z512" s="102"/>
      <c r="AA512" s="102"/>
      <c r="AB512" s="102"/>
      <c r="AC512" s="102"/>
      <c r="AD512" s="102"/>
      <c r="AE512" s="102"/>
      <c r="AF512" s="102"/>
      <c r="AG512" s="102"/>
      <c r="AH512" s="102"/>
      <c r="AI512" s="102"/>
      <c r="AJ512" s="102"/>
      <c r="AK512" s="102"/>
      <c r="AL512" s="102"/>
      <c r="AM512" s="102"/>
    </row>
    <row r="513" spans="1:39">
      <c r="A513" s="143"/>
      <c r="B513" s="143"/>
      <c r="C513" s="155"/>
      <c r="D513" s="143"/>
      <c r="E513" s="146"/>
      <c r="F513" s="147"/>
      <c r="G513" s="147"/>
      <c r="H513" s="148"/>
      <c r="I513" s="143"/>
      <c r="J513" s="143"/>
      <c r="K513" s="149"/>
      <c r="L513" s="150" t="str">
        <f t="shared" si="83"/>
        <v/>
      </c>
      <c r="M513" s="150" t="str">
        <f t="shared" si="84"/>
        <v/>
      </c>
      <c r="N513" s="151" t="str">
        <f t="shared" si="85"/>
        <v/>
      </c>
      <c r="O513" s="151" t="str">
        <f t="shared" si="86"/>
        <v/>
      </c>
      <c r="P513" s="151" t="str">
        <f t="shared" si="87"/>
        <v/>
      </c>
      <c r="Q513" s="151" t="str">
        <f t="shared" si="88"/>
        <v/>
      </c>
      <c r="R513" s="150" t="str">
        <f t="shared" si="89"/>
        <v/>
      </c>
      <c r="S513" s="150" t="str">
        <f t="shared" si="90"/>
        <v/>
      </c>
      <c r="T513" s="150" t="str">
        <f t="shared" si="91"/>
        <v/>
      </c>
      <c r="U513" s="152"/>
      <c r="V513" s="143"/>
      <c r="W513" s="102"/>
      <c r="X513" s="102" t="str">
        <f t="shared" si="92"/>
        <v/>
      </c>
      <c r="Y513" s="102"/>
      <c r="Z513" s="102"/>
      <c r="AA513" s="102"/>
      <c r="AB513" s="102"/>
      <c r="AC513" s="102"/>
      <c r="AD513" s="102"/>
      <c r="AE513" s="102"/>
      <c r="AF513" s="102"/>
      <c r="AG513" s="102"/>
      <c r="AH513" s="102"/>
      <c r="AI513" s="102"/>
      <c r="AJ513" s="102"/>
      <c r="AK513" s="102"/>
      <c r="AL513" s="102"/>
      <c r="AM513" s="102"/>
    </row>
    <row r="514" spans="1:39">
      <c r="A514" s="143"/>
      <c r="B514" s="143"/>
      <c r="C514" s="155"/>
      <c r="D514" s="143"/>
      <c r="E514" s="146"/>
      <c r="F514" s="147"/>
      <c r="G514" s="147"/>
      <c r="H514" s="148"/>
      <c r="I514" s="143"/>
      <c r="J514" s="143"/>
      <c r="K514" s="149"/>
      <c r="L514" s="150" t="str">
        <f t="shared" si="83"/>
        <v/>
      </c>
      <c r="M514" s="150" t="str">
        <f t="shared" si="84"/>
        <v/>
      </c>
      <c r="N514" s="151" t="str">
        <f t="shared" si="85"/>
        <v/>
      </c>
      <c r="O514" s="151" t="str">
        <f t="shared" si="86"/>
        <v/>
      </c>
      <c r="P514" s="151" t="str">
        <f t="shared" si="87"/>
        <v/>
      </c>
      <c r="Q514" s="151" t="str">
        <f t="shared" si="88"/>
        <v/>
      </c>
      <c r="R514" s="150" t="str">
        <f t="shared" si="89"/>
        <v/>
      </c>
      <c r="S514" s="150" t="str">
        <f t="shared" si="90"/>
        <v/>
      </c>
      <c r="T514" s="150" t="str">
        <f t="shared" si="91"/>
        <v/>
      </c>
      <c r="U514" s="152"/>
      <c r="V514" s="143"/>
      <c r="W514" s="102"/>
      <c r="X514" s="102" t="str">
        <f t="shared" si="92"/>
        <v/>
      </c>
      <c r="Y514" s="102"/>
      <c r="Z514" s="102"/>
      <c r="AA514" s="102"/>
      <c r="AB514" s="102"/>
      <c r="AC514" s="102"/>
      <c r="AD514" s="102"/>
      <c r="AE514" s="102"/>
      <c r="AF514" s="102"/>
      <c r="AG514" s="102"/>
      <c r="AH514" s="102"/>
      <c r="AI514" s="102"/>
      <c r="AJ514" s="102"/>
      <c r="AK514" s="102"/>
      <c r="AL514" s="102"/>
      <c r="AM514" s="102"/>
    </row>
    <row r="515" spans="1:39">
      <c r="A515" s="143"/>
      <c r="B515" s="143"/>
      <c r="C515" s="155"/>
      <c r="D515" s="143"/>
      <c r="E515" s="146"/>
      <c r="F515" s="147"/>
      <c r="G515" s="147"/>
      <c r="H515" s="148"/>
      <c r="I515" s="143"/>
      <c r="J515" s="143"/>
      <c r="K515" s="149"/>
      <c r="L515" s="150" t="str">
        <f t="shared" si="83"/>
        <v/>
      </c>
      <c r="M515" s="150" t="str">
        <f t="shared" si="84"/>
        <v/>
      </c>
      <c r="N515" s="151" t="str">
        <f t="shared" si="85"/>
        <v/>
      </c>
      <c r="O515" s="151" t="str">
        <f t="shared" si="86"/>
        <v/>
      </c>
      <c r="P515" s="151" t="str">
        <f t="shared" si="87"/>
        <v/>
      </c>
      <c r="Q515" s="151" t="str">
        <f t="shared" si="88"/>
        <v/>
      </c>
      <c r="R515" s="150" t="str">
        <f t="shared" si="89"/>
        <v/>
      </c>
      <c r="S515" s="150" t="str">
        <f t="shared" si="90"/>
        <v/>
      </c>
      <c r="T515" s="150" t="str">
        <f t="shared" si="91"/>
        <v/>
      </c>
      <c r="U515" s="152"/>
      <c r="V515" s="143"/>
      <c r="W515" s="102"/>
      <c r="X515" s="102" t="str">
        <f t="shared" si="92"/>
        <v/>
      </c>
      <c r="Y515" s="102"/>
      <c r="Z515" s="102"/>
      <c r="AA515" s="102"/>
      <c r="AB515" s="102"/>
      <c r="AC515" s="102"/>
      <c r="AD515" s="102"/>
      <c r="AE515" s="102"/>
      <c r="AF515" s="102"/>
      <c r="AG515" s="102"/>
      <c r="AH515" s="102"/>
      <c r="AI515" s="102"/>
      <c r="AJ515" s="102"/>
      <c r="AK515" s="102"/>
      <c r="AL515" s="102"/>
      <c r="AM515" s="102"/>
    </row>
    <row r="516" spans="1:39">
      <c r="A516" s="143"/>
      <c r="B516" s="143"/>
      <c r="C516" s="155"/>
      <c r="D516" s="143"/>
      <c r="E516" s="146"/>
      <c r="F516" s="147"/>
      <c r="G516" s="147"/>
      <c r="H516" s="148"/>
      <c r="I516" s="143"/>
      <c r="J516" s="143"/>
      <c r="K516" s="149"/>
      <c r="L516" s="150" t="str">
        <f t="shared" si="83"/>
        <v/>
      </c>
      <c r="M516" s="150" t="str">
        <f t="shared" si="84"/>
        <v/>
      </c>
      <c r="N516" s="151" t="str">
        <f t="shared" si="85"/>
        <v/>
      </c>
      <c r="O516" s="151" t="str">
        <f t="shared" si="86"/>
        <v/>
      </c>
      <c r="P516" s="151" t="str">
        <f t="shared" si="87"/>
        <v/>
      </c>
      <c r="Q516" s="151" t="str">
        <f t="shared" si="88"/>
        <v/>
      </c>
      <c r="R516" s="150" t="str">
        <f t="shared" si="89"/>
        <v/>
      </c>
      <c r="S516" s="150" t="str">
        <f t="shared" si="90"/>
        <v/>
      </c>
      <c r="T516" s="150" t="str">
        <f t="shared" si="91"/>
        <v/>
      </c>
      <c r="U516" s="152"/>
      <c r="V516" s="143"/>
      <c r="W516" s="102"/>
      <c r="X516" s="102" t="str">
        <f t="shared" si="92"/>
        <v/>
      </c>
      <c r="Y516" s="102"/>
      <c r="Z516" s="102"/>
      <c r="AA516" s="102"/>
      <c r="AB516" s="102"/>
      <c r="AC516" s="102"/>
      <c r="AD516" s="102"/>
      <c r="AE516" s="102"/>
      <c r="AF516" s="102"/>
      <c r="AG516" s="102"/>
      <c r="AH516" s="102"/>
      <c r="AI516" s="102"/>
      <c r="AJ516" s="102"/>
      <c r="AK516" s="102"/>
      <c r="AL516" s="102"/>
      <c r="AM516" s="102"/>
    </row>
    <row r="517" spans="1:39">
      <c r="A517" s="143"/>
      <c r="B517" s="143"/>
      <c r="C517" s="155"/>
      <c r="D517" s="143"/>
      <c r="E517" s="146"/>
      <c r="F517" s="147"/>
      <c r="G517" s="147"/>
      <c r="H517" s="148"/>
      <c r="I517" s="143"/>
      <c r="J517" s="143"/>
      <c r="K517" s="149"/>
      <c r="L517" s="150" t="str">
        <f t="shared" si="83"/>
        <v/>
      </c>
      <c r="M517" s="150" t="str">
        <f t="shared" si="84"/>
        <v/>
      </c>
      <c r="N517" s="151" t="str">
        <f t="shared" si="85"/>
        <v/>
      </c>
      <c r="O517" s="151" t="str">
        <f t="shared" si="86"/>
        <v/>
      </c>
      <c r="P517" s="151" t="str">
        <f t="shared" si="87"/>
        <v/>
      </c>
      <c r="Q517" s="151" t="str">
        <f t="shared" si="88"/>
        <v/>
      </c>
      <c r="R517" s="150" t="str">
        <f t="shared" si="89"/>
        <v/>
      </c>
      <c r="S517" s="150" t="str">
        <f t="shared" si="90"/>
        <v/>
      </c>
      <c r="T517" s="150" t="str">
        <f t="shared" si="91"/>
        <v/>
      </c>
      <c r="U517" s="152"/>
      <c r="V517" s="143"/>
      <c r="W517" s="102"/>
      <c r="X517" s="102" t="str">
        <f t="shared" si="92"/>
        <v/>
      </c>
      <c r="Y517" s="102"/>
      <c r="Z517" s="102"/>
      <c r="AA517" s="102"/>
      <c r="AB517" s="102"/>
      <c r="AC517" s="102"/>
      <c r="AD517" s="102"/>
      <c r="AE517" s="102"/>
      <c r="AF517" s="102"/>
      <c r="AG517" s="102"/>
      <c r="AH517" s="102"/>
      <c r="AI517" s="102"/>
      <c r="AJ517" s="102"/>
      <c r="AK517" s="102"/>
      <c r="AL517" s="102"/>
      <c r="AM517" s="102"/>
    </row>
    <row r="518" spans="1:39">
      <c r="A518" s="143"/>
      <c r="B518" s="143"/>
      <c r="C518" s="155"/>
      <c r="D518" s="143"/>
      <c r="E518" s="146"/>
      <c r="F518" s="147"/>
      <c r="G518" s="147"/>
      <c r="H518" s="148"/>
      <c r="I518" s="143"/>
      <c r="J518" s="143"/>
      <c r="K518" s="149"/>
      <c r="L518" s="150" t="str">
        <f t="shared" si="83"/>
        <v/>
      </c>
      <c r="M518" s="150" t="str">
        <f t="shared" si="84"/>
        <v/>
      </c>
      <c r="N518" s="151" t="str">
        <f t="shared" si="85"/>
        <v/>
      </c>
      <c r="O518" s="151" t="str">
        <f t="shared" si="86"/>
        <v/>
      </c>
      <c r="P518" s="151" t="str">
        <f t="shared" si="87"/>
        <v/>
      </c>
      <c r="Q518" s="151" t="str">
        <f t="shared" si="88"/>
        <v/>
      </c>
      <c r="R518" s="150" t="str">
        <f t="shared" si="89"/>
        <v/>
      </c>
      <c r="S518" s="150" t="str">
        <f t="shared" si="90"/>
        <v/>
      </c>
      <c r="T518" s="150" t="str">
        <f t="shared" si="91"/>
        <v/>
      </c>
      <c r="U518" s="152"/>
      <c r="V518" s="143"/>
      <c r="W518" s="102"/>
      <c r="X518" s="102" t="str">
        <f t="shared" si="92"/>
        <v/>
      </c>
      <c r="Y518" s="102"/>
      <c r="Z518" s="102"/>
      <c r="AA518" s="102"/>
      <c r="AB518" s="102"/>
      <c r="AC518" s="102"/>
      <c r="AD518" s="102"/>
      <c r="AE518" s="102"/>
      <c r="AF518" s="102"/>
      <c r="AG518" s="102"/>
      <c r="AH518" s="102"/>
      <c r="AI518" s="102"/>
      <c r="AJ518" s="102"/>
      <c r="AK518" s="102"/>
      <c r="AL518" s="102"/>
      <c r="AM518" s="102"/>
    </row>
    <row r="519" spans="1:39">
      <c r="A519" s="143"/>
      <c r="B519" s="143"/>
      <c r="C519" s="155"/>
      <c r="D519" s="143"/>
      <c r="E519" s="146"/>
      <c r="F519" s="147"/>
      <c r="G519" s="147"/>
      <c r="H519" s="148"/>
      <c r="I519" s="143"/>
      <c r="J519" s="143"/>
      <c r="K519" s="149"/>
      <c r="L519" s="150" t="str">
        <f t="shared" si="83"/>
        <v/>
      </c>
      <c r="M519" s="150" t="str">
        <f t="shared" si="84"/>
        <v/>
      </c>
      <c r="N519" s="151" t="str">
        <f t="shared" si="85"/>
        <v/>
      </c>
      <c r="O519" s="151" t="str">
        <f t="shared" si="86"/>
        <v/>
      </c>
      <c r="P519" s="151" t="str">
        <f t="shared" si="87"/>
        <v/>
      </c>
      <c r="Q519" s="151" t="str">
        <f t="shared" si="88"/>
        <v/>
      </c>
      <c r="R519" s="150" t="str">
        <f t="shared" si="89"/>
        <v/>
      </c>
      <c r="S519" s="150" t="str">
        <f t="shared" si="90"/>
        <v/>
      </c>
      <c r="T519" s="150" t="str">
        <f t="shared" si="91"/>
        <v/>
      </c>
      <c r="U519" s="152"/>
      <c r="V519" s="143"/>
      <c r="W519" s="102"/>
      <c r="X519" s="102" t="str">
        <f t="shared" si="92"/>
        <v/>
      </c>
      <c r="Y519" s="102"/>
      <c r="Z519" s="102"/>
      <c r="AA519" s="102"/>
      <c r="AB519" s="102"/>
      <c r="AC519" s="102"/>
      <c r="AD519" s="102"/>
      <c r="AE519" s="102"/>
      <c r="AF519" s="102"/>
      <c r="AG519" s="102"/>
      <c r="AH519" s="102"/>
      <c r="AI519" s="102"/>
      <c r="AJ519" s="102"/>
      <c r="AK519" s="102"/>
      <c r="AL519" s="102"/>
      <c r="AM519" s="102"/>
    </row>
    <row r="520" spans="1:39">
      <c r="A520" s="143"/>
      <c r="B520" s="143"/>
      <c r="C520" s="155"/>
      <c r="D520" s="143"/>
      <c r="E520" s="146"/>
      <c r="F520" s="147"/>
      <c r="G520" s="147"/>
      <c r="H520" s="148"/>
      <c r="I520" s="143"/>
      <c r="J520" s="143"/>
      <c r="K520" s="149"/>
      <c r="L520" s="150" t="str">
        <f t="shared" si="83"/>
        <v/>
      </c>
      <c r="M520" s="150" t="str">
        <f t="shared" si="84"/>
        <v/>
      </c>
      <c r="N520" s="151" t="str">
        <f t="shared" si="85"/>
        <v/>
      </c>
      <c r="O520" s="151" t="str">
        <f t="shared" si="86"/>
        <v/>
      </c>
      <c r="P520" s="151" t="str">
        <f t="shared" si="87"/>
        <v/>
      </c>
      <c r="Q520" s="151" t="str">
        <f t="shared" si="88"/>
        <v/>
      </c>
      <c r="R520" s="150" t="str">
        <f t="shared" si="89"/>
        <v/>
      </c>
      <c r="S520" s="150" t="str">
        <f t="shared" si="90"/>
        <v/>
      </c>
      <c r="T520" s="150" t="str">
        <f t="shared" si="91"/>
        <v/>
      </c>
      <c r="U520" s="152"/>
      <c r="V520" s="143"/>
      <c r="W520" s="102"/>
      <c r="X520" s="102" t="str">
        <f t="shared" si="92"/>
        <v/>
      </c>
      <c r="Y520" s="102"/>
      <c r="Z520" s="102"/>
      <c r="AA520" s="102"/>
      <c r="AB520" s="102"/>
      <c r="AC520" s="102"/>
      <c r="AD520" s="102"/>
      <c r="AE520" s="102"/>
      <c r="AF520" s="102"/>
      <c r="AG520" s="102"/>
      <c r="AH520" s="102"/>
      <c r="AI520" s="102"/>
      <c r="AJ520" s="102"/>
      <c r="AK520" s="102"/>
      <c r="AL520" s="102"/>
      <c r="AM520" s="102"/>
    </row>
    <row r="521" spans="1:39">
      <c r="A521" s="143"/>
      <c r="B521" s="143"/>
      <c r="C521" s="155"/>
      <c r="D521" s="143"/>
      <c r="E521" s="146"/>
      <c r="F521" s="147"/>
      <c r="G521" s="147"/>
      <c r="H521" s="148"/>
      <c r="I521" s="143"/>
      <c r="J521" s="143"/>
      <c r="K521" s="149"/>
      <c r="L521" s="150" t="str">
        <f t="shared" si="83"/>
        <v/>
      </c>
      <c r="M521" s="150" t="str">
        <f t="shared" si="84"/>
        <v/>
      </c>
      <c r="N521" s="151" t="str">
        <f t="shared" si="85"/>
        <v/>
      </c>
      <c r="O521" s="151" t="str">
        <f t="shared" si="86"/>
        <v/>
      </c>
      <c r="P521" s="151" t="str">
        <f t="shared" si="87"/>
        <v/>
      </c>
      <c r="Q521" s="151" t="str">
        <f t="shared" si="88"/>
        <v/>
      </c>
      <c r="R521" s="150" t="str">
        <f t="shared" si="89"/>
        <v/>
      </c>
      <c r="S521" s="150" t="str">
        <f t="shared" si="90"/>
        <v/>
      </c>
      <c r="T521" s="150" t="str">
        <f t="shared" si="91"/>
        <v/>
      </c>
      <c r="U521" s="152"/>
      <c r="V521" s="143"/>
      <c r="W521" s="102"/>
      <c r="X521" s="102" t="str">
        <f t="shared" si="92"/>
        <v/>
      </c>
      <c r="Y521" s="102"/>
      <c r="Z521" s="102"/>
      <c r="AA521" s="102"/>
      <c r="AB521" s="102"/>
      <c r="AC521" s="102"/>
      <c r="AD521" s="102"/>
      <c r="AE521" s="102"/>
      <c r="AF521" s="102"/>
      <c r="AG521" s="102"/>
      <c r="AH521" s="102"/>
      <c r="AI521" s="102"/>
      <c r="AJ521" s="102"/>
      <c r="AK521" s="102"/>
      <c r="AL521" s="102"/>
      <c r="AM521" s="102"/>
    </row>
    <row r="522" spans="1:39">
      <c r="A522" s="143"/>
      <c r="B522" s="143"/>
      <c r="C522" s="155"/>
      <c r="D522" s="143"/>
      <c r="E522" s="146"/>
      <c r="F522" s="147"/>
      <c r="G522" s="147"/>
      <c r="H522" s="148"/>
      <c r="I522" s="143"/>
      <c r="J522" s="143"/>
      <c r="K522" s="149"/>
      <c r="L522" s="150" t="str">
        <f t="shared" ref="L522:L585" si="93">IF(K522="","",IF(K522="W",R522*J522-J522,IF(K522="L",-J522,0)))</f>
        <v/>
      </c>
      <c r="M522" s="150" t="str">
        <f t="shared" ref="M522:M585" si="94">IF(K522="","",IF(K522="W",S522*J522-J522,IF(K522="L",-J522,0)))</f>
        <v/>
      </c>
      <c r="N522" s="151" t="str">
        <f t="shared" ref="N522:N585" si="95">IFERROR((1/S522-1/R522)/(1/R522),"")</f>
        <v/>
      </c>
      <c r="O522" s="151" t="str">
        <f t="shared" ref="O522:O585" si="96">IFERROR(IF(Q522="","",P522 - Q522),"")</f>
        <v/>
      </c>
      <c r="P522" s="151" t="str">
        <f t="shared" ref="P522:P585" si="97">IF(F522="","",IF(F522 &lt; 0, -F522 / (-F522 + 100), 100 / (F522 + 100)))</f>
        <v/>
      </c>
      <c r="Q522" s="151" t="str">
        <f t="shared" ref="Q522:Q585" si="98">IFERROR((1/S522) / ((1/S522) + (1/T522)),"")</f>
        <v/>
      </c>
      <c r="R522" s="150" t="str">
        <f t="shared" ref="R522:R585" si="99">IFERROR(IF(G522&gt;0, G522/100 + 1, 100/ABS(G522) + 1),"")</f>
        <v/>
      </c>
      <c r="S522" s="150" t="str">
        <f t="shared" ref="S522:S585" si="100">IFERROR(IF(H522&gt;0, H522/100 + 1, 100/ABS(H522) + 1),"")</f>
        <v/>
      </c>
      <c r="T522" s="150" t="str">
        <f t="shared" ref="T522:T585" si="101">IFERROR(IF(I522&gt;0, I522/100 + 1, 100/ABS(I522) + 1),"")</f>
        <v/>
      </c>
      <c r="U522" s="152"/>
      <c r="V522" s="143"/>
      <c r="W522" s="102"/>
      <c r="X522" s="102" t="str">
        <f t="shared" ref="X522:X585" si="102">IF(B522=$D$3,U522,"")</f>
        <v/>
      </c>
      <c r="Y522" s="102"/>
      <c r="Z522" s="102"/>
      <c r="AA522" s="102"/>
      <c r="AB522" s="102"/>
      <c r="AC522" s="102"/>
      <c r="AD522" s="102"/>
      <c r="AE522" s="102"/>
      <c r="AF522" s="102"/>
      <c r="AG522" s="102"/>
      <c r="AH522" s="102"/>
      <c r="AI522" s="102"/>
      <c r="AJ522" s="102"/>
      <c r="AK522" s="102"/>
      <c r="AL522" s="102"/>
      <c r="AM522" s="102"/>
    </row>
    <row r="523" spans="1:39">
      <c r="A523" s="143"/>
      <c r="B523" s="143"/>
      <c r="C523" s="155"/>
      <c r="D523" s="143"/>
      <c r="E523" s="146"/>
      <c r="F523" s="147"/>
      <c r="G523" s="147"/>
      <c r="H523" s="148"/>
      <c r="I523" s="143"/>
      <c r="J523" s="143"/>
      <c r="K523" s="149"/>
      <c r="L523" s="150" t="str">
        <f t="shared" si="93"/>
        <v/>
      </c>
      <c r="M523" s="150" t="str">
        <f t="shared" si="94"/>
        <v/>
      </c>
      <c r="N523" s="151" t="str">
        <f t="shared" si="95"/>
        <v/>
      </c>
      <c r="O523" s="151" t="str">
        <f t="shared" si="96"/>
        <v/>
      </c>
      <c r="P523" s="151" t="str">
        <f t="shared" si="97"/>
        <v/>
      </c>
      <c r="Q523" s="151" t="str">
        <f t="shared" si="98"/>
        <v/>
      </c>
      <c r="R523" s="150" t="str">
        <f t="shared" si="99"/>
        <v/>
      </c>
      <c r="S523" s="150" t="str">
        <f t="shared" si="100"/>
        <v/>
      </c>
      <c r="T523" s="150" t="str">
        <f t="shared" si="101"/>
        <v/>
      </c>
      <c r="U523" s="152"/>
      <c r="V523" s="143"/>
      <c r="W523" s="102"/>
      <c r="X523" s="102" t="str">
        <f t="shared" si="102"/>
        <v/>
      </c>
      <c r="Y523" s="102"/>
      <c r="Z523" s="102"/>
      <c r="AA523" s="102"/>
      <c r="AB523" s="102"/>
      <c r="AC523" s="102"/>
      <c r="AD523" s="102"/>
      <c r="AE523" s="102"/>
      <c r="AF523" s="102"/>
      <c r="AG523" s="102"/>
      <c r="AH523" s="102"/>
      <c r="AI523" s="102"/>
      <c r="AJ523" s="102"/>
      <c r="AK523" s="102"/>
      <c r="AL523" s="102"/>
      <c r="AM523" s="102"/>
    </row>
    <row r="524" spans="1:39">
      <c r="A524" s="143"/>
      <c r="B524" s="143"/>
      <c r="C524" s="155"/>
      <c r="D524" s="143"/>
      <c r="E524" s="146"/>
      <c r="F524" s="147"/>
      <c r="G524" s="147"/>
      <c r="H524" s="148"/>
      <c r="I524" s="143"/>
      <c r="J524" s="143"/>
      <c r="K524" s="149"/>
      <c r="L524" s="150" t="str">
        <f t="shared" si="93"/>
        <v/>
      </c>
      <c r="M524" s="150" t="str">
        <f t="shared" si="94"/>
        <v/>
      </c>
      <c r="N524" s="151" t="str">
        <f t="shared" si="95"/>
        <v/>
      </c>
      <c r="O524" s="151" t="str">
        <f t="shared" si="96"/>
        <v/>
      </c>
      <c r="P524" s="151" t="str">
        <f t="shared" si="97"/>
        <v/>
      </c>
      <c r="Q524" s="151" t="str">
        <f t="shared" si="98"/>
        <v/>
      </c>
      <c r="R524" s="150" t="str">
        <f t="shared" si="99"/>
        <v/>
      </c>
      <c r="S524" s="150" t="str">
        <f t="shared" si="100"/>
        <v/>
      </c>
      <c r="T524" s="150" t="str">
        <f t="shared" si="101"/>
        <v/>
      </c>
      <c r="U524" s="152"/>
      <c r="V524" s="143"/>
      <c r="W524" s="102"/>
      <c r="X524" s="102" t="str">
        <f t="shared" si="102"/>
        <v/>
      </c>
      <c r="Y524" s="102"/>
      <c r="Z524" s="102"/>
      <c r="AA524" s="102"/>
      <c r="AB524" s="102"/>
      <c r="AC524" s="102"/>
      <c r="AD524" s="102"/>
      <c r="AE524" s="102"/>
      <c r="AF524" s="102"/>
      <c r="AG524" s="102"/>
      <c r="AH524" s="102"/>
      <c r="AI524" s="102"/>
      <c r="AJ524" s="102"/>
      <c r="AK524" s="102"/>
      <c r="AL524" s="102"/>
      <c r="AM524" s="102"/>
    </row>
    <row r="525" spans="1:39">
      <c r="A525" s="143"/>
      <c r="B525" s="143"/>
      <c r="C525" s="155"/>
      <c r="D525" s="143"/>
      <c r="E525" s="146"/>
      <c r="F525" s="147"/>
      <c r="G525" s="147"/>
      <c r="H525" s="148"/>
      <c r="I525" s="143"/>
      <c r="J525" s="143"/>
      <c r="K525" s="149"/>
      <c r="L525" s="150" t="str">
        <f t="shared" si="93"/>
        <v/>
      </c>
      <c r="M525" s="150" t="str">
        <f t="shared" si="94"/>
        <v/>
      </c>
      <c r="N525" s="151" t="str">
        <f t="shared" si="95"/>
        <v/>
      </c>
      <c r="O525" s="151" t="str">
        <f t="shared" si="96"/>
        <v/>
      </c>
      <c r="P525" s="151" t="str">
        <f t="shared" si="97"/>
        <v/>
      </c>
      <c r="Q525" s="151" t="str">
        <f t="shared" si="98"/>
        <v/>
      </c>
      <c r="R525" s="150" t="str">
        <f t="shared" si="99"/>
        <v/>
      </c>
      <c r="S525" s="150" t="str">
        <f t="shared" si="100"/>
        <v/>
      </c>
      <c r="T525" s="150" t="str">
        <f t="shared" si="101"/>
        <v/>
      </c>
      <c r="U525" s="152"/>
      <c r="V525" s="143"/>
      <c r="W525" s="102"/>
      <c r="X525" s="102" t="str">
        <f t="shared" si="102"/>
        <v/>
      </c>
      <c r="Y525" s="102"/>
      <c r="Z525" s="102"/>
      <c r="AA525" s="102"/>
      <c r="AB525" s="102"/>
      <c r="AC525" s="102"/>
      <c r="AD525" s="102"/>
      <c r="AE525" s="102"/>
      <c r="AF525" s="102"/>
      <c r="AG525" s="102"/>
      <c r="AH525" s="102"/>
      <c r="AI525" s="102"/>
      <c r="AJ525" s="102"/>
      <c r="AK525" s="102"/>
      <c r="AL525" s="102"/>
      <c r="AM525" s="102"/>
    </row>
    <row r="526" spans="1:39">
      <c r="A526" s="143"/>
      <c r="B526" s="143"/>
      <c r="C526" s="155"/>
      <c r="D526" s="143"/>
      <c r="E526" s="146"/>
      <c r="F526" s="147"/>
      <c r="G526" s="147"/>
      <c r="H526" s="148"/>
      <c r="I526" s="143"/>
      <c r="J526" s="143"/>
      <c r="K526" s="149"/>
      <c r="L526" s="150" t="str">
        <f t="shared" si="93"/>
        <v/>
      </c>
      <c r="M526" s="150" t="str">
        <f t="shared" si="94"/>
        <v/>
      </c>
      <c r="N526" s="151" t="str">
        <f t="shared" si="95"/>
        <v/>
      </c>
      <c r="O526" s="151" t="str">
        <f t="shared" si="96"/>
        <v/>
      </c>
      <c r="P526" s="151" t="str">
        <f t="shared" si="97"/>
        <v/>
      </c>
      <c r="Q526" s="151" t="str">
        <f t="shared" si="98"/>
        <v/>
      </c>
      <c r="R526" s="150" t="str">
        <f t="shared" si="99"/>
        <v/>
      </c>
      <c r="S526" s="150" t="str">
        <f t="shared" si="100"/>
        <v/>
      </c>
      <c r="T526" s="150" t="str">
        <f t="shared" si="101"/>
        <v/>
      </c>
      <c r="U526" s="152"/>
      <c r="V526" s="143"/>
      <c r="W526" s="102"/>
      <c r="X526" s="102" t="str">
        <f t="shared" si="102"/>
        <v/>
      </c>
      <c r="Y526" s="102"/>
      <c r="Z526" s="102"/>
      <c r="AA526" s="102"/>
      <c r="AB526" s="102"/>
      <c r="AC526" s="102"/>
      <c r="AD526" s="102"/>
      <c r="AE526" s="102"/>
      <c r="AF526" s="102"/>
      <c r="AG526" s="102"/>
      <c r="AH526" s="102"/>
      <c r="AI526" s="102"/>
      <c r="AJ526" s="102"/>
      <c r="AK526" s="102"/>
      <c r="AL526" s="102"/>
      <c r="AM526" s="102"/>
    </row>
    <row r="527" spans="1:39">
      <c r="A527" s="143"/>
      <c r="B527" s="143"/>
      <c r="C527" s="155"/>
      <c r="D527" s="143"/>
      <c r="E527" s="146"/>
      <c r="F527" s="147"/>
      <c r="G527" s="147"/>
      <c r="H527" s="148"/>
      <c r="I527" s="143"/>
      <c r="J527" s="143"/>
      <c r="K527" s="149"/>
      <c r="L527" s="150" t="str">
        <f t="shared" si="93"/>
        <v/>
      </c>
      <c r="M527" s="150" t="str">
        <f t="shared" si="94"/>
        <v/>
      </c>
      <c r="N527" s="151" t="str">
        <f t="shared" si="95"/>
        <v/>
      </c>
      <c r="O527" s="151" t="str">
        <f t="shared" si="96"/>
        <v/>
      </c>
      <c r="P527" s="151" t="str">
        <f t="shared" si="97"/>
        <v/>
      </c>
      <c r="Q527" s="151" t="str">
        <f t="shared" si="98"/>
        <v/>
      </c>
      <c r="R527" s="150" t="str">
        <f t="shared" si="99"/>
        <v/>
      </c>
      <c r="S527" s="150" t="str">
        <f t="shared" si="100"/>
        <v/>
      </c>
      <c r="T527" s="150" t="str">
        <f t="shared" si="101"/>
        <v/>
      </c>
      <c r="U527" s="152"/>
      <c r="V527" s="143"/>
      <c r="W527" s="102"/>
      <c r="X527" s="102" t="str">
        <f t="shared" si="102"/>
        <v/>
      </c>
      <c r="Y527" s="102"/>
      <c r="Z527" s="102"/>
      <c r="AA527" s="102"/>
      <c r="AB527" s="102"/>
      <c r="AC527" s="102"/>
      <c r="AD527" s="102"/>
      <c r="AE527" s="102"/>
      <c r="AF527" s="102"/>
      <c r="AG527" s="102"/>
      <c r="AH527" s="102"/>
      <c r="AI527" s="102"/>
      <c r="AJ527" s="102"/>
      <c r="AK527" s="102"/>
      <c r="AL527" s="102"/>
      <c r="AM527" s="102"/>
    </row>
    <row r="528" spans="1:39">
      <c r="A528" s="143"/>
      <c r="B528" s="143"/>
      <c r="C528" s="155"/>
      <c r="D528" s="143"/>
      <c r="E528" s="146"/>
      <c r="F528" s="147"/>
      <c r="G528" s="147"/>
      <c r="H528" s="148"/>
      <c r="I528" s="143"/>
      <c r="J528" s="143"/>
      <c r="K528" s="149"/>
      <c r="L528" s="150" t="str">
        <f t="shared" si="93"/>
        <v/>
      </c>
      <c r="M528" s="150" t="str">
        <f t="shared" si="94"/>
        <v/>
      </c>
      <c r="N528" s="151" t="str">
        <f t="shared" si="95"/>
        <v/>
      </c>
      <c r="O528" s="151" t="str">
        <f t="shared" si="96"/>
        <v/>
      </c>
      <c r="P528" s="151" t="str">
        <f t="shared" si="97"/>
        <v/>
      </c>
      <c r="Q528" s="151" t="str">
        <f t="shared" si="98"/>
        <v/>
      </c>
      <c r="R528" s="150" t="str">
        <f t="shared" si="99"/>
        <v/>
      </c>
      <c r="S528" s="150" t="str">
        <f t="shared" si="100"/>
        <v/>
      </c>
      <c r="T528" s="150" t="str">
        <f t="shared" si="101"/>
        <v/>
      </c>
      <c r="U528" s="152"/>
      <c r="V528" s="143"/>
      <c r="W528" s="102"/>
      <c r="X528" s="102" t="str">
        <f t="shared" si="102"/>
        <v/>
      </c>
      <c r="Y528" s="102"/>
      <c r="Z528" s="102"/>
      <c r="AA528" s="102"/>
      <c r="AB528" s="102"/>
      <c r="AC528" s="102"/>
      <c r="AD528" s="102"/>
      <c r="AE528" s="102"/>
      <c r="AF528" s="102"/>
      <c r="AG528" s="102"/>
      <c r="AH528" s="102"/>
      <c r="AI528" s="102"/>
      <c r="AJ528" s="102"/>
      <c r="AK528" s="102"/>
      <c r="AL528" s="102"/>
      <c r="AM528" s="102"/>
    </row>
    <row r="529" spans="1:39">
      <c r="A529" s="143"/>
      <c r="B529" s="143"/>
      <c r="C529" s="155"/>
      <c r="D529" s="143"/>
      <c r="E529" s="146"/>
      <c r="F529" s="147"/>
      <c r="G529" s="147"/>
      <c r="H529" s="148"/>
      <c r="I529" s="143"/>
      <c r="J529" s="143"/>
      <c r="K529" s="149"/>
      <c r="L529" s="150" t="str">
        <f t="shared" si="93"/>
        <v/>
      </c>
      <c r="M529" s="150" t="str">
        <f t="shared" si="94"/>
        <v/>
      </c>
      <c r="N529" s="151" t="str">
        <f t="shared" si="95"/>
        <v/>
      </c>
      <c r="O529" s="151" t="str">
        <f t="shared" si="96"/>
        <v/>
      </c>
      <c r="P529" s="151" t="str">
        <f t="shared" si="97"/>
        <v/>
      </c>
      <c r="Q529" s="151" t="str">
        <f t="shared" si="98"/>
        <v/>
      </c>
      <c r="R529" s="150" t="str">
        <f t="shared" si="99"/>
        <v/>
      </c>
      <c r="S529" s="150" t="str">
        <f t="shared" si="100"/>
        <v/>
      </c>
      <c r="T529" s="150" t="str">
        <f t="shared" si="101"/>
        <v/>
      </c>
      <c r="U529" s="152"/>
      <c r="V529" s="143"/>
      <c r="W529" s="102"/>
      <c r="X529" s="102" t="str">
        <f t="shared" si="102"/>
        <v/>
      </c>
      <c r="Y529" s="102"/>
      <c r="Z529" s="102"/>
      <c r="AA529" s="102"/>
      <c r="AB529" s="102"/>
      <c r="AC529" s="102"/>
      <c r="AD529" s="102"/>
      <c r="AE529" s="102"/>
      <c r="AF529" s="102"/>
      <c r="AG529" s="102"/>
      <c r="AH529" s="102"/>
      <c r="AI529" s="102"/>
      <c r="AJ529" s="102"/>
      <c r="AK529" s="102"/>
      <c r="AL529" s="102"/>
      <c r="AM529" s="102"/>
    </row>
    <row r="530" spans="1:39">
      <c r="A530" s="143"/>
      <c r="B530" s="143"/>
      <c r="C530" s="155"/>
      <c r="D530" s="143"/>
      <c r="E530" s="146"/>
      <c r="F530" s="147"/>
      <c r="G530" s="147"/>
      <c r="H530" s="148"/>
      <c r="I530" s="143"/>
      <c r="J530" s="143"/>
      <c r="K530" s="149"/>
      <c r="L530" s="150" t="str">
        <f t="shared" si="93"/>
        <v/>
      </c>
      <c r="M530" s="150" t="str">
        <f t="shared" si="94"/>
        <v/>
      </c>
      <c r="N530" s="151" t="str">
        <f t="shared" si="95"/>
        <v/>
      </c>
      <c r="O530" s="151" t="str">
        <f t="shared" si="96"/>
        <v/>
      </c>
      <c r="P530" s="151" t="str">
        <f t="shared" si="97"/>
        <v/>
      </c>
      <c r="Q530" s="151" t="str">
        <f t="shared" si="98"/>
        <v/>
      </c>
      <c r="R530" s="150" t="str">
        <f t="shared" si="99"/>
        <v/>
      </c>
      <c r="S530" s="150" t="str">
        <f t="shared" si="100"/>
        <v/>
      </c>
      <c r="T530" s="150" t="str">
        <f t="shared" si="101"/>
        <v/>
      </c>
      <c r="U530" s="152"/>
      <c r="V530" s="143"/>
      <c r="W530" s="102"/>
      <c r="X530" s="102" t="str">
        <f t="shared" si="102"/>
        <v/>
      </c>
      <c r="Y530" s="102"/>
      <c r="Z530" s="102"/>
      <c r="AA530" s="102"/>
      <c r="AB530" s="102"/>
      <c r="AC530" s="102"/>
      <c r="AD530" s="102"/>
      <c r="AE530" s="102"/>
      <c r="AF530" s="102"/>
      <c r="AG530" s="102"/>
      <c r="AH530" s="102"/>
      <c r="AI530" s="102"/>
      <c r="AJ530" s="102"/>
      <c r="AK530" s="102"/>
      <c r="AL530" s="102"/>
      <c r="AM530" s="102"/>
    </row>
    <row r="531" spans="1:39">
      <c r="A531" s="143"/>
      <c r="B531" s="143"/>
      <c r="C531" s="155"/>
      <c r="D531" s="143"/>
      <c r="E531" s="146"/>
      <c r="F531" s="147"/>
      <c r="G531" s="147"/>
      <c r="H531" s="148"/>
      <c r="I531" s="143"/>
      <c r="J531" s="143"/>
      <c r="K531" s="149"/>
      <c r="L531" s="150" t="str">
        <f t="shared" si="93"/>
        <v/>
      </c>
      <c r="M531" s="150" t="str">
        <f t="shared" si="94"/>
        <v/>
      </c>
      <c r="N531" s="151" t="str">
        <f t="shared" si="95"/>
        <v/>
      </c>
      <c r="O531" s="151" t="str">
        <f t="shared" si="96"/>
        <v/>
      </c>
      <c r="P531" s="151" t="str">
        <f t="shared" si="97"/>
        <v/>
      </c>
      <c r="Q531" s="151" t="str">
        <f t="shared" si="98"/>
        <v/>
      </c>
      <c r="R531" s="150" t="str">
        <f t="shared" si="99"/>
        <v/>
      </c>
      <c r="S531" s="150" t="str">
        <f t="shared" si="100"/>
        <v/>
      </c>
      <c r="T531" s="150" t="str">
        <f t="shared" si="101"/>
        <v/>
      </c>
      <c r="U531" s="152"/>
      <c r="V531" s="143"/>
      <c r="W531" s="102"/>
      <c r="X531" s="102" t="str">
        <f t="shared" si="102"/>
        <v/>
      </c>
      <c r="Y531" s="102"/>
      <c r="Z531" s="102"/>
      <c r="AA531" s="102"/>
      <c r="AB531" s="102"/>
      <c r="AC531" s="102"/>
      <c r="AD531" s="102"/>
      <c r="AE531" s="102"/>
      <c r="AF531" s="102"/>
      <c r="AG531" s="102"/>
      <c r="AH531" s="102"/>
      <c r="AI531" s="102"/>
      <c r="AJ531" s="102"/>
      <c r="AK531" s="102"/>
      <c r="AL531" s="102"/>
      <c r="AM531" s="102"/>
    </row>
    <row r="532" spans="1:39">
      <c r="A532" s="143"/>
      <c r="B532" s="143"/>
      <c r="C532" s="155"/>
      <c r="D532" s="143"/>
      <c r="E532" s="146"/>
      <c r="F532" s="147"/>
      <c r="G532" s="147"/>
      <c r="H532" s="148"/>
      <c r="I532" s="143"/>
      <c r="J532" s="143"/>
      <c r="K532" s="149"/>
      <c r="L532" s="150" t="str">
        <f t="shared" si="93"/>
        <v/>
      </c>
      <c r="M532" s="150" t="str">
        <f t="shared" si="94"/>
        <v/>
      </c>
      <c r="N532" s="151" t="str">
        <f t="shared" si="95"/>
        <v/>
      </c>
      <c r="O532" s="151" t="str">
        <f t="shared" si="96"/>
        <v/>
      </c>
      <c r="P532" s="151" t="str">
        <f t="shared" si="97"/>
        <v/>
      </c>
      <c r="Q532" s="151" t="str">
        <f t="shared" si="98"/>
        <v/>
      </c>
      <c r="R532" s="150" t="str">
        <f t="shared" si="99"/>
        <v/>
      </c>
      <c r="S532" s="150" t="str">
        <f t="shared" si="100"/>
        <v/>
      </c>
      <c r="T532" s="150" t="str">
        <f t="shared" si="101"/>
        <v/>
      </c>
      <c r="U532" s="152"/>
      <c r="V532" s="143"/>
      <c r="W532" s="102"/>
      <c r="X532" s="102" t="str">
        <f t="shared" si="102"/>
        <v/>
      </c>
      <c r="Y532" s="102"/>
      <c r="Z532" s="102"/>
      <c r="AA532" s="102"/>
      <c r="AB532" s="102"/>
      <c r="AC532" s="102"/>
      <c r="AD532" s="102"/>
      <c r="AE532" s="102"/>
      <c r="AF532" s="102"/>
      <c r="AG532" s="102"/>
      <c r="AH532" s="102"/>
      <c r="AI532" s="102"/>
      <c r="AJ532" s="102"/>
      <c r="AK532" s="102"/>
      <c r="AL532" s="102"/>
      <c r="AM532" s="102"/>
    </row>
    <row r="533" spans="1:39">
      <c r="A533" s="143"/>
      <c r="B533" s="143"/>
      <c r="C533" s="155"/>
      <c r="D533" s="143"/>
      <c r="E533" s="146"/>
      <c r="F533" s="147"/>
      <c r="G533" s="147"/>
      <c r="H533" s="148"/>
      <c r="I533" s="143"/>
      <c r="J533" s="143"/>
      <c r="K533" s="149"/>
      <c r="L533" s="150" t="str">
        <f t="shared" si="93"/>
        <v/>
      </c>
      <c r="M533" s="150" t="str">
        <f t="shared" si="94"/>
        <v/>
      </c>
      <c r="N533" s="151" t="str">
        <f t="shared" si="95"/>
        <v/>
      </c>
      <c r="O533" s="151" t="str">
        <f t="shared" si="96"/>
        <v/>
      </c>
      <c r="P533" s="151" t="str">
        <f t="shared" si="97"/>
        <v/>
      </c>
      <c r="Q533" s="151" t="str">
        <f t="shared" si="98"/>
        <v/>
      </c>
      <c r="R533" s="150" t="str">
        <f t="shared" si="99"/>
        <v/>
      </c>
      <c r="S533" s="150" t="str">
        <f t="shared" si="100"/>
        <v/>
      </c>
      <c r="T533" s="150" t="str">
        <f t="shared" si="101"/>
        <v/>
      </c>
      <c r="U533" s="152"/>
      <c r="V533" s="143"/>
      <c r="W533" s="102"/>
      <c r="X533" s="102" t="str">
        <f t="shared" si="102"/>
        <v/>
      </c>
      <c r="Y533" s="102"/>
      <c r="Z533" s="102"/>
      <c r="AA533" s="102"/>
      <c r="AB533" s="102"/>
      <c r="AC533" s="102"/>
      <c r="AD533" s="102"/>
      <c r="AE533" s="102"/>
      <c r="AF533" s="102"/>
      <c r="AG533" s="102"/>
      <c r="AH533" s="102"/>
      <c r="AI533" s="102"/>
      <c r="AJ533" s="102"/>
      <c r="AK533" s="102"/>
      <c r="AL533" s="102"/>
      <c r="AM533" s="102"/>
    </row>
    <row r="534" spans="1:39">
      <c r="A534" s="143"/>
      <c r="B534" s="143"/>
      <c r="C534" s="155"/>
      <c r="D534" s="143"/>
      <c r="E534" s="146"/>
      <c r="F534" s="147"/>
      <c r="G534" s="147"/>
      <c r="H534" s="148"/>
      <c r="I534" s="143"/>
      <c r="J534" s="143"/>
      <c r="K534" s="149"/>
      <c r="L534" s="150" t="str">
        <f t="shared" si="93"/>
        <v/>
      </c>
      <c r="M534" s="150" t="str">
        <f t="shared" si="94"/>
        <v/>
      </c>
      <c r="N534" s="151" t="str">
        <f t="shared" si="95"/>
        <v/>
      </c>
      <c r="O534" s="151" t="str">
        <f t="shared" si="96"/>
        <v/>
      </c>
      <c r="P534" s="151" t="str">
        <f t="shared" si="97"/>
        <v/>
      </c>
      <c r="Q534" s="151" t="str">
        <f t="shared" si="98"/>
        <v/>
      </c>
      <c r="R534" s="150" t="str">
        <f t="shared" si="99"/>
        <v/>
      </c>
      <c r="S534" s="150" t="str">
        <f t="shared" si="100"/>
        <v/>
      </c>
      <c r="T534" s="150" t="str">
        <f t="shared" si="101"/>
        <v/>
      </c>
      <c r="U534" s="152"/>
      <c r="V534" s="143"/>
      <c r="W534" s="102"/>
      <c r="X534" s="102" t="str">
        <f t="shared" si="102"/>
        <v/>
      </c>
      <c r="Y534" s="102"/>
      <c r="Z534" s="102"/>
      <c r="AA534" s="102"/>
      <c r="AB534" s="102"/>
      <c r="AC534" s="102"/>
      <c r="AD534" s="102"/>
      <c r="AE534" s="102"/>
      <c r="AF534" s="102"/>
      <c r="AG534" s="102"/>
      <c r="AH534" s="102"/>
      <c r="AI534" s="102"/>
      <c r="AJ534" s="102"/>
      <c r="AK534" s="102"/>
      <c r="AL534" s="102"/>
      <c r="AM534" s="102"/>
    </row>
    <row r="535" spans="1:39">
      <c r="A535" s="143"/>
      <c r="B535" s="143"/>
      <c r="C535" s="155"/>
      <c r="D535" s="143"/>
      <c r="E535" s="146"/>
      <c r="F535" s="147"/>
      <c r="G535" s="147"/>
      <c r="H535" s="148"/>
      <c r="I535" s="143"/>
      <c r="J535" s="143"/>
      <c r="K535" s="149"/>
      <c r="L535" s="150" t="str">
        <f t="shared" si="93"/>
        <v/>
      </c>
      <c r="M535" s="150" t="str">
        <f t="shared" si="94"/>
        <v/>
      </c>
      <c r="N535" s="151" t="str">
        <f t="shared" si="95"/>
        <v/>
      </c>
      <c r="O535" s="151" t="str">
        <f t="shared" si="96"/>
        <v/>
      </c>
      <c r="P535" s="151" t="str">
        <f t="shared" si="97"/>
        <v/>
      </c>
      <c r="Q535" s="151" t="str">
        <f t="shared" si="98"/>
        <v/>
      </c>
      <c r="R535" s="150" t="str">
        <f t="shared" si="99"/>
        <v/>
      </c>
      <c r="S535" s="150" t="str">
        <f t="shared" si="100"/>
        <v/>
      </c>
      <c r="T535" s="150" t="str">
        <f t="shared" si="101"/>
        <v/>
      </c>
      <c r="U535" s="152"/>
      <c r="V535" s="143"/>
      <c r="W535" s="102"/>
      <c r="X535" s="102" t="str">
        <f t="shared" si="102"/>
        <v/>
      </c>
      <c r="Y535" s="102"/>
      <c r="Z535" s="102"/>
      <c r="AA535" s="102"/>
      <c r="AB535" s="102"/>
      <c r="AC535" s="102"/>
      <c r="AD535" s="102"/>
      <c r="AE535" s="102"/>
      <c r="AF535" s="102"/>
      <c r="AG535" s="102"/>
      <c r="AH535" s="102"/>
      <c r="AI535" s="102"/>
      <c r="AJ535" s="102"/>
      <c r="AK535" s="102"/>
      <c r="AL535" s="102"/>
      <c r="AM535" s="102"/>
    </row>
    <row r="536" spans="1:39">
      <c r="A536" s="143"/>
      <c r="B536" s="143"/>
      <c r="C536" s="155"/>
      <c r="D536" s="143"/>
      <c r="E536" s="146"/>
      <c r="F536" s="147"/>
      <c r="G536" s="147"/>
      <c r="H536" s="148"/>
      <c r="I536" s="143"/>
      <c r="J536" s="143"/>
      <c r="K536" s="149"/>
      <c r="L536" s="150" t="str">
        <f t="shared" si="93"/>
        <v/>
      </c>
      <c r="M536" s="150" t="str">
        <f t="shared" si="94"/>
        <v/>
      </c>
      <c r="N536" s="151" t="str">
        <f t="shared" si="95"/>
        <v/>
      </c>
      <c r="O536" s="151" t="str">
        <f t="shared" si="96"/>
        <v/>
      </c>
      <c r="P536" s="151" t="str">
        <f t="shared" si="97"/>
        <v/>
      </c>
      <c r="Q536" s="151" t="str">
        <f t="shared" si="98"/>
        <v/>
      </c>
      <c r="R536" s="150" t="str">
        <f t="shared" si="99"/>
        <v/>
      </c>
      <c r="S536" s="150" t="str">
        <f t="shared" si="100"/>
        <v/>
      </c>
      <c r="T536" s="150" t="str">
        <f t="shared" si="101"/>
        <v/>
      </c>
      <c r="U536" s="152"/>
      <c r="V536" s="143"/>
      <c r="W536" s="102"/>
      <c r="X536" s="102" t="str">
        <f t="shared" si="102"/>
        <v/>
      </c>
      <c r="Y536" s="102"/>
      <c r="Z536" s="102"/>
      <c r="AA536" s="102"/>
      <c r="AB536" s="102"/>
      <c r="AC536" s="102"/>
      <c r="AD536" s="102"/>
      <c r="AE536" s="102"/>
      <c r="AF536" s="102"/>
      <c r="AG536" s="102"/>
      <c r="AH536" s="102"/>
      <c r="AI536" s="102"/>
      <c r="AJ536" s="102"/>
      <c r="AK536" s="102"/>
      <c r="AL536" s="102"/>
      <c r="AM536" s="102"/>
    </row>
    <row r="537" spans="1:39">
      <c r="A537" s="143"/>
      <c r="B537" s="143"/>
      <c r="C537" s="155"/>
      <c r="D537" s="143"/>
      <c r="E537" s="146"/>
      <c r="F537" s="147"/>
      <c r="G537" s="147"/>
      <c r="H537" s="148"/>
      <c r="I537" s="143"/>
      <c r="J537" s="143"/>
      <c r="K537" s="149"/>
      <c r="L537" s="150" t="str">
        <f t="shared" si="93"/>
        <v/>
      </c>
      <c r="M537" s="150" t="str">
        <f t="shared" si="94"/>
        <v/>
      </c>
      <c r="N537" s="151" t="str">
        <f t="shared" si="95"/>
        <v/>
      </c>
      <c r="O537" s="151" t="str">
        <f t="shared" si="96"/>
        <v/>
      </c>
      <c r="P537" s="151" t="str">
        <f t="shared" si="97"/>
        <v/>
      </c>
      <c r="Q537" s="151" t="str">
        <f t="shared" si="98"/>
        <v/>
      </c>
      <c r="R537" s="150" t="str">
        <f t="shared" si="99"/>
        <v/>
      </c>
      <c r="S537" s="150" t="str">
        <f t="shared" si="100"/>
        <v/>
      </c>
      <c r="T537" s="150" t="str">
        <f t="shared" si="101"/>
        <v/>
      </c>
      <c r="U537" s="152"/>
      <c r="V537" s="143"/>
      <c r="W537" s="102"/>
      <c r="X537" s="102" t="str">
        <f t="shared" si="102"/>
        <v/>
      </c>
      <c r="Y537" s="102"/>
      <c r="Z537" s="102"/>
      <c r="AA537" s="102"/>
      <c r="AB537" s="102"/>
      <c r="AC537" s="102"/>
      <c r="AD537" s="102"/>
      <c r="AE537" s="102"/>
      <c r="AF537" s="102"/>
      <c r="AG537" s="102"/>
      <c r="AH537" s="102"/>
      <c r="AI537" s="102"/>
      <c r="AJ537" s="102"/>
      <c r="AK537" s="102"/>
      <c r="AL537" s="102"/>
      <c r="AM537" s="102"/>
    </row>
    <row r="538" spans="1:39">
      <c r="A538" s="143"/>
      <c r="B538" s="143"/>
      <c r="C538" s="155"/>
      <c r="D538" s="143"/>
      <c r="E538" s="146"/>
      <c r="F538" s="147"/>
      <c r="G538" s="147"/>
      <c r="H538" s="148"/>
      <c r="I538" s="143"/>
      <c r="J538" s="143"/>
      <c r="K538" s="149"/>
      <c r="L538" s="150" t="str">
        <f t="shared" si="93"/>
        <v/>
      </c>
      <c r="M538" s="150" t="str">
        <f t="shared" si="94"/>
        <v/>
      </c>
      <c r="N538" s="151" t="str">
        <f t="shared" si="95"/>
        <v/>
      </c>
      <c r="O538" s="151" t="str">
        <f t="shared" si="96"/>
        <v/>
      </c>
      <c r="P538" s="151" t="str">
        <f t="shared" si="97"/>
        <v/>
      </c>
      <c r="Q538" s="151" t="str">
        <f t="shared" si="98"/>
        <v/>
      </c>
      <c r="R538" s="150" t="str">
        <f t="shared" si="99"/>
        <v/>
      </c>
      <c r="S538" s="150" t="str">
        <f t="shared" si="100"/>
        <v/>
      </c>
      <c r="T538" s="150" t="str">
        <f t="shared" si="101"/>
        <v/>
      </c>
      <c r="U538" s="152"/>
      <c r="V538" s="143"/>
      <c r="W538" s="102"/>
      <c r="X538" s="102" t="str">
        <f t="shared" si="102"/>
        <v/>
      </c>
      <c r="Y538" s="102"/>
      <c r="Z538" s="102"/>
      <c r="AA538" s="102"/>
      <c r="AB538" s="102"/>
      <c r="AC538" s="102"/>
      <c r="AD538" s="102"/>
      <c r="AE538" s="102"/>
      <c r="AF538" s="102"/>
      <c r="AG538" s="102"/>
      <c r="AH538" s="102"/>
      <c r="AI538" s="102"/>
      <c r="AJ538" s="102"/>
      <c r="AK538" s="102"/>
      <c r="AL538" s="102"/>
      <c r="AM538" s="102"/>
    </row>
    <row r="539" spans="1:39">
      <c r="A539" s="143"/>
      <c r="B539" s="143"/>
      <c r="C539" s="155"/>
      <c r="D539" s="143"/>
      <c r="E539" s="146"/>
      <c r="F539" s="147"/>
      <c r="G539" s="147"/>
      <c r="H539" s="148"/>
      <c r="I539" s="143"/>
      <c r="J539" s="143"/>
      <c r="K539" s="149"/>
      <c r="L539" s="150" t="str">
        <f t="shared" si="93"/>
        <v/>
      </c>
      <c r="M539" s="150" t="str">
        <f t="shared" si="94"/>
        <v/>
      </c>
      <c r="N539" s="151" t="str">
        <f t="shared" si="95"/>
        <v/>
      </c>
      <c r="O539" s="151" t="str">
        <f t="shared" si="96"/>
        <v/>
      </c>
      <c r="P539" s="151" t="str">
        <f t="shared" si="97"/>
        <v/>
      </c>
      <c r="Q539" s="151" t="str">
        <f t="shared" si="98"/>
        <v/>
      </c>
      <c r="R539" s="150" t="str">
        <f t="shared" si="99"/>
        <v/>
      </c>
      <c r="S539" s="150" t="str">
        <f t="shared" si="100"/>
        <v/>
      </c>
      <c r="T539" s="150" t="str">
        <f t="shared" si="101"/>
        <v/>
      </c>
      <c r="U539" s="152"/>
      <c r="V539" s="143"/>
      <c r="W539" s="102"/>
      <c r="X539" s="102" t="str">
        <f t="shared" si="102"/>
        <v/>
      </c>
      <c r="Y539" s="102"/>
      <c r="Z539" s="102"/>
      <c r="AA539" s="102"/>
      <c r="AB539" s="102"/>
      <c r="AC539" s="102"/>
      <c r="AD539" s="102"/>
      <c r="AE539" s="102"/>
      <c r="AF539" s="102"/>
      <c r="AG539" s="102"/>
      <c r="AH539" s="102"/>
      <c r="AI539" s="102"/>
      <c r="AJ539" s="102"/>
      <c r="AK539" s="102"/>
      <c r="AL539" s="102"/>
      <c r="AM539" s="102"/>
    </row>
    <row r="540" spans="1:39">
      <c r="A540" s="143"/>
      <c r="B540" s="143"/>
      <c r="C540" s="155"/>
      <c r="D540" s="143"/>
      <c r="E540" s="146"/>
      <c r="F540" s="147"/>
      <c r="G540" s="147"/>
      <c r="H540" s="148"/>
      <c r="I540" s="143"/>
      <c r="J540" s="143"/>
      <c r="K540" s="149"/>
      <c r="L540" s="150" t="str">
        <f t="shared" si="93"/>
        <v/>
      </c>
      <c r="M540" s="150" t="str">
        <f t="shared" si="94"/>
        <v/>
      </c>
      <c r="N540" s="151" t="str">
        <f t="shared" si="95"/>
        <v/>
      </c>
      <c r="O540" s="151" t="str">
        <f t="shared" si="96"/>
        <v/>
      </c>
      <c r="P540" s="151" t="str">
        <f t="shared" si="97"/>
        <v/>
      </c>
      <c r="Q540" s="151" t="str">
        <f t="shared" si="98"/>
        <v/>
      </c>
      <c r="R540" s="150" t="str">
        <f t="shared" si="99"/>
        <v/>
      </c>
      <c r="S540" s="150" t="str">
        <f t="shared" si="100"/>
        <v/>
      </c>
      <c r="T540" s="150" t="str">
        <f t="shared" si="101"/>
        <v/>
      </c>
      <c r="U540" s="152"/>
      <c r="V540" s="143"/>
      <c r="W540" s="102"/>
      <c r="X540" s="102" t="str">
        <f t="shared" si="102"/>
        <v/>
      </c>
      <c r="Y540" s="102"/>
      <c r="Z540" s="102"/>
      <c r="AA540" s="102"/>
      <c r="AB540" s="102"/>
      <c r="AC540" s="102"/>
      <c r="AD540" s="102"/>
      <c r="AE540" s="102"/>
      <c r="AF540" s="102"/>
      <c r="AG540" s="102"/>
      <c r="AH540" s="102"/>
      <c r="AI540" s="102"/>
      <c r="AJ540" s="102"/>
      <c r="AK540" s="102"/>
      <c r="AL540" s="102"/>
      <c r="AM540" s="102"/>
    </row>
    <row r="541" spans="1:39">
      <c r="A541" s="143"/>
      <c r="B541" s="143"/>
      <c r="C541" s="155"/>
      <c r="D541" s="143"/>
      <c r="E541" s="146"/>
      <c r="F541" s="147"/>
      <c r="G541" s="147"/>
      <c r="H541" s="148"/>
      <c r="I541" s="143"/>
      <c r="J541" s="143"/>
      <c r="K541" s="149"/>
      <c r="L541" s="150" t="str">
        <f t="shared" si="93"/>
        <v/>
      </c>
      <c r="M541" s="150" t="str">
        <f t="shared" si="94"/>
        <v/>
      </c>
      <c r="N541" s="151" t="str">
        <f t="shared" si="95"/>
        <v/>
      </c>
      <c r="O541" s="151" t="str">
        <f t="shared" si="96"/>
        <v/>
      </c>
      <c r="P541" s="151" t="str">
        <f t="shared" si="97"/>
        <v/>
      </c>
      <c r="Q541" s="151" t="str">
        <f t="shared" si="98"/>
        <v/>
      </c>
      <c r="R541" s="150" t="str">
        <f t="shared" si="99"/>
        <v/>
      </c>
      <c r="S541" s="150" t="str">
        <f t="shared" si="100"/>
        <v/>
      </c>
      <c r="T541" s="150" t="str">
        <f t="shared" si="101"/>
        <v/>
      </c>
      <c r="U541" s="152"/>
      <c r="V541" s="143"/>
      <c r="W541" s="102"/>
      <c r="X541" s="102" t="str">
        <f t="shared" si="102"/>
        <v/>
      </c>
      <c r="Y541" s="102"/>
      <c r="Z541" s="102"/>
      <c r="AA541" s="102"/>
      <c r="AB541" s="102"/>
      <c r="AC541" s="102"/>
      <c r="AD541" s="102"/>
      <c r="AE541" s="102"/>
      <c r="AF541" s="102"/>
      <c r="AG541" s="102"/>
      <c r="AH541" s="102"/>
      <c r="AI541" s="102"/>
      <c r="AJ541" s="102"/>
      <c r="AK541" s="102"/>
      <c r="AL541" s="102"/>
      <c r="AM541" s="102"/>
    </row>
    <row r="542" spans="1:39">
      <c r="A542" s="143"/>
      <c r="B542" s="143"/>
      <c r="C542" s="155"/>
      <c r="D542" s="143"/>
      <c r="E542" s="146"/>
      <c r="F542" s="147"/>
      <c r="G542" s="147"/>
      <c r="H542" s="148"/>
      <c r="I542" s="143"/>
      <c r="J542" s="143"/>
      <c r="K542" s="149"/>
      <c r="L542" s="150" t="str">
        <f t="shared" si="93"/>
        <v/>
      </c>
      <c r="M542" s="150" t="str">
        <f t="shared" si="94"/>
        <v/>
      </c>
      <c r="N542" s="151" t="str">
        <f t="shared" si="95"/>
        <v/>
      </c>
      <c r="O542" s="151" t="str">
        <f t="shared" si="96"/>
        <v/>
      </c>
      <c r="P542" s="151" t="str">
        <f t="shared" si="97"/>
        <v/>
      </c>
      <c r="Q542" s="151" t="str">
        <f t="shared" si="98"/>
        <v/>
      </c>
      <c r="R542" s="150" t="str">
        <f t="shared" si="99"/>
        <v/>
      </c>
      <c r="S542" s="150" t="str">
        <f t="shared" si="100"/>
        <v/>
      </c>
      <c r="T542" s="150" t="str">
        <f t="shared" si="101"/>
        <v/>
      </c>
      <c r="U542" s="152"/>
      <c r="V542" s="143"/>
      <c r="W542" s="102"/>
      <c r="X542" s="102" t="str">
        <f t="shared" si="102"/>
        <v/>
      </c>
      <c r="Y542" s="102"/>
      <c r="Z542" s="102"/>
      <c r="AA542" s="102"/>
      <c r="AB542" s="102"/>
      <c r="AC542" s="102"/>
      <c r="AD542" s="102"/>
      <c r="AE542" s="102"/>
      <c r="AF542" s="102"/>
      <c r="AG542" s="102"/>
      <c r="AH542" s="102"/>
      <c r="AI542" s="102"/>
      <c r="AJ542" s="102"/>
      <c r="AK542" s="102"/>
      <c r="AL542" s="102"/>
      <c r="AM542" s="102"/>
    </row>
    <row r="543" spans="1:39">
      <c r="A543" s="143"/>
      <c r="B543" s="143"/>
      <c r="C543" s="155"/>
      <c r="D543" s="143"/>
      <c r="E543" s="146"/>
      <c r="F543" s="147"/>
      <c r="G543" s="147"/>
      <c r="H543" s="148"/>
      <c r="I543" s="143"/>
      <c r="J543" s="143"/>
      <c r="K543" s="149"/>
      <c r="L543" s="150" t="str">
        <f t="shared" si="93"/>
        <v/>
      </c>
      <c r="M543" s="150" t="str">
        <f t="shared" si="94"/>
        <v/>
      </c>
      <c r="N543" s="151" t="str">
        <f t="shared" si="95"/>
        <v/>
      </c>
      <c r="O543" s="151" t="str">
        <f t="shared" si="96"/>
        <v/>
      </c>
      <c r="P543" s="151" t="str">
        <f t="shared" si="97"/>
        <v/>
      </c>
      <c r="Q543" s="151" t="str">
        <f t="shared" si="98"/>
        <v/>
      </c>
      <c r="R543" s="150" t="str">
        <f t="shared" si="99"/>
        <v/>
      </c>
      <c r="S543" s="150" t="str">
        <f t="shared" si="100"/>
        <v/>
      </c>
      <c r="T543" s="150" t="str">
        <f t="shared" si="101"/>
        <v/>
      </c>
      <c r="U543" s="152"/>
      <c r="V543" s="143"/>
      <c r="W543" s="102"/>
      <c r="X543" s="102" t="str">
        <f t="shared" si="102"/>
        <v/>
      </c>
      <c r="Y543" s="102"/>
      <c r="Z543" s="102"/>
      <c r="AA543" s="102"/>
      <c r="AB543" s="102"/>
      <c r="AC543" s="102"/>
      <c r="AD543" s="102"/>
      <c r="AE543" s="102"/>
      <c r="AF543" s="102"/>
      <c r="AG543" s="102"/>
      <c r="AH543" s="102"/>
      <c r="AI543" s="102"/>
      <c r="AJ543" s="102"/>
      <c r="AK543" s="102"/>
      <c r="AL543" s="102"/>
      <c r="AM543" s="102"/>
    </row>
    <row r="544" spans="1:39">
      <c r="A544" s="143"/>
      <c r="B544" s="143"/>
      <c r="C544" s="155"/>
      <c r="D544" s="143"/>
      <c r="E544" s="146"/>
      <c r="F544" s="147"/>
      <c r="G544" s="147"/>
      <c r="H544" s="148"/>
      <c r="I544" s="143"/>
      <c r="J544" s="143"/>
      <c r="K544" s="149"/>
      <c r="L544" s="150" t="str">
        <f t="shared" si="93"/>
        <v/>
      </c>
      <c r="M544" s="150" t="str">
        <f t="shared" si="94"/>
        <v/>
      </c>
      <c r="N544" s="151" t="str">
        <f t="shared" si="95"/>
        <v/>
      </c>
      <c r="O544" s="151" t="str">
        <f t="shared" si="96"/>
        <v/>
      </c>
      <c r="P544" s="151" t="str">
        <f t="shared" si="97"/>
        <v/>
      </c>
      <c r="Q544" s="151" t="str">
        <f t="shared" si="98"/>
        <v/>
      </c>
      <c r="R544" s="150" t="str">
        <f t="shared" si="99"/>
        <v/>
      </c>
      <c r="S544" s="150" t="str">
        <f t="shared" si="100"/>
        <v/>
      </c>
      <c r="T544" s="150" t="str">
        <f t="shared" si="101"/>
        <v/>
      </c>
      <c r="U544" s="152"/>
      <c r="V544" s="143"/>
      <c r="W544" s="102"/>
      <c r="X544" s="102" t="str">
        <f t="shared" si="102"/>
        <v/>
      </c>
      <c r="Y544" s="102"/>
      <c r="Z544" s="102"/>
      <c r="AA544" s="102"/>
      <c r="AB544" s="102"/>
      <c r="AC544" s="102"/>
      <c r="AD544" s="102"/>
      <c r="AE544" s="102"/>
      <c r="AF544" s="102"/>
      <c r="AG544" s="102"/>
      <c r="AH544" s="102"/>
      <c r="AI544" s="102"/>
      <c r="AJ544" s="102"/>
      <c r="AK544" s="102"/>
      <c r="AL544" s="102"/>
      <c r="AM544" s="102"/>
    </row>
    <row r="545" spans="1:39">
      <c r="A545" s="143"/>
      <c r="B545" s="143"/>
      <c r="C545" s="155"/>
      <c r="D545" s="143"/>
      <c r="E545" s="146"/>
      <c r="F545" s="147"/>
      <c r="G545" s="147"/>
      <c r="H545" s="148"/>
      <c r="I545" s="143"/>
      <c r="J545" s="143"/>
      <c r="K545" s="149"/>
      <c r="L545" s="150" t="str">
        <f t="shared" si="93"/>
        <v/>
      </c>
      <c r="M545" s="150" t="str">
        <f t="shared" si="94"/>
        <v/>
      </c>
      <c r="N545" s="151" t="str">
        <f t="shared" si="95"/>
        <v/>
      </c>
      <c r="O545" s="151" t="str">
        <f t="shared" si="96"/>
        <v/>
      </c>
      <c r="P545" s="151" t="str">
        <f t="shared" si="97"/>
        <v/>
      </c>
      <c r="Q545" s="151" t="str">
        <f t="shared" si="98"/>
        <v/>
      </c>
      <c r="R545" s="150" t="str">
        <f t="shared" si="99"/>
        <v/>
      </c>
      <c r="S545" s="150" t="str">
        <f t="shared" si="100"/>
        <v/>
      </c>
      <c r="T545" s="150" t="str">
        <f t="shared" si="101"/>
        <v/>
      </c>
      <c r="U545" s="152"/>
      <c r="V545" s="143"/>
      <c r="W545" s="102"/>
      <c r="X545" s="102" t="str">
        <f t="shared" si="102"/>
        <v/>
      </c>
      <c r="Y545" s="102"/>
      <c r="Z545" s="102"/>
      <c r="AA545" s="102"/>
      <c r="AB545" s="102"/>
      <c r="AC545" s="102"/>
      <c r="AD545" s="102"/>
      <c r="AE545" s="102"/>
      <c r="AF545" s="102"/>
      <c r="AG545" s="102"/>
      <c r="AH545" s="102"/>
      <c r="AI545" s="102"/>
      <c r="AJ545" s="102"/>
      <c r="AK545" s="102"/>
      <c r="AL545" s="102"/>
      <c r="AM545" s="102"/>
    </row>
    <row r="546" spans="1:39">
      <c r="A546" s="143"/>
      <c r="B546" s="143"/>
      <c r="C546" s="155"/>
      <c r="D546" s="143"/>
      <c r="E546" s="146"/>
      <c r="F546" s="147"/>
      <c r="G546" s="147"/>
      <c r="H546" s="148"/>
      <c r="I546" s="143"/>
      <c r="J546" s="143"/>
      <c r="K546" s="149"/>
      <c r="L546" s="150" t="str">
        <f t="shared" si="93"/>
        <v/>
      </c>
      <c r="M546" s="150" t="str">
        <f t="shared" si="94"/>
        <v/>
      </c>
      <c r="N546" s="151" t="str">
        <f t="shared" si="95"/>
        <v/>
      </c>
      <c r="O546" s="151" t="str">
        <f t="shared" si="96"/>
        <v/>
      </c>
      <c r="P546" s="151" t="str">
        <f t="shared" si="97"/>
        <v/>
      </c>
      <c r="Q546" s="151" t="str">
        <f t="shared" si="98"/>
        <v/>
      </c>
      <c r="R546" s="150" t="str">
        <f t="shared" si="99"/>
        <v/>
      </c>
      <c r="S546" s="150" t="str">
        <f t="shared" si="100"/>
        <v/>
      </c>
      <c r="T546" s="150" t="str">
        <f t="shared" si="101"/>
        <v/>
      </c>
      <c r="U546" s="152"/>
      <c r="V546" s="143"/>
      <c r="W546" s="102"/>
      <c r="X546" s="102" t="str">
        <f t="shared" si="102"/>
        <v/>
      </c>
      <c r="Y546" s="102"/>
      <c r="Z546" s="102"/>
      <c r="AA546" s="102"/>
      <c r="AB546" s="102"/>
      <c r="AC546" s="102"/>
      <c r="AD546" s="102"/>
      <c r="AE546" s="102"/>
      <c r="AF546" s="102"/>
      <c r="AG546" s="102"/>
      <c r="AH546" s="102"/>
      <c r="AI546" s="102"/>
      <c r="AJ546" s="102"/>
      <c r="AK546" s="102"/>
      <c r="AL546" s="102"/>
      <c r="AM546" s="102"/>
    </row>
    <row r="547" spans="1:39">
      <c r="A547" s="143"/>
      <c r="B547" s="143"/>
      <c r="C547" s="155"/>
      <c r="D547" s="143"/>
      <c r="E547" s="146"/>
      <c r="F547" s="147"/>
      <c r="G547" s="147"/>
      <c r="H547" s="148"/>
      <c r="I547" s="143"/>
      <c r="J547" s="143"/>
      <c r="K547" s="149"/>
      <c r="L547" s="150" t="str">
        <f t="shared" si="93"/>
        <v/>
      </c>
      <c r="M547" s="150" t="str">
        <f t="shared" si="94"/>
        <v/>
      </c>
      <c r="N547" s="151" t="str">
        <f t="shared" si="95"/>
        <v/>
      </c>
      <c r="O547" s="151" t="str">
        <f t="shared" si="96"/>
        <v/>
      </c>
      <c r="P547" s="151" t="str">
        <f t="shared" si="97"/>
        <v/>
      </c>
      <c r="Q547" s="151" t="str">
        <f t="shared" si="98"/>
        <v/>
      </c>
      <c r="R547" s="150" t="str">
        <f t="shared" si="99"/>
        <v/>
      </c>
      <c r="S547" s="150" t="str">
        <f t="shared" si="100"/>
        <v/>
      </c>
      <c r="T547" s="150" t="str">
        <f t="shared" si="101"/>
        <v/>
      </c>
      <c r="U547" s="152"/>
      <c r="V547" s="143"/>
      <c r="W547" s="102"/>
      <c r="X547" s="102" t="str">
        <f t="shared" si="102"/>
        <v/>
      </c>
      <c r="Y547" s="102"/>
      <c r="Z547" s="102"/>
      <c r="AA547" s="102"/>
      <c r="AB547" s="102"/>
      <c r="AC547" s="102"/>
      <c r="AD547" s="102"/>
      <c r="AE547" s="102"/>
      <c r="AF547" s="102"/>
      <c r="AG547" s="102"/>
      <c r="AH547" s="102"/>
      <c r="AI547" s="102"/>
      <c r="AJ547" s="102"/>
      <c r="AK547" s="102"/>
      <c r="AL547" s="102"/>
      <c r="AM547" s="102"/>
    </row>
    <row r="548" spans="1:39">
      <c r="A548" s="143"/>
      <c r="B548" s="143"/>
      <c r="C548" s="155"/>
      <c r="D548" s="143"/>
      <c r="E548" s="146"/>
      <c r="F548" s="147"/>
      <c r="G548" s="147"/>
      <c r="H548" s="148"/>
      <c r="I548" s="143"/>
      <c r="J548" s="143"/>
      <c r="K548" s="149"/>
      <c r="L548" s="150" t="str">
        <f t="shared" si="93"/>
        <v/>
      </c>
      <c r="M548" s="150" t="str">
        <f t="shared" si="94"/>
        <v/>
      </c>
      <c r="N548" s="151" t="str">
        <f t="shared" si="95"/>
        <v/>
      </c>
      <c r="O548" s="151" t="str">
        <f t="shared" si="96"/>
        <v/>
      </c>
      <c r="P548" s="151" t="str">
        <f t="shared" si="97"/>
        <v/>
      </c>
      <c r="Q548" s="151" t="str">
        <f t="shared" si="98"/>
        <v/>
      </c>
      <c r="R548" s="150" t="str">
        <f t="shared" si="99"/>
        <v/>
      </c>
      <c r="S548" s="150" t="str">
        <f t="shared" si="100"/>
        <v/>
      </c>
      <c r="T548" s="150" t="str">
        <f t="shared" si="101"/>
        <v/>
      </c>
      <c r="U548" s="152"/>
      <c r="V548" s="143"/>
      <c r="W548" s="102"/>
      <c r="X548" s="102" t="str">
        <f t="shared" si="102"/>
        <v/>
      </c>
      <c r="Y548" s="102"/>
      <c r="Z548" s="102"/>
      <c r="AA548" s="102"/>
      <c r="AB548" s="102"/>
      <c r="AC548" s="102"/>
      <c r="AD548" s="102"/>
      <c r="AE548" s="102"/>
      <c r="AF548" s="102"/>
      <c r="AG548" s="102"/>
      <c r="AH548" s="102"/>
      <c r="AI548" s="102"/>
      <c r="AJ548" s="102"/>
      <c r="AK548" s="102"/>
      <c r="AL548" s="102"/>
      <c r="AM548" s="102"/>
    </row>
    <row r="549" spans="1:39">
      <c r="A549" s="143"/>
      <c r="B549" s="143"/>
      <c r="C549" s="155"/>
      <c r="D549" s="143"/>
      <c r="E549" s="146"/>
      <c r="F549" s="147"/>
      <c r="G549" s="147"/>
      <c r="H549" s="148"/>
      <c r="I549" s="143"/>
      <c r="J549" s="143"/>
      <c r="K549" s="149"/>
      <c r="L549" s="150" t="str">
        <f t="shared" si="93"/>
        <v/>
      </c>
      <c r="M549" s="150" t="str">
        <f t="shared" si="94"/>
        <v/>
      </c>
      <c r="N549" s="151" t="str">
        <f t="shared" si="95"/>
        <v/>
      </c>
      <c r="O549" s="151" t="str">
        <f t="shared" si="96"/>
        <v/>
      </c>
      <c r="P549" s="151" t="str">
        <f t="shared" si="97"/>
        <v/>
      </c>
      <c r="Q549" s="151" t="str">
        <f t="shared" si="98"/>
        <v/>
      </c>
      <c r="R549" s="150" t="str">
        <f t="shared" si="99"/>
        <v/>
      </c>
      <c r="S549" s="150" t="str">
        <f t="shared" si="100"/>
        <v/>
      </c>
      <c r="T549" s="150" t="str">
        <f t="shared" si="101"/>
        <v/>
      </c>
      <c r="U549" s="152"/>
      <c r="V549" s="143"/>
      <c r="W549" s="102"/>
      <c r="X549" s="102" t="str">
        <f t="shared" si="102"/>
        <v/>
      </c>
      <c r="Y549" s="102"/>
      <c r="Z549" s="102"/>
      <c r="AA549" s="102"/>
      <c r="AB549" s="102"/>
      <c r="AC549" s="102"/>
      <c r="AD549" s="102"/>
      <c r="AE549" s="102"/>
      <c r="AF549" s="102"/>
      <c r="AG549" s="102"/>
      <c r="AH549" s="102"/>
      <c r="AI549" s="102"/>
      <c r="AJ549" s="102"/>
      <c r="AK549" s="102"/>
      <c r="AL549" s="102"/>
      <c r="AM549" s="102"/>
    </row>
    <row r="550" spans="1:39">
      <c r="A550" s="143"/>
      <c r="B550" s="143"/>
      <c r="C550" s="155"/>
      <c r="D550" s="143"/>
      <c r="E550" s="146"/>
      <c r="F550" s="147"/>
      <c r="G550" s="147"/>
      <c r="H550" s="148"/>
      <c r="I550" s="143"/>
      <c r="J550" s="143"/>
      <c r="K550" s="149"/>
      <c r="L550" s="150" t="str">
        <f t="shared" si="93"/>
        <v/>
      </c>
      <c r="M550" s="150" t="str">
        <f t="shared" si="94"/>
        <v/>
      </c>
      <c r="N550" s="151" t="str">
        <f t="shared" si="95"/>
        <v/>
      </c>
      <c r="O550" s="151" t="str">
        <f t="shared" si="96"/>
        <v/>
      </c>
      <c r="P550" s="151" t="str">
        <f t="shared" si="97"/>
        <v/>
      </c>
      <c r="Q550" s="151" t="str">
        <f t="shared" si="98"/>
        <v/>
      </c>
      <c r="R550" s="150" t="str">
        <f t="shared" si="99"/>
        <v/>
      </c>
      <c r="S550" s="150" t="str">
        <f t="shared" si="100"/>
        <v/>
      </c>
      <c r="T550" s="150" t="str">
        <f t="shared" si="101"/>
        <v/>
      </c>
      <c r="U550" s="152"/>
      <c r="V550" s="143"/>
      <c r="W550" s="102"/>
      <c r="X550" s="102" t="str">
        <f t="shared" si="102"/>
        <v/>
      </c>
      <c r="Y550" s="102"/>
      <c r="Z550" s="102"/>
      <c r="AA550" s="102"/>
      <c r="AB550" s="102"/>
      <c r="AC550" s="102"/>
      <c r="AD550" s="102"/>
      <c r="AE550" s="102"/>
      <c r="AF550" s="102"/>
      <c r="AG550" s="102"/>
      <c r="AH550" s="102"/>
      <c r="AI550" s="102"/>
      <c r="AJ550" s="102"/>
      <c r="AK550" s="102"/>
      <c r="AL550" s="102"/>
      <c r="AM550" s="102"/>
    </row>
    <row r="551" spans="1:39">
      <c r="A551" s="143"/>
      <c r="B551" s="143"/>
      <c r="C551" s="155"/>
      <c r="D551" s="143"/>
      <c r="E551" s="146"/>
      <c r="F551" s="147"/>
      <c r="G551" s="147"/>
      <c r="H551" s="148"/>
      <c r="I551" s="143"/>
      <c r="J551" s="143"/>
      <c r="K551" s="149"/>
      <c r="L551" s="150" t="str">
        <f t="shared" si="93"/>
        <v/>
      </c>
      <c r="M551" s="150" t="str">
        <f t="shared" si="94"/>
        <v/>
      </c>
      <c r="N551" s="151" t="str">
        <f t="shared" si="95"/>
        <v/>
      </c>
      <c r="O551" s="151" t="str">
        <f t="shared" si="96"/>
        <v/>
      </c>
      <c r="P551" s="151" t="str">
        <f t="shared" si="97"/>
        <v/>
      </c>
      <c r="Q551" s="151" t="str">
        <f t="shared" si="98"/>
        <v/>
      </c>
      <c r="R551" s="150" t="str">
        <f t="shared" si="99"/>
        <v/>
      </c>
      <c r="S551" s="150" t="str">
        <f t="shared" si="100"/>
        <v/>
      </c>
      <c r="T551" s="150" t="str">
        <f t="shared" si="101"/>
        <v/>
      </c>
      <c r="U551" s="152"/>
      <c r="V551" s="143"/>
      <c r="W551" s="102"/>
      <c r="X551" s="102" t="str">
        <f t="shared" si="102"/>
        <v/>
      </c>
      <c r="Y551" s="102"/>
      <c r="Z551" s="102"/>
      <c r="AA551" s="102"/>
      <c r="AB551" s="102"/>
      <c r="AC551" s="102"/>
      <c r="AD551" s="102"/>
      <c r="AE551" s="102"/>
      <c r="AF551" s="102"/>
      <c r="AG551" s="102"/>
      <c r="AH551" s="102"/>
      <c r="AI551" s="102"/>
      <c r="AJ551" s="102"/>
      <c r="AK551" s="102"/>
      <c r="AL551" s="102"/>
      <c r="AM551" s="102"/>
    </row>
    <row r="552" spans="1:39">
      <c r="A552" s="143"/>
      <c r="B552" s="143"/>
      <c r="C552" s="155"/>
      <c r="D552" s="143"/>
      <c r="E552" s="146"/>
      <c r="F552" s="147"/>
      <c r="G552" s="147"/>
      <c r="H552" s="148"/>
      <c r="I552" s="143"/>
      <c r="J552" s="143"/>
      <c r="K552" s="149"/>
      <c r="L552" s="150" t="str">
        <f t="shared" si="93"/>
        <v/>
      </c>
      <c r="M552" s="150" t="str">
        <f t="shared" si="94"/>
        <v/>
      </c>
      <c r="N552" s="151" t="str">
        <f t="shared" si="95"/>
        <v/>
      </c>
      <c r="O552" s="151" t="str">
        <f t="shared" si="96"/>
        <v/>
      </c>
      <c r="P552" s="151" t="str">
        <f t="shared" si="97"/>
        <v/>
      </c>
      <c r="Q552" s="151" t="str">
        <f t="shared" si="98"/>
        <v/>
      </c>
      <c r="R552" s="150" t="str">
        <f t="shared" si="99"/>
        <v/>
      </c>
      <c r="S552" s="150" t="str">
        <f t="shared" si="100"/>
        <v/>
      </c>
      <c r="T552" s="150" t="str">
        <f t="shared" si="101"/>
        <v/>
      </c>
      <c r="U552" s="152"/>
      <c r="V552" s="143"/>
      <c r="W552" s="102"/>
      <c r="X552" s="102" t="str">
        <f t="shared" si="102"/>
        <v/>
      </c>
      <c r="Y552" s="102"/>
      <c r="Z552" s="102"/>
      <c r="AA552" s="102"/>
      <c r="AB552" s="102"/>
      <c r="AC552" s="102"/>
      <c r="AD552" s="102"/>
      <c r="AE552" s="102"/>
      <c r="AF552" s="102"/>
      <c r="AG552" s="102"/>
      <c r="AH552" s="102"/>
      <c r="AI552" s="102"/>
      <c r="AJ552" s="102"/>
      <c r="AK552" s="102"/>
      <c r="AL552" s="102"/>
      <c r="AM552" s="102"/>
    </row>
    <row r="553" spans="1:39">
      <c r="A553" s="143"/>
      <c r="B553" s="143"/>
      <c r="C553" s="155"/>
      <c r="D553" s="143"/>
      <c r="E553" s="146"/>
      <c r="F553" s="147"/>
      <c r="G553" s="147"/>
      <c r="H553" s="148"/>
      <c r="I553" s="143"/>
      <c r="J553" s="143"/>
      <c r="K553" s="149"/>
      <c r="L553" s="150" t="str">
        <f t="shared" si="93"/>
        <v/>
      </c>
      <c r="M553" s="150" t="str">
        <f t="shared" si="94"/>
        <v/>
      </c>
      <c r="N553" s="151" t="str">
        <f t="shared" si="95"/>
        <v/>
      </c>
      <c r="O553" s="151" t="str">
        <f t="shared" si="96"/>
        <v/>
      </c>
      <c r="P553" s="151" t="str">
        <f t="shared" si="97"/>
        <v/>
      </c>
      <c r="Q553" s="151" t="str">
        <f t="shared" si="98"/>
        <v/>
      </c>
      <c r="R553" s="150" t="str">
        <f t="shared" si="99"/>
        <v/>
      </c>
      <c r="S553" s="150" t="str">
        <f t="shared" si="100"/>
        <v/>
      </c>
      <c r="T553" s="150" t="str">
        <f t="shared" si="101"/>
        <v/>
      </c>
      <c r="U553" s="152"/>
      <c r="V553" s="143"/>
      <c r="W553" s="102"/>
      <c r="X553" s="102" t="str">
        <f t="shared" si="102"/>
        <v/>
      </c>
      <c r="Y553" s="102"/>
      <c r="Z553" s="102"/>
      <c r="AA553" s="102"/>
      <c r="AB553" s="102"/>
      <c r="AC553" s="102"/>
      <c r="AD553" s="102"/>
      <c r="AE553" s="102"/>
      <c r="AF553" s="102"/>
      <c r="AG553" s="102"/>
      <c r="AH553" s="102"/>
      <c r="AI553" s="102"/>
      <c r="AJ553" s="102"/>
      <c r="AK553" s="102"/>
      <c r="AL553" s="102"/>
      <c r="AM553" s="102"/>
    </row>
    <row r="554" spans="1:39">
      <c r="A554" s="143"/>
      <c r="B554" s="143"/>
      <c r="C554" s="155"/>
      <c r="D554" s="143"/>
      <c r="E554" s="146"/>
      <c r="F554" s="147"/>
      <c r="G554" s="147"/>
      <c r="H554" s="148"/>
      <c r="I554" s="143"/>
      <c r="J554" s="143"/>
      <c r="K554" s="149"/>
      <c r="L554" s="150" t="str">
        <f t="shared" si="93"/>
        <v/>
      </c>
      <c r="M554" s="150" t="str">
        <f t="shared" si="94"/>
        <v/>
      </c>
      <c r="N554" s="151" t="str">
        <f t="shared" si="95"/>
        <v/>
      </c>
      <c r="O554" s="151" t="str">
        <f t="shared" si="96"/>
        <v/>
      </c>
      <c r="P554" s="151" t="str">
        <f t="shared" si="97"/>
        <v/>
      </c>
      <c r="Q554" s="151" t="str">
        <f t="shared" si="98"/>
        <v/>
      </c>
      <c r="R554" s="150" t="str">
        <f t="shared" si="99"/>
        <v/>
      </c>
      <c r="S554" s="150" t="str">
        <f t="shared" si="100"/>
        <v/>
      </c>
      <c r="T554" s="150" t="str">
        <f t="shared" si="101"/>
        <v/>
      </c>
      <c r="U554" s="152"/>
      <c r="V554" s="143"/>
      <c r="W554" s="102"/>
      <c r="X554" s="102" t="str">
        <f t="shared" si="102"/>
        <v/>
      </c>
      <c r="Y554" s="102"/>
      <c r="Z554" s="102"/>
      <c r="AA554" s="102"/>
      <c r="AB554" s="102"/>
      <c r="AC554" s="102"/>
      <c r="AD554" s="102"/>
      <c r="AE554" s="102"/>
      <c r="AF554" s="102"/>
      <c r="AG554" s="102"/>
      <c r="AH554" s="102"/>
      <c r="AI554" s="102"/>
      <c r="AJ554" s="102"/>
      <c r="AK554" s="102"/>
      <c r="AL554" s="102"/>
      <c r="AM554" s="102"/>
    </row>
    <row r="555" spans="1:39">
      <c r="A555" s="143"/>
      <c r="B555" s="143"/>
      <c r="C555" s="155"/>
      <c r="D555" s="143"/>
      <c r="E555" s="146"/>
      <c r="F555" s="147"/>
      <c r="G555" s="147"/>
      <c r="H555" s="148"/>
      <c r="I555" s="143"/>
      <c r="J555" s="143"/>
      <c r="K555" s="149"/>
      <c r="L555" s="150" t="str">
        <f t="shared" si="93"/>
        <v/>
      </c>
      <c r="M555" s="150" t="str">
        <f t="shared" si="94"/>
        <v/>
      </c>
      <c r="N555" s="151" t="str">
        <f t="shared" si="95"/>
        <v/>
      </c>
      <c r="O555" s="151" t="str">
        <f t="shared" si="96"/>
        <v/>
      </c>
      <c r="P555" s="151" t="str">
        <f t="shared" si="97"/>
        <v/>
      </c>
      <c r="Q555" s="151" t="str">
        <f t="shared" si="98"/>
        <v/>
      </c>
      <c r="R555" s="150" t="str">
        <f t="shared" si="99"/>
        <v/>
      </c>
      <c r="S555" s="150" t="str">
        <f t="shared" si="100"/>
        <v/>
      </c>
      <c r="T555" s="150" t="str">
        <f t="shared" si="101"/>
        <v/>
      </c>
      <c r="U555" s="152"/>
      <c r="V555" s="143"/>
      <c r="W555" s="102"/>
      <c r="X555" s="102" t="str">
        <f t="shared" si="102"/>
        <v/>
      </c>
      <c r="Y555" s="102"/>
      <c r="Z555" s="102"/>
      <c r="AA555" s="102"/>
      <c r="AB555" s="102"/>
      <c r="AC555" s="102"/>
      <c r="AD555" s="102"/>
      <c r="AE555" s="102"/>
      <c r="AF555" s="102"/>
      <c r="AG555" s="102"/>
      <c r="AH555" s="102"/>
      <c r="AI555" s="102"/>
      <c r="AJ555" s="102"/>
      <c r="AK555" s="102"/>
      <c r="AL555" s="102"/>
      <c r="AM555" s="102"/>
    </row>
    <row r="556" spans="1:39">
      <c r="A556" s="143"/>
      <c r="B556" s="143"/>
      <c r="C556" s="155"/>
      <c r="D556" s="143"/>
      <c r="E556" s="146"/>
      <c r="F556" s="147"/>
      <c r="G556" s="147"/>
      <c r="H556" s="148"/>
      <c r="I556" s="143"/>
      <c r="J556" s="143"/>
      <c r="K556" s="149"/>
      <c r="L556" s="150" t="str">
        <f t="shared" si="93"/>
        <v/>
      </c>
      <c r="M556" s="150" t="str">
        <f t="shared" si="94"/>
        <v/>
      </c>
      <c r="N556" s="151" t="str">
        <f t="shared" si="95"/>
        <v/>
      </c>
      <c r="O556" s="151" t="str">
        <f t="shared" si="96"/>
        <v/>
      </c>
      <c r="P556" s="151" t="str">
        <f t="shared" si="97"/>
        <v/>
      </c>
      <c r="Q556" s="151" t="str">
        <f t="shared" si="98"/>
        <v/>
      </c>
      <c r="R556" s="150" t="str">
        <f t="shared" si="99"/>
        <v/>
      </c>
      <c r="S556" s="150" t="str">
        <f t="shared" si="100"/>
        <v/>
      </c>
      <c r="T556" s="150" t="str">
        <f t="shared" si="101"/>
        <v/>
      </c>
      <c r="U556" s="152"/>
      <c r="V556" s="143"/>
      <c r="W556" s="102"/>
      <c r="X556" s="102" t="str">
        <f t="shared" si="102"/>
        <v/>
      </c>
      <c r="Y556" s="102"/>
      <c r="Z556" s="102"/>
      <c r="AA556" s="102"/>
      <c r="AB556" s="102"/>
      <c r="AC556" s="102"/>
      <c r="AD556" s="102"/>
      <c r="AE556" s="102"/>
      <c r="AF556" s="102"/>
      <c r="AG556" s="102"/>
      <c r="AH556" s="102"/>
      <c r="AI556" s="102"/>
      <c r="AJ556" s="102"/>
      <c r="AK556" s="102"/>
      <c r="AL556" s="102"/>
      <c r="AM556" s="102"/>
    </row>
    <row r="557" spans="1:39">
      <c r="A557" s="143"/>
      <c r="B557" s="143"/>
      <c r="C557" s="155"/>
      <c r="D557" s="143"/>
      <c r="E557" s="146"/>
      <c r="F557" s="147"/>
      <c r="G557" s="147"/>
      <c r="H557" s="148"/>
      <c r="I557" s="143"/>
      <c r="J557" s="143"/>
      <c r="K557" s="149"/>
      <c r="L557" s="150" t="str">
        <f t="shared" si="93"/>
        <v/>
      </c>
      <c r="M557" s="150" t="str">
        <f t="shared" si="94"/>
        <v/>
      </c>
      <c r="N557" s="151" t="str">
        <f t="shared" si="95"/>
        <v/>
      </c>
      <c r="O557" s="151" t="str">
        <f t="shared" si="96"/>
        <v/>
      </c>
      <c r="P557" s="151" t="str">
        <f t="shared" si="97"/>
        <v/>
      </c>
      <c r="Q557" s="151" t="str">
        <f t="shared" si="98"/>
        <v/>
      </c>
      <c r="R557" s="150" t="str">
        <f t="shared" si="99"/>
        <v/>
      </c>
      <c r="S557" s="150" t="str">
        <f t="shared" si="100"/>
        <v/>
      </c>
      <c r="T557" s="150" t="str">
        <f t="shared" si="101"/>
        <v/>
      </c>
      <c r="U557" s="152"/>
      <c r="V557" s="143"/>
      <c r="W557" s="102"/>
      <c r="X557" s="102" t="str">
        <f t="shared" si="102"/>
        <v/>
      </c>
      <c r="Y557" s="102"/>
      <c r="Z557" s="102"/>
      <c r="AA557" s="102"/>
      <c r="AB557" s="102"/>
      <c r="AC557" s="102"/>
      <c r="AD557" s="102"/>
      <c r="AE557" s="102"/>
      <c r="AF557" s="102"/>
      <c r="AG557" s="102"/>
      <c r="AH557" s="102"/>
      <c r="AI557" s="102"/>
      <c r="AJ557" s="102"/>
      <c r="AK557" s="102"/>
      <c r="AL557" s="102"/>
      <c r="AM557" s="102"/>
    </row>
    <row r="558" spans="1:39">
      <c r="A558" s="143"/>
      <c r="B558" s="143"/>
      <c r="C558" s="155"/>
      <c r="D558" s="143"/>
      <c r="E558" s="146"/>
      <c r="F558" s="147"/>
      <c r="G558" s="147"/>
      <c r="H558" s="148"/>
      <c r="I558" s="143"/>
      <c r="J558" s="143"/>
      <c r="K558" s="149"/>
      <c r="L558" s="150" t="str">
        <f t="shared" si="93"/>
        <v/>
      </c>
      <c r="M558" s="150" t="str">
        <f t="shared" si="94"/>
        <v/>
      </c>
      <c r="N558" s="151" t="str">
        <f t="shared" si="95"/>
        <v/>
      </c>
      <c r="O558" s="151" t="str">
        <f t="shared" si="96"/>
        <v/>
      </c>
      <c r="P558" s="151" t="str">
        <f t="shared" si="97"/>
        <v/>
      </c>
      <c r="Q558" s="151" t="str">
        <f t="shared" si="98"/>
        <v/>
      </c>
      <c r="R558" s="150" t="str">
        <f t="shared" si="99"/>
        <v/>
      </c>
      <c r="S558" s="150" t="str">
        <f t="shared" si="100"/>
        <v/>
      </c>
      <c r="T558" s="150" t="str">
        <f t="shared" si="101"/>
        <v/>
      </c>
      <c r="U558" s="152"/>
      <c r="V558" s="143"/>
      <c r="W558" s="102"/>
      <c r="X558" s="102" t="str">
        <f t="shared" si="102"/>
        <v/>
      </c>
      <c r="Y558" s="102"/>
      <c r="Z558" s="102"/>
      <c r="AA558" s="102"/>
      <c r="AB558" s="102"/>
      <c r="AC558" s="102"/>
      <c r="AD558" s="102"/>
      <c r="AE558" s="102"/>
      <c r="AF558" s="102"/>
      <c r="AG558" s="102"/>
      <c r="AH558" s="102"/>
      <c r="AI558" s="102"/>
      <c r="AJ558" s="102"/>
      <c r="AK558" s="102"/>
      <c r="AL558" s="102"/>
      <c r="AM558" s="102"/>
    </row>
    <row r="559" spans="1:39">
      <c r="A559" s="143"/>
      <c r="B559" s="143"/>
      <c r="C559" s="155"/>
      <c r="D559" s="143"/>
      <c r="E559" s="146"/>
      <c r="F559" s="147"/>
      <c r="G559" s="147"/>
      <c r="H559" s="148"/>
      <c r="I559" s="143"/>
      <c r="J559" s="143"/>
      <c r="K559" s="149"/>
      <c r="L559" s="150" t="str">
        <f t="shared" si="93"/>
        <v/>
      </c>
      <c r="M559" s="150" t="str">
        <f t="shared" si="94"/>
        <v/>
      </c>
      <c r="N559" s="151" t="str">
        <f t="shared" si="95"/>
        <v/>
      </c>
      <c r="O559" s="151" t="str">
        <f t="shared" si="96"/>
        <v/>
      </c>
      <c r="P559" s="151" t="str">
        <f t="shared" si="97"/>
        <v/>
      </c>
      <c r="Q559" s="151" t="str">
        <f t="shared" si="98"/>
        <v/>
      </c>
      <c r="R559" s="150" t="str">
        <f t="shared" si="99"/>
        <v/>
      </c>
      <c r="S559" s="150" t="str">
        <f t="shared" si="100"/>
        <v/>
      </c>
      <c r="T559" s="150" t="str">
        <f t="shared" si="101"/>
        <v/>
      </c>
      <c r="U559" s="152"/>
      <c r="V559" s="143"/>
      <c r="W559" s="102"/>
      <c r="X559" s="102" t="str">
        <f t="shared" si="102"/>
        <v/>
      </c>
      <c r="Y559" s="102"/>
      <c r="Z559" s="102"/>
      <c r="AA559" s="102"/>
      <c r="AB559" s="102"/>
      <c r="AC559" s="102"/>
      <c r="AD559" s="102"/>
      <c r="AE559" s="102"/>
      <c r="AF559" s="102"/>
      <c r="AG559" s="102"/>
      <c r="AH559" s="102"/>
      <c r="AI559" s="102"/>
      <c r="AJ559" s="102"/>
      <c r="AK559" s="102"/>
      <c r="AL559" s="102"/>
      <c r="AM559" s="102"/>
    </row>
    <row r="560" spans="1:39">
      <c r="A560" s="143"/>
      <c r="B560" s="143"/>
      <c r="C560" s="155"/>
      <c r="D560" s="143"/>
      <c r="E560" s="146"/>
      <c r="F560" s="147"/>
      <c r="G560" s="147"/>
      <c r="H560" s="148"/>
      <c r="I560" s="143"/>
      <c r="J560" s="143"/>
      <c r="K560" s="149"/>
      <c r="L560" s="150" t="str">
        <f t="shared" si="93"/>
        <v/>
      </c>
      <c r="M560" s="150" t="str">
        <f t="shared" si="94"/>
        <v/>
      </c>
      <c r="N560" s="151" t="str">
        <f t="shared" si="95"/>
        <v/>
      </c>
      <c r="O560" s="151" t="str">
        <f t="shared" si="96"/>
        <v/>
      </c>
      <c r="P560" s="151" t="str">
        <f t="shared" si="97"/>
        <v/>
      </c>
      <c r="Q560" s="151" t="str">
        <f t="shared" si="98"/>
        <v/>
      </c>
      <c r="R560" s="150" t="str">
        <f t="shared" si="99"/>
        <v/>
      </c>
      <c r="S560" s="150" t="str">
        <f t="shared" si="100"/>
        <v/>
      </c>
      <c r="T560" s="150" t="str">
        <f t="shared" si="101"/>
        <v/>
      </c>
      <c r="U560" s="152"/>
      <c r="V560" s="143"/>
      <c r="W560" s="102"/>
      <c r="X560" s="102" t="str">
        <f t="shared" si="102"/>
        <v/>
      </c>
      <c r="Y560" s="102"/>
      <c r="Z560" s="102"/>
      <c r="AA560" s="102"/>
      <c r="AB560" s="102"/>
      <c r="AC560" s="102"/>
      <c r="AD560" s="102"/>
      <c r="AE560" s="102"/>
      <c r="AF560" s="102"/>
      <c r="AG560" s="102"/>
      <c r="AH560" s="102"/>
      <c r="AI560" s="102"/>
      <c r="AJ560" s="102"/>
      <c r="AK560" s="102"/>
      <c r="AL560" s="102"/>
      <c r="AM560" s="102"/>
    </row>
    <row r="561" spans="1:39">
      <c r="A561" s="143"/>
      <c r="B561" s="143"/>
      <c r="C561" s="155"/>
      <c r="D561" s="143"/>
      <c r="E561" s="146"/>
      <c r="F561" s="147"/>
      <c r="G561" s="147"/>
      <c r="H561" s="148"/>
      <c r="I561" s="143"/>
      <c r="J561" s="143"/>
      <c r="K561" s="149"/>
      <c r="L561" s="150" t="str">
        <f t="shared" si="93"/>
        <v/>
      </c>
      <c r="M561" s="150" t="str">
        <f t="shared" si="94"/>
        <v/>
      </c>
      <c r="N561" s="151" t="str">
        <f t="shared" si="95"/>
        <v/>
      </c>
      <c r="O561" s="151" t="str">
        <f t="shared" si="96"/>
        <v/>
      </c>
      <c r="P561" s="151" t="str">
        <f t="shared" si="97"/>
        <v/>
      </c>
      <c r="Q561" s="151" t="str">
        <f t="shared" si="98"/>
        <v/>
      </c>
      <c r="R561" s="150" t="str">
        <f t="shared" si="99"/>
        <v/>
      </c>
      <c r="S561" s="150" t="str">
        <f t="shared" si="100"/>
        <v/>
      </c>
      <c r="T561" s="150" t="str">
        <f t="shared" si="101"/>
        <v/>
      </c>
      <c r="U561" s="152"/>
      <c r="V561" s="143"/>
      <c r="W561" s="102"/>
      <c r="X561" s="102" t="str">
        <f t="shared" si="102"/>
        <v/>
      </c>
      <c r="Y561" s="102"/>
      <c r="Z561" s="102"/>
      <c r="AA561" s="102"/>
      <c r="AB561" s="102"/>
      <c r="AC561" s="102"/>
      <c r="AD561" s="102"/>
      <c r="AE561" s="102"/>
      <c r="AF561" s="102"/>
      <c r="AG561" s="102"/>
      <c r="AH561" s="102"/>
      <c r="AI561" s="102"/>
      <c r="AJ561" s="102"/>
      <c r="AK561" s="102"/>
      <c r="AL561" s="102"/>
      <c r="AM561" s="102"/>
    </row>
    <row r="562" spans="1:39">
      <c r="A562" s="143"/>
      <c r="B562" s="143"/>
      <c r="C562" s="155"/>
      <c r="D562" s="143"/>
      <c r="E562" s="146"/>
      <c r="F562" s="147"/>
      <c r="G562" s="147"/>
      <c r="H562" s="148"/>
      <c r="I562" s="143"/>
      <c r="J562" s="143"/>
      <c r="K562" s="149"/>
      <c r="L562" s="150" t="str">
        <f t="shared" si="93"/>
        <v/>
      </c>
      <c r="M562" s="150" t="str">
        <f t="shared" si="94"/>
        <v/>
      </c>
      <c r="N562" s="151" t="str">
        <f t="shared" si="95"/>
        <v/>
      </c>
      <c r="O562" s="151" t="str">
        <f t="shared" si="96"/>
        <v/>
      </c>
      <c r="P562" s="151" t="str">
        <f t="shared" si="97"/>
        <v/>
      </c>
      <c r="Q562" s="151" t="str">
        <f t="shared" si="98"/>
        <v/>
      </c>
      <c r="R562" s="150" t="str">
        <f t="shared" si="99"/>
        <v/>
      </c>
      <c r="S562" s="150" t="str">
        <f t="shared" si="100"/>
        <v/>
      </c>
      <c r="T562" s="150" t="str">
        <f t="shared" si="101"/>
        <v/>
      </c>
      <c r="U562" s="152"/>
      <c r="V562" s="143"/>
      <c r="W562" s="102"/>
      <c r="X562" s="102" t="str">
        <f t="shared" si="102"/>
        <v/>
      </c>
      <c r="Y562" s="102"/>
      <c r="Z562" s="102"/>
      <c r="AA562" s="102"/>
      <c r="AB562" s="102"/>
      <c r="AC562" s="102"/>
      <c r="AD562" s="102"/>
      <c r="AE562" s="102"/>
      <c r="AF562" s="102"/>
      <c r="AG562" s="102"/>
      <c r="AH562" s="102"/>
      <c r="AI562" s="102"/>
      <c r="AJ562" s="102"/>
      <c r="AK562" s="102"/>
      <c r="AL562" s="102"/>
      <c r="AM562" s="102"/>
    </row>
    <row r="563" spans="1:39">
      <c r="A563" s="143"/>
      <c r="B563" s="143"/>
      <c r="C563" s="155"/>
      <c r="D563" s="143"/>
      <c r="E563" s="146"/>
      <c r="F563" s="147"/>
      <c r="G563" s="147"/>
      <c r="H563" s="148"/>
      <c r="I563" s="143"/>
      <c r="J563" s="143"/>
      <c r="K563" s="149"/>
      <c r="L563" s="150" t="str">
        <f t="shared" si="93"/>
        <v/>
      </c>
      <c r="M563" s="150" t="str">
        <f t="shared" si="94"/>
        <v/>
      </c>
      <c r="N563" s="151" t="str">
        <f t="shared" si="95"/>
        <v/>
      </c>
      <c r="O563" s="151" t="str">
        <f t="shared" si="96"/>
        <v/>
      </c>
      <c r="P563" s="151" t="str">
        <f t="shared" si="97"/>
        <v/>
      </c>
      <c r="Q563" s="151" t="str">
        <f t="shared" si="98"/>
        <v/>
      </c>
      <c r="R563" s="150" t="str">
        <f t="shared" si="99"/>
        <v/>
      </c>
      <c r="S563" s="150" t="str">
        <f t="shared" si="100"/>
        <v/>
      </c>
      <c r="T563" s="150" t="str">
        <f t="shared" si="101"/>
        <v/>
      </c>
      <c r="U563" s="152"/>
      <c r="V563" s="143"/>
      <c r="W563" s="102"/>
      <c r="X563" s="102" t="str">
        <f t="shared" si="102"/>
        <v/>
      </c>
      <c r="Y563" s="102"/>
      <c r="Z563" s="102"/>
      <c r="AA563" s="102"/>
      <c r="AB563" s="102"/>
      <c r="AC563" s="102"/>
      <c r="AD563" s="102"/>
      <c r="AE563" s="102"/>
      <c r="AF563" s="102"/>
      <c r="AG563" s="102"/>
      <c r="AH563" s="102"/>
      <c r="AI563" s="102"/>
      <c r="AJ563" s="102"/>
      <c r="AK563" s="102"/>
      <c r="AL563" s="102"/>
      <c r="AM563" s="102"/>
    </row>
    <row r="564" spans="1:39">
      <c r="A564" s="143"/>
      <c r="B564" s="143"/>
      <c r="C564" s="155"/>
      <c r="D564" s="143"/>
      <c r="E564" s="146"/>
      <c r="F564" s="147"/>
      <c r="G564" s="147"/>
      <c r="H564" s="148"/>
      <c r="I564" s="143"/>
      <c r="J564" s="143"/>
      <c r="K564" s="149"/>
      <c r="L564" s="150" t="str">
        <f t="shared" si="93"/>
        <v/>
      </c>
      <c r="M564" s="150" t="str">
        <f t="shared" si="94"/>
        <v/>
      </c>
      <c r="N564" s="151" t="str">
        <f t="shared" si="95"/>
        <v/>
      </c>
      <c r="O564" s="151" t="str">
        <f t="shared" si="96"/>
        <v/>
      </c>
      <c r="P564" s="151" t="str">
        <f t="shared" si="97"/>
        <v/>
      </c>
      <c r="Q564" s="151" t="str">
        <f t="shared" si="98"/>
        <v/>
      </c>
      <c r="R564" s="150" t="str">
        <f t="shared" si="99"/>
        <v/>
      </c>
      <c r="S564" s="150" t="str">
        <f t="shared" si="100"/>
        <v/>
      </c>
      <c r="T564" s="150" t="str">
        <f t="shared" si="101"/>
        <v/>
      </c>
      <c r="U564" s="152"/>
      <c r="V564" s="143"/>
      <c r="W564" s="102"/>
      <c r="X564" s="102" t="str">
        <f t="shared" si="102"/>
        <v/>
      </c>
      <c r="Y564" s="102"/>
      <c r="Z564" s="102"/>
      <c r="AA564" s="102"/>
      <c r="AB564" s="102"/>
      <c r="AC564" s="102"/>
      <c r="AD564" s="102"/>
      <c r="AE564" s="102"/>
      <c r="AF564" s="102"/>
      <c r="AG564" s="102"/>
      <c r="AH564" s="102"/>
      <c r="AI564" s="102"/>
      <c r="AJ564" s="102"/>
      <c r="AK564" s="102"/>
      <c r="AL564" s="102"/>
      <c r="AM564" s="102"/>
    </row>
    <row r="565" spans="1:39">
      <c r="A565" s="143"/>
      <c r="B565" s="143"/>
      <c r="C565" s="155"/>
      <c r="D565" s="143"/>
      <c r="E565" s="146"/>
      <c r="F565" s="147"/>
      <c r="G565" s="147"/>
      <c r="H565" s="148"/>
      <c r="I565" s="143"/>
      <c r="J565" s="143"/>
      <c r="K565" s="149"/>
      <c r="L565" s="150" t="str">
        <f t="shared" si="93"/>
        <v/>
      </c>
      <c r="M565" s="150" t="str">
        <f t="shared" si="94"/>
        <v/>
      </c>
      <c r="N565" s="151" t="str">
        <f t="shared" si="95"/>
        <v/>
      </c>
      <c r="O565" s="151" t="str">
        <f t="shared" si="96"/>
        <v/>
      </c>
      <c r="P565" s="151" t="str">
        <f t="shared" si="97"/>
        <v/>
      </c>
      <c r="Q565" s="151" t="str">
        <f t="shared" si="98"/>
        <v/>
      </c>
      <c r="R565" s="150" t="str">
        <f t="shared" si="99"/>
        <v/>
      </c>
      <c r="S565" s="150" t="str">
        <f t="shared" si="100"/>
        <v/>
      </c>
      <c r="T565" s="150" t="str">
        <f t="shared" si="101"/>
        <v/>
      </c>
      <c r="U565" s="152"/>
      <c r="V565" s="143"/>
      <c r="W565" s="102"/>
      <c r="X565" s="102" t="str">
        <f t="shared" si="102"/>
        <v/>
      </c>
      <c r="Y565" s="102"/>
      <c r="Z565" s="102"/>
      <c r="AA565" s="102"/>
      <c r="AB565" s="102"/>
      <c r="AC565" s="102"/>
      <c r="AD565" s="102"/>
      <c r="AE565" s="102"/>
      <c r="AF565" s="102"/>
      <c r="AG565" s="102"/>
      <c r="AH565" s="102"/>
      <c r="AI565" s="102"/>
      <c r="AJ565" s="102"/>
      <c r="AK565" s="102"/>
      <c r="AL565" s="102"/>
      <c r="AM565" s="102"/>
    </row>
    <row r="566" spans="1:39">
      <c r="A566" s="143"/>
      <c r="B566" s="143"/>
      <c r="C566" s="155"/>
      <c r="D566" s="143"/>
      <c r="E566" s="146"/>
      <c r="F566" s="147"/>
      <c r="G566" s="147"/>
      <c r="H566" s="148"/>
      <c r="I566" s="143"/>
      <c r="J566" s="143"/>
      <c r="K566" s="149"/>
      <c r="L566" s="150" t="str">
        <f t="shared" si="93"/>
        <v/>
      </c>
      <c r="M566" s="150" t="str">
        <f t="shared" si="94"/>
        <v/>
      </c>
      <c r="N566" s="151" t="str">
        <f t="shared" si="95"/>
        <v/>
      </c>
      <c r="O566" s="151" t="str">
        <f t="shared" si="96"/>
        <v/>
      </c>
      <c r="P566" s="151" t="str">
        <f t="shared" si="97"/>
        <v/>
      </c>
      <c r="Q566" s="151" t="str">
        <f t="shared" si="98"/>
        <v/>
      </c>
      <c r="R566" s="150" t="str">
        <f t="shared" si="99"/>
        <v/>
      </c>
      <c r="S566" s="150" t="str">
        <f t="shared" si="100"/>
        <v/>
      </c>
      <c r="T566" s="150" t="str">
        <f t="shared" si="101"/>
        <v/>
      </c>
      <c r="U566" s="152"/>
      <c r="V566" s="143"/>
      <c r="W566" s="102"/>
      <c r="X566" s="102" t="str">
        <f t="shared" si="102"/>
        <v/>
      </c>
      <c r="Y566" s="102"/>
      <c r="Z566" s="102"/>
      <c r="AA566" s="102"/>
      <c r="AB566" s="102"/>
      <c r="AC566" s="102"/>
      <c r="AD566" s="102"/>
      <c r="AE566" s="102"/>
      <c r="AF566" s="102"/>
      <c r="AG566" s="102"/>
      <c r="AH566" s="102"/>
      <c r="AI566" s="102"/>
      <c r="AJ566" s="102"/>
      <c r="AK566" s="102"/>
      <c r="AL566" s="102"/>
      <c r="AM566" s="102"/>
    </row>
    <row r="567" spans="1:39">
      <c r="A567" s="143"/>
      <c r="B567" s="143"/>
      <c r="C567" s="155"/>
      <c r="D567" s="143"/>
      <c r="E567" s="146"/>
      <c r="F567" s="147"/>
      <c r="G567" s="147"/>
      <c r="H567" s="148"/>
      <c r="I567" s="143"/>
      <c r="J567" s="143"/>
      <c r="K567" s="149"/>
      <c r="L567" s="150" t="str">
        <f t="shared" si="93"/>
        <v/>
      </c>
      <c r="M567" s="150" t="str">
        <f t="shared" si="94"/>
        <v/>
      </c>
      <c r="N567" s="151" t="str">
        <f t="shared" si="95"/>
        <v/>
      </c>
      <c r="O567" s="151" t="str">
        <f t="shared" si="96"/>
        <v/>
      </c>
      <c r="P567" s="151" t="str">
        <f t="shared" si="97"/>
        <v/>
      </c>
      <c r="Q567" s="151" t="str">
        <f t="shared" si="98"/>
        <v/>
      </c>
      <c r="R567" s="150" t="str">
        <f t="shared" si="99"/>
        <v/>
      </c>
      <c r="S567" s="150" t="str">
        <f t="shared" si="100"/>
        <v/>
      </c>
      <c r="T567" s="150" t="str">
        <f t="shared" si="101"/>
        <v/>
      </c>
      <c r="U567" s="152"/>
      <c r="V567" s="143"/>
      <c r="W567" s="102"/>
      <c r="X567" s="102" t="str">
        <f t="shared" si="102"/>
        <v/>
      </c>
      <c r="Y567" s="102"/>
      <c r="Z567" s="102"/>
      <c r="AA567" s="102"/>
      <c r="AB567" s="102"/>
      <c r="AC567" s="102"/>
      <c r="AD567" s="102"/>
      <c r="AE567" s="102"/>
      <c r="AF567" s="102"/>
      <c r="AG567" s="102"/>
      <c r="AH567" s="102"/>
      <c r="AI567" s="102"/>
      <c r="AJ567" s="102"/>
      <c r="AK567" s="102"/>
      <c r="AL567" s="102"/>
      <c r="AM567" s="102"/>
    </row>
    <row r="568" spans="1:39">
      <c r="A568" s="143"/>
      <c r="B568" s="143"/>
      <c r="C568" s="155"/>
      <c r="D568" s="143"/>
      <c r="E568" s="146"/>
      <c r="F568" s="147"/>
      <c r="G568" s="147"/>
      <c r="H568" s="148"/>
      <c r="I568" s="143"/>
      <c r="J568" s="143"/>
      <c r="K568" s="149"/>
      <c r="L568" s="150" t="str">
        <f t="shared" si="93"/>
        <v/>
      </c>
      <c r="M568" s="150" t="str">
        <f t="shared" si="94"/>
        <v/>
      </c>
      <c r="N568" s="151" t="str">
        <f t="shared" si="95"/>
        <v/>
      </c>
      <c r="O568" s="151" t="str">
        <f t="shared" si="96"/>
        <v/>
      </c>
      <c r="P568" s="151" t="str">
        <f t="shared" si="97"/>
        <v/>
      </c>
      <c r="Q568" s="151" t="str">
        <f t="shared" si="98"/>
        <v/>
      </c>
      <c r="R568" s="150" t="str">
        <f t="shared" si="99"/>
        <v/>
      </c>
      <c r="S568" s="150" t="str">
        <f t="shared" si="100"/>
        <v/>
      </c>
      <c r="T568" s="150" t="str">
        <f t="shared" si="101"/>
        <v/>
      </c>
      <c r="U568" s="152"/>
      <c r="V568" s="143"/>
      <c r="W568" s="102"/>
      <c r="X568" s="102" t="str">
        <f t="shared" si="102"/>
        <v/>
      </c>
      <c r="Y568" s="102"/>
      <c r="Z568" s="102"/>
      <c r="AA568" s="102"/>
      <c r="AB568" s="102"/>
      <c r="AC568" s="102"/>
      <c r="AD568" s="102"/>
      <c r="AE568" s="102"/>
      <c r="AF568" s="102"/>
      <c r="AG568" s="102"/>
      <c r="AH568" s="102"/>
      <c r="AI568" s="102"/>
      <c r="AJ568" s="102"/>
      <c r="AK568" s="102"/>
      <c r="AL568" s="102"/>
      <c r="AM568" s="102"/>
    </row>
    <row r="569" spans="1:39">
      <c r="A569" s="143"/>
      <c r="B569" s="143"/>
      <c r="C569" s="155"/>
      <c r="D569" s="143"/>
      <c r="E569" s="146"/>
      <c r="F569" s="147"/>
      <c r="G569" s="147"/>
      <c r="H569" s="148"/>
      <c r="I569" s="143"/>
      <c r="J569" s="143"/>
      <c r="K569" s="149"/>
      <c r="L569" s="150" t="str">
        <f t="shared" si="93"/>
        <v/>
      </c>
      <c r="M569" s="150" t="str">
        <f t="shared" si="94"/>
        <v/>
      </c>
      <c r="N569" s="151" t="str">
        <f t="shared" si="95"/>
        <v/>
      </c>
      <c r="O569" s="151" t="str">
        <f t="shared" si="96"/>
        <v/>
      </c>
      <c r="P569" s="151" t="str">
        <f t="shared" si="97"/>
        <v/>
      </c>
      <c r="Q569" s="151" t="str">
        <f t="shared" si="98"/>
        <v/>
      </c>
      <c r="R569" s="150" t="str">
        <f t="shared" si="99"/>
        <v/>
      </c>
      <c r="S569" s="150" t="str">
        <f t="shared" si="100"/>
        <v/>
      </c>
      <c r="T569" s="150" t="str">
        <f t="shared" si="101"/>
        <v/>
      </c>
      <c r="U569" s="152"/>
      <c r="V569" s="143"/>
      <c r="W569" s="102"/>
      <c r="X569" s="102" t="str">
        <f t="shared" si="102"/>
        <v/>
      </c>
      <c r="Y569" s="102"/>
      <c r="Z569" s="102"/>
      <c r="AA569" s="102"/>
      <c r="AB569" s="102"/>
      <c r="AC569" s="102"/>
      <c r="AD569" s="102"/>
      <c r="AE569" s="102"/>
      <c r="AF569" s="102"/>
      <c r="AG569" s="102"/>
      <c r="AH569" s="102"/>
      <c r="AI569" s="102"/>
      <c r="AJ569" s="102"/>
      <c r="AK569" s="102"/>
      <c r="AL569" s="102"/>
      <c r="AM569" s="102"/>
    </row>
    <row r="570" spans="1:39">
      <c r="A570" s="143"/>
      <c r="B570" s="143"/>
      <c r="C570" s="155"/>
      <c r="D570" s="143"/>
      <c r="E570" s="146"/>
      <c r="F570" s="147"/>
      <c r="G570" s="147"/>
      <c r="H570" s="148"/>
      <c r="I570" s="143"/>
      <c r="J570" s="143"/>
      <c r="K570" s="149"/>
      <c r="L570" s="150" t="str">
        <f t="shared" si="93"/>
        <v/>
      </c>
      <c r="M570" s="150" t="str">
        <f t="shared" si="94"/>
        <v/>
      </c>
      <c r="N570" s="151" t="str">
        <f t="shared" si="95"/>
        <v/>
      </c>
      <c r="O570" s="151" t="str">
        <f t="shared" si="96"/>
        <v/>
      </c>
      <c r="P570" s="151" t="str">
        <f t="shared" si="97"/>
        <v/>
      </c>
      <c r="Q570" s="151" t="str">
        <f t="shared" si="98"/>
        <v/>
      </c>
      <c r="R570" s="150" t="str">
        <f t="shared" si="99"/>
        <v/>
      </c>
      <c r="S570" s="150" t="str">
        <f t="shared" si="100"/>
        <v/>
      </c>
      <c r="T570" s="150" t="str">
        <f t="shared" si="101"/>
        <v/>
      </c>
      <c r="U570" s="152"/>
      <c r="V570" s="143"/>
      <c r="W570" s="102"/>
      <c r="X570" s="102" t="str">
        <f t="shared" si="102"/>
        <v/>
      </c>
      <c r="Y570" s="102"/>
      <c r="Z570" s="102"/>
      <c r="AA570" s="102"/>
      <c r="AB570" s="102"/>
      <c r="AC570" s="102"/>
      <c r="AD570" s="102"/>
      <c r="AE570" s="102"/>
      <c r="AF570" s="102"/>
      <c r="AG570" s="102"/>
      <c r="AH570" s="102"/>
      <c r="AI570" s="102"/>
      <c r="AJ570" s="102"/>
      <c r="AK570" s="102"/>
      <c r="AL570" s="102"/>
      <c r="AM570" s="102"/>
    </row>
    <row r="571" spans="1:39">
      <c r="A571" s="143"/>
      <c r="B571" s="143"/>
      <c r="C571" s="155"/>
      <c r="D571" s="143"/>
      <c r="E571" s="146"/>
      <c r="F571" s="147"/>
      <c r="G571" s="147"/>
      <c r="H571" s="148"/>
      <c r="I571" s="143"/>
      <c r="J571" s="143"/>
      <c r="K571" s="149"/>
      <c r="L571" s="150" t="str">
        <f t="shared" si="93"/>
        <v/>
      </c>
      <c r="M571" s="150" t="str">
        <f t="shared" si="94"/>
        <v/>
      </c>
      <c r="N571" s="151" t="str">
        <f t="shared" si="95"/>
        <v/>
      </c>
      <c r="O571" s="151" t="str">
        <f t="shared" si="96"/>
        <v/>
      </c>
      <c r="P571" s="151" t="str">
        <f t="shared" si="97"/>
        <v/>
      </c>
      <c r="Q571" s="151" t="str">
        <f t="shared" si="98"/>
        <v/>
      </c>
      <c r="R571" s="150" t="str">
        <f t="shared" si="99"/>
        <v/>
      </c>
      <c r="S571" s="150" t="str">
        <f t="shared" si="100"/>
        <v/>
      </c>
      <c r="T571" s="150" t="str">
        <f t="shared" si="101"/>
        <v/>
      </c>
      <c r="U571" s="152"/>
      <c r="V571" s="143"/>
      <c r="W571" s="102"/>
      <c r="X571" s="102" t="str">
        <f t="shared" si="102"/>
        <v/>
      </c>
      <c r="Y571" s="102"/>
      <c r="Z571" s="102"/>
      <c r="AA571" s="102"/>
      <c r="AB571" s="102"/>
      <c r="AC571" s="102"/>
      <c r="AD571" s="102"/>
      <c r="AE571" s="102"/>
      <c r="AF571" s="102"/>
      <c r="AG571" s="102"/>
      <c r="AH571" s="102"/>
      <c r="AI571" s="102"/>
      <c r="AJ571" s="102"/>
      <c r="AK571" s="102"/>
      <c r="AL571" s="102"/>
      <c r="AM571" s="102"/>
    </row>
    <row r="572" spans="1:39">
      <c r="A572" s="143"/>
      <c r="B572" s="143"/>
      <c r="C572" s="155"/>
      <c r="D572" s="143"/>
      <c r="E572" s="146"/>
      <c r="F572" s="147"/>
      <c r="G572" s="147"/>
      <c r="H572" s="148"/>
      <c r="I572" s="143"/>
      <c r="J572" s="143"/>
      <c r="K572" s="149"/>
      <c r="L572" s="150" t="str">
        <f t="shared" si="93"/>
        <v/>
      </c>
      <c r="M572" s="150" t="str">
        <f t="shared" si="94"/>
        <v/>
      </c>
      <c r="N572" s="151" t="str">
        <f t="shared" si="95"/>
        <v/>
      </c>
      <c r="O572" s="151" t="str">
        <f t="shared" si="96"/>
        <v/>
      </c>
      <c r="P572" s="151" t="str">
        <f t="shared" si="97"/>
        <v/>
      </c>
      <c r="Q572" s="151" t="str">
        <f t="shared" si="98"/>
        <v/>
      </c>
      <c r="R572" s="150" t="str">
        <f t="shared" si="99"/>
        <v/>
      </c>
      <c r="S572" s="150" t="str">
        <f t="shared" si="100"/>
        <v/>
      </c>
      <c r="T572" s="150" t="str">
        <f t="shared" si="101"/>
        <v/>
      </c>
      <c r="U572" s="152"/>
      <c r="V572" s="143"/>
      <c r="W572" s="102"/>
      <c r="X572" s="102" t="str">
        <f t="shared" si="102"/>
        <v/>
      </c>
      <c r="Y572" s="102"/>
      <c r="Z572" s="102"/>
      <c r="AA572" s="102"/>
      <c r="AB572" s="102"/>
      <c r="AC572" s="102"/>
      <c r="AD572" s="102"/>
      <c r="AE572" s="102"/>
      <c r="AF572" s="102"/>
      <c r="AG572" s="102"/>
      <c r="AH572" s="102"/>
      <c r="AI572" s="102"/>
      <c r="AJ572" s="102"/>
      <c r="AK572" s="102"/>
      <c r="AL572" s="102"/>
      <c r="AM572" s="102"/>
    </row>
    <row r="573" spans="1:39">
      <c r="A573" s="143"/>
      <c r="B573" s="143"/>
      <c r="C573" s="155"/>
      <c r="D573" s="143"/>
      <c r="E573" s="146"/>
      <c r="F573" s="147"/>
      <c r="G573" s="147"/>
      <c r="H573" s="148"/>
      <c r="I573" s="143"/>
      <c r="J573" s="143"/>
      <c r="K573" s="149"/>
      <c r="L573" s="150" t="str">
        <f t="shared" si="93"/>
        <v/>
      </c>
      <c r="M573" s="150" t="str">
        <f t="shared" si="94"/>
        <v/>
      </c>
      <c r="N573" s="151" t="str">
        <f t="shared" si="95"/>
        <v/>
      </c>
      <c r="O573" s="151" t="str">
        <f t="shared" si="96"/>
        <v/>
      </c>
      <c r="P573" s="151" t="str">
        <f t="shared" si="97"/>
        <v/>
      </c>
      <c r="Q573" s="151" t="str">
        <f t="shared" si="98"/>
        <v/>
      </c>
      <c r="R573" s="150" t="str">
        <f t="shared" si="99"/>
        <v/>
      </c>
      <c r="S573" s="150" t="str">
        <f t="shared" si="100"/>
        <v/>
      </c>
      <c r="T573" s="150" t="str">
        <f t="shared" si="101"/>
        <v/>
      </c>
      <c r="U573" s="152"/>
      <c r="V573" s="143"/>
      <c r="W573" s="102"/>
      <c r="X573" s="102" t="str">
        <f t="shared" si="102"/>
        <v/>
      </c>
      <c r="Y573" s="102"/>
      <c r="Z573" s="102"/>
      <c r="AA573" s="102"/>
      <c r="AB573" s="102"/>
      <c r="AC573" s="102"/>
      <c r="AD573" s="102"/>
      <c r="AE573" s="102"/>
      <c r="AF573" s="102"/>
      <c r="AG573" s="102"/>
      <c r="AH573" s="102"/>
      <c r="AI573" s="102"/>
      <c r="AJ573" s="102"/>
      <c r="AK573" s="102"/>
      <c r="AL573" s="102"/>
      <c r="AM573" s="102"/>
    </row>
    <row r="574" spans="1:39">
      <c r="A574" s="143"/>
      <c r="B574" s="143"/>
      <c r="C574" s="155"/>
      <c r="D574" s="143"/>
      <c r="E574" s="146"/>
      <c r="F574" s="147"/>
      <c r="G574" s="147"/>
      <c r="H574" s="148"/>
      <c r="I574" s="143"/>
      <c r="J574" s="143"/>
      <c r="K574" s="149"/>
      <c r="L574" s="150" t="str">
        <f t="shared" si="93"/>
        <v/>
      </c>
      <c r="M574" s="150" t="str">
        <f t="shared" si="94"/>
        <v/>
      </c>
      <c r="N574" s="151" t="str">
        <f t="shared" si="95"/>
        <v/>
      </c>
      <c r="O574" s="151" t="str">
        <f t="shared" si="96"/>
        <v/>
      </c>
      <c r="P574" s="151" t="str">
        <f t="shared" si="97"/>
        <v/>
      </c>
      <c r="Q574" s="151" t="str">
        <f t="shared" si="98"/>
        <v/>
      </c>
      <c r="R574" s="150" t="str">
        <f t="shared" si="99"/>
        <v/>
      </c>
      <c r="S574" s="150" t="str">
        <f t="shared" si="100"/>
        <v/>
      </c>
      <c r="T574" s="150" t="str">
        <f t="shared" si="101"/>
        <v/>
      </c>
      <c r="U574" s="152"/>
      <c r="V574" s="143"/>
      <c r="W574" s="102"/>
      <c r="X574" s="102" t="str">
        <f t="shared" si="102"/>
        <v/>
      </c>
      <c r="Y574" s="102"/>
      <c r="Z574" s="102"/>
      <c r="AA574" s="102"/>
      <c r="AB574" s="102"/>
      <c r="AC574" s="102"/>
      <c r="AD574" s="102"/>
      <c r="AE574" s="102"/>
      <c r="AF574" s="102"/>
      <c r="AG574" s="102"/>
      <c r="AH574" s="102"/>
      <c r="AI574" s="102"/>
      <c r="AJ574" s="102"/>
      <c r="AK574" s="102"/>
      <c r="AL574" s="102"/>
      <c r="AM574" s="102"/>
    </row>
    <row r="575" spans="1:39">
      <c r="A575" s="143"/>
      <c r="B575" s="143"/>
      <c r="C575" s="155"/>
      <c r="D575" s="143"/>
      <c r="E575" s="146"/>
      <c r="F575" s="147"/>
      <c r="G575" s="147"/>
      <c r="H575" s="148"/>
      <c r="I575" s="143"/>
      <c r="J575" s="143"/>
      <c r="K575" s="149"/>
      <c r="L575" s="150" t="str">
        <f t="shared" si="93"/>
        <v/>
      </c>
      <c r="M575" s="150" t="str">
        <f t="shared" si="94"/>
        <v/>
      </c>
      <c r="N575" s="151" t="str">
        <f t="shared" si="95"/>
        <v/>
      </c>
      <c r="O575" s="151" t="str">
        <f t="shared" si="96"/>
        <v/>
      </c>
      <c r="P575" s="151" t="str">
        <f t="shared" si="97"/>
        <v/>
      </c>
      <c r="Q575" s="151" t="str">
        <f t="shared" si="98"/>
        <v/>
      </c>
      <c r="R575" s="150" t="str">
        <f t="shared" si="99"/>
        <v/>
      </c>
      <c r="S575" s="150" t="str">
        <f t="shared" si="100"/>
        <v/>
      </c>
      <c r="T575" s="150" t="str">
        <f t="shared" si="101"/>
        <v/>
      </c>
      <c r="U575" s="152"/>
      <c r="V575" s="143"/>
      <c r="W575" s="102"/>
      <c r="X575" s="102" t="str">
        <f t="shared" si="102"/>
        <v/>
      </c>
      <c r="Y575" s="102"/>
      <c r="Z575" s="102"/>
      <c r="AA575" s="102"/>
      <c r="AB575" s="102"/>
      <c r="AC575" s="102"/>
      <c r="AD575" s="102"/>
      <c r="AE575" s="102"/>
      <c r="AF575" s="102"/>
      <c r="AG575" s="102"/>
      <c r="AH575" s="102"/>
      <c r="AI575" s="102"/>
      <c r="AJ575" s="102"/>
      <c r="AK575" s="102"/>
      <c r="AL575" s="102"/>
      <c r="AM575" s="102"/>
    </row>
    <row r="576" spans="1:39">
      <c r="A576" s="143"/>
      <c r="B576" s="143"/>
      <c r="C576" s="155"/>
      <c r="D576" s="143"/>
      <c r="E576" s="146"/>
      <c r="F576" s="147"/>
      <c r="G576" s="147"/>
      <c r="H576" s="148"/>
      <c r="I576" s="143"/>
      <c r="J576" s="143"/>
      <c r="K576" s="149"/>
      <c r="L576" s="150" t="str">
        <f t="shared" si="93"/>
        <v/>
      </c>
      <c r="M576" s="150" t="str">
        <f t="shared" si="94"/>
        <v/>
      </c>
      <c r="N576" s="151" t="str">
        <f t="shared" si="95"/>
        <v/>
      </c>
      <c r="O576" s="151" t="str">
        <f t="shared" si="96"/>
        <v/>
      </c>
      <c r="P576" s="151" t="str">
        <f t="shared" si="97"/>
        <v/>
      </c>
      <c r="Q576" s="151" t="str">
        <f t="shared" si="98"/>
        <v/>
      </c>
      <c r="R576" s="150" t="str">
        <f t="shared" si="99"/>
        <v/>
      </c>
      <c r="S576" s="150" t="str">
        <f t="shared" si="100"/>
        <v/>
      </c>
      <c r="T576" s="150" t="str">
        <f t="shared" si="101"/>
        <v/>
      </c>
      <c r="U576" s="152"/>
      <c r="V576" s="143"/>
      <c r="W576" s="102"/>
      <c r="X576" s="102" t="str">
        <f t="shared" si="102"/>
        <v/>
      </c>
      <c r="Y576" s="102"/>
      <c r="Z576" s="102"/>
      <c r="AA576" s="102"/>
      <c r="AB576" s="102"/>
      <c r="AC576" s="102"/>
      <c r="AD576" s="102"/>
      <c r="AE576" s="102"/>
      <c r="AF576" s="102"/>
      <c r="AG576" s="102"/>
      <c r="AH576" s="102"/>
      <c r="AI576" s="102"/>
      <c r="AJ576" s="102"/>
      <c r="AK576" s="102"/>
      <c r="AL576" s="102"/>
      <c r="AM576" s="102"/>
    </row>
    <row r="577" spans="1:39">
      <c r="A577" s="143"/>
      <c r="B577" s="143"/>
      <c r="C577" s="155"/>
      <c r="D577" s="143"/>
      <c r="E577" s="146"/>
      <c r="F577" s="147"/>
      <c r="G577" s="147"/>
      <c r="H577" s="148"/>
      <c r="I577" s="143"/>
      <c r="J577" s="143"/>
      <c r="K577" s="149"/>
      <c r="L577" s="150" t="str">
        <f t="shared" si="93"/>
        <v/>
      </c>
      <c r="M577" s="150" t="str">
        <f t="shared" si="94"/>
        <v/>
      </c>
      <c r="N577" s="151" t="str">
        <f t="shared" si="95"/>
        <v/>
      </c>
      <c r="O577" s="151" t="str">
        <f t="shared" si="96"/>
        <v/>
      </c>
      <c r="P577" s="151" t="str">
        <f t="shared" si="97"/>
        <v/>
      </c>
      <c r="Q577" s="151" t="str">
        <f t="shared" si="98"/>
        <v/>
      </c>
      <c r="R577" s="150" t="str">
        <f t="shared" si="99"/>
        <v/>
      </c>
      <c r="S577" s="150" t="str">
        <f t="shared" si="100"/>
        <v/>
      </c>
      <c r="T577" s="150" t="str">
        <f t="shared" si="101"/>
        <v/>
      </c>
      <c r="U577" s="152"/>
      <c r="V577" s="143"/>
      <c r="W577" s="102"/>
      <c r="X577" s="102" t="str">
        <f t="shared" si="102"/>
        <v/>
      </c>
      <c r="Y577" s="102"/>
      <c r="Z577" s="102"/>
      <c r="AA577" s="102"/>
      <c r="AB577" s="102"/>
      <c r="AC577" s="102"/>
      <c r="AD577" s="102"/>
      <c r="AE577" s="102"/>
      <c r="AF577" s="102"/>
      <c r="AG577" s="102"/>
      <c r="AH577" s="102"/>
      <c r="AI577" s="102"/>
      <c r="AJ577" s="102"/>
      <c r="AK577" s="102"/>
      <c r="AL577" s="102"/>
      <c r="AM577" s="102"/>
    </row>
    <row r="578" spans="1:39">
      <c r="A578" s="143"/>
      <c r="B578" s="143"/>
      <c r="C578" s="155"/>
      <c r="D578" s="143"/>
      <c r="E578" s="146"/>
      <c r="F578" s="147"/>
      <c r="G578" s="147"/>
      <c r="H578" s="148"/>
      <c r="I578" s="143"/>
      <c r="J578" s="143"/>
      <c r="K578" s="149"/>
      <c r="L578" s="150" t="str">
        <f t="shared" si="93"/>
        <v/>
      </c>
      <c r="M578" s="150" t="str">
        <f t="shared" si="94"/>
        <v/>
      </c>
      <c r="N578" s="151" t="str">
        <f t="shared" si="95"/>
        <v/>
      </c>
      <c r="O578" s="151" t="str">
        <f t="shared" si="96"/>
        <v/>
      </c>
      <c r="P578" s="151" t="str">
        <f t="shared" si="97"/>
        <v/>
      </c>
      <c r="Q578" s="151" t="str">
        <f t="shared" si="98"/>
        <v/>
      </c>
      <c r="R578" s="150" t="str">
        <f t="shared" si="99"/>
        <v/>
      </c>
      <c r="S578" s="150" t="str">
        <f t="shared" si="100"/>
        <v/>
      </c>
      <c r="T578" s="150" t="str">
        <f t="shared" si="101"/>
        <v/>
      </c>
      <c r="U578" s="152"/>
      <c r="V578" s="143"/>
      <c r="W578" s="102"/>
      <c r="X578" s="102" t="str">
        <f t="shared" si="102"/>
        <v/>
      </c>
      <c r="Y578" s="102"/>
      <c r="Z578" s="102"/>
      <c r="AA578" s="102"/>
      <c r="AB578" s="102"/>
      <c r="AC578" s="102"/>
      <c r="AD578" s="102"/>
      <c r="AE578" s="102"/>
      <c r="AF578" s="102"/>
      <c r="AG578" s="102"/>
      <c r="AH578" s="102"/>
      <c r="AI578" s="102"/>
      <c r="AJ578" s="102"/>
      <c r="AK578" s="102"/>
      <c r="AL578" s="102"/>
      <c r="AM578" s="102"/>
    </row>
    <row r="579" spans="1:39">
      <c r="A579" s="143"/>
      <c r="B579" s="143"/>
      <c r="C579" s="155"/>
      <c r="D579" s="143"/>
      <c r="E579" s="146"/>
      <c r="F579" s="147"/>
      <c r="G579" s="147"/>
      <c r="H579" s="148"/>
      <c r="I579" s="143"/>
      <c r="J579" s="143"/>
      <c r="K579" s="149"/>
      <c r="L579" s="150" t="str">
        <f t="shared" si="93"/>
        <v/>
      </c>
      <c r="M579" s="150" t="str">
        <f t="shared" si="94"/>
        <v/>
      </c>
      <c r="N579" s="151" t="str">
        <f t="shared" si="95"/>
        <v/>
      </c>
      <c r="O579" s="151" t="str">
        <f t="shared" si="96"/>
        <v/>
      </c>
      <c r="P579" s="151" t="str">
        <f t="shared" si="97"/>
        <v/>
      </c>
      <c r="Q579" s="151" t="str">
        <f t="shared" si="98"/>
        <v/>
      </c>
      <c r="R579" s="150" t="str">
        <f t="shared" si="99"/>
        <v/>
      </c>
      <c r="S579" s="150" t="str">
        <f t="shared" si="100"/>
        <v/>
      </c>
      <c r="T579" s="150" t="str">
        <f t="shared" si="101"/>
        <v/>
      </c>
      <c r="U579" s="152"/>
      <c r="V579" s="143"/>
      <c r="W579" s="102"/>
      <c r="X579" s="102" t="str">
        <f t="shared" si="102"/>
        <v/>
      </c>
      <c r="Y579" s="102"/>
      <c r="Z579" s="102"/>
      <c r="AA579" s="102"/>
      <c r="AB579" s="102"/>
      <c r="AC579" s="102"/>
      <c r="AD579" s="102"/>
      <c r="AE579" s="102"/>
      <c r="AF579" s="102"/>
      <c r="AG579" s="102"/>
      <c r="AH579" s="102"/>
      <c r="AI579" s="102"/>
      <c r="AJ579" s="102"/>
      <c r="AK579" s="102"/>
      <c r="AL579" s="102"/>
      <c r="AM579" s="102"/>
    </row>
    <row r="580" spans="1:39">
      <c r="A580" s="143"/>
      <c r="B580" s="143"/>
      <c r="C580" s="155"/>
      <c r="D580" s="143"/>
      <c r="E580" s="146"/>
      <c r="F580" s="147"/>
      <c r="G580" s="147"/>
      <c r="H580" s="148"/>
      <c r="I580" s="143"/>
      <c r="J580" s="143"/>
      <c r="K580" s="149"/>
      <c r="L580" s="150" t="str">
        <f t="shared" si="93"/>
        <v/>
      </c>
      <c r="M580" s="150" t="str">
        <f t="shared" si="94"/>
        <v/>
      </c>
      <c r="N580" s="151" t="str">
        <f t="shared" si="95"/>
        <v/>
      </c>
      <c r="O580" s="151" t="str">
        <f t="shared" si="96"/>
        <v/>
      </c>
      <c r="P580" s="151" t="str">
        <f t="shared" si="97"/>
        <v/>
      </c>
      <c r="Q580" s="151" t="str">
        <f t="shared" si="98"/>
        <v/>
      </c>
      <c r="R580" s="150" t="str">
        <f t="shared" si="99"/>
        <v/>
      </c>
      <c r="S580" s="150" t="str">
        <f t="shared" si="100"/>
        <v/>
      </c>
      <c r="T580" s="150" t="str">
        <f t="shared" si="101"/>
        <v/>
      </c>
      <c r="U580" s="152"/>
      <c r="V580" s="143"/>
      <c r="W580" s="102"/>
      <c r="X580" s="102" t="str">
        <f t="shared" si="102"/>
        <v/>
      </c>
      <c r="Y580" s="102"/>
      <c r="Z580" s="102"/>
      <c r="AA580" s="102"/>
      <c r="AB580" s="102"/>
      <c r="AC580" s="102"/>
      <c r="AD580" s="102"/>
      <c r="AE580" s="102"/>
      <c r="AF580" s="102"/>
      <c r="AG580" s="102"/>
      <c r="AH580" s="102"/>
      <c r="AI580" s="102"/>
      <c r="AJ580" s="102"/>
      <c r="AK580" s="102"/>
      <c r="AL580" s="102"/>
      <c r="AM580" s="102"/>
    </row>
    <row r="581" spans="1:39">
      <c r="A581" s="143"/>
      <c r="B581" s="143"/>
      <c r="C581" s="155"/>
      <c r="D581" s="143"/>
      <c r="E581" s="146"/>
      <c r="F581" s="147"/>
      <c r="G581" s="147"/>
      <c r="H581" s="148"/>
      <c r="I581" s="143"/>
      <c r="J581" s="143"/>
      <c r="K581" s="149"/>
      <c r="L581" s="150" t="str">
        <f t="shared" si="93"/>
        <v/>
      </c>
      <c r="M581" s="150" t="str">
        <f t="shared" si="94"/>
        <v/>
      </c>
      <c r="N581" s="151" t="str">
        <f t="shared" si="95"/>
        <v/>
      </c>
      <c r="O581" s="151" t="str">
        <f t="shared" si="96"/>
        <v/>
      </c>
      <c r="P581" s="151" t="str">
        <f t="shared" si="97"/>
        <v/>
      </c>
      <c r="Q581" s="151" t="str">
        <f t="shared" si="98"/>
        <v/>
      </c>
      <c r="R581" s="150" t="str">
        <f t="shared" si="99"/>
        <v/>
      </c>
      <c r="S581" s="150" t="str">
        <f t="shared" si="100"/>
        <v/>
      </c>
      <c r="T581" s="150" t="str">
        <f t="shared" si="101"/>
        <v/>
      </c>
      <c r="U581" s="152"/>
      <c r="V581" s="143"/>
      <c r="W581" s="102"/>
      <c r="X581" s="102" t="str">
        <f t="shared" si="102"/>
        <v/>
      </c>
      <c r="Y581" s="102"/>
      <c r="Z581" s="102"/>
      <c r="AA581" s="102"/>
      <c r="AB581" s="102"/>
      <c r="AC581" s="102"/>
      <c r="AD581" s="102"/>
      <c r="AE581" s="102"/>
      <c r="AF581" s="102"/>
      <c r="AG581" s="102"/>
      <c r="AH581" s="102"/>
      <c r="AI581" s="102"/>
      <c r="AJ581" s="102"/>
      <c r="AK581" s="102"/>
      <c r="AL581" s="102"/>
      <c r="AM581" s="102"/>
    </row>
    <row r="582" spans="1:39">
      <c r="A582" s="143"/>
      <c r="B582" s="143"/>
      <c r="C582" s="155"/>
      <c r="D582" s="143"/>
      <c r="E582" s="146"/>
      <c r="F582" s="147"/>
      <c r="G582" s="147"/>
      <c r="H582" s="148"/>
      <c r="I582" s="143"/>
      <c r="J582" s="143"/>
      <c r="K582" s="149"/>
      <c r="L582" s="150" t="str">
        <f t="shared" si="93"/>
        <v/>
      </c>
      <c r="M582" s="150" t="str">
        <f t="shared" si="94"/>
        <v/>
      </c>
      <c r="N582" s="151" t="str">
        <f t="shared" si="95"/>
        <v/>
      </c>
      <c r="O582" s="151" t="str">
        <f t="shared" si="96"/>
        <v/>
      </c>
      <c r="P582" s="151" t="str">
        <f t="shared" si="97"/>
        <v/>
      </c>
      <c r="Q582" s="151" t="str">
        <f t="shared" si="98"/>
        <v/>
      </c>
      <c r="R582" s="150" t="str">
        <f t="shared" si="99"/>
        <v/>
      </c>
      <c r="S582" s="150" t="str">
        <f t="shared" si="100"/>
        <v/>
      </c>
      <c r="T582" s="150" t="str">
        <f t="shared" si="101"/>
        <v/>
      </c>
      <c r="U582" s="152"/>
      <c r="V582" s="143"/>
      <c r="W582" s="102"/>
      <c r="X582" s="102" t="str">
        <f t="shared" si="102"/>
        <v/>
      </c>
      <c r="Y582" s="102"/>
      <c r="Z582" s="102"/>
      <c r="AA582" s="102"/>
      <c r="AB582" s="102"/>
      <c r="AC582" s="102"/>
      <c r="AD582" s="102"/>
      <c r="AE582" s="102"/>
      <c r="AF582" s="102"/>
      <c r="AG582" s="102"/>
      <c r="AH582" s="102"/>
      <c r="AI582" s="102"/>
      <c r="AJ582" s="102"/>
      <c r="AK582" s="102"/>
      <c r="AL582" s="102"/>
      <c r="AM582" s="102"/>
    </row>
    <row r="583" spans="1:39">
      <c r="A583" s="143"/>
      <c r="B583" s="143"/>
      <c r="C583" s="155"/>
      <c r="D583" s="143"/>
      <c r="E583" s="146"/>
      <c r="F583" s="147"/>
      <c r="G583" s="147"/>
      <c r="H583" s="148"/>
      <c r="I583" s="143"/>
      <c r="J583" s="143"/>
      <c r="K583" s="149"/>
      <c r="L583" s="150" t="str">
        <f t="shared" si="93"/>
        <v/>
      </c>
      <c r="M583" s="150" t="str">
        <f t="shared" si="94"/>
        <v/>
      </c>
      <c r="N583" s="151" t="str">
        <f t="shared" si="95"/>
        <v/>
      </c>
      <c r="O583" s="151" t="str">
        <f t="shared" si="96"/>
        <v/>
      </c>
      <c r="P583" s="151" t="str">
        <f t="shared" si="97"/>
        <v/>
      </c>
      <c r="Q583" s="151" t="str">
        <f t="shared" si="98"/>
        <v/>
      </c>
      <c r="R583" s="150" t="str">
        <f t="shared" si="99"/>
        <v/>
      </c>
      <c r="S583" s="150" t="str">
        <f t="shared" si="100"/>
        <v/>
      </c>
      <c r="T583" s="150" t="str">
        <f t="shared" si="101"/>
        <v/>
      </c>
      <c r="U583" s="152"/>
      <c r="V583" s="143"/>
      <c r="W583" s="102"/>
      <c r="X583" s="102" t="str">
        <f t="shared" si="102"/>
        <v/>
      </c>
      <c r="Y583" s="102"/>
      <c r="Z583" s="102"/>
      <c r="AA583" s="102"/>
      <c r="AB583" s="102"/>
      <c r="AC583" s="102"/>
      <c r="AD583" s="102"/>
      <c r="AE583" s="102"/>
      <c r="AF583" s="102"/>
      <c r="AG583" s="102"/>
      <c r="AH583" s="102"/>
      <c r="AI583" s="102"/>
      <c r="AJ583" s="102"/>
      <c r="AK583" s="102"/>
      <c r="AL583" s="102"/>
      <c r="AM583" s="102"/>
    </row>
    <row r="584" spans="1:39">
      <c r="A584" s="143"/>
      <c r="B584" s="143"/>
      <c r="C584" s="155"/>
      <c r="D584" s="143"/>
      <c r="E584" s="146"/>
      <c r="F584" s="147"/>
      <c r="G584" s="147"/>
      <c r="H584" s="148"/>
      <c r="I584" s="143"/>
      <c r="J584" s="143"/>
      <c r="K584" s="149"/>
      <c r="L584" s="150" t="str">
        <f t="shared" si="93"/>
        <v/>
      </c>
      <c r="M584" s="150" t="str">
        <f t="shared" si="94"/>
        <v/>
      </c>
      <c r="N584" s="151" t="str">
        <f t="shared" si="95"/>
        <v/>
      </c>
      <c r="O584" s="151" t="str">
        <f t="shared" si="96"/>
        <v/>
      </c>
      <c r="P584" s="151" t="str">
        <f t="shared" si="97"/>
        <v/>
      </c>
      <c r="Q584" s="151" t="str">
        <f t="shared" si="98"/>
        <v/>
      </c>
      <c r="R584" s="150" t="str">
        <f t="shared" si="99"/>
        <v/>
      </c>
      <c r="S584" s="150" t="str">
        <f t="shared" si="100"/>
        <v/>
      </c>
      <c r="T584" s="150" t="str">
        <f t="shared" si="101"/>
        <v/>
      </c>
      <c r="U584" s="152"/>
      <c r="V584" s="143"/>
      <c r="W584" s="102"/>
      <c r="X584" s="102" t="str">
        <f t="shared" si="102"/>
        <v/>
      </c>
      <c r="Y584" s="102"/>
      <c r="Z584" s="102"/>
      <c r="AA584" s="102"/>
      <c r="AB584" s="102"/>
      <c r="AC584" s="102"/>
      <c r="AD584" s="102"/>
      <c r="AE584" s="102"/>
      <c r="AF584" s="102"/>
      <c r="AG584" s="102"/>
      <c r="AH584" s="102"/>
      <c r="AI584" s="102"/>
      <c r="AJ584" s="102"/>
      <c r="AK584" s="102"/>
      <c r="AL584" s="102"/>
      <c r="AM584" s="102"/>
    </row>
    <row r="585" spans="1:39">
      <c r="A585" s="143"/>
      <c r="B585" s="143"/>
      <c r="C585" s="155"/>
      <c r="D585" s="143"/>
      <c r="E585" s="146"/>
      <c r="F585" s="147"/>
      <c r="G585" s="147"/>
      <c r="H585" s="148"/>
      <c r="I585" s="143"/>
      <c r="J585" s="143"/>
      <c r="K585" s="149"/>
      <c r="L585" s="150" t="str">
        <f t="shared" si="93"/>
        <v/>
      </c>
      <c r="M585" s="150" t="str">
        <f t="shared" si="94"/>
        <v/>
      </c>
      <c r="N585" s="151" t="str">
        <f t="shared" si="95"/>
        <v/>
      </c>
      <c r="O585" s="151" t="str">
        <f t="shared" si="96"/>
        <v/>
      </c>
      <c r="P585" s="151" t="str">
        <f t="shared" si="97"/>
        <v/>
      </c>
      <c r="Q585" s="151" t="str">
        <f t="shared" si="98"/>
        <v/>
      </c>
      <c r="R585" s="150" t="str">
        <f t="shared" si="99"/>
        <v/>
      </c>
      <c r="S585" s="150" t="str">
        <f t="shared" si="100"/>
        <v/>
      </c>
      <c r="T585" s="150" t="str">
        <f t="shared" si="101"/>
        <v/>
      </c>
      <c r="U585" s="152"/>
      <c r="V585" s="143"/>
      <c r="W585" s="102"/>
      <c r="X585" s="102" t="str">
        <f t="shared" si="102"/>
        <v/>
      </c>
      <c r="Y585" s="102"/>
      <c r="Z585" s="102"/>
      <c r="AA585" s="102"/>
      <c r="AB585" s="102"/>
      <c r="AC585" s="102"/>
      <c r="AD585" s="102"/>
      <c r="AE585" s="102"/>
      <c r="AF585" s="102"/>
      <c r="AG585" s="102"/>
      <c r="AH585" s="102"/>
      <c r="AI585" s="102"/>
      <c r="AJ585" s="102"/>
      <c r="AK585" s="102"/>
      <c r="AL585" s="102"/>
      <c r="AM585" s="102"/>
    </row>
    <row r="586" spans="1:39">
      <c r="A586" s="143"/>
      <c r="B586" s="143"/>
      <c r="C586" s="155"/>
      <c r="D586" s="143"/>
      <c r="E586" s="146"/>
      <c r="F586" s="147"/>
      <c r="G586" s="147"/>
      <c r="H586" s="148"/>
      <c r="I586" s="143"/>
      <c r="J586" s="143"/>
      <c r="K586" s="149"/>
      <c r="L586" s="150" t="str">
        <f t="shared" ref="L586:L649" si="103">IF(K586="","",IF(K586="W",R586*J586-J586,IF(K586="L",-J586,0)))</f>
        <v/>
      </c>
      <c r="M586" s="150" t="str">
        <f t="shared" ref="M586:M649" si="104">IF(K586="","",IF(K586="W",S586*J586-J586,IF(K586="L",-J586,0)))</f>
        <v/>
      </c>
      <c r="N586" s="151" t="str">
        <f t="shared" ref="N586:N649" si="105">IFERROR((1/S586-1/R586)/(1/R586),"")</f>
        <v/>
      </c>
      <c r="O586" s="151" t="str">
        <f t="shared" ref="O586:O649" si="106">IFERROR(IF(Q586="","",P586 - Q586),"")</f>
        <v/>
      </c>
      <c r="P586" s="151" t="str">
        <f t="shared" ref="P586:P649" si="107">IF(F586="","",IF(F586 &lt; 0, -F586 / (-F586 + 100), 100 / (F586 + 100)))</f>
        <v/>
      </c>
      <c r="Q586" s="151" t="str">
        <f t="shared" ref="Q586:Q649" si="108">IFERROR((1/S586) / ((1/S586) + (1/T586)),"")</f>
        <v/>
      </c>
      <c r="R586" s="150" t="str">
        <f t="shared" ref="R586:R649" si="109">IFERROR(IF(G586&gt;0, G586/100 + 1, 100/ABS(G586) + 1),"")</f>
        <v/>
      </c>
      <c r="S586" s="150" t="str">
        <f t="shared" ref="S586:S649" si="110">IFERROR(IF(H586&gt;0, H586/100 + 1, 100/ABS(H586) + 1),"")</f>
        <v/>
      </c>
      <c r="T586" s="150" t="str">
        <f t="shared" ref="T586:T649" si="111">IFERROR(IF(I586&gt;0, I586/100 + 1, 100/ABS(I586) + 1),"")</f>
        <v/>
      </c>
      <c r="U586" s="152"/>
      <c r="V586" s="143"/>
      <c r="W586" s="102"/>
      <c r="X586" s="102" t="str">
        <f t="shared" ref="X586:X649" si="112">IF(B586=$D$3,U586,"")</f>
        <v/>
      </c>
      <c r="Y586" s="102"/>
      <c r="Z586" s="102"/>
      <c r="AA586" s="102"/>
      <c r="AB586" s="102"/>
      <c r="AC586" s="102"/>
      <c r="AD586" s="102"/>
      <c r="AE586" s="102"/>
      <c r="AF586" s="102"/>
      <c r="AG586" s="102"/>
      <c r="AH586" s="102"/>
      <c r="AI586" s="102"/>
      <c r="AJ586" s="102"/>
      <c r="AK586" s="102"/>
      <c r="AL586" s="102"/>
      <c r="AM586" s="102"/>
    </row>
    <row r="587" spans="1:39">
      <c r="A587" s="143"/>
      <c r="B587" s="143"/>
      <c r="C587" s="155"/>
      <c r="D587" s="143"/>
      <c r="E587" s="146"/>
      <c r="F587" s="147"/>
      <c r="G587" s="147"/>
      <c r="H587" s="148"/>
      <c r="I587" s="143"/>
      <c r="J587" s="143"/>
      <c r="K587" s="149"/>
      <c r="L587" s="150" t="str">
        <f t="shared" si="103"/>
        <v/>
      </c>
      <c r="M587" s="150" t="str">
        <f t="shared" si="104"/>
        <v/>
      </c>
      <c r="N587" s="151" t="str">
        <f t="shared" si="105"/>
        <v/>
      </c>
      <c r="O587" s="151" t="str">
        <f t="shared" si="106"/>
        <v/>
      </c>
      <c r="P587" s="151" t="str">
        <f t="shared" si="107"/>
        <v/>
      </c>
      <c r="Q587" s="151" t="str">
        <f t="shared" si="108"/>
        <v/>
      </c>
      <c r="R587" s="150" t="str">
        <f t="shared" si="109"/>
        <v/>
      </c>
      <c r="S587" s="150" t="str">
        <f t="shared" si="110"/>
        <v/>
      </c>
      <c r="T587" s="150" t="str">
        <f t="shared" si="111"/>
        <v/>
      </c>
      <c r="U587" s="152"/>
      <c r="V587" s="143"/>
      <c r="W587" s="102"/>
      <c r="X587" s="102" t="str">
        <f t="shared" si="112"/>
        <v/>
      </c>
      <c r="Y587" s="102"/>
      <c r="Z587" s="102"/>
      <c r="AA587" s="102"/>
      <c r="AB587" s="102"/>
      <c r="AC587" s="102"/>
      <c r="AD587" s="102"/>
      <c r="AE587" s="102"/>
      <c r="AF587" s="102"/>
      <c r="AG587" s="102"/>
      <c r="AH587" s="102"/>
      <c r="AI587" s="102"/>
      <c r="AJ587" s="102"/>
      <c r="AK587" s="102"/>
      <c r="AL587" s="102"/>
      <c r="AM587" s="102"/>
    </row>
    <row r="588" spans="1:39">
      <c r="A588" s="143"/>
      <c r="B588" s="143"/>
      <c r="C588" s="155"/>
      <c r="D588" s="143"/>
      <c r="E588" s="146"/>
      <c r="F588" s="147"/>
      <c r="G588" s="147"/>
      <c r="H588" s="148"/>
      <c r="I588" s="143"/>
      <c r="J588" s="143"/>
      <c r="K588" s="149"/>
      <c r="L588" s="150" t="str">
        <f t="shared" si="103"/>
        <v/>
      </c>
      <c r="M588" s="150" t="str">
        <f t="shared" si="104"/>
        <v/>
      </c>
      <c r="N588" s="151" t="str">
        <f t="shared" si="105"/>
        <v/>
      </c>
      <c r="O588" s="151" t="str">
        <f t="shared" si="106"/>
        <v/>
      </c>
      <c r="P588" s="151" t="str">
        <f t="shared" si="107"/>
        <v/>
      </c>
      <c r="Q588" s="151" t="str">
        <f t="shared" si="108"/>
        <v/>
      </c>
      <c r="R588" s="150" t="str">
        <f t="shared" si="109"/>
        <v/>
      </c>
      <c r="S588" s="150" t="str">
        <f t="shared" si="110"/>
        <v/>
      </c>
      <c r="T588" s="150" t="str">
        <f t="shared" si="111"/>
        <v/>
      </c>
      <c r="U588" s="152"/>
      <c r="V588" s="143"/>
      <c r="W588" s="102"/>
      <c r="X588" s="102" t="str">
        <f t="shared" si="112"/>
        <v/>
      </c>
      <c r="Y588" s="102"/>
      <c r="Z588" s="102"/>
      <c r="AA588" s="102"/>
      <c r="AB588" s="102"/>
      <c r="AC588" s="102"/>
      <c r="AD588" s="102"/>
      <c r="AE588" s="102"/>
      <c r="AF588" s="102"/>
      <c r="AG588" s="102"/>
      <c r="AH588" s="102"/>
      <c r="AI588" s="102"/>
      <c r="AJ588" s="102"/>
      <c r="AK588" s="102"/>
      <c r="AL588" s="102"/>
      <c r="AM588" s="102"/>
    </row>
    <row r="589" spans="1:39">
      <c r="A589" s="143"/>
      <c r="B589" s="143"/>
      <c r="C589" s="155"/>
      <c r="D589" s="143"/>
      <c r="E589" s="146"/>
      <c r="F589" s="147"/>
      <c r="G589" s="147"/>
      <c r="H589" s="148"/>
      <c r="I589" s="143"/>
      <c r="J589" s="143"/>
      <c r="K589" s="149"/>
      <c r="L589" s="150" t="str">
        <f t="shared" si="103"/>
        <v/>
      </c>
      <c r="M589" s="150" t="str">
        <f t="shared" si="104"/>
        <v/>
      </c>
      <c r="N589" s="151" t="str">
        <f t="shared" si="105"/>
        <v/>
      </c>
      <c r="O589" s="151" t="str">
        <f t="shared" si="106"/>
        <v/>
      </c>
      <c r="P589" s="151" t="str">
        <f t="shared" si="107"/>
        <v/>
      </c>
      <c r="Q589" s="151" t="str">
        <f t="shared" si="108"/>
        <v/>
      </c>
      <c r="R589" s="150" t="str">
        <f t="shared" si="109"/>
        <v/>
      </c>
      <c r="S589" s="150" t="str">
        <f t="shared" si="110"/>
        <v/>
      </c>
      <c r="T589" s="150" t="str">
        <f t="shared" si="111"/>
        <v/>
      </c>
      <c r="U589" s="152"/>
      <c r="V589" s="143"/>
      <c r="W589" s="102"/>
      <c r="X589" s="102" t="str">
        <f t="shared" si="112"/>
        <v/>
      </c>
      <c r="Y589" s="102"/>
      <c r="Z589" s="102"/>
      <c r="AA589" s="102"/>
      <c r="AB589" s="102"/>
      <c r="AC589" s="102"/>
      <c r="AD589" s="102"/>
      <c r="AE589" s="102"/>
      <c r="AF589" s="102"/>
      <c r="AG589" s="102"/>
      <c r="AH589" s="102"/>
      <c r="AI589" s="102"/>
      <c r="AJ589" s="102"/>
      <c r="AK589" s="102"/>
      <c r="AL589" s="102"/>
      <c r="AM589" s="102"/>
    </row>
    <row r="590" spans="1:39">
      <c r="A590" s="143"/>
      <c r="B590" s="143"/>
      <c r="C590" s="155"/>
      <c r="D590" s="143"/>
      <c r="E590" s="146"/>
      <c r="F590" s="147"/>
      <c r="G590" s="147"/>
      <c r="H590" s="148"/>
      <c r="I590" s="143"/>
      <c r="J590" s="143"/>
      <c r="K590" s="149"/>
      <c r="L590" s="150" t="str">
        <f t="shared" si="103"/>
        <v/>
      </c>
      <c r="M590" s="150" t="str">
        <f t="shared" si="104"/>
        <v/>
      </c>
      <c r="N590" s="151" t="str">
        <f t="shared" si="105"/>
        <v/>
      </c>
      <c r="O590" s="151" t="str">
        <f t="shared" si="106"/>
        <v/>
      </c>
      <c r="P590" s="151" t="str">
        <f t="shared" si="107"/>
        <v/>
      </c>
      <c r="Q590" s="151" t="str">
        <f t="shared" si="108"/>
        <v/>
      </c>
      <c r="R590" s="150" t="str">
        <f t="shared" si="109"/>
        <v/>
      </c>
      <c r="S590" s="150" t="str">
        <f t="shared" si="110"/>
        <v/>
      </c>
      <c r="T590" s="150" t="str">
        <f t="shared" si="111"/>
        <v/>
      </c>
      <c r="U590" s="152"/>
      <c r="V590" s="143"/>
      <c r="W590" s="102"/>
      <c r="X590" s="102" t="str">
        <f t="shared" si="112"/>
        <v/>
      </c>
      <c r="Y590" s="102"/>
      <c r="Z590" s="102"/>
      <c r="AA590" s="102"/>
      <c r="AB590" s="102"/>
      <c r="AC590" s="102"/>
      <c r="AD590" s="102"/>
      <c r="AE590" s="102"/>
      <c r="AF590" s="102"/>
      <c r="AG590" s="102"/>
      <c r="AH590" s="102"/>
      <c r="AI590" s="102"/>
      <c r="AJ590" s="102"/>
      <c r="AK590" s="102"/>
      <c r="AL590" s="102"/>
      <c r="AM590" s="102"/>
    </row>
    <row r="591" spans="1:39">
      <c r="A591" s="143"/>
      <c r="B591" s="143"/>
      <c r="C591" s="155"/>
      <c r="D591" s="143"/>
      <c r="E591" s="146"/>
      <c r="F591" s="147"/>
      <c r="G591" s="147"/>
      <c r="H591" s="148"/>
      <c r="I591" s="143"/>
      <c r="J591" s="143"/>
      <c r="K591" s="149"/>
      <c r="L591" s="150" t="str">
        <f t="shared" si="103"/>
        <v/>
      </c>
      <c r="M591" s="150" t="str">
        <f t="shared" si="104"/>
        <v/>
      </c>
      <c r="N591" s="151" t="str">
        <f t="shared" si="105"/>
        <v/>
      </c>
      <c r="O591" s="151" t="str">
        <f t="shared" si="106"/>
        <v/>
      </c>
      <c r="P591" s="151" t="str">
        <f t="shared" si="107"/>
        <v/>
      </c>
      <c r="Q591" s="151" t="str">
        <f t="shared" si="108"/>
        <v/>
      </c>
      <c r="R591" s="150" t="str">
        <f t="shared" si="109"/>
        <v/>
      </c>
      <c r="S591" s="150" t="str">
        <f t="shared" si="110"/>
        <v/>
      </c>
      <c r="T591" s="150" t="str">
        <f t="shared" si="111"/>
        <v/>
      </c>
      <c r="U591" s="152"/>
      <c r="V591" s="143"/>
      <c r="W591" s="102"/>
      <c r="X591" s="102" t="str">
        <f t="shared" si="112"/>
        <v/>
      </c>
      <c r="Y591" s="102"/>
      <c r="Z591" s="102"/>
      <c r="AA591" s="102"/>
      <c r="AB591" s="102"/>
      <c r="AC591" s="102"/>
      <c r="AD591" s="102"/>
      <c r="AE591" s="102"/>
      <c r="AF591" s="102"/>
      <c r="AG591" s="102"/>
      <c r="AH591" s="102"/>
      <c r="AI591" s="102"/>
      <c r="AJ591" s="102"/>
      <c r="AK591" s="102"/>
      <c r="AL591" s="102"/>
      <c r="AM591" s="102"/>
    </row>
    <row r="592" spans="1:39">
      <c r="A592" s="143"/>
      <c r="B592" s="143"/>
      <c r="C592" s="155"/>
      <c r="D592" s="143"/>
      <c r="E592" s="146"/>
      <c r="F592" s="147"/>
      <c r="G592" s="147"/>
      <c r="H592" s="148"/>
      <c r="I592" s="143"/>
      <c r="J592" s="143"/>
      <c r="K592" s="149"/>
      <c r="L592" s="150" t="str">
        <f t="shared" si="103"/>
        <v/>
      </c>
      <c r="M592" s="150" t="str">
        <f t="shared" si="104"/>
        <v/>
      </c>
      <c r="N592" s="151" t="str">
        <f t="shared" si="105"/>
        <v/>
      </c>
      <c r="O592" s="151" t="str">
        <f t="shared" si="106"/>
        <v/>
      </c>
      <c r="P592" s="151" t="str">
        <f t="shared" si="107"/>
        <v/>
      </c>
      <c r="Q592" s="151" t="str">
        <f t="shared" si="108"/>
        <v/>
      </c>
      <c r="R592" s="150" t="str">
        <f t="shared" si="109"/>
        <v/>
      </c>
      <c r="S592" s="150" t="str">
        <f t="shared" si="110"/>
        <v/>
      </c>
      <c r="T592" s="150" t="str">
        <f t="shared" si="111"/>
        <v/>
      </c>
      <c r="U592" s="152"/>
      <c r="V592" s="143"/>
      <c r="W592" s="102"/>
      <c r="X592" s="102" t="str">
        <f t="shared" si="112"/>
        <v/>
      </c>
      <c r="Y592" s="102"/>
      <c r="Z592" s="102"/>
      <c r="AA592" s="102"/>
      <c r="AB592" s="102"/>
      <c r="AC592" s="102"/>
      <c r="AD592" s="102"/>
      <c r="AE592" s="102"/>
      <c r="AF592" s="102"/>
      <c r="AG592" s="102"/>
      <c r="AH592" s="102"/>
      <c r="AI592" s="102"/>
      <c r="AJ592" s="102"/>
      <c r="AK592" s="102"/>
      <c r="AL592" s="102"/>
      <c r="AM592" s="102"/>
    </row>
    <row r="593" spans="1:39">
      <c r="A593" s="143"/>
      <c r="B593" s="143"/>
      <c r="C593" s="155"/>
      <c r="D593" s="143"/>
      <c r="E593" s="146"/>
      <c r="F593" s="147"/>
      <c r="G593" s="147"/>
      <c r="H593" s="148"/>
      <c r="I593" s="143"/>
      <c r="J593" s="143"/>
      <c r="K593" s="149"/>
      <c r="L593" s="150" t="str">
        <f t="shared" si="103"/>
        <v/>
      </c>
      <c r="M593" s="150" t="str">
        <f t="shared" si="104"/>
        <v/>
      </c>
      <c r="N593" s="151" t="str">
        <f t="shared" si="105"/>
        <v/>
      </c>
      <c r="O593" s="151" t="str">
        <f t="shared" si="106"/>
        <v/>
      </c>
      <c r="P593" s="151" t="str">
        <f t="shared" si="107"/>
        <v/>
      </c>
      <c r="Q593" s="151" t="str">
        <f t="shared" si="108"/>
        <v/>
      </c>
      <c r="R593" s="150" t="str">
        <f t="shared" si="109"/>
        <v/>
      </c>
      <c r="S593" s="150" t="str">
        <f t="shared" si="110"/>
        <v/>
      </c>
      <c r="T593" s="150" t="str">
        <f t="shared" si="111"/>
        <v/>
      </c>
      <c r="U593" s="152"/>
      <c r="V593" s="143"/>
      <c r="W593" s="102"/>
      <c r="X593" s="102" t="str">
        <f t="shared" si="112"/>
        <v/>
      </c>
      <c r="Y593" s="102"/>
      <c r="Z593" s="102"/>
      <c r="AA593" s="102"/>
      <c r="AB593" s="102"/>
      <c r="AC593" s="102"/>
      <c r="AD593" s="102"/>
      <c r="AE593" s="102"/>
      <c r="AF593" s="102"/>
      <c r="AG593" s="102"/>
      <c r="AH593" s="102"/>
      <c r="AI593" s="102"/>
      <c r="AJ593" s="102"/>
      <c r="AK593" s="102"/>
      <c r="AL593" s="102"/>
      <c r="AM593" s="102"/>
    </row>
    <row r="594" spans="1:39">
      <c r="A594" s="143"/>
      <c r="B594" s="143"/>
      <c r="C594" s="155"/>
      <c r="D594" s="143"/>
      <c r="E594" s="146"/>
      <c r="F594" s="147"/>
      <c r="G594" s="147"/>
      <c r="H594" s="148"/>
      <c r="I594" s="143"/>
      <c r="J594" s="143"/>
      <c r="K594" s="149"/>
      <c r="L594" s="150" t="str">
        <f t="shared" si="103"/>
        <v/>
      </c>
      <c r="M594" s="150" t="str">
        <f t="shared" si="104"/>
        <v/>
      </c>
      <c r="N594" s="151" t="str">
        <f t="shared" si="105"/>
        <v/>
      </c>
      <c r="O594" s="151" t="str">
        <f t="shared" si="106"/>
        <v/>
      </c>
      <c r="P594" s="151" t="str">
        <f t="shared" si="107"/>
        <v/>
      </c>
      <c r="Q594" s="151" t="str">
        <f t="shared" si="108"/>
        <v/>
      </c>
      <c r="R594" s="150" t="str">
        <f t="shared" si="109"/>
        <v/>
      </c>
      <c r="S594" s="150" t="str">
        <f t="shared" si="110"/>
        <v/>
      </c>
      <c r="T594" s="150" t="str">
        <f t="shared" si="111"/>
        <v/>
      </c>
      <c r="U594" s="152"/>
      <c r="V594" s="143"/>
      <c r="W594" s="102"/>
      <c r="X594" s="102" t="str">
        <f t="shared" si="112"/>
        <v/>
      </c>
      <c r="Y594" s="102"/>
      <c r="Z594" s="102"/>
      <c r="AA594" s="102"/>
      <c r="AB594" s="102"/>
      <c r="AC594" s="102"/>
      <c r="AD594" s="102"/>
      <c r="AE594" s="102"/>
      <c r="AF594" s="102"/>
      <c r="AG594" s="102"/>
      <c r="AH594" s="102"/>
      <c r="AI594" s="102"/>
      <c r="AJ594" s="102"/>
      <c r="AK594" s="102"/>
      <c r="AL594" s="102"/>
      <c r="AM594" s="102"/>
    </row>
    <row r="595" spans="1:39">
      <c r="A595" s="143"/>
      <c r="B595" s="143"/>
      <c r="C595" s="155"/>
      <c r="D595" s="143"/>
      <c r="E595" s="146"/>
      <c r="F595" s="147"/>
      <c r="G595" s="147"/>
      <c r="H595" s="148"/>
      <c r="I595" s="143"/>
      <c r="J595" s="143"/>
      <c r="K595" s="149"/>
      <c r="L595" s="150" t="str">
        <f t="shared" si="103"/>
        <v/>
      </c>
      <c r="M595" s="150" t="str">
        <f t="shared" si="104"/>
        <v/>
      </c>
      <c r="N595" s="151" t="str">
        <f t="shared" si="105"/>
        <v/>
      </c>
      <c r="O595" s="151" t="str">
        <f t="shared" si="106"/>
        <v/>
      </c>
      <c r="P595" s="151" t="str">
        <f t="shared" si="107"/>
        <v/>
      </c>
      <c r="Q595" s="151" t="str">
        <f t="shared" si="108"/>
        <v/>
      </c>
      <c r="R595" s="150" t="str">
        <f t="shared" si="109"/>
        <v/>
      </c>
      <c r="S595" s="150" t="str">
        <f t="shared" si="110"/>
        <v/>
      </c>
      <c r="T595" s="150" t="str">
        <f t="shared" si="111"/>
        <v/>
      </c>
      <c r="U595" s="152"/>
      <c r="V595" s="143"/>
      <c r="W595" s="102"/>
      <c r="X595" s="102" t="str">
        <f t="shared" si="112"/>
        <v/>
      </c>
      <c r="Y595" s="102"/>
      <c r="Z595" s="102"/>
      <c r="AA595" s="102"/>
      <c r="AB595" s="102"/>
      <c r="AC595" s="102"/>
      <c r="AD595" s="102"/>
      <c r="AE595" s="102"/>
      <c r="AF595" s="102"/>
      <c r="AG595" s="102"/>
      <c r="AH595" s="102"/>
      <c r="AI595" s="102"/>
      <c r="AJ595" s="102"/>
      <c r="AK595" s="102"/>
      <c r="AL595" s="102"/>
      <c r="AM595" s="102"/>
    </row>
    <row r="596" spans="1:39">
      <c r="A596" s="143"/>
      <c r="B596" s="143"/>
      <c r="C596" s="155"/>
      <c r="D596" s="143"/>
      <c r="E596" s="146"/>
      <c r="F596" s="147"/>
      <c r="G596" s="147"/>
      <c r="H596" s="148"/>
      <c r="I596" s="143"/>
      <c r="J596" s="143"/>
      <c r="K596" s="149"/>
      <c r="L596" s="150" t="str">
        <f t="shared" si="103"/>
        <v/>
      </c>
      <c r="M596" s="150" t="str">
        <f t="shared" si="104"/>
        <v/>
      </c>
      <c r="N596" s="151" t="str">
        <f t="shared" si="105"/>
        <v/>
      </c>
      <c r="O596" s="151" t="str">
        <f t="shared" si="106"/>
        <v/>
      </c>
      <c r="P596" s="151" t="str">
        <f t="shared" si="107"/>
        <v/>
      </c>
      <c r="Q596" s="151" t="str">
        <f t="shared" si="108"/>
        <v/>
      </c>
      <c r="R596" s="150" t="str">
        <f t="shared" si="109"/>
        <v/>
      </c>
      <c r="S596" s="150" t="str">
        <f t="shared" si="110"/>
        <v/>
      </c>
      <c r="T596" s="150" t="str">
        <f t="shared" si="111"/>
        <v/>
      </c>
      <c r="U596" s="152"/>
      <c r="V596" s="143"/>
      <c r="W596" s="102"/>
      <c r="X596" s="102" t="str">
        <f t="shared" si="112"/>
        <v/>
      </c>
      <c r="Y596" s="102"/>
      <c r="Z596" s="102"/>
      <c r="AA596" s="102"/>
      <c r="AB596" s="102"/>
      <c r="AC596" s="102"/>
      <c r="AD596" s="102"/>
      <c r="AE596" s="102"/>
      <c r="AF596" s="102"/>
      <c r="AG596" s="102"/>
      <c r="AH596" s="102"/>
      <c r="AI596" s="102"/>
      <c r="AJ596" s="102"/>
      <c r="AK596" s="102"/>
      <c r="AL596" s="102"/>
      <c r="AM596" s="102"/>
    </row>
    <row r="597" spans="1:39">
      <c r="A597" s="143"/>
      <c r="B597" s="143"/>
      <c r="C597" s="155"/>
      <c r="D597" s="143"/>
      <c r="E597" s="146"/>
      <c r="F597" s="147"/>
      <c r="G597" s="147"/>
      <c r="H597" s="148"/>
      <c r="I597" s="143"/>
      <c r="J597" s="143"/>
      <c r="K597" s="149"/>
      <c r="L597" s="150" t="str">
        <f t="shared" si="103"/>
        <v/>
      </c>
      <c r="M597" s="150" t="str">
        <f t="shared" si="104"/>
        <v/>
      </c>
      <c r="N597" s="151" t="str">
        <f t="shared" si="105"/>
        <v/>
      </c>
      <c r="O597" s="151" t="str">
        <f t="shared" si="106"/>
        <v/>
      </c>
      <c r="P597" s="151" t="str">
        <f t="shared" si="107"/>
        <v/>
      </c>
      <c r="Q597" s="151" t="str">
        <f t="shared" si="108"/>
        <v/>
      </c>
      <c r="R597" s="150" t="str">
        <f t="shared" si="109"/>
        <v/>
      </c>
      <c r="S597" s="150" t="str">
        <f t="shared" si="110"/>
        <v/>
      </c>
      <c r="T597" s="150" t="str">
        <f t="shared" si="111"/>
        <v/>
      </c>
      <c r="U597" s="152"/>
      <c r="V597" s="143"/>
      <c r="W597" s="102"/>
      <c r="X597" s="102" t="str">
        <f t="shared" si="112"/>
        <v/>
      </c>
      <c r="Y597" s="102"/>
      <c r="Z597" s="102"/>
      <c r="AA597" s="102"/>
      <c r="AB597" s="102"/>
      <c r="AC597" s="102"/>
      <c r="AD597" s="102"/>
      <c r="AE597" s="102"/>
      <c r="AF597" s="102"/>
      <c r="AG597" s="102"/>
      <c r="AH597" s="102"/>
      <c r="AI597" s="102"/>
      <c r="AJ597" s="102"/>
      <c r="AK597" s="102"/>
      <c r="AL597" s="102"/>
      <c r="AM597" s="102"/>
    </row>
    <row r="598" spans="1:39">
      <c r="A598" s="143"/>
      <c r="B598" s="143"/>
      <c r="C598" s="155"/>
      <c r="D598" s="143"/>
      <c r="E598" s="146"/>
      <c r="F598" s="147"/>
      <c r="G598" s="147"/>
      <c r="H598" s="148"/>
      <c r="I598" s="143"/>
      <c r="J598" s="143"/>
      <c r="K598" s="149"/>
      <c r="L598" s="150" t="str">
        <f t="shared" si="103"/>
        <v/>
      </c>
      <c r="M598" s="150" t="str">
        <f t="shared" si="104"/>
        <v/>
      </c>
      <c r="N598" s="151" t="str">
        <f t="shared" si="105"/>
        <v/>
      </c>
      <c r="O598" s="151" t="str">
        <f t="shared" si="106"/>
        <v/>
      </c>
      <c r="P598" s="151" t="str">
        <f t="shared" si="107"/>
        <v/>
      </c>
      <c r="Q598" s="151" t="str">
        <f t="shared" si="108"/>
        <v/>
      </c>
      <c r="R598" s="150" t="str">
        <f t="shared" si="109"/>
        <v/>
      </c>
      <c r="S598" s="150" t="str">
        <f t="shared" si="110"/>
        <v/>
      </c>
      <c r="T598" s="150" t="str">
        <f t="shared" si="111"/>
        <v/>
      </c>
      <c r="U598" s="152"/>
      <c r="V598" s="143"/>
      <c r="W598" s="102"/>
      <c r="X598" s="102" t="str">
        <f t="shared" si="112"/>
        <v/>
      </c>
      <c r="Y598" s="102"/>
      <c r="Z598" s="102"/>
      <c r="AA598" s="102"/>
      <c r="AB598" s="102"/>
      <c r="AC598" s="102"/>
      <c r="AD598" s="102"/>
      <c r="AE598" s="102"/>
      <c r="AF598" s="102"/>
      <c r="AG598" s="102"/>
      <c r="AH598" s="102"/>
      <c r="AI598" s="102"/>
      <c r="AJ598" s="102"/>
      <c r="AK598" s="102"/>
      <c r="AL598" s="102"/>
      <c r="AM598" s="102"/>
    </row>
    <row r="599" spans="1:39">
      <c r="A599" s="143"/>
      <c r="B599" s="143"/>
      <c r="C599" s="155"/>
      <c r="D599" s="143"/>
      <c r="E599" s="146"/>
      <c r="F599" s="147"/>
      <c r="G599" s="147"/>
      <c r="H599" s="148"/>
      <c r="I599" s="143"/>
      <c r="J599" s="143"/>
      <c r="K599" s="149"/>
      <c r="L599" s="150" t="str">
        <f t="shared" si="103"/>
        <v/>
      </c>
      <c r="M599" s="150" t="str">
        <f t="shared" si="104"/>
        <v/>
      </c>
      <c r="N599" s="151" t="str">
        <f t="shared" si="105"/>
        <v/>
      </c>
      <c r="O599" s="151" t="str">
        <f t="shared" si="106"/>
        <v/>
      </c>
      <c r="P599" s="151" t="str">
        <f t="shared" si="107"/>
        <v/>
      </c>
      <c r="Q599" s="151" t="str">
        <f t="shared" si="108"/>
        <v/>
      </c>
      <c r="R599" s="150" t="str">
        <f t="shared" si="109"/>
        <v/>
      </c>
      <c r="S599" s="150" t="str">
        <f t="shared" si="110"/>
        <v/>
      </c>
      <c r="T599" s="150" t="str">
        <f t="shared" si="111"/>
        <v/>
      </c>
      <c r="U599" s="152"/>
      <c r="V599" s="143"/>
      <c r="W599" s="102"/>
      <c r="X599" s="102" t="str">
        <f t="shared" si="112"/>
        <v/>
      </c>
      <c r="Y599" s="102"/>
      <c r="Z599" s="102"/>
      <c r="AA599" s="102"/>
      <c r="AB599" s="102"/>
      <c r="AC599" s="102"/>
      <c r="AD599" s="102"/>
      <c r="AE599" s="102"/>
      <c r="AF599" s="102"/>
      <c r="AG599" s="102"/>
      <c r="AH599" s="102"/>
      <c r="AI599" s="102"/>
      <c r="AJ599" s="102"/>
      <c r="AK599" s="102"/>
      <c r="AL599" s="102"/>
      <c r="AM599" s="102"/>
    </row>
    <row r="600" spans="1:39">
      <c r="A600" s="143"/>
      <c r="B600" s="143"/>
      <c r="C600" s="155"/>
      <c r="D600" s="143"/>
      <c r="E600" s="146"/>
      <c r="F600" s="147"/>
      <c r="G600" s="147"/>
      <c r="H600" s="148"/>
      <c r="I600" s="143"/>
      <c r="J600" s="143"/>
      <c r="K600" s="149"/>
      <c r="L600" s="150" t="str">
        <f t="shared" si="103"/>
        <v/>
      </c>
      <c r="M600" s="150" t="str">
        <f t="shared" si="104"/>
        <v/>
      </c>
      <c r="N600" s="151" t="str">
        <f t="shared" si="105"/>
        <v/>
      </c>
      <c r="O600" s="151" t="str">
        <f t="shared" si="106"/>
        <v/>
      </c>
      <c r="P600" s="151" t="str">
        <f t="shared" si="107"/>
        <v/>
      </c>
      <c r="Q600" s="151" t="str">
        <f t="shared" si="108"/>
        <v/>
      </c>
      <c r="R600" s="150" t="str">
        <f t="shared" si="109"/>
        <v/>
      </c>
      <c r="S600" s="150" t="str">
        <f t="shared" si="110"/>
        <v/>
      </c>
      <c r="T600" s="150" t="str">
        <f t="shared" si="111"/>
        <v/>
      </c>
      <c r="U600" s="152"/>
      <c r="V600" s="143"/>
      <c r="W600" s="102"/>
      <c r="X600" s="102" t="str">
        <f t="shared" si="112"/>
        <v/>
      </c>
      <c r="Y600" s="102"/>
      <c r="Z600" s="102"/>
      <c r="AA600" s="102"/>
      <c r="AB600" s="102"/>
      <c r="AC600" s="102"/>
      <c r="AD600" s="102"/>
      <c r="AE600" s="102"/>
      <c r="AF600" s="102"/>
      <c r="AG600" s="102"/>
      <c r="AH600" s="102"/>
      <c r="AI600" s="102"/>
      <c r="AJ600" s="102"/>
      <c r="AK600" s="102"/>
      <c r="AL600" s="102"/>
      <c r="AM600" s="102"/>
    </row>
    <row r="601" spans="1:39">
      <c r="A601" s="143"/>
      <c r="B601" s="143"/>
      <c r="C601" s="155"/>
      <c r="D601" s="143"/>
      <c r="E601" s="146"/>
      <c r="F601" s="147"/>
      <c r="G601" s="147"/>
      <c r="H601" s="148"/>
      <c r="I601" s="143"/>
      <c r="J601" s="143"/>
      <c r="K601" s="149"/>
      <c r="L601" s="150" t="str">
        <f t="shared" si="103"/>
        <v/>
      </c>
      <c r="M601" s="150" t="str">
        <f t="shared" si="104"/>
        <v/>
      </c>
      <c r="N601" s="151" t="str">
        <f t="shared" si="105"/>
        <v/>
      </c>
      <c r="O601" s="151" t="str">
        <f t="shared" si="106"/>
        <v/>
      </c>
      <c r="P601" s="151" t="str">
        <f t="shared" si="107"/>
        <v/>
      </c>
      <c r="Q601" s="151" t="str">
        <f t="shared" si="108"/>
        <v/>
      </c>
      <c r="R601" s="150" t="str">
        <f t="shared" si="109"/>
        <v/>
      </c>
      <c r="S601" s="150" t="str">
        <f t="shared" si="110"/>
        <v/>
      </c>
      <c r="T601" s="150" t="str">
        <f t="shared" si="111"/>
        <v/>
      </c>
      <c r="U601" s="152"/>
      <c r="V601" s="143"/>
      <c r="W601" s="102"/>
      <c r="X601" s="102" t="str">
        <f t="shared" si="112"/>
        <v/>
      </c>
      <c r="Y601" s="102"/>
      <c r="Z601" s="102"/>
      <c r="AA601" s="102"/>
      <c r="AB601" s="102"/>
      <c r="AC601" s="102"/>
      <c r="AD601" s="102"/>
      <c r="AE601" s="102"/>
      <c r="AF601" s="102"/>
      <c r="AG601" s="102"/>
      <c r="AH601" s="102"/>
      <c r="AI601" s="102"/>
      <c r="AJ601" s="102"/>
      <c r="AK601" s="102"/>
      <c r="AL601" s="102"/>
      <c r="AM601" s="102"/>
    </row>
    <row r="602" spans="1:39">
      <c r="A602" s="143"/>
      <c r="B602" s="143"/>
      <c r="C602" s="155"/>
      <c r="D602" s="143"/>
      <c r="E602" s="146"/>
      <c r="F602" s="147"/>
      <c r="G602" s="147"/>
      <c r="H602" s="148"/>
      <c r="I602" s="143"/>
      <c r="J602" s="143"/>
      <c r="K602" s="149"/>
      <c r="L602" s="150" t="str">
        <f t="shared" si="103"/>
        <v/>
      </c>
      <c r="M602" s="150" t="str">
        <f t="shared" si="104"/>
        <v/>
      </c>
      <c r="N602" s="151" t="str">
        <f t="shared" si="105"/>
        <v/>
      </c>
      <c r="O602" s="151" t="str">
        <f t="shared" si="106"/>
        <v/>
      </c>
      <c r="P602" s="151" t="str">
        <f t="shared" si="107"/>
        <v/>
      </c>
      <c r="Q602" s="151" t="str">
        <f t="shared" si="108"/>
        <v/>
      </c>
      <c r="R602" s="150" t="str">
        <f t="shared" si="109"/>
        <v/>
      </c>
      <c r="S602" s="150" t="str">
        <f t="shared" si="110"/>
        <v/>
      </c>
      <c r="T602" s="150" t="str">
        <f t="shared" si="111"/>
        <v/>
      </c>
      <c r="U602" s="152"/>
      <c r="V602" s="143"/>
      <c r="W602" s="102"/>
      <c r="X602" s="102" t="str">
        <f t="shared" si="112"/>
        <v/>
      </c>
      <c r="Y602" s="102"/>
      <c r="Z602" s="102"/>
      <c r="AA602" s="102"/>
      <c r="AB602" s="102"/>
      <c r="AC602" s="102"/>
      <c r="AD602" s="102"/>
      <c r="AE602" s="102"/>
      <c r="AF602" s="102"/>
      <c r="AG602" s="102"/>
      <c r="AH602" s="102"/>
      <c r="AI602" s="102"/>
      <c r="AJ602" s="102"/>
      <c r="AK602" s="102"/>
      <c r="AL602" s="102"/>
      <c r="AM602" s="102"/>
    </row>
    <row r="603" spans="1:39">
      <c r="A603" s="143"/>
      <c r="B603" s="143"/>
      <c r="C603" s="155"/>
      <c r="D603" s="143"/>
      <c r="E603" s="146"/>
      <c r="F603" s="147"/>
      <c r="G603" s="147"/>
      <c r="H603" s="148"/>
      <c r="I603" s="143"/>
      <c r="J603" s="143"/>
      <c r="K603" s="149"/>
      <c r="L603" s="150" t="str">
        <f t="shared" si="103"/>
        <v/>
      </c>
      <c r="M603" s="150" t="str">
        <f t="shared" si="104"/>
        <v/>
      </c>
      <c r="N603" s="151" t="str">
        <f t="shared" si="105"/>
        <v/>
      </c>
      <c r="O603" s="151" t="str">
        <f t="shared" si="106"/>
        <v/>
      </c>
      <c r="P603" s="151" t="str">
        <f t="shared" si="107"/>
        <v/>
      </c>
      <c r="Q603" s="151" t="str">
        <f t="shared" si="108"/>
        <v/>
      </c>
      <c r="R603" s="150" t="str">
        <f t="shared" si="109"/>
        <v/>
      </c>
      <c r="S603" s="150" t="str">
        <f t="shared" si="110"/>
        <v/>
      </c>
      <c r="T603" s="150" t="str">
        <f t="shared" si="111"/>
        <v/>
      </c>
      <c r="U603" s="152"/>
      <c r="V603" s="143"/>
      <c r="W603" s="102"/>
      <c r="X603" s="102" t="str">
        <f t="shared" si="112"/>
        <v/>
      </c>
      <c r="Y603" s="102"/>
      <c r="Z603" s="102"/>
      <c r="AA603" s="102"/>
      <c r="AB603" s="102"/>
      <c r="AC603" s="102"/>
      <c r="AD603" s="102"/>
      <c r="AE603" s="102"/>
      <c r="AF603" s="102"/>
      <c r="AG603" s="102"/>
      <c r="AH603" s="102"/>
      <c r="AI603" s="102"/>
      <c r="AJ603" s="102"/>
      <c r="AK603" s="102"/>
      <c r="AL603" s="102"/>
      <c r="AM603" s="102"/>
    </row>
    <row r="604" spans="1:39">
      <c r="A604" s="143"/>
      <c r="B604" s="143"/>
      <c r="C604" s="155"/>
      <c r="D604" s="143"/>
      <c r="E604" s="146"/>
      <c r="F604" s="147"/>
      <c r="G604" s="147"/>
      <c r="H604" s="148"/>
      <c r="I604" s="143"/>
      <c r="J604" s="143"/>
      <c r="K604" s="149"/>
      <c r="L604" s="150" t="str">
        <f t="shared" si="103"/>
        <v/>
      </c>
      <c r="M604" s="150" t="str">
        <f t="shared" si="104"/>
        <v/>
      </c>
      <c r="N604" s="151" t="str">
        <f t="shared" si="105"/>
        <v/>
      </c>
      <c r="O604" s="151" t="str">
        <f t="shared" si="106"/>
        <v/>
      </c>
      <c r="P604" s="151" t="str">
        <f t="shared" si="107"/>
        <v/>
      </c>
      <c r="Q604" s="151" t="str">
        <f t="shared" si="108"/>
        <v/>
      </c>
      <c r="R604" s="150" t="str">
        <f t="shared" si="109"/>
        <v/>
      </c>
      <c r="S604" s="150" t="str">
        <f t="shared" si="110"/>
        <v/>
      </c>
      <c r="T604" s="150" t="str">
        <f t="shared" si="111"/>
        <v/>
      </c>
      <c r="U604" s="152"/>
      <c r="V604" s="143"/>
      <c r="W604" s="102"/>
      <c r="X604" s="102" t="str">
        <f t="shared" si="112"/>
        <v/>
      </c>
      <c r="Y604" s="102"/>
      <c r="Z604" s="102"/>
      <c r="AA604" s="102"/>
      <c r="AB604" s="102"/>
      <c r="AC604" s="102"/>
      <c r="AD604" s="102"/>
      <c r="AE604" s="102"/>
      <c r="AF604" s="102"/>
      <c r="AG604" s="102"/>
      <c r="AH604" s="102"/>
      <c r="AI604" s="102"/>
      <c r="AJ604" s="102"/>
      <c r="AK604" s="102"/>
      <c r="AL604" s="102"/>
      <c r="AM604" s="102"/>
    </row>
    <row r="605" spans="1:39">
      <c r="A605" s="143"/>
      <c r="B605" s="143"/>
      <c r="C605" s="155"/>
      <c r="D605" s="143"/>
      <c r="E605" s="146"/>
      <c r="F605" s="147"/>
      <c r="G605" s="147"/>
      <c r="H605" s="148"/>
      <c r="I605" s="143"/>
      <c r="J605" s="143"/>
      <c r="K605" s="149"/>
      <c r="L605" s="150" t="str">
        <f t="shared" si="103"/>
        <v/>
      </c>
      <c r="M605" s="150" t="str">
        <f t="shared" si="104"/>
        <v/>
      </c>
      <c r="N605" s="151" t="str">
        <f t="shared" si="105"/>
        <v/>
      </c>
      <c r="O605" s="151" t="str">
        <f t="shared" si="106"/>
        <v/>
      </c>
      <c r="P605" s="151" t="str">
        <f t="shared" si="107"/>
        <v/>
      </c>
      <c r="Q605" s="151" t="str">
        <f t="shared" si="108"/>
        <v/>
      </c>
      <c r="R605" s="150" t="str">
        <f t="shared" si="109"/>
        <v/>
      </c>
      <c r="S605" s="150" t="str">
        <f t="shared" si="110"/>
        <v/>
      </c>
      <c r="T605" s="150" t="str">
        <f t="shared" si="111"/>
        <v/>
      </c>
      <c r="U605" s="152"/>
      <c r="V605" s="143"/>
      <c r="W605" s="102"/>
      <c r="X605" s="102" t="str">
        <f t="shared" si="112"/>
        <v/>
      </c>
      <c r="Y605" s="102"/>
      <c r="Z605" s="102"/>
      <c r="AA605" s="102"/>
      <c r="AB605" s="102"/>
      <c r="AC605" s="102"/>
      <c r="AD605" s="102"/>
      <c r="AE605" s="102"/>
      <c r="AF605" s="102"/>
      <c r="AG605" s="102"/>
      <c r="AH605" s="102"/>
      <c r="AI605" s="102"/>
      <c r="AJ605" s="102"/>
      <c r="AK605" s="102"/>
      <c r="AL605" s="102"/>
      <c r="AM605" s="102"/>
    </row>
    <row r="606" spans="1:39">
      <c r="A606" s="143"/>
      <c r="B606" s="143"/>
      <c r="C606" s="155"/>
      <c r="D606" s="143"/>
      <c r="E606" s="146"/>
      <c r="F606" s="147"/>
      <c r="G606" s="147"/>
      <c r="H606" s="148"/>
      <c r="I606" s="143"/>
      <c r="J606" s="143"/>
      <c r="K606" s="149"/>
      <c r="L606" s="150" t="str">
        <f t="shared" si="103"/>
        <v/>
      </c>
      <c r="M606" s="150" t="str">
        <f t="shared" si="104"/>
        <v/>
      </c>
      <c r="N606" s="151" t="str">
        <f t="shared" si="105"/>
        <v/>
      </c>
      <c r="O606" s="151" t="str">
        <f t="shared" si="106"/>
        <v/>
      </c>
      <c r="P606" s="151" t="str">
        <f t="shared" si="107"/>
        <v/>
      </c>
      <c r="Q606" s="151" t="str">
        <f t="shared" si="108"/>
        <v/>
      </c>
      <c r="R606" s="150" t="str">
        <f t="shared" si="109"/>
        <v/>
      </c>
      <c r="S606" s="150" t="str">
        <f t="shared" si="110"/>
        <v/>
      </c>
      <c r="T606" s="150" t="str">
        <f t="shared" si="111"/>
        <v/>
      </c>
      <c r="U606" s="152"/>
      <c r="V606" s="143"/>
      <c r="W606" s="102"/>
      <c r="X606" s="102" t="str">
        <f t="shared" si="112"/>
        <v/>
      </c>
      <c r="Y606" s="102"/>
      <c r="Z606" s="102"/>
      <c r="AA606" s="102"/>
      <c r="AB606" s="102"/>
      <c r="AC606" s="102"/>
      <c r="AD606" s="102"/>
      <c r="AE606" s="102"/>
      <c r="AF606" s="102"/>
      <c r="AG606" s="102"/>
      <c r="AH606" s="102"/>
      <c r="AI606" s="102"/>
      <c r="AJ606" s="102"/>
      <c r="AK606" s="102"/>
      <c r="AL606" s="102"/>
      <c r="AM606" s="102"/>
    </row>
    <row r="607" spans="1:39">
      <c r="A607" s="143"/>
      <c r="B607" s="143"/>
      <c r="C607" s="155"/>
      <c r="D607" s="143"/>
      <c r="E607" s="146"/>
      <c r="F607" s="147"/>
      <c r="G607" s="147"/>
      <c r="H607" s="148"/>
      <c r="I607" s="143"/>
      <c r="J607" s="143"/>
      <c r="K607" s="149"/>
      <c r="L607" s="150" t="str">
        <f t="shared" si="103"/>
        <v/>
      </c>
      <c r="M607" s="150" t="str">
        <f t="shared" si="104"/>
        <v/>
      </c>
      <c r="N607" s="151" t="str">
        <f t="shared" si="105"/>
        <v/>
      </c>
      <c r="O607" s="151" t="str">
        <f t="shared" si="106"/>
        <v/>
      </c>
      <c r="P607" s="151" t="str">
        <f t="shared" si="107"/>
        <v/>
      </c>
      <c r="Q607" s="151" t="str">
        <f t="shared" si="108"/>
        <v/>
      </c>
      <c r="R607" s="150" t="str">
        <f t="shared" si="109"/>
        <v/>
      </c>
      <c r="S607" s="150" t="str">
        <f t="shared" si="110"/>
        <v/>
      </c>
      <c r="T607" s="150" t="str">
        <f t="shared" si="111"/>
        <v/>
      </c>
      <c r="U607" s="152"/>
      <c r="V607" s="143"/>
      <c r="W607" s="102"/>
      <c r="X607" s="102" t="str">
        <f t="shared" si="112"/>
        <v/>
      </c>
      <c r="Y607" s="102"/>
      <c r="Z607" s="102"/>
      <c r="AA607" s="102"/>
      <c r="AB607" s="102"/>
      <c r="AC607" s="102"/>
      <c r="AD607" s="102"/>
      <c r="AE607" s="102"/>
      <c r="AF607" s="102"/>
      <c r="AG607" s="102"/>
      <c r="AH607" s="102"/>
      <c r="AI607" s="102"/>
      <c r="AJ607" s="102"/>
      <c r="AK607" s="102"/>
      <c r="AL607" s="102"/>
      <c r="AM607" s="102"/>
    </row>
    <row r="608" spans="1:39">
      <c r="A608" s="143"/>
      <c r="B608" s="143"/>
      <c r="C608" s="155"/>
      <c r="D608" s="143"/>
      <c r="E608" s="146"/>
      <c r="F608" s="147"/>
      <c r="G608" s="147"/>
      <c r="H608" s="148"/>
      <c r="I608" s="143"/>
      <c r="J608" s="143"/>
      <c r="K608" s="149"/>
      <c r="L608" s="150" t="str">
        <f t="shared" si="103"/>
        <v/>
      </c>
      <c r="M608" s="150" t="str">
        <f t="shared" si="104"/>
        <v/>
      </c>
      <c r="N608" s="151" t="str">
        <f t="shared" si="105"/>
        <v/>
      </c>
      <c r="O608" s="151" t="str">
        <f t="shared" si="106"/>
        <v/>
      </c>
      <c r="P608" s="151" t="str">
        <f t="shared" si="107"/>
        <v/>
      </c>
      <c r="Q608" s="151" t="str">
        <f t="shared" si="108"/>
        <v/>
      </c>
      <c r="R608" s="150" t="str">
        <f t="shared" si="109"/>
        <v/>
      </c>
      <c r="S608" s="150" t="str">
        <f t="shared" si="110"/>
        <v/>
      </c>
      <c r="T608" s="150" t="str">
        <f t="shared" si="111"/>
        <v/>
      </c>
      <c r="U608" s="152"/>
      <c r="V608" s="143"/>
      <c r="W608" s="102"/>
      <c r="X608" s="102" t="str">
        <f t="shared" si="112"/>
        <v/>
      </c>
      <c r="Y608" s="102"/>
      <c r="Z608" s="102"/>
      <c r="AA608" s="102"/>
      <c r="AB608" s="102"/>
      <c r="AC608" s="102"/>
      <c r="AD608" s="102"/>
      <c r="AE608" s="102"/>
      <c r="AF608" s="102"/>
      <c r="AG608" s="102"/>
      <c r="AH608" s="102"/>
      <c r="AI608" s="102"/>
      <c r="AJ608" s="102"/>
      <c r="AK608" s="102"/>
      <c r="AL608" s="102"/>
      <c r="AM608" s="102"/>
    </row>
    <row r="609" spans="1:39">
      <c r="A609" s="143"/>
      <c r="B609" s="143"/>
      <c r="C609" s="155"/>
      <c r="D609" s="143"/>
      <c r="E609" s="146"/>
      <c r="F609" s="147"/>
      <c r="G609" s="147"/>
      <c r="H609" s="148"/>
      <c r="I609" s="143"/>
      <c r="J609" s="143"/>
      <c r="K609" s="149"/>
      <c r="L609" s="150" t="str">
        <f t="shared" si="103"/>
        <v/>
      </c>
      <c r="M609" s="150" t="str">
        <f t="shared" si="104"/>
        <v/>
      </c>
      <c r="N609" s="151" t="str">
        <f t="shared" si="105"/>
        <v/>
      </c>
      <c r="O609" s="151" t="str">
        <f t="shared" si="106"/>
        <v/>
      </c>
      <c r="P609" s="151" t="str">
        <f t="shared" si="107"/>
        <v/>
      </c>
      <c r="Q609" s="151" t="str">
        <f t="shared" si="108"/>
        <v/>
      </c>
      <c r="R609" s="150" t="str">
        <f t="shared" si="109"/>
        <v/>
      </c>
      <c r="S609" s="150" t="str">
        <f t="shared" si="110"/>
        <v/>
      </c>
      <c r="T609" s="150" t="str">
        <f t="shared" si="111"/>
        <v/>
      </c>
      <c r="U609" s="152"/>
      <c r="V609" s="143"/>
      <c r="W609" s="102"/>
      <c r="X609" s="102" t="str">
        <f t="shared" si="112"/>
        <v/>
      </c>
      <c r="Y609" s="102"/>
      <c r="Z609" s="102"/>
      <c r="AA609" s="102"/>
      <c r="AB609" s="102"/>
      <c r="AC609" s="102"/>
      <c r="AD609" s="102"/>
      <c r="AE609" s="102"/>
      <c r="AF609" s="102"/>
      <c r="AG609" s="102"/>
      <c r="AH609" s="102"/>
      <c r="AI609" s="102"/>
      <c r="AJ609" s="102"/>
      <c r="AK609" s="102"/>
      <c r="AL609" s="102"/>
      <c r="AM609" s="102"/>
    </row>
    <row r="610" spans="1:39">
      <c r="A610" s="143"/>
      <c r="B610" s="143"/>
      <c r="C610" s="155"/>
      <c r="D610" s="143"/>
      <c r="E610" s="146"/>
      <c r="F610" s="147"/>
      <c r="G610" s="147"/>
      <c r="H610" s="148"/>
      <c r="I610" s="143"/>
      <c r="J610" s="143"/>
      <c r="K610" s="149"/>
      <c r="L610" s="150" t="str">
        <f t="shared" si="103"/>
        <v/>
      </c>
      <c r="M610" s="150" t="str">
        <f t="shared" si="104"/>
        <v/>
      </c>
      <c r="N610" s="151" t="str">
        <f t="shared" si="105"/>
        <v/>
      </c>
      <c r="O610" s="151" t="str">
        <f t="shared" si="106"/>
        <v/>
      </c>
      <c r="P610" s="151" t="str">
        <f t="shared" si="107"/>
        <v/>
      </c>
      <c r="Q610" s="151" t="str">
        <f t="shared" si="108"/>
        <v/>
      </c>
      <c r="R610" s="150" t="str">
        <f t="shared" si="109"/>
        <v/>
      </c>
      <c r="S610" s="150" t="str">
        <f t="shared" si="110"/>
        <v/>
      </c>
      <c r="T610" s="150" t="str">
        <f t="shared" si="111"/>
        <v/>
      </c>
      <c r="U610" s="152"/>
      <c r="V610" s="143"/>
      <c r="W610" s="102"/>
      <c r="X610" s="102" t="str">
        <f t="shared" si="112"/>
        <v/>
      </c>
      <c r="Y610" s="102"/>
      <c r="Z610" s="102"/>
      <c r="AA610" s="102"/>
      <c r="AB610" s="102"/>
      <c r="AC610" s="102"/>
      <c r="AD610" s="102"/>
      <c r="AE610" s="102"/>
      <c r="AF610" s="102"/>
      <c r="AG610" s="102"/>
      <c r="AH610" s="102"/>
      <c r="AI610" s="102"/>
      <c r="AJ610" s="102"/>
      <c r="AK610" s="102"/>
      <c r="AL610" s="102"/>
      <c r="AM610" s="102"/>
    </row>
    <row r="611" spans="1:39">
      <c r="A611" s="143"/>
      <c r="B611" s="143"/>
      <c r="C611" s="155"/>
      <c r="D611" s="143"/>
      <c r="E611" s="146"/>
      <c r="F611" s="147"/>
      <c r="G611" s="147"/>
      <c r="H611" s="148"/>
      <c r="I611" s="143"/>
      <c r="J611" s="143"/>
      <c r="K611" s="149"/>
      <c r="L611" s="150" t="str">
        <f t="shared" si="103"/>
        <v/>
      </c>
      <c r="M611" s="150" t="str">
        <f t="shared" si="104"/>
        <v/>
      </c>
      <c r="N611" s="151" t="str">
        <f t="shared" si="105"/>
        <v/>
      </c>
      <c r="O611" s="151" t="str">
        <f t="shared" si="106"/>
        <v/>
      </c>
      <c r="P611" s="151" t="str">
        <f t="shared" si="107"/>
        <v/>
      </c>
      <c r="Q611" s="151" t="str">
        <f t="shared" si="108"/>
        <v/>
      </c>
      <c r="R611" s="150" t="str">
        <f t="shared" si="109"/>
        <v/>
      </c>
      <c r="S611" s="150" t="str">
        <f t="shared" si="110"/>
        <v/>
      </c>
      <c r="T611" s="150" t="str">
        <f t="shared" si="111"/>
        <v/>
      </c>
      <c r="U611" s="152"/>
      <c r="V611" s="143"/>
      <c r="W611" s="102"/>
      <c r="X611" s="102" t="str">
        <f t="shared" si="112"/>
        <v/>
      </c>
      <c r="Y611" s="102"/>
      <c r="Z611" s="102"/>
      <c r="AA611" s="102"/>
      <c r="AB611" s="102"/>
      <c r="AC611" s="102"/>
      <c r="AD611" s="102"/>
      <c r="AE611" s="102"/>
      <c r="AF611" s="102"/>
      <c r="AG611" s="102"/>
      <c r="AH611" s="102"/>
      <c r="AI611" s="102"/>
      <c r="AJ611" s="102"/>
      <c r="AK611" s="102"/>
      <c r="AL611" s="102"/>
      <c r="AM611" s="102"/>
    </row>
    <row r="612" spans="1:39">
      <c r="A612" s="143"/>
      <c r="B612" s="143"/>
      <c r="C612" s="155"/>
      <c r="D612" s="143"/>
      <c r="E612" s="146"/>
      <c r="F612" s="147"/>
      <c r="G612" s="147"/>
      <c r="H612" s="148"/>
      <c r="I612" s="143"/>
      <c r="J612" s="143"/>
      <c r="K612" s="149"/>
      <c r="L612" s="150" t="str">
        <f t="shared" si="103"/>
        <v/>
      </c>
      <c r="M612" s="150" t="str">
        <f t="shared" si="104"/>
        <v/>
      </c>
      <c r="N612" s="151" t="str">
        <f t="shared" si="105"/>
        <v/>
      </c>
      <c r="O612" s="151" t="str">
        <f t="shared" si="106"/>
        <v/>
      </c>
      <c r="P612" s="151" t="str">
        <f t="shared" si="107"/>
        <v/>
      </c>
      <c r="Q612" s="151" t="str">
        <f t="shared" si="108"/>
        <v/>
      </c>
      <c r="R612" s="150" t="str">
        <f t="shared" si="109"/>
        <v/>
      </c>
      <c r="S612" s="150" t="str">
        <f t="shared" si="110"/>
        <v/>
      </c>
      <c r="T612" s="150" t="str">
        <f t="shared" si="111"/>
        <v/>
      </c>
      <c r="U612" s="152"/>
      <c r="V612" s="143"/>
      <c r="W612" s="102"/>
      <c r="X612" s="102" t="str">
        <f t="shared" si="112"/>
        <v/>
      </c>
      <c r="Y612" s="102"/>
      <c r="Z612" s="102"/>
      <c r="AA612" s="102"/>
      <c r="AB612" s="102"/>
      <c r="AC612" s="102"/>
      <c r="AD612" s="102"/>
      <c r="AE612" s="102"/>
      <c r="AF612" s="102"/>
      <c r="AG612" s="102"/>
      <c r="AH612" s="102"/>
      <c r="AI612" s="102"/>
      <c r="AJ612" s="102"/>
      <c r="AK612" s="102"/>
      <c r="AL612" s="102"/>
      <c r="AM612" s="102"/>
    </row>
    <row r="613" spans="1:39">
      <c r="A613" s="143"/>
      <c r="B613" s="143"/>
      <c r="C613" s="155"/>
      <c r="D613" s="143"/>
      <c r="E613" s="146"/>
      <c r="F613" s="147"/>
      <c r="G613" s="147"/>
      <c r="H613" s="148"/>
      <c r="I613" s="143"/>
      <c r="J613" s="143"/>
      <c r="K613" s="149"/>
      <c r="L613" s="150" t="str">
        <f t="shared" si="103"/>
        <v/>
      </c>
      <c r="M613" s="150" t="str">
        <f t="shared" si="104"/>
        <v/>
      </c>
      <c r="N613" s="151" t="str">
        <f t="shared" si="105"/>
        <v/>
      </c>
      <c r="O613" s="151" t="str">
        <f t="shared" si="106"/>
        <v/>
      </c>
      <c r="P613" s="151" t="str">
        <f t="shared" si="107"/>
        <v/>
      </c>
      <c r="Q613" s="151" t="str">
        <f t="shared" si="108"/>
        <v/>
      </c>
      <c r="R613" s="150" t="str">
        <f t="shared" si="109"/>
        <v/>
      </c>
      <c r="S613" s="150" t="str">
        <f t="shared" si="110"/>
        <v/>
      </c>
      <c r="T613" s="150" t="str">
        <f t="shared" si="111"/>
        <v/>
      </c>
      <c r="U613" s="152"/>
      <c r="V613" s="143"/>
      <c r="W613" s="102"/>
      <c r="X613" s="102" t="str">
        <f t="shared" si="112"/>
        <v/>
      </c>
      <c r="Y613" s="102"/>
      <c r="Z613" s="102"/>
      <c r="AA613" s="102"/>
      <c r="AB613" s="102"/>
      <c r="AC613" s="102"/>
      <c r="AD613" s="102"/>
      <c r="AE613" s="102"/>
      <c r="AF613" s="102"/>
      <c r="AG613" s="102"/>
      <c r="AH613" s="102"/>
      <c r="AI613" s="102"/>
      <c r="AJ613" s="102"/>
      <c r="AK613" s="102"/>
      <c r="AL613" s="102"/>
      <c r="AM613" s="102"/>
    </row>
    <row r="614" spans="1:39">
      <c r="A614" s="143"/>
      <c r="B614" s="143"/>
      <c r="C614" s="155"/>
      <c r="D614" s="143"/>
      <c r="E614" s="146"/>
      <c r="F614" s="147"/>
      <c r="G614" s="147"/>
      <c r="H614" s="148"/>
      <c r="I614" s="143"/>
      <c r="J614" s="143"/>
      <c r="K614" s="149"/>
      <c r="L614" s="150" t="str">
        <f t="shared" si="103"/>
        <v/>
      </c>
      <c r="M614" s="150" t="str">
        <f t="shared" si="104"/>
        <v/>
      </c>
      <c r="N614" s="151" t="str">
        <f t="shared" si="105"/>
        <v/>
      </c>
      <c r="O614" s="151" t="str">
        <f t="shared" si="106"/>
        <v/>
      </c>
      <c r="P614" s="151" t="str">
        <f t="shared" si="107"/>
        <v/>
      </c>
      <c r="Q614" s="151" t="str">
        <f t="shared" si="108"/>
        <v/>
      </c>
      <c r="R614" s="150" t="str">
        <f t="shared" si="109"/>
        <v/>
      </c>
      <c r="S614" s="150" t="str">
        <f t="shared" si="110"/>
        <v/>
      </c>
      <c r="T614" s="150" t="str">
        <f t="shared" si="111"/>
        <v/>
      </c>
      <c r="U614" s="152"/>
      <c r="V614" s="143"/>
      <c r="W614" s="102"/>
      <c r="X614" s="102" t="str">
        <f t="shared" si="112"/>
        <v/>
      </c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</row>
    <row r="615" spans="1:39">
      <c r="A615" s="143"/>
      <c r="B615" s="143"/>
      <c r="C615" s="155"/>
      <c r="D615" s="143"/>
      <c r="E615" s="146"/>
      <c r="F615" s="147"/>
      <c r="G615" s="147"/>
      <c r="H615" s="148"/>
      <c r="I615" s="143"/>
      <c r="J615" s="143"/>
      <c r="K615" s="149"/>
      <c r="L615" s="150" t="str">
        <f t="shared" si="103"/>
        <v/>
      </c>
      <c r="M615" s="150" t="str">
        <f t="shared" si="104"/>
        <v/>
      </c>
      <c r="N615" s="151" t="str">
        <f t="shared" si="105"/>
        <v/>
      </c>
      <c r="O615" s="151" t="str">
        <f t="shared" si="106"/>
        <v/>
      </c>
      <c r="P615" s="151" t="str">
        <f t="shared" si="107"/>
        <v/>
      </c>
      <c r="Q615" s="151" t="str">
        <f t="shared" si="108"/>
        <v/>
      </c>
      <c r="R615" s="150" t="str">
        <f t="shared" si="109"/>
        <v/>
      </c>
      <c r="S615" s="150" t="str">
        <f t="shared" si="110"/>
        <v/>
      </c>
      <c r="T615" s="150" t="str">
        <f t="shared" si="111"/>
        <v/>
      </c>
      <c r="U615" s="152"/>
      <c r="V615" s="143"/>
      <c r="W615" s="102"/>
      <c r="X615" s="102" t="str">
        <f t="shared" si="112"/>
        <v/>
      </c>
      <c r="Y615" s="102"/>
      <c r="Z615" s="102"/>
      <c r="AA615" s="102"/>
      <c r="AB615" s="102"/>
      <c r="AC615" s="102"/>
      <c r="AD615" s="102"/>
      <c r="AE615" s="102"/>
      <c r="AF615" s="102"/>
      <c r="AG615" s="102"/>
      <c r="AH615" s="102"/>
      <c r="AI615" s="102"/>
      <c r="AJ615" s="102"/>
      <c r="AK615" s="102"/>
      <c r="AL615" s="102"/>
      <c r="AM615" s="102"/>
    </row>
    <row r="616" spans="1:39">
      <c r="A616" s="143"/>
      <c r="B616" s="143"/>
      <c r="C616" s="155"/>
      <c r="D616" s="143"/>
      <c r="E616" s="146"/>
      <c r="F616" s="147"/>
      <c r="G616" s="147"/>
      <c r="H616" s="148"/>
      <c r="I616" s="143"/>
      <c r="J616" s="143"/>
      <c r="K616" s="149"/>
      <c r="L616" s="150" t="str">
        <f t="shared" si="103"/>
        <v/>
      </c>
      <c r="M616" s="150" t="str">
        <f t="shared" si="104"/>
        <v/>
      </c>
      <c r="N616" s="151" t="str">
        <f t="shared" si="105"/>
        <v/>
      </c>
      <c r="O616" s="151" t="str">
        <f t="shared" si="106"/>
        <v/>
      </c>
      <c r="P616" s="151" t="str">
        <f t="shared" si="107"/>
        <v/>
      </c>
      <c r="Q616" s="151" t="str">
        <f t="shared" si="108"/>
        <v/>
      </c>
      <c r="R616" s="150" t="str">
        <f t="shared" si="109"/>
        <v/>
      </c>
      <c r="S616" s="150" t="str">
        <f t="shared" si="110"/>
        <v/>
      </c>
      <c r="T616" s="150" t="str">
        <f t="shared" si="111"/>
        <v/>
      </c>
      <c r="U616" s="152"/>
      <c r="V616" s="143"/>
      <c r="W616" s="102"/>
      <c r="X616" s="102" t="str">
        <f t="shared" si="112"/>
        <v/>
      </c>
      <c r="Y616" s="102"/>
      <c r="Z616" s="102"/>
      <c r="AA616" s="102"/>
      <c r="AB616" s="102"/>
      <c r="AC616" s="102"/>
      <c r="AD616" s="102"/>
      <c r="AE616" s="102"/>
      <c r="AF616" s="102"/>
      <c r="AG616" s="102"/>
      <c r="AH616" s="102"/>
      <c r="AI616" s="102"/>
      <c r="AJ616" s="102"/>
      <c r="AK616" s="102"/>
      <c r="AL616" s="102"/>
      <c r="AM616" s="102"/>
    </row>
    <row r="617" spans="1:39">
      <c r="A617" s="143"/>
      <c r="B617" s="143"/>
      <c r="C617" s="155"/>
      <c r="D617" s="143"/>
      <c r="E617" s="146"/>
      <c r="F617" s="147"/>
      <c r="G617" s="147"/>
      <c r="H617" s="148"/>
      <c r="I617" s="143"/>
      <c r="J617" s="143"/>
      <c r="K617" s="149"/>
      <c r="L617" s="150" t="str">
        <f t="shared" si="103"/>
        <v/>
      </c>
      <c r="M617" s="150" t="str">
        <f t="shared" si="104"/>
        <v/>
      </c>
      <c r="N617" s="151" t="str">
        <f t="shared" si="105"/>
        <v/>
      </c>
      <c r="O617" s="151" t="str">
        <f t="shared" si="106"/>
        <v/>
      </c>
      <c r="P617" s="151" t="str">
        <f t="shared" si="107"/>
        <v/>
      </c>
      <c r="Q617" s="151" t="str">
        <f t="shared" si="108"/>
        <v/>
      </c>
      <c r="R617" s="150" t="str">
        <f t="shared" si="109"/>
        <v/>
      </c>
      <c r="S617" s="150" t="str">
        <f t="shared" si="110"/>
        <v/>
      </c>
      <c r="T617" s="150" t="str">
        <f t="shared" si="111"/>
        <v/>
      </c>
      <c r="U617" s="152"/>
      <c r="V617" s="143"/>
      <c r="W617" s="102"/>
      <c r="X617" s="102" t="str">
        <f t="shared" si="112"/>
        <v/>
      </c>
      <c r="Y617" s="102"/>
      <c r="Z617" s="102"/>
      <c r="AA617" s="102"/>
      <c r="AB617" s="102"/>
      <c r="AC617" s="102"/>
      <c r="AD617" s="102"/>
      <c r="AE617" s="102"/>
      <c r="AF617" s="102"/>
      <c r="AG617" s="102"/>
      <c r="AH617" s="102"/>
      <c r="AI617" s="102"/>
      <c r="AJ617" s="102"/>
      <c r="AK617" s="102"/>
      <c r="AL617" s="102"/>
      <c r="AM617" s="102"/>
    </row>
    <row r="618" spans="1:39">
      <c r="A618" s="143"/>
      <c r="B618" s="143"/>
      <c r="C618" s="155"/>
      <c r="D618" s="143"/>
      <c r="E618" s="146"/>
      <c r="F618" s="147"/>
      <c r="G618" s="147"/>
      <c r="H618" s="148"/>
      <c r="I618" s="143"/>
      <c r="J618" s="143"/>
      <c r="K618" s="149"/>
      <c r="L618" s="150" t="str">
        <f t="shared" si="103"/>
        <v/>
      </c>
      <c r="M618" s="150" t="str">
        <f t="shared" si="104"/>
        <v/>
      </c>
      <c r="N618" s="151" t="str">
        <f t="shared" si="105"/>
        <v/>
      </c>
      <c r="O618" s="151" t="str">
        <f t="shared" si="106"/>
        <v/>
      </c>
      <c r="P618" s="151" t="str">
        <f t="shared" si="107"/>
        <v/>
      </c>
      <c r="Q618" s="151" t="str">
        <f t="shared" si="108"/>
        <v/>
      </c>
      <c r="R618" s="150" t="str">
        <f t="shared" si="109"/>
        <v/>
      </c>
      <c r="S618" s="150" t="str">
        <f t="shared" si="110"/>
        <v/>
      </c>
      <c r="T618" s="150" t="str">
        <f t="shared" si="111"/>
        <v/>
      </c>
      <c r="U618" s="152"/>
      <c r="V618" s="143"/>
      <c r="W618" s="102"/>
      <c r="X618" s="102" t="str">
        <f t="shared" si="112"/>
        <v/>
      </c>
      <c r="Y618" s="102"/>
      <c r="Z618" s="102"/>
      <c r="AA618" s="102"/>
      <c r="AB618" s="102"/>
      <c r="AC618" s="102"/>
      <c r="AD618" s="102"/>
      <c r="AE618" s="102"/>
      <c r="AF618" s="102"/>
      <c r="AG618" s="102"/>
      <c r="AH618" s="102"/>
      <c r="AI618" s="102"/>
      <c r="AJ618" s="102"/>
      <c r="AK618" s="102"/>
      <c r="AL618" s="102"/>
      <c r="AM618" s="102"/>
    </row>
    <row r="619" spans="1:39">
      <c r="A619" s="143"/>
      <c r="B619" s="143"/>
      <c r="C619" s="155"/>
      <c r="D619" s="143"/>
      <c r="E619" s="146"/>
      <c r="F619" s="147"/>
      <c r="G619" s="147"/>
      <c r="H619" s="148"/>
      <c r="I619" s="143"/>
      <c r="J619" s="143"/>
      <c r="K619" s="149"/>
      <c r="L619" s="150" t="str">
        <f t="shared" si="103"/>
        <v/>
      </c>
      <c r="M619" s="150" t="str">
        <f t="shared" si="104"/>
        <v/>
      </c>
      <c r="N619" s="151" t="str">
        <f t="shared" si="105"/>
        <v/>
      </c>
      <c r="O619" s="151" t="str">
        <f t="shared" si="106"/>
        <v/>
      </c>
      <c r="P619" s="151" t="str">
        <f t="shared" si="107"/>
        <v/>
      </c>
      <c r="Q619" s="151" t="str">
        <f t="shared" si="108"/>
        <v/>
      </c>
      <c r="R619" s="150" t="str">
        <f t="shared" si="109"/>
        <v/>
      </c>
      <c r="S619" s="150" t="str">
        <f t="shared" si="110"/>
        <v/>
      </c>
      <c r="T619" s="150" t="str">
        <f t="shared" si="111"/>
        <v/>
      </c>
      <c r="U619" s="152"/>
      <c r="V619" s="143"/>
      <c r="W619" s="102"/>
      <c r="X619" s="102" t="str">
        <f t="shared" si="112"/>
        <v/>
      </c>
      <c r="Y619" s="102"/>
      <c r="Z619" s="102"/>
      <c r="AA619" s="102"/>
      <c r="AB619" s="102"/>
      <c r="AC619" s="102"/>
      <c r="AD619" s="102"/>
      <c r="AE619" s="102"/>
      <c r="AF619" s="102"/>
      <c r="AG619" s="102"/>
      <c r="AH619" s="102"/>
      <c r="AI619" s="102"/>
      <c r="AJ619" s="102"/>
      <c r="AK619" s="102"/>
      <c r="AL619" s="102"/>
      <c r="AM619" s="102"/>
    </row>
    <row r="620" spans="1:39">
      <c r="A620" s="143"/>
      <c r="B620" s="143"/>
      <c r="C620" s="155"/>
      <c r="D620" s="143"/>
      <c r="E620" s="146"/>
      <c r="F620" s="147"/>
      <c r="G620" s="147"/>
      <c r="H620" s="148"/>
      <c r="I620" s="143"/>
      <c r="J620" s="143"/>
      <c r="K620" s="149"/>
      <c r="L620" s="150" t="str">
        <f t="shared" si="103"/>
        <v/>
      </c>
      <c r="M620" s="150" t="str">
        <f t="shared" si="104"/>
        <v/>
      </c>
      <c r="N620" s="151" t="str">
        <f t="shared" si="105"/>
        <v/>
      </c>
      <c r="O620" s="151" t="str">
        <f t="shared" si="106"/>
        <v/>
      </c>
      <c r="P620" s="151" t="str">
        <f t="shared" si="107"/>
        <v/>
      </c>
      <c r="Q620" s="151" t="str">
        <f t="shared" si="108"/>
        <v/>
      </c>
      <c r="R620" s="150" t="str">
        <f t="shared" si="109"/>
        <v/>
      </c>
      <c r="S620" s="150" t="str">
        <f t="shared" si="110"/>
        <v/>
      </c>
      <c r="T620" s="150" t="str">
        <f t="shared" si="111"/>
        <v/>
      </c>
      <c r="U620" s="152"/>
      <c r="V620" s="143"/>
      <c r="W620" s="102"/>
      <c r="X620" s="102" t="str">
        <f t="shared" si="112"/>
        <v/>
      </c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</row>
    <row r="621" spans="1:39">
      <c r="A621" s="143"/>
      <c r="B621" s="143"/>
      <c r="C621" s="155"/>
      <c r="D621" s="143"/>
      <c r="E621" s="146"/>
      <c r="F621" s="147"/>
      <c r="G621" s="147"/>
      <c r="H621" s="148"/>
      <c r="I621" s="143"/>
      <c r="J621" s="143"/>
      <c r="K621" s="149"/>
      <c r="L621" s="150" t="str">
        <f t="shared" si="103"/>
        <v/>
      </c>
      <c r="M621" s="150" t="str">
        <f t="shared" si="104"/>
        <v/>
      </c>
      <c r="N621" s="151" t="str">
        <f t="shared" si="105"/>
        <v/>
      </c>
      <c r="O621" s="151" t="str">
        <f t="shared" si="106"/>
        <v/>
      </c>
      <c r="P621" s="151" t="str">
        <f t="shared" si="107"/>
        <v/>
      </c>
      <c r="Q621" s="151" t="str">
        <f t="shared" si="108"/>
        <v/>
      </c>
      <c r="R621" s="150" t="str">
        <f t="shared" si="109"/>
        <v/>
      </c>
      <c r="S621" s="150" t="str">
        <f t="shared" si="110"/>
        <v/>
      </c>
      <c r="T621" s="150" t="str">
        <f t="shared" si="111"/>
        <v/>
      </c>
      <c r="U621" s="152"/>
      <c r="V621" s="143"/>
      <c r="W621" s="102"/>
      <c r="X621" s="102" t="str">
        <f t="shared" si="112"/>
        <v/>
      </c>
      <c r="Y621" s="102"/>
      <c r="Z621" s="102"/>
      <c r="AA621" s="102"/>
      <c r="AB621" s="102"/>
      <c r="AC621" s="102"/>
      <c r="AD621" s="102"/>
      <c r="AE621" s="102"/>
      <c r="AF621" s="102"/>
      <c r="AG621" s="102"/>
      <c r="AH621" s="102"/>
      <c r="AI621" s="102"/>
      <c r="AJ621" s="102"/>
      <c r="AK621" s="102"/>
      <c r="AL621" s="102"/>
      <c r="AM621" s="102"/>
    </row>
    <row r="622" spans="1:39">
      <c r="A622" s="143"/>
      <c r="B622" s="143"/>
      <c r="C622" s="155"/>
      <c r="D622" s="143"/>
      <c r="E622" s="146"/>
      <c r="F622" s="147"/>
      <c r="G622" s="147"/>
      <c r="H622" s="148"/>
      <c r="I622" s="143"/>
      <c r="J622" s="143"/>
      <c r="K622" s="149"/>
      <c r="L622" s="150" t="str">
        <f t="shared" si="103"/>
        <v/>
      </c>
      <c r="M622" s="150" t="str">
        <f t="shared" si="104"/>
        <v/>
      </c>
      <c r="N622" s="151" t="str">
        <f t="shared" si="105"/>
        <v/>
      </c>
      <c r="O622" s="151" t="str">
        <f t="shared" si="106"/>
        <v/>
      </c>
      <c r="P622" s="151" t="str">
        <f t="shared" si="107"/>
        <v/>
      </c>
      <c r="Q622" s="151" t="str">
        <f t="shared" si="108"/>
        <v/>
      </c>
      <c r="R622" s="150" t="str">
        <f t="shared" si="109"/>
        <v/>
      </c>
      <c r="S622" s="150" t="str">
        <f t="shared" si="110"/>
        <v/>
      </c>
      <c r="T622" s="150" t="str">
        <f t="shared" si="111"/>
        <v/>
      </c>
      <c r="U622" s="152"/>
      <c r="V622" s="143"/>
      <c r="W622" s="102"/>
      <c r="X622" s="102" t="str">
        <f t="shared" si="112"/>
        <v/>
      </c>
      <c r="Y622" s="102"/>
      <c r="Z622" s="102"/>
      <c r="AA622" s="102"/>
      <c r="AB622" s="102"/>
      <c r="AC622" s="102"/>
      <c r="AD622" s="102"/>
      <c r="AE622" s="102"/>
      <c r="AF622" s="102"/>
      <c r="AG622" s="102"/>
      <c r="AH622" s="102"/>
      <c r="AI622" s="102"/>
      <c r="AJ622" s="102"/>
      <c r="AK622" s="102"/>
      <c r="AL622" s="102"/>
      <c r="AM622" s="102"/>
    </row>
    <row r="623" spans="1:39">
      <c r="A623" s="143"/>
      <c r="B623" s="143"/>
      <c r="C623" s="155"/>
      <c r="D623" s="143"/>
      <c r="E623" s="146"/>
      <c r="F623" s="147"/>
      <c r="G623" s="147"/>
      <c r="H623" s="148"/>
      <c r="I623" s="143"/>
      <c r="J623" s="143"/>
      <c r="K623" s="149"/>
      <c r="L623" s="150" t="str">
        <f t="shared" si="103"/>
        <v/>
      </c>
      <c r="M623" s="150" t="str">
        <f t="shared" si="104"/>
        <v/>
      </c>
      <c r="N623" s="151" t="str">
        <f t="shared" si="105"/>
        <v/>
      </c>
      <c r="O623" s="151" t="str">
        <f t="shared" si="106"/>
        <v/>
      </c>
      <c r="P623" s="151" t="str">
        <f t="shared" si="107"/>
        <v/>
      </c>
      <c r="Q623" s="151" t="str">
        <f t="shared" si="108"/>
        <v/>
      </c>
      <c r="R623" s="150" t="str">
        <f t="shared" si="109"/>
        <v/>
      </c>
      <c r="S623" s="150" t="str">
        <f t="shared" si="110"/>
        <v/>
      </c>
      <c r="T623" s="150" t="str">
        <f t="shared" si="111"/>
        <v/>
      </c>
      <c r="U623" s="152"/>
      <c r="V623" s="143"/>
      <c r="W623" s="102"/>
      <c r="X623" s="102" t="str">
        <f t="shared" si="112"/>
        <v/>
      </c>
      <c r="Y623" s="102"/>
      <c r="Z623" s="102"/>
      <c r="AA623" s="102"/>
      <c r="AB623" s="102"/>
      <c r="AC623" s="102"/>
      <c r="AD623" s="102"/>
      <c r="AE623" s="102"/>
      <c r="AF623" s="102"/>
      <c r="AG623" s="102"/>
      <c r="AH623" s="102"/>
      <c r="AI623" s="102"/>
      <c r="AJ623" s="102"/>
      <c r="AK623" s="102"/>
      <c r="AL623" s="102"/>
      <c r="AM623" s="102"/>
    </row>
    <row r="624" spans="1:39">
      <c r="A624" s="143"/>
      <c r="B624" s="143"/>
      <c r="C624" s="155"/>
      <c r="D624" s="143"/>
      <c r="E624" s="146"/>
      <c r="F624" s="147"/>
      <c r="G624" s="147"/>
      <c r="H624" s="148"/>
      <c r="I624" s="143"/>
      <c r="J624" s="143"/>
      <c r="K624" s="149"/>
      <c r="L624" s="150" t="str">
        <f t="shared" si="103"/>
        <v/>
      </c>
      <c r="M624" s="150" t="str">
        <f t="shared" si="104"/>
        <v/>
      </c>
      <c r="N624" s="151" t="str">
        <f t="shared" si="105"/>
        <v/>
      </c>
      <c r="O624" s="151" t="str">
        <f t="shared" si="106"/>
        <v/>
      </c>
      <c r="P624" s="151" t="str">
        <f t="shared" si="107"/>
        <v/>
      </c>
      <c r="Q624" s="151" t="str">
        <f t="shared" si="108"/>
        <v/>
      </c>
      <c r="R624" s="150" t="str">
        <f t="shared" si="109"/>
        <v/>
      </c>
      <c r="S624" s="150" t="str">
        <f t="shared" si="110"/>
        <v/>
      </c>
      <c r="T624" s="150" t="str">
        <f t="shared" si="111"/>
        <v/>
      </c>
      <c r="U624" s="152"/>
      <c r="V624" s="143"/>
      <c r="W624" s="102"/>
      <c r="X624" s="102" t="str">
        <f t="shared" si="112"/>
        <v/>
      </c>
      <c r="Y624" s="102"/>
      <c r="Z624" s="102"/>
      <c r="AA624" s="102"/>
      <c r="AB624" s="102"/>
      <c r="AC624" s="102"/>
      <c r="AD624" s="102"/>
      <c r="AE624" s="102"/>
      <c r="AF624" s="102"/>
      <c r="AG624" s="102"/>
      <c r="AH624" s="102"/>
      <c r="AI624" s="102"/>
      <c r="AJ624" s="102"/>
      <c r="AK624" s="102"/>
      <c r="AL624" s="102"/>
      <c r="AM624" s="102"/>
    </row>
    <row r="625" spans="1:39">
      <c r="A625" s="143"/>
      <c r="B625" s="143"/>
      <c r="C625" s="155"/>
      <c r="D625" s="143"/>
      <c r="E625" s="146"/>
      <c r="F625" s="147"/>
      <c r="G625" s="147"/>
      <c r="H625" s="148"/>
      <c r="I625" s="143"/>
      <c r="J625" s="143"/>
      <c r="K625" s="149"/>
      <c r="L625" s="150" t="str">
        <f t="shared" si="103"/>
        <v/>
      </c>
      <c r="M625" s="150" t="str">
        <f t="shared" si="104"/>
        <v/>
      </c>
      <c r="N625" s="151" t="str">
        <f t="shared" si="105"/>
        <v/>
      </c>
      <c r="O625" s="151" t="str">
        <f t="shared" si="106"/>
        <v/>
      </c>
      <c r="P625" s="151" t="str">
        <f t="shared" si="107"/>
        <v/>
      </c>
      <c r="Q625" s="151" t="str">
        <f t="shared" si="108"/>
        <v/>
      </c>
      <c r="R625" s="150" t="str">
        <f t="shared" si="109"/>
        <v/>
      </c>
      <c r="S625" s="150" t="str">
        <f t="shared" si="110"/>
        <v/>
      </c>
      <c r="T625" s="150" t="str">
        <f t="shared" si="111"/>
        <v/>
      </c>
      <c r="U625" s="152"/>
      <c r="V625" s="143"/>
      <c r="W625" s="102"/>
      <c r="X625" s="102" t="str">
        <f t="shared" si="112"/>
        <v/>
      </c>
      <c r="Y625" s="102"/>
      <c r="Z625" s="102"/>
      <c r="AA625" s="102"/>
      <c r="AB625" s="102"/>
      <c r="AC625" s="102"/>
      <c r="AD625" s="102"/>
      <c r="AE625" s="102"/>
      <c r="AF625" s="102"/>
      <c r="AG625" s="102"/>
      <c r="AH625" s="102"/>
      <c r="AI625" s="102"/>
      <c r="AJ625" s="102"/>
      <c r="AK625" s="102"/>
      <c r="AL625" s="102"/>
      <c r="AM625" s="102"/>
    </row>
    <row r="626" spans="1:39">
      <c r="A626" s="143"/>
      <c r="B626" s="143"/>
      <c r="C626" s="155"/>
      <c r="D626" s="143"/>
      <c r="E626" s="146"/>
      <c r="F626" s="147"/>
      <c r="G626" s="147"/>
      <c r="H626" s="148"/>
      <c r="I626" s="143"/>
      <c r="J626" s="143"/>
      <c r="K626" s="149"/>
      <c r="L626" s="150" t="str">
        <f t="shared" si="103"/>
        <v/>
      </c>
      <c r="M626" s="150" t="str">
        <f t="shared" si="104"/>
        <v/>
      </c>
      <c r="N626" s="151" t="str">
        <f t="shared" si="105"/>
        <v/>
      </c>
      <c r="O626" s="151" t="str">
        <f t="shared" si="106"/>
        <v/>
      </c>
      <c r="P626" s="151" t="str">
        <f t="shared" si="107"/>
        <v/>
      </c>
      <c r="Q626" s="151" t="str">
        <f t="shared" si="108"/>
        <v/>
      </c>
      <c r="R626" s="150" t="str">
        <f t="shared" si="109"/>
        <v/>
      </c>
      <c r="S626" s="150" t="str">
        <f t="shared" si="110"/>
        <v/>
      </c>
      <c r="T626" s="150" t="str">
        <f t="shared" si="111"/>
        <v/>
      </c>
      <c r="U626" s="152"/>
      <c r="V626" s="143"/>
      <c r="W626" s="102"/>
      <c r="X626" s="102" t="str">
        <f t="shared" si="112"/>
        <v/>
      </c>
      <c r="Y626" s="102"/>
      <c r="Z626" s="102"/>
      <c r="AA626" s="102"/>
      <c r="AB626" s="102"/>
      <c r="AC626" s="102"/>
      <c r="AD626" s="102"/>
      <c r="AE626" s="102"/>
      <c r="AF626" s="102"/>
      <c r="AG626" s="102"/>
      <c r="AH626" s="102"/>
      <c r="AI626" s="102"/>
      <c r="AJ626" s="102"/>
      <c r="AK626" s="102"/>
      <c r="AL626" s="102"/>
      <c r="AM626" s="102"/>
    </row>
    <row r="627" spans="1:39">
      <c r="A627" s="143"/>
      <c r="B627" s="143"/>
      <c r="C627" s="155"/>
      <c r="D627" s="143"/>
      <c r="E627" s="146"/>
      <c r="F627" s="147"/>
      <c r="G627" s="147"/>
      <c r="H627" s="148"/>
      <c r="I627" s="143"/>
      <c r="J627" s="143"/>
      <c r="K627" s="149"/>
      <c r="L627" s="150" t="str">
        <f t="shared" si="103"/>
        <v/>
      </c>
      <c r="M627" s="150" t="str">
        <f t="shared" si="104"/>
        <v/>
      </c>
      <c r="N627" s="151" t="str">
        <f t="shared" si="105"/>
        <v/>
      </c>
      <c r="O627" s="151" t="str">
        <f t="shared" si="106"/>
        <v/>
      </c>
      <c r="P627" s="151" t="str">
        <f t="shared" si="107"/>
        <v/>
      </c>
      <c r="Q627" s="151" t="str">
        <f t="shared" si="108"/>
        <v/>
      </c>
      <c r="R627" s="150" t="str">
        <f t="shared" si="109"/>
        <v/>
      </c>
      <c r="S627" s="150" t="str">
        <f t="shared" si="110"/>
        <v/>
      </c>
      <c r="T627" s="150" t="str">
        <f t="shared" si="111"/>
        <v/>
      </c>
      <c r="U627" s="152"/>
      <c r="V627" s="143"/>
      <c r="W627" s="102"/>
      <c r="X627" s="102" t="str">
        <f t="shared" si="112"/>
        <v/>
      </c>
      <c r="Y627" s="102"/>
      <c r="Z627" s="102"/>
      <c r="AA627" s="102"/>
      <c r="AB627" s="102"/>
      <c r="AC627" s="102"/>
      <c r="AD627" s="102"/>
      <c r="AE627" s="102"/>
      <c r="AF627" s="102"/>
      <c r="AG627" s="102"/>
      <c r="AH627" s="102"/>
      <c r="AI627" s="102"/>
      <c r="AJ627" s="102"/>
      <c r="AK627" s="102"/>
      <c r="AL627" s="102"/>
      <c r="AM627" s="102"/>
    </row>
    <row r="628" spans="1:39">
      <c r="A628" s="143"/>
      <c r="B628" s="143"/>
      <c r="C628" s="155"/>
      <c r="D628" s="143"/>
      <c r="E628" s="146"/>
      <c r="F628" s="147"/>
      <c r="G628" s="147"/>
      <c r="H628" s="148"/>
      <c r="I628" s="143"/>
      <c r="J628" s="143"/>
      <c r="K628" s="149"/>
      <c r="L628" s="150" t="str">
        <f t="shared" si="103"/>
        <v/>
      </c>
      <c r="M628" s="150" t="str">
        <f t="shared" si="104"/>
        <v/>
      </c>
      <c r="N628" s="151" t="str">
        <f t="shared" si="105"/>
        <v/>
      </c>
      <c r="O628" s="151" t="str">
        <f t="shared" si="106"/>
        <v/>
      </c>
      <c r="P628" s="151" t="str">
        <f t="shared" si="107"/>
        <v/>
      </c>
      <c r="Q628" s="151" t="str">
        <f t="shared" si="108"/>
        <v/>
      </c>
      <c r="R628" s="150" t="str">
        <f t="shared" si="109"/>
        <v/>
      </c>
      <c r="S628" s="150" t="str">
        <f t="shared" si="110"/>
        <v/>
      </c>
      <c r="T628" s="150" t="str">
        <f t="shared" si="111"/>
        <v/>
      </c>
      <c r="U628" s="152"/>
      <c r="V628" s="143"/>
      <c r="W628" s="102"/>
      <c r="X628" s="102" t="str">
        <f t="shared" si="112"/>
        <v/>
      </c>
      <c r="Y628" s="102"/>
      <c r="Z628" s="102"/>
      <c r="AA628" s="102"/>
      <c r="AB628" s="102"/>
      <c r="AC628" s="102"/>
      <c r="AD628" s="102"/>
      <c r="AE628" s="102"/>
      <c r="AF628" s="102"/>
      <c r="AG628" s="102"/>
      <c r="AH628" s="102"/>
      <c r="AI628" s="102"/>
      <c r="AJ628" s="102"/>
      <c r="AK628" s="102"/>
      <c r="AL628" s="102"/>
      <c r="AM628" s="102"/>
    </row>
    <row r="629" spans="1:39">
      <c r="A629" s="143"/>
      <c r="B629" s="143"/>
      <c r="C629" s="155"/>
      <c r="D629" s="143"/>
      <c r="E629" s="146"/>
      <c r="F629" s="147"/>
      <c r="G629" s="147"/>
      <c r="H629" s="148"/>
      <c r="I629" s="143"/>
      <c r="J629" s="143"/>
      <c r="K629" s="149"/>
      <c r="L629" s="150" t="str">
        <f t="shared" si="103"/>
        <v/>
      </c>
      <c r="M629" s="150" t="str">
        <f t="shared" si="104"/>
        <v/>
      </c>
      <c r="N629" s="151" t="str">
        <f t="shared" si="105"/>
        <v/>
      </c>
      <c r="O629" s="151" t="str">
        <f t="shared" si="106"/>
        <v/>
      </c>
      <c r="P629" s="151" t="str">
        <f t="shared" si="107"/>
        <v/>
      </c>
      <c r="Q629" s="151" t="str">
        <f t="shared" si="108"/>
        <v/>
      </c>
      <c r="R629" s="150" t="str">
        <f t="shared" si="109"/>
        <v/>
      </c>
      <c r="S629" s="150" t="str">
        <f t="shared" si="110"/>
        <v/>
      </c>
      <c r="T629" s="150" t="str">
        <f t="shared" si="111"/>
        <v/>
      </c>
      <c r="U629" s="152"/>
      <c r="V629" s="143"/>
      <c r="W629" s="102"/>
      <c r="X629" s="102" t="str">
        <f t="shared" si="112"/>
        <v/>
      </c>
      <c r="Y629" s="102"/>
      <c r="Z629" s="102"/>
      <c r="AA629" s="102"/>
      <c r="AB629" s="102"/>
      <c r="AC629" s="102"/>
      <c r="AD629" s="102"/>
      <c r="AE629" s="102"/>
      <c r="AF629" s="102"/>
      <c r="AG629" s="102"/>
      <c r="AH629" s="102"/>
      <c r="AI629" s="102"/>
      <c r="AJ629" s="102"/>
      <c r="AK629" s="102"/>
      <c r="AL629" s="102"/>
      <c r="AM629" s="102"/>
    </row>
    <row r="630" spans="1:39">
      <c r="A630" s="143"/>
      <c r="B630" s="143"/>
      <c r="C630" s="155"/>
      <c r="D630" s="143"/>
      <c r="E630" s="146"/>
      <c r="F630" s="147"/>
      <c r="G630" s="147"/>
      <c r="H630" s="148"/>
      <c r="I630" s="143"/>
      <c r="J630" s="143"/>
      <c r="K630" s="149"/>
      <c r="L630" s="150" t="str">
        <f t="shared" si="103"/>
        <v/>
      </c>
      <c r="M630" s="150" t="str">
        <f t="shared" si="104"/>
        <v/>
      </c>
      <c r="N630" s="151" t="str">
        <f t="shared" si="105"/>
        <v/>
      </c>
      <c r="O630" s="151" t="str">
        <f t="shared" si="106"/>
        <v/>
      </c>
      <c r="P630" s="151" t="str">
        <f t="shared" si="107"/>
        <v/>
      </c>
      <c r="Q630" s="151" t="str">
        <f t="shared" si="108"/>
        <v/>
      </c>
      <c r="R630" s="150" t="str">
        <f t="shared" si="109"/>
        <v/>
      </c>
      <c r="S630" s="150" t="str">
        <f t="shared" si="110"/>
        <v/>
      </c>
      <c r="T630" s="150" t="str">
        <f t="shared" si="111"/>
        <v/>
      </c>
      <c r="U630" s="152"/>
      <c r="V630" s="143"/>
      <c r="W630" s="102"/>
      <c r="X630" s="102" t="str">
        <f t="shared" si="112"/>
        <v/>
      </c>
      <c r="Y630" s="102"/>
      <c r="Z630" s="102"/>
      <c r="AA630" s="102"/>
      <c r="AB630" s="102"/>
      <c r="AC630" s="102"/>
      <c r="AD630" s="102"/>
      <c r="AE630" s="102"/>
      <c r="AF630" s="102"/>
      <c r="AG630" s="102"/>
      <c r="AH630" s="102"/>
      <c r="AI630" s="102"/>
      <c r="AJ630" s="102"/>
      <c r="AK630" s="102"/>
      <c r="AL630" s="102"/>
      <c r="AM630" s="102"/>
    </row>
    <row r="631" spans="1:39">
      <c r="A631" s="143"/>
      <c r="B631" s="143"/>
      <c r="C631" s="155"/>
      <c r="D631" s="143"/>
      <c r="E631" s="146"/>
      <c r="F631" s="147"/>
      <c r="G631" s="147"/>
      <c r="H631" s="148"/>
      <c r="I631" s="143"/>
      <c r="J631" s="143"/>
      <c r="K631" s="149"/>
      <c r="L631" s="150" t="str">
        <f t="shared" si="103"/>
        <v/>
      </c>
      <c r="M631" s="150" t="str">
        <f t="shared" si="104"/>
        <v/>
      </c>
      <c r="N631" s="151" t="str">
        <f t="shared" si="105"/>
        <v/>
      </c>
      <c r="O631" s="151" t="str">
        <f t="shared" si="106"/>
        <v/>
      </c>
      <c r="P631" s="151" t="str">
        <f t="shared" si="107"/>
        <v/>
      </c>
      <c r="Q631" s="151" t="str">
        <f t="shared" si="108"/>
        <v/>
      </c>
      <c r="R631" s="150" t="str">
        <f t="shared" si="109"/>
        <v/>
      </c>
      <c r="S631" s="150" t="str">
        <f t="shared" si="110"/>
        <v/>
      </c>
      <c r="T631" s="150" t="str">
        <f t="shared" si="111"/>
        <v/>
      </c>
      <c r="U631" s="152"/>
      <c r="V631" s="143"/>
      <c r="W631" s="102"/>
      <c r="X631" s="102" t="str">
        <f t="shared" si="112"/>
        <v/>
      </c>
      <c r="Y631" s="102"/>
      <c r="Z631" s="102"/>
      <c r="AA631" s="102"/>
      <c r="AB631" s="102"/>
      <c r="AC631" s="102"/>
      <c r="AD631" s="102"/>
      <c r="AE631" s="102"/>
      <c r="AF631" s="102"/>
      <c r="AG631" s="102"/>
      <c r="AH631" s="102"/>
      <c r="AI631" s="102"/>
      <c r="AJ631" s="102"/>
      <c r="AK631" s="102"/>
      <c r="AL631" s="102"/>
      <c r="AM631" s="102"/>
    </row>
    <row r="632" spans="1:39">
      <c r="A632" s="143"/>
      <c r="B632" s="143"/>
      <c r="C632" s="155"/>
      <c r="D632" s="143"/>
      <c r="E632" s="146"/>
      <c r="F632" s="147"/>
      <c r="G632" s="147"/>
      <c r="H632" s="148"/>
      <c r="I632" s="143"/>
      <c r="J632" s="143"/>
      <c r="K632" s="149"/>
      <c r="L632" s="150" t="str">
        <f t="shared" si="103"/>
        <v/>
      </c>
      <c r="M632" s="150" t="str">
        <f t="shared" si="104"/>
        <v/>
      </c>
      <c r="N632" s="151" t="str">
        <f t="shared" si="105"/>
        <v/>
      </c>
      <c r="O632" s="151" t="str">
        <f t="shared" si="106"/>
        <v/>
      </c>
      <c r="P632" s="151" t="str">
        <f t="shared" si="107"/>
        <v/>
      </c>
      <c r="Q632" s="151" t="str">
        <f t="shared" si="108"/>
        <v/>
      </c>
      <c r="R632" s="150" t="str">
        <f t="shared" si="109"/>
        <v/>
      </c>
      <c r="S632" s="150" t="str">
        <f t="shared" si="110"/>
        <v/>
      </c>
      <c r="T632" s="150" t="str">
        <f t="shared" si="111"/>
        <v/>
      </c>
      <c r="U632" s="152"/>
      <c r="V632" s="143"/>
      <c r="W632" s="102"/>
      <c r="X632" s="102" t="str">
        <f t="shared" si="112"/>
        <v/>
      </c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</row>
    <row r="633" spans="1:39">
      <c r="A633" s="143"/>
      <c r="B633" s="143"/>
      <c r="C633" s="155"/>
      <c r="D633" s="143"/>
      <c r="E633" s="146"/>
      <c r="F633" s="147"/>
      <c r="G633" s="147"/>
      <c r="H633" s="148"/>
      <c r="I633" s="143"/>
      <c r="J633" s="143"/>
      <c r="K633" s="149"/>
      <c r="L633" s="150" t="str">
        <f t="shared" si="103"/>
        <v/>
      </c>
      <c r="M633" s="150" t="str">
        <f t="shared" si="104"/>
        <v/>
      </c>
      <c r="N633" s="151" t="str">
        <f t="shared" si="105"/>
        <v/>
      </c>
      <c r="O633" s="151" t="str">
        <f t="shared" si="106"/>
        <v/>
      </c>
      <c r="P633" s="151" t="str">
        <f t="shared" si="107"/>
        <v/>
      </c>
      <c r="Q633" s="151" t="str">
        <f t="shared" si="108"/>
        <v/>
      </c>
      <c r="R633" s="150" t="str">
        <f t="shared" si="109"/>
        <v/>
      </c>
      <c r="S633" s="150" t="str">
        <f t="shared" si="110"/>
        <v/>
      </c>
      <c r="T633" s="150" t="str">
        <f t="shared" si="111"/>
        <v/>
      </c>
      <c r="U633" s="152"/>
      <c r="V633" s="143"/>
      <c r="W633" s="102"/>
      <c r="X633" s="102" t="str">
        <f t="shared" si="112"/>
        <v/>
      </c>
      <c r="Y633" s="102"/>
      <c r="Z633" s="102"/>
      <c r="AA633" s="102"/>
      <c r="AB633" s="102"/>
      <c r="AC633" s="102"/>
      <c r="AD633" s="102"/>
      <c r="AE633" s="102"/>
      <c r="AF633" s="102"/>
      <c r="AG633" s="102"/>
      <c r="AH633" s="102"/>
      <c r="AI633" s="102"/>
      <c r="AJ633" s="102"/>
      <c r="AK633" s="102"/>
      <c r="AL633" s="102"/>
      <c r="AM633" s="102"/>
    </row>
    <row r="634" spans="1:39">
      <c r="A634" s="143"/>
      <c r="B634" s="143"/>
      <c r="C634" s="155"/>
      <c r="D634" s="143"/>
      <c r="E634" s="146"/>
      <c r="F634" s="147"/>
      <c r="G634" s="147"/>
      <c r="H634" s="148"/>
      <c r="I634" s="143"/>
      <c r="J634" s="143"/>
      <c r="K634" s="149"/>
      <c r="L634" s="150" t="str">
        <f t="shared" si="103"/>
        <v/>
      </c>
      <c r="M634" s="150" t="str">
        <f t="shared" si="104"/>
        <v/>
      </c>
      <c r="N634" s="151" t="str">
        <f t="shared" si="105"/>
        <v/>
      </c>
      <c r="O634" s="151" t="str">
        <f t="shared" si="106"/>
        <v/>
      </c>
      <c r="P634" s="151" t="str">
        <f t="shared" si="107"/>
        <v/>
      </c>
      <c r="Q634" s="151" t="str">
        <f t="shared" si="108"/>
        <v/>
      </c>
      <c r="R634" s="150" t="str">
        <f t="shared" si="109"/>
        <v/>
      </c>
      <c r="S634" s="150" t="str">
        <f t="shared" si="110"/>
        <v/>
      </c>
      <c r="T634" s="150" t="str">
        <f t="shared" si="111"/>
        <v/>
      </c>
      <c r="U634" s="152"/>
      <c r="V634" s="143"/>
      <c r="W634" s="102"/>
      <c r="X634" s="102" t="str">
        <f t="shared" si="112"/>
        <v/>
      </c>
      <c r="Y634" s="102"/>
      <c r="Z634" s="102"/>
      <c r="AA634" s="102"/>
      <c r="AB634" s="102"/>
      <c r="AC634" s="102"/>
      <c r="AD634" s="102"/>
      <c r="AE634" s="102"/>
      <c r="AF634" s="102"/>
      <c r="AG634" s="102"/>
      <c r="AH634" s="102"/>
      <c r="AI634" s="102"/>
      <c r="AJ634" s="102"/>
      <c r="AK634" s="102"/>
      <c r="AL634" s="102"/>
      <c r="AM634" s="102"/>
    </row>
    <row r="635" spans="1:39">
      <c r="A635" s="143"/>
      <c r="B635" s="143"/>
      <c r="C635" s="155"/>
      <c r="D635" s="143"/>
      <c r="E635" s="146"/>
      <c r="F635" s="147"/>
      <c r="G635" s="147"/>
      <c r="H635" s="148"/>
      <c r="I635" s="143"/>
      <c r="J635" s="143"/>
      <c r="K635" s="149"/>
      <c r="L635" s="150" t="str">
        <f t="shared" si="103"/>
        <v/>
      </c>
      <c r="M635" s="150" t="str">
        <f t="shared" si="104"/>
        <v/>
      </c>
      <c r="N635" s="151" t="str">
        <f t="shared" si="105"/>
        <v/>
      </c>
      <c r="O635" s="151" t="str">
        <f t="shared" si="106"/>
        <v/>
      </c>
      <c r="P635" s="151" t="str">
        <f t="shared" si="107"/>
        <v/>
      </c>
      <c r="Q635" s="151" t="str">
        <f t="shared" si="108"/>
        <v/>
      </c>
      <c r="R635" s="150" t="str">
        <f t="shared" si="109"/>
        <v/>
      </c>
      <c r="S635" s="150" t="str">
        <f t="shared" si="110"/>
        <v/>
      </c>
      <c r="T635" s="150" t="str">
        <f t="shared" si="111"/>
        <v/>
      </c>
      <c r="U635" s="152"/>
      <c r="V635" s="143"/>
      <c r="W635" s="102"/>
      <c r="X635" s="102" t="str">
        <f t="shared" si="112"/>
        <v/>
      </c>
      <c r="Y635" s="102"/>
      <c r="Z635" s="102"/>
      <c r="AA635" s="102"/>
      <c r="AB635" s="102"/>
      <c r="AC635" s="102"/>
      <c r="AD635" s="102"/>
      <c r="AE635" s="102"/>
      <c r="AF635" s="102"/>
      <c r="AG635" s="102"/>
      <c r="AH635" s="102"/>
      <c r="AI635" s="102"/>
      <c r="AJ635" s="102"/>
      <c r="AK635" s="102"/>
      <c r="AL635" s="102"/>
      <c r="AM635" s="102"/>
    </row>
    <row r="636" spans="1:39">
      <c r="A636" s="143"/>
      <c r="B636" s="143"/>
      <c r="C636" s="155"/>
      <c r="D636" s="143"/>
      <c r="E636" s="146"/>
      <c r="F636" s="147"/>
      <c r="G636" s="147"/>
      <c r="H636" s="148"/>
      <c r="I636" s="143"/>
      <c r="J636" s="143"/>
      <c r="K636" s="149"/>
      <c r="L636" s="150" t="str">
        <f t="shared" si="103"/>
        <v/>
      </c>
      <c r="M636" s="150" t="str">
        <f t="shared" si="104"/>
        <v/>
      </c>
      <c r="N636" s="151" t="str">
        <f t="shared" si="105"/>
        <v/>
      </c>
      <c r="O636" s="151" t="str">
        <f t="shared" si="106"/>
        <v/>
      </c>
      <c r="P636" s="151" t="str">
        <f t="shared" si="107"/>
        <v/>
      </c>
      <c r="Q636" s="151" t="str">
        <f t="shared" si="108"/>
        <v/>
      </c>
      <c r="R636" s="150" t="str">
        <f t="shared" si="109"/>
        <v/>
      </c>
      <c r="S636" s="150" t="str">
        <f t="shared" si="110"/>
        <v/>
      </c>
      <c r="T636" s="150" t="str">
        <f t="shared" si="111"/>
        <v/>
      </c>
      <c r="U636" s="152"/>
      <c r="V636" s="143"/>
      <c r="W636" s="102"/>
      <c r="X636" s="102" t="str">
        <f t="shared" si="112"/>
        <v/>
      </c>
      <c r="Y636" s="102"/>
      <c r="Z636" s="102"/>
      <c r="AA636" s="102"/>
      <c r="AB636" s="102"/>
      <c r="AC636" s="102"/>
      <c r="AD636" s="102"/>
      <c r="AE636" s="102"/>
      <c r="AF636" s="102"/>
      <c r="AG636" s="102"/>
      <c r="AH636" s="102"/>
      <c r="AI636" s="102"/>
      <c r="AJ636" s="102"/>
      <c r="AK636" s="102"/>
      <c r="AL636" s="102"/>
      <c r="AM636" s="102"/>
    </row>
    <row r="637" spans="1:39">
      <c r="A637" s="143"/>
      <c r="B637" s="143"/>
      <c r="C637" s="155"/>
      <c r="D637" s="143"/>
      <c r="E637" s="146"/>
      <c r="F637" s="147"/>
      <c r="G637" s="147"/>
      <c r="H637" s="148"/>
      <c r="I637" s="143"/>
      <c r="J637" s="143"/>
      <c r="K637" s="149"/>
      <c r="L637" s="150" t="str">
        <f t="shared" si="103"/>
        <v/>
      </c>
      <c r="M637" s="150" t="str">
        <f t="shared" si="104"/>
        <v/>
      </c>
      <c r="N637" s="151" t="str">
        <f t="shared" si="105"/>
        <v/>
      </c>
      <c r="O637" s="151" t="str">
        <f t="shared" si="106"/>
        <v/>
      </c>
      <c r="P637" s="151" t="str">
        <f t="shared" si="107"/>
        <v/>
      </c>
      <c r="Q637" s="151" t="str">
        <f t="shared" si="108"/>
        <v/>
      </c>
      <c r="R637" s="150" t="str">
        <f t="shared" si="109"/>
        <v/>
      </c>
      <c r="S637" s="150" t="str">
        <f t="shared" si="110"/>
        <v/>
      </c>
      <c r="T637" s="150" t="str">
        <f t="shared" si="111"/>
        <v/>
      </c>
      <c r="U637" s="152"/>
      <c r="V637" s="143"/>
      <c r="W637" s="102"/>
      <c r="X637" s="102" t="str">
        <f t="shared" si="112"/>
        <v/>
      </c>
      <c r="Y637" s="102"/>
      <c r="Z637" s="102"/>
      <c r="AA637" s="102"/>
      <c r="AB637" s="102"/>
      <c r="AC637" s="102"/>
      <c r="AD637" s="102"/>
      <c r="AE637" s="102"/>
      <c r="AF637" s="102"/>
      <c r="AG637" s="102"/>
      <c r="AH637" s="102"/>
      <c r="AI637" s="102"/>
      <c r="AJ637" s="102"/>
      <c r="AK637" s="102"/>
      <c r="AL637" s="102"/>
      <c r="AM637" s="102"/>
    </row>
    <row r="638" spans="1:39">
      <c r="A638" s="143"/>
      <c r="B638" s="143"/>
      <c r="C638" s="155"/>
      <c r="D638" s="143"/>
      <c r="E638" s="146"/>
      <c r="F638" s="147"/>
      <c r="G638" s="147"/>
      <c r="H638" s="148"/>
      <c r="I638" s="143"/>
      <c r="J638" s="143"/>
      <c r="K638" s="149"/>
      <c r="L638" s="150" t="str">
        <f t="shared" si="103"/>
        <v/>
      </c>
      <c r="M638" s="150" t="str">
        <f t="shared" si="104"/>
        <v/>
      </c>
      <c r="N638" s="151" t="str">
        <f t="shared" si="105"/>
        <v/>
      </c>
      <c r="O638" s="151" t="str">
        <f t="shared" si="106"/>
        <v/>
      </c>
      <c r="P638" s="151" t="str">
        <f t="shared" si="107"/>
        <v/>
      </c>
      <c r="Q638" s="151" t="str">
        <f t="shared" si="108"/>
        <v/>
      </c>
      <c r="R638" s="150" t="str">
        <f t="shared" si="109"/>
        <v/>
      </c>
      <c r="S638" s="150" t="str">
        <f t="shared" si="110"/>
        <v/>
      </c>
      <c r="T638" s="150" t="str">
        <f t="shared" si="111"/>
        <v/>
      </c>
      <c r="U638" s="152"/>
      <c r="V638" s="143"/>
      <c r="W638" s="102"/>
      <c r="X638" s="102" t="str">
        <f t="shared" si="112"/>
        <v/>
      </c>
      <c r="Y638" s="102"/>
      <c r="Z638" s="102"/>
      <c r="AA638" s="102"/>
      <c r="AB638" s="102"/>
      <c r="AC638" s="102"/>
      <c r="AD638" s="102"/>
      <c r="AE638" s="102"/>
      <c r="AF638" s="102"/>
      <c r="AG638" s="102"/>
      <c r="AH638" s="102"/>
      <c r="AI638" s="102"/>
      <c r="AJ638" s="102"/>
      <c r="AK638" s="102"/>
      <c r="AL638" s="102"/>
      <c r="AM638" s="102"/>
    </row>
    <row r="639" spans="1:39">
      <c r="A639" s="143"/>
      <c r="B639" s="143"/>
      <c r="C639" s="155"/>
      <c r="D639" s="143"/>
      <c r="E639" s="146"/>
      <c r="F639" s="147"/>
      <c r="G639" s="147"/>
      <c r="H639" s="148"/>
      <c r="I639" s="143"/>
      <c r="J639" s="143"/>
      <c r="K639" s="149"/>
      <c r="L639" s="150" t="str">
        <f t="shared" si="103"/>
        <v/>
      </c>
      <c r="M639" s="150" t="str">
        <f t="shared" si="104"/>
        <v/>
      </c>
      <c r="N639" s="151" t="str">
        <f t="shared" si="105"/>
        <v/>
      </c>
      <c r="O639" s="151" t="str">
        <f t="shared" si="106"/>
        <v/>
      </c>
      <c r="P639" s="151" t="str">
        <f t="shared" si="107"/>
        <v/>
      </c>
      <c r="Q639" s="151" t="str">
        <f t="shared" si="108"/>
        <v/>
      </c>
      <c r="R639" s="150" t="str">
        <f t="shared" si="109"/>
        <v/>
      </c>
      <c r="S639" s="150" t="str">
        <f t="shared" si="110"/>
        <v/>
      </c>
      <c r="T639" s="150" t="str">
        <f t="shared" si="111"/>
        <v/>
      </c>
      <c r="U639" s="152"/>
      <c r="V639" s="143"/>
      <c r="W639" s="102"/>
      <c r="X639" s="102" t="str">
        <f t="shared" si="112"/>
        <v/>
      </c>
      <c r="Y639" s="102"/>
      <c r="Z639" s="102"/>
      <c r="AA639" s="102"/>
      <c r="AB639" s="102"/>
      <c r="AC639" s="102"/>
      <c r="AD639" s="102"/>
      <c r="AE639" s="102"/>
      <c r="AF639" s="102"/>
      <c r="AG639" s="102"/>
      <c r="AH639" s="102"/>
      <c r="AI639" s="102"/>
      <c r="AJ639" s="102"/>
      <c r="AK639" s="102"/>
      <c r="AL639" s="102"/>
      <c r="AM639" s="102"/>
    </row>
    <row r="640" spans="1:39">
      <c r="A640" s="143"/>
      <c r="B640" s="143"/>
      <c r="C640" s="155"/>
      <c r="D640" s="143"/>
      <c r="E640" s="146"/>
      <c r="F640" s="147"/>
      <c r="G640" s="147"/>
      <c r="H640" s="148"/>
      <c r="I640" s="143"/>
      <c r="J640" s="143"/>
      <c r="K640" s="149"/>
      <c r="L640" s="150" t="str">
        <f t="shared" si="103"/>
        <v/>
      </c>
      <c r="M640" s="150" t="str">
        <f t="shared" si="104"/>
        <v/>
      </c>
      <c r="N640" s="151" t="str">
        <f t="shared" si="105"/>
        <v/>
      </c>
      <c r="O640" s="151" t="str">
        <f t="shared" si="106"/>
        <v/>
      </c>
      <c r="P640" s="151" t="str">
        <f t="shared" si="107"/>
        <v/>
      </c>
      <c r="Q640" s="151" t="str">
        <f t="shared" si="108"/>
        <v/>
      </c>
      <c r="R640" s="150" t="str">
        <f t="shared" si="109"/>
        <v/>
      </c>
      <c r="S640" s="150" t="str">
        <f t="shared" si="110"/>
        <v/>
      </c>
      <c r="T640" s="150" t="str">
        <f t="shared" si="111"/>
        <v/>
      </c>
      <c r="U640" s="152"/>
      <c r="V640" s="143"/>
      <c r="W640" s="102"/>
      <c r="X640" s="102" t="str">
        <f t="shared" si="112"/>
        <v/>
      </c>
      <c r="Y640" s="102"/>
      <c r="Z640" s="102"/>
      <c r="AA640" s="102"/>
      <c r="AB640" s="102"/>
      <c r="AC640" s="102"/>
      <c r="AD640" s="102"/>
      <c r="AE640" s="102"/>
      <c r="AF640" s="102"/>
      <c r="AG640" s="102"/>
      <c r="AH640" s="102"/>
      <c r="AI640" s="102"/>
      <c r="AJ640" s="102"/>
      <c r="AK640" s="102"/>
      <c r="AL640" s="102"/>
      <c r="AM640" s="102"/>
    </row>
    <row r="641" spans="1:39">
      <c r="A641" s="143"/>
      <c r="B641" s="143"/>
      <c r="C641" s="155"/>
      <c r="D641" s="143"/>
      <c r="E641" s="146"/>
      <c r="F641" s="147"/>
      <c r="G641" s="147"/>
      <c r="H641" s="148"/>
      <c r="I641" s="143"/>
      <c r="J641" s="143"/>
      <c r="K641" s="149"/>
      <c r="L641" s="150" t="str">
        <f t="shared" si="103"/>
        <v/>
      </c>
      <c r="M641" s="150" t="str">
        <f t="shared" si="104"/>
        <v/>
      </c>
      <c r="N641" s="151" t="str">
        <f t="shared" si="105"/>
        <v/>
      </c>
      <c r="O641" s="151" t="str">
        <f t="shared" si="106"/>
        <v/>
      </c>
      <c r="P641" s="151" t="str">
        <f t="shared" si="107"/>
        <v/>
      </c>
      <c r="Q641" s="151" t="str">
        <f t="shared" si="108"/>
        <v/>
      </c>
      <c r="R641" s="150" t="str">
        <f t="shared" si="109"/>
        <v/>
      </c>
      <c r="S641" s="150" t="str">
        <f t="shared" si="110"/>
        <v/>
      </c>
      <c r="T641" s="150" t="str">
        <f t="shared" si="111"/>
        <v/>
      </c>
      <c r="U641" s="152"/>
      <c r="V641" s="143"/>
      <c r="W641" s="102"/>
      <c r="X641" s="102" t="str">
        <f t="shared" si="112"/>
        <v/>
      </c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</row>
    <row r="642" spans="1:39">
      <c r="A642" s="143"/>
      <c r="B642" s="143"/>
      <c r="C642" s="155"/>
      <c r="D642" s="143"/>
      <c r="E642" s="146"/>
      <c r="F642" s="147"/>
      <c r="G642" s="147"/>
      <c r="H642" s="148"/>
      <c r="I642" s="143"/>
      <c r="J642" s="143"/>
      <c r="K642" s="149"/>
      <c r="L642" s="150" t="str">
        <f t="shared" si="103"/>
        <v/>
      </c>
      <c r="M642" s="150" t="str">
        <f t="shared" si="104"/>
        <v/>
      </c>
      <c r="N642" s="151" t="str">
        <f t="shared" si="105"/>
        <v/>
      </c>
      <c r="O642" s="151" t="str">
        <f t="shared" si="106"/>
        <v/>
      </c>
      <c r="P642" s="151" t="str">
        <f t="shared" si="107"/>
        <v/>
      </c>
      <c r="Q642" s="151" t="str">
        <f t="shared" si="108"/>
        <v/>
      </c>
      <c r="R642" s="150" t="str">
        <f t="shared" si="109"/>
        <v/>
      </c>
      <c r="S642" s="150" t="str">
        <f t="shared" si="110"/>
        <v/>
      </c>
      <c r="T642" s="150" t="str">
        <f t="shared" si="111"/>
        <v/>
      </c>
      <c r="U642" s="152"/>
      <c r="V642" s="143"/>
      <c r="W642" s="102"/>
      <c r="X642" s="102" t="str">
        <f t="shared" si="112"/>
        <v/>
      </c>
      <c r="Y642" s="102"/>
      <c r="Z642" s="102"/>
      <c r="AA642" s="102"/>
      <c r="AB642" s="102"/>
      <c r="AC642" s="102"/>
      <c r="AD642" s="102"/>
      <c r="AE642" s="102"/>
      <c r="AF642" s="102"/>
      <c r="AG642" s="102"/>
      <c r="AH642" s="102"/>
      <c r="AI642" s="102"/>
      <c r="AJ642" s="102"/>
      <c r="AK642" s="102"/>
      <c r="AL642" s="102"/>
      <c r="AM642" s="102"/>
    </row>
    <row r="643" spans="1:39">
      <c r="A643" s="143"/>
      <c r="B643" s="143"/>
      <c r="C643" s="155"/>
      <c r="D643" s="143"/>
      <c r="E643" s="146"/>
      <c r="F643" s="147"/>
      <c r="G643" s="147"/>
      <c r="H643" s="148"/>
      <c r="I643" s="143"/>
      <c r="J643" s="143"/>
      <c r="K643" s="149"/>
      <c r="L643" s="150" t="str">
        <f t="shared" si="103"/>
        <v/>
      </c>
      <c r="M643" s="150" t="str">
        <f t="shared" si="104"/>
        <v/>
      </c>
      <c r="N643" s="151" t="str">
        <f t="shared" si="105"/>
        <v/>
      </c>
      <c r="O643" s="151" t="str">
        <f t="shared" si="106"/>
        <v/>
      </c>
      <c r="P643" s="151" t="str">
        <f t="shared" si="107"/>
        <v/>
      </c>
      <c r="Q643" s="151" t="str">
        <f t="shared" si="108"/>
        <v/>
      </c>
      <c r="R643" s="150" t="str">
        <f t="shared" si="109"/>
        <v/>
      </c>
      <c r="S643" s="150" t="str">
        <f t="shared" si="110"/>
        <v/>
      </c>
      <c r="T643" s="150" t="str">
        <f t="shared" si="111"/>
        <v/>
      </c>
      <c r="U643" s="152"/>
      <c r="V643" s="143"/>
      <c r="W643" s="102"/>
      <c r="X643" s="102" t="str">
        <f t="shared" si="112"/>
        <v/>
      </c>
      <c r="Y643" s="102"/>
      <c r="Z643" s="102"/>
      <c r="AA643" s="102"/>
      <c r="AB643" s="102"/>
      <c r="AC643" s="102"/>
      <c r="AD643" s="102"/>
      <c r="AE643" s="102"/>
      <c r="AF643" s="102"/>
      <c r="AG643" s="102"/>
      <c r="AH643" s="102"/>
      <c r="AI643" s="102"/>
      <c r="AJ643" s="102"/>
      <c r="AK643" s="102"/>
      <c r="AL643" s="102"/>
      <c r="AM643" s="102"/>
    </row>
    <row r="644" spans="1:39">
      <c r="A644" s="143"/>
      <c r="B644" s="143"/>
      <c r="C644" s="155"/>
      <c r="D644" s="143"/>
      <c r="E644" s="146"/>
      <c r="F644" s="147"/>
      <c r="G644" s="147"/>
      <c r="H644" s="148"/>
      <c r="I644" s="143"/>
      <c r="J644" s="143"/>
      <c r="K644" s="149"/>
      <c r="L644" s="150" t="str">
        <f t="shared" si="103"/>
        <v/>
      </c>
      <c r="M644" s="150" t="str">
        <f t="shared" si="104"/>
        <v/>
      </c>
      <c r="N644" s="151" t="str">
        <f t="shared" si="105"/>
        <v/>
      </c>
      <c r="O644" s="151" t="str">
        <f t="shared" si="106"/>
        <v/>
      </c>
      <c r="P644" s="151" t="str">
        <f t="shared" si="107"/>
        <v/>
      </c>
      <c r="Q644" s="151" t="str">
        <f t="shared" si="108"/>
        <v/>
      </c>
      <c r="R644" s="150" t="str">
        <f t="shared" si="109"/>
        <v/>
      </c>
      <c r="S644" s="150" t="str">
        <f t="shared" si="110"/>
        <v/>
      </c>
      <c r="T644" s="150" t="str">
        <f t="shared" si="111"/>
        <v/>
      </c>
      <c r="U644" s="152"/>
      <c r="V644" s="143"/>
      <c r="W644" s="102"/>
      <c r="X644" s="102" t="str">
        <f t="shared" si="112"/>
        <v/>
      </c>
      <c r="Y644" s="102"/>
      <c r="Z644" s="102"/>
      <c r="AA644" s="102"/>
      <c r="AB644" s="102"/>
      <c r="AC644" s="102"/>
      <c r="AD644" s="102"/>
      <c r="AE644" s="102"/>
      <c r="AF644" s="102"/>
      <c r="AG644" s="102"/>
      <c r="AH644" s="102"/>
      <c r="AI644" s="102"/>
      <c r="AJ644" s="102"/>
      <c r="AK644" s="102"/>
      <c r="AL644" s="102"/>
      <c r="AM644" s="102"/>
    </row>
    <row r="645" spans="1:39">
      <c r="A645" s="143"/>
      <c r="B645" s="143"/>
      <c r="C645" s="155"/>
      <c r="D645" s="143"/>
      <c r="E645" s="146"/>
      <c r="F645" s="147"/>
      <c r="G645" s="147"/>
      <c r="H645" s="148"/>
      <c r="I645" s="143"/>
      <c r="J645" s="143"/>
      <c r="K645" s="149"/>
      <c r="L645" s="150" t="str">
        <f t="shared" si="103"/>
        <v/>
      </c>
      <c r="M645" s="150" t="str">
        <f t="shared" si="104"/>
        <v/>
      </c>
      <c r="N645" s="151" t="str">
        <f t="shared" si="105"/>
        <v/>
      </c>
      <c r="O645" s="151" t="str">
        <f t="shared" si="106"/>
        <v/>
      </c>
      <c r="P645" s="151" t="str">
        <f t="shared" si="107"/>
        <v/>
      </c>
      <c r="Q645" s="151" t="str">
        <f t="shared" si="108"/>
        <v/>
      </c>
      <c r="R645" s="150" t="str">
        <f t="shared" si="109"/>
        <v/>
      </c>
      <c r="S645" s="150" t="str">
        <f t="shared" si="110"/>
        <v/>
      </c>
      <c r="T645" s="150" t="str">
        <f t="shared" si="111"/>
        <v/>
      </c>
      <c r="U645" s="152"/>
      <c r="V645" s="143"/>
      <c r="W645" s="102"/>
      <c r="X645" s="102" t="str">
        <f t="shared" si="112"/>
        <v/>
      </c>
      <c r="Y645" s="102"/>
      <c r="Z645" s="102"/>
      <c r="AA645" s="102"/>
      <c r="AB645" s="102"/>
      <c r="AC645" s="102"/>
      <c r="AD645" s="102"/>
      <c r="AE645" s="102"/>
      <c r="AF645" s="102"/>
      <c r="AG645" s="102"/>
      <c r="AH645" s="102"/>
      <c r="AI645" s="102"/>
      <c r="AJ645" s="102"/>
      <c r="AK645" s="102"/>
      <c r="AL645" s="102"/>
      <c r="AM645" s="102"/>
    </row>
    <row r="646" spans="1:39">
      <c r="A646" s="143"/>
      <c r="B646" s="143"/>
      <c r="C646" s="155"/>
      <c r="D646" s="143"/>
      <c r="E646" s="146"/>
      <c r="F646" s="147"/>
      <c r="G646" s="147"/>
      <c r="H646" s="148"/>
      <c r="I646" s="143"/>
      <c r="J646" s="143"/>
      <c r="K646" s="149"/>
      <c r="L646" s="150" t="str">
        <f t="shared" si="103"/>
        <v/>
      </c>
      <c r="M646" s="150" t="str">
        <f t="shared" si="104"/>
        <v/>
      </c>
      <c r="N646" s="151" t="str">
        <f t="shared" si="105"/>
        <v/>
      </c>
      <c r="O646" s="151" t="str">
        <f t="shared" si="106"/>
        <v/>
      </c>
      <c r="P646" s="151" t="str">
        <f t="shared" si="107"/>
        <v/>
      </c>
      <c r="Q646" s="151" t="str">
        <f t="shared" si="108"/>
        <v/>
      </c>
      <c r="R646" s="150" t="str">
        <f t="shared" si="109"/>
        <v/>
      </c>
      <c r="S646" s="150" t="str">
        <f t="shared" si="110"/>
        <v/>
      </c>
      <c r="T646" s="150" t="str">
        <f t="shared" si="111"/>
        <v/>
      </c>
      <c r="U646" s="152"/>
      <c r="V646" s="143"/>
      <c r="W646" s="102"/>
      <c r="X646" s="102" t="str">
        <f t="shared" si="112"/>
        <v/>
      </c>
      <c r="Y646" s="102"/>
      <c r="Z646" s="102"/>
      <c r="AA646" s="102"/>
      <c r="AB646" s="102"/>
      <c r="AC646" s="102"/>
      <c r="AD646" s="102"/>
      <c r="AE646" s="102"/>
      <c r="AF646" s="102"/>
      <c r="AG646" s="102"/>
      <c r="AH646" s="102"/>
      <c r="AI646" s="102"/>
      <c r="AJ646" s="102"/>
      <c r="AK646" s="102"/>
      <c r="AL646" s="102"/>
      <c r="AM646" s="102"/>
    </row>
    <row r="647" spans="1:39">
      <c r="A647" s="143"/>
      <c r="B647" s="143"/>
      <c r="C647" s="155"/>
      <c r="D647" s="143"/>
      <c r="E647" s="146"/>
      <c r="F647" s="147"/>
      <c r="G647" s="147"/>
      <c r="H647" s="148"/>
      <c r="I647" s="143"/>
      <c r="J647" s="143"/>
      <c r="K647" s="149"/>
      <c r="L647" s="150" t="str">
        <f t="shared" si="103"/>
        <v/>
      </c>
      <c r="M647" s="150" t="str">
        <f t="shared" si="104"/>
        <v/>
      </c>
      <c r="N647" s="151" t="str">
        <f t="shared" si="105"/>
        <v/>
      </c>
      <c r="O647" s="151" t="str">
        <f t="shared" si="106"/>
        <v/>
      </c>
      <c r="P647" s="151" t="str">
        <f t="shared" si="107"/>
        <v/>
      </c>
      <c r="Q647" s="151" t="str">
        <f t="shared" si="108"/>
        <v/>
      </c>
      <c r="R647" s="150" t="str">
        <f t="shared" si="109"/>
        <v/>
      </c>
      <c r="S647" s="150" t="str">
        <f t="shared" si="110"/>
        <v/>
      </c>
      <c r="T647" s="150" t="str">
        <f t="shared" si="111"/>
        <v/>
      </c>
      <c r="U647" s="152"/>
      <c r="V647" s="143"/>
      <c r="W647" s="102"/>
      <c r="X647" s="102" t="str">
        <f t="shared" si="112"/>
        <v/>
      </c>
      <c r="Y647" s="102"/>
      <c r="Z647" s="102"/>
      <c r="AA647" s="102"/>
      <c r="AB647" s="102"/>
      <c r="AC647" s="102"/>
      <c r="AD647" s="102"/>
      <c r="AE647" s="102"/>
      <c r="AF647" s="102"/>
      <c r="AG647" s="102"/>
      <c r="AH647" s="102"/>
      <c r="AI647" s="102"/>
      <c r="AJ647" s="102"/>
      <c r="AK647" s="102"/>
      <c r="AL647" s="102"/>
      <c r="AM647" s="102"/>
    </row>
    <row r="648" spans="1:39">
      <c r="A648" s="143"/>
      <c r="B648" s="143"/>
      <c r="C648" s="155"/>
      <c r="D648" s="143"/>
      <c r="E648" s="146"/>
      <c r="F648" s="147"/>
      <c r="G648" s="147"/>
      <c r="H648" s="148"/>
      <c r="I648" s="143"/>
      <c r="J648" s="143"/>
      <c r="K648" s="149"/>
      <c r="L648" s="150" t="str">
        <f t="shared" si="103"/>
        <v/>
      </c>
      <c r="M648" s="150" t="str">
        <f t="shared" si="104"/>
        <v/>
      </c>
      <c r="N648" s="151" t="str">
        <f t="shared" si="105"/>
        <v/>
      </c>
      <c r="O648" s="151" t="str">
        <f t="shared" si="106"/>
        <v/>
      </c>
      <c r="P648" s="151" t="str">
        <f t="shared" si="107"/>
        <v/>
      </c>
      <c r="Q648" s="151" t="str">
        <f t="shared" si="108"/>
        <v/>
      </c>
      <c r="R648" s="150" t="str">
        <f t="shared" si="109"/>
        <v/>
      </c>
      <c r="S648" s="150" t="str">
        <f t="shared" si="110"/>
        <v/>
      </c>
      <c r="T648" s="150" t="str">
        <f t="shared" si="111"/>
        <v/>
      </c>
      <c r="U648" s="152"/>
      <c r="V648" s="143"/>
      <c r="W648" s="102"/>
      <c r="X648" s="102" t="str">
        <f t="shared" si="112"/>
        <v/>
      </c>
      <c r="Y648" s="102"/>
      <c r="Z648" s="102"/>
      <c r="AA648" s="102"/>
      <c r="AB648" s="102"/>
      <c r="AC648" s="102"/>
      <c r="AD648" s="102"/>
      <c r="AE648" s="102"/>
      <c r="AF648" s="102"/>
      <c r="AG648" s="102"/>
      <c r="AH648" s="102"/>
      <c r="AI648" s="102"/>
      <c r="AJ648" s="102"/>
      <c r="AK648" s="102"/>
      <c r="AL648" s="102"/>
      <c r="AM648" s="102"/>
    </row>
    <row r="649" spans="1:39">
      <c r="A649" s="143"/>
      <c r="B649" s="143"/>
      <c r="C649" s="155"/>
      <c r="D649" s="143"/>
      <c r="E649" s="146"/>
      <c r="F649" s="147"/>
      <c r="G649" s="147"/>
      <c r="H649" s="148"/>
      <c r="I649" s="143"/>
      <c r="J649" s="143"/>
      <c r="K649" s="149"/>
      <c r="L649" s="150" t="str">
        <f t="shared" si="103"/>
        <v/>
      </c>
      <c r="M649" s="150" t="str">
        <f t="shared" si="104"/>
        <v/>
      </c>
      <c r="N649" s="151" t="str">
        <f t="shared" si="105"/>
        <v/>
      </c>
      <c r="O649" s="151" t="str">
        <f t="shared" si="106"/>
        <v/>
      </c>
      <c r="P649" s="151" t="str">
        <f t="shared" si="107"/>
        <v/>
      </c>
      <c r="Q649" s="151" t="str">
        <f t="shared" si="108"/>
        <v/>
      </c>
      <c r="R649" s="150" t="str">
        <f t="shared" si="109"/>
        <v/>
      </c>
      <c r="S649" s="150" t="str">
        <f t="shared" si="110"/>
        <v/>
      </c>
      <c r="T649" s="150" t="str">
        <f t="shared" si="111"/>
        <v/>
      </c>
      <c r="U649" s="152"/>
      <c r="V649" s="143"/>
      <c r="W649" s="102"/>
      <c r="X649" s="102" t="str">
        <f t="shared" si="112"/>
        <v/>
      </c>
      <c r="Y649" s="102"/>
      <c r="Z649" s="102"/>
      <c r="AA649" s="102"/>
      <c r="AB649" s="102"/>
      <c r="AC649" s="102"/>
      <c r="AD649" s="102"/>
      <c r="AE649" s="102"/>
      <c r="AF649" s="102"/>
      <c r="AG649" s="102"/>
      <c r="AH649" s="102"/>
      <c r="AI649" s="102"/>
      <c r="AJ649" s="102"/>
      <c r="AK649" s="102"/>
      <c r="AL649" s="102"/>
      <c r="AM649" s="102"/>
    </row>
    <row r="650" spans="1:39">
      <c r="A650" s="143"/>
      <c r="B650" s="143"/>
      <c r="C650" s="155"/>
      <c r="D650" s="143"/>
      <c r="E650" s="146"/>
      <c r="F650" s="147"/>
      <c r="G650" s="147"/>
      <c r="H650" s="148"/>
      <c r="I650" s="143"/>
      <c r="J650" s="143"/>
      <c r="K650" s="149"/>
      <c r="L650" s="150" t="str">
        <f t="shared" ref="L650:L713" si="113">IF(K650="","",IF(K650="W",R650*J650-J650,IF(K650="L",-J650,0)))</f>
        <v/>
      </c>
      <c r="M650" s="150" t="str">
        <f t="shared" ref="M650:M713" si="114">IF(K650="","",IF(K650="W",S650*J650-J650,IF(K650="L",-J650,0)))</f>
        <v/>
      </c>
      <c r="N650" s="151" t="str">
        <f t="shared" ref="N650:N713" si="115">IFERROR((1/S650-1/R650)/(1/R650),"")</f>
        <v/>
      </c>
      <c r="O650" s="151" t="str">
        <f t="shared" ref="O650:O713" si="116">IFERROR(IF(Q650="","",P650 - Q650),"")</f>
        <v/>
      </c>
      <c r="P650" s="151" t="str">
        <f t="shared" ref="P650:P713" si="117">IF(F650="","",IF(F650 &lt; 0, -F650 / (-F650 + 100), 100 / (F650 + 100)))</f>
        <v/>
      </c>
      <c r="Q650" s="151" t="str">
        <f t="shared" ref="Q650:Q713" si="118">IFERROR((1/S650) / ((1/S650) + (1/T650)),"")</f>
        <v/>
      </c>
      <c r="R650" s="150" t="str">
        <f t="shared" ref="R650:R713" si="119">IFERROR(IF(G650&gt;0, G650/100 + 1, 100/ABS(G650) + 1),"")</f>
        <v/>
      </c>
      <c r="S650" s="150" t="str">
        <f t="shared" ref="S650:S713" si="120">IFERROR(IF(H650&gt;0, H650/100 + 1, 100/ABS(H650) + 1),"")</f>
        <v/>
      </c>
      <c r="T650" s="150" t="str">
        <f t="shared" ref="T650:T713" si="121">IFERROR(IF(I650&gt;0, I650/100 + 1, 100/ABS(I650) + 1),"")</f>
        <v/>
      </c>
      <c r="U650" s="152"/>
      <c r="V650" s="143"/>
      <c r="W650" s="102"/>
      <c r="X650" s="102" t="str">
        <f t="shared" ref="X650:X713" si="122">IF(B650=$D$3,U650,"")</f>
        <v/>
      </c>
      <c r="Y650" s="102"/>
      <c r="Z650" s="102"/>
      <c r="AA650" s="102"/>
      <c r="AB650" s="102"/>
      <c r="AC650" s="102"/>
      <c r="AD650" s="102"/>
      <c r="AE650" s="102"/>
      <c r="AF650" s="102"/>
      <c r="AG650" s="102"/>
      <c r="AH650" s="102"/>
      <c r="AI650" s="102"/>
      <c r="AJ650" s="102"/>
      <c r="AK650" s="102"/>
      <c r="AL650" s="102"/>
      <c r="AM650" s="102"/>
    </row>
    <row r="651" spans="1:39">
      <c r="A651" s="143"/>
      <c r="B651" s="143"/>
      <c r="C651" s="155"/>
      <c r="D651" s="143"/>
      <c r="E651" s="146"/>
      <c r="F651" s="147"/>
      <c r="G651" s="147"/>
      <c r="H651" s="148"/>
      <c r="I651" s="143"/>
      <c r="J651" s="143"/>
      <c r="K651" s="149"/>
      <c r="L651" s="150" t="str">
        <f t="shared" si="113"/>
        <v/>
      </c>
      <c r="M651" s="150" t="str">
        <f t="shared" si="114"/>
        <v/>
      </c>
      <c r="N651" s="151" t="str">
        <f t="shared" si="115"/>
        <v/>
      </c>
      <c r="O651" s="151" t="str">
        <f t="shared" si="116"/>
        <v/>
      </c>
      <c r="P651" s="151" t="str">
        <f t="shared" si="117"/>
        <v/>
      </c>
      <c r="Q651" s="151" t="str">
        <f t="shared" si="118"/>
        <v/>
      </c>
      <c r="R651" s="150" t="str">
        <f t="shared" si="119"/>
        <v/>
      </c>
      <c r="S651" s="150" t="str">
        <f t="shared" si="120"/>
        <v/>
      </c>
      <c r="T651" s="150" t="str">
        <f t="shared" si="121"/>
        <v/>
      </c>
      <c r="U651" s="152"/>
      <c r="V651" s="143"/>
      <c r="W651" s="102"/>
      <c r="X651" s="102" t="str">
        <f t="shared" si="122"/>
        <v/>
      </c>
      <c r="Y651" s="102"/>
      <c r="Z651" s="102"/>
      <c r="AA651" s="102"/>
      <c r="AB651" s="102"/>
      <c r="AC651" s="102"/>
      <c r="AD651" s="102"/>
      <c r="AE651" s="102"/>
      <c r="AF651" s="102"/>
      <c r="AG651" s="102"/>
      <c r="AH651" s="102"/>
      <c r="AI651" s="102"/>
      <c r="AJ651" s="102"/>
      <c r="AK651" s="102"/>
      <c r="AL651" s="102"/>
      <c r="AM651" s="102"/>
    </row>
    <row r="652" spans="1:39">
      <c r="A652" s="143"/>
      <c r="B652" s="143"/>
      <c r="C652" s="155"/>
      <c r="D652" s="143"/>
      <c r="E652" s="146"/>
      <c r="F652" s="147"/>
      <c r="G652" s="147"/>
      <c r="H652" s="148"/>
      <c r="I652" s="143"/>
      <c r="J652" s="143"/>
      <c r="K652" s="149"/>
      <c r="L652" s="150" t="str">
        <f t="shared" si="113"/>
        <v/>
      </c>
      <c r="M652" s="150" t="str">
        <f t="shared" si="114"/>
        <v/>
      </c>
      <c r="N652" s="151" t="str">
        <f t="shared" si="115"/>
        <v/>
      </c>
      <c r="O652" s="151" t="str">
        <f t="shared" si="116"/>
        <v/>
      </c>
      <c r="P652" s="151" t="str">
        <f t="shared" si="117"/>
        <v/>
      </c>
      <c r="Q652" s="151" t="str">
        <f t="shared" si="118"/>
        <v/>
      </c>
      <c r="R652" s="150" t="str">
        <f t="shared" si="119"/>
        <v/>
      </c>
      <c r="S652" s="150" t="str">
        <f t="shared" si="120"/>
        <v/>
      </c>
      <c r="T652" s="150" t="str">
        <f t="shared" si="121"/>
        <v/>
      </c>
      <c r="U652" s="152"/>
      <c r="V652" s="143"/>
      <c r="W652" s="102"/>
      <c r="X652" s="102" t="str">
        <f t="shared" si="122"/>
        <v/>
      </c>
      <c r="Y652" s="102"/>
      <c r="Z652" s="102"/>
      <c r="AA652" s="102"/>
      <c r="AB652" s="102"/>
      <c r="AC652" s="102"/>
      <c r="AD652" s="102"/>
      <c r="AE652" s="102"/>
      <c r="AF652" s="102"/>
      <c r="AG652" s="102"/>
      <c r="AH652" s="102"/>
      <c r="AI652" s="102"/>
      <c r="AJ652" s="102"/>
      <c r="AK652" s="102"/>
      <c r="AL652" s="102"/>
      <c r="AM652" s="102"/>
    </row>
    <row r="653" spans="1:39">
      <c r="A653" s="143"/>
      <c r="B653" s="143"/>
      <c r="C653" s="155"/>
      <c r="D653" s="143"/>
      <c r="E653" s="146"/>
      <c r="F653" s="147"/>
      <c r="G653" s="147"/>
      <c r="H653" s="148"/>
      <c r="I653" s="143"/>
      <c r="J653" s="143"/>
      <c r="K653" s="149"/>
      <c r="L653" s="150" t="str">
        <f t="shared" si="113"/>
        <v/>
      </c>
      <c r="M653" s="150" t="str">
        <f t="shared" si="114"/>
        <v/>
      </c>
      <c r="N653" s="151" t="str">
        <f t="shared" si="115"/>
        <v/>
      </c>
      <c r="O653" s="151" t="str">
        <f t="shared" si="116"/>
        <v/>
      </c>
      <c r="P653" s="151" t="str">
        <f t="shared" si="117"/>
        <v/>
      </c>
      <c r="Q653" s="151" t="str">
        <f t="shared" si="118"/>
        <v/>
      </c>
      <c r="R653" s="150" t="str">
        <f t="shared" si="119"/>
        <v/>
      </c>
      <c r="S653" s="150" t="str">
        <f t="shared" si="120"/>
        <v/>
      </c>
      <c r="T653" s="150" t="str">
        <f t="shared" si="121"/>
        <v/>
      </c>
      <c r="U653" s="152"/>
      <c r="V653" s="143"/>
      <c r="W653" s="102"/>
      <c r="X653" s="102" t="str">
        <f t="shared" si="122"/>
        <v/>
      </c>
      <c r="Y653" s="102"/>
      <c r="Z653" s="102"/>
      <c r="AA653" s="102"/>
      <c r="AB653" s="102"/>
      <c r="AC653" s="102"/>
      <c r="AD653" s="102"/>
      <c r="AE653" s="102"/>
      <c r="AF653" s="102"/>
      <c r="AG653" s="102"/>
      <c r="AH653" s="102"/>
      <c r="AI653" s="102"/>
      <c r="AJ653" s="102"/>
      <c r="AK653" s="102"/>
      <c r="AL653" s="102"/>
      <c r="AM653" s="102"/>
    </row>
    <row r="654" spans="1:39">
      <c r="A654" s="143"/>
      <c r="B654" s="143"/>
      <c r="C654" s="155"/>
      <c r="D654" s="143"/>
      <c r="E654" s="146"/>
      <c r="F654" s="147"/>
      <c r="G654" s="147"/>
      <c r="H654" s="148"/>
      <c r="I654" s="143"/>
      <c r="J654" s="143"/>
      <c r="K654" s="149"/>
      <c r="L654" s="150" t="str">
        <f t="shared" si="113"/>
        <v/>
      </c>
      <c r="M654" s="150" t="str">
        <f t="shared" si="114"/>
        <v/>
      </c>
      <c r="N654" s="151" t="str">
        <f t="shared" si="115"/>
        <v/>
      </c>
      <c r="O654" s="151" t="str">
        <f t="shared" si="116"/>
        <v/>
      </c>
      <c r="P654" s="151" t="str">
        <f t="shared" si="117"/>
        <v/>
      </c>
      <c r="Q654" s="151" t="str">
        <f t="shared" si="118"/>
        <v/>
      </c>
      <c r="R654" s="150" t="str">
        <f t="shared" si="119"/>
        <v/>
      </c>
      <c r="S654" s="150" t="str">
        <f t="shared" si="120"/>
        <v/>
      </c>
      <c r="T654" s="150" t="str">
        <f t="shared" si="121"/>
        <v/>
      </c>
      <c r="U654" s="152"/>
      <c r="V654" s="143"/>
      <c r="W654" s="102"/>
      <c r="X654" s="102" t="str">
        <f t="shared" si="122"/>
        <v/>
      </c>
      <c r="Y654" s="102"/>
      <c r="Z654" s="102"/>
      <c r="AA654" s="102"/>
      <c r="AB654" s="102"/>
      <c r="AC654" s="102"/>
      <c r="AD654" s="102"/>
      <c r="AE654" s="102"/>
      <c r="AF654" s="102"/>
      <c r="AG654" s="102"/>
      <c r="AH654" s="102"/>
      <c r="AI654" s="102"/>
      <c r="AJ654" s="102"/>
      <c r="AK654" s="102"/>
      <c r="AL654" s="102"/>
      <c r="AM654" s="102"/>
    </row>
    <row r="655" spans="1:39">
      <c r="A655" s="143"/>
      <c r="B655" s="143"/>
      <c r="C655" s="155"/>
      <c r="D655" s="143"/>
      <c r="E655" s="146"/>
      <c r="F655" s="147"/>
      <c r="G655" s="147"/>
      <c r="H655" s="148"/>
      <c r="I655" s="143"/>
      <c r="J655" s="143"/>
      <c r="K655" s="149"/>
      <c r="L655" s="150" t="str">
        <f t="shared" si="113"/>
        <v/>
      </c>
      <c r="M655" s="150" t="str">
        <f t="shared" si="114"/>
        <v/>
      </c>
      <c r="N655" s="151" t="str">
        <f t="shared" si="115"/>
        <v/>
      </c>
      <c r="O655" s="151" t="str">
        <f t="shared" si="116"/>
        <v/>
      </c>
      <c r="P655" s="151" t="str">
        <f t="shared" si="117"/>
        <v/>
      </c>
      <c r="Q655" s="151" t="str">
        <f t="shared" si="118"/>
        <v/>
      </c>
      <c r="R655" s="150" t="str">
        <f t="shared" si="119"/>
        <v/>
      </c>
      <c r="S655" s="150" t="str">
        <f t="shared" si="120"/>
        <v/>
      </c>
      <c r="T655" s="150" t="str">
        <f t="shared" si="121"/>
        <v/>
      </c>
      <c r="U655" s="152"/>
      <c r="V655" s="143"/>
      <c r="W655" s="102"/>
      <c r="X655" s="102" t="str">
        <f t="shared" si="122"/>
        <v/>
      </c>
      <c r="Y655" s="102"/>
      <c r="Z655" s="102"/>
      <c r="AA655" s="102"/>
      <c r="AB655" s="102"/>
      <c r="AC655" s="102"/>
      <c r="AD655" s="102"/>
      <c r="AE655" s="102"/>
      <c r="AF655" s="102"/>
      <c r="AG655" s="102"/>
      <c r="AH655" s="102"/>
      <c r="AI655" s="102"/>
      <c r="AJ655" s="102"/>
      <c r="AK655" s="102"/>
      <c r="AL655" s="102"/>
      <c r="AM655" s="102"/>
    </row>
    <row r="656" spans="1:39">
      <c r="A656" s="143"/>
      <c r="B656" s="143"/>
      <c r="C656" s="155"/>
      <c r="D656" s="143"/>
      <c r="E656" s="146"/>
      <c r="F656" s="147"/>
      <c r="G656" s="147"/>
      <c r="H656" s="148"/>
      <c r="I656" s="143"/>
      <c r="J656" s="143"/>
      <c r="K656" s="149"/>
      <c r="L656" s="150" t="str">
        <f t="shared" si="113"/>
        <v/>
      </c>
      <c r="M656" s="150" t="str">
        <f t="shared" si="114"/>
        <v/>
      </c>
      <c r="N656" s="151" t="str">
        <f t="shared" si="115"/>
        <v/>
      </c>
      <c r="O656" s="151" t="str">
        <f t="shared" si="116"/>
        <v/>
      </c>
      <c r="P656" s="151" t="str">
        <f t="shared" si="117"/>
        <v/>
      </c>
      <c r="Q656" s="151" t="str">
        <f t="shared" si="118"/>
        <v/>
      </c>
      <c r="R656" s="150" t="str">
        <f t="shared" si="119"/>
        <v/>
      </c>
      <c r="S656" s="150" t="str">
        <f t="shared" si="120"/>
        <v/>
      </c>
      <c r="T656" s="150" t="str">
        <f t="shared" si="121"/>
        <v/>
      </c>
      <c r="U656" s="152"/>
      <c r="V656" s="143"/>
      <c r="W656" s="102"/>
      <c r="X656" s="102" t="str">
        <f t="shared" si="122"/>
        <v/>
      </c>
      <c r="Y656" s="102"/>
      <c r="Z656" s="102"/>
      <c r="AA656" s="102"/>
      <c r="AB656" s="102"/>
      <c r="AC656" s="102"/>
      <c r="AD656" s="102"/>
      <c r="AE656" s="102"/>
      <c r="AF656" s="102"/>
      <c r="AG656" s="102"/>
      <c r="AH656" s="102"/>
      <c r="AI656" s="102"/>
      <c r="AJ656" s="102"/>
      <c r="AK656" s="102"/>
      <c r="AL656" s="102"/>
      <c r="AM656" s="102"/>
    </row>
    <row r="657" spans="1:39">
      <c r="A657" s="143"/>
      <c r="B657" s="143"/>
      <c r="C657" s="155"/>
      <c r="D657" s="143"/>
      <c r="E657" s="146"/>
      <c r="F657" s="147"/>
      <c r="G657" s="147"/>
      <c r="H657" s="148"/>
      <c r="I657" s="143"/>
      <c r="J657" s="143"/>
      <c r="K657" s="149"/>
      <c r="L657" s="150" t="str">
        <f t="shared" si="113"/>
        <v/>
      </c>
      <c r="M657" s="150" t="str">
        <f t="shared" si="114"/>
        <v/>
      </c>
      <c r="N657" s="151" t="str">
        <f t="shared" si="115"/>
        <v/>
      </c>
      <c r="O657" s="151" t="str">
        <f t="shared" si="116"/>
        <v/>
      </c>
      <c r="P657" s="151" t="str">
        <f t="shared" si="117"/>
        <v/>
      </c>
      <c r="Q657" s="151" t="str">
        <f t="shared" si="118"/>
        <v/>
      </c>
      <c r="R657" s="150" t="str">
        <f t="shared" si="119"/>
        <v/>
      </c>
      <c r="S657" s="150" t="str">
        <f t="shared" si="120"/>
        <v/>
      </c>
      <c r="T657" s="150" t="str">
        <f t="shared" si="121"/>
        <v/>
      </c>
      <c r="U657" s="152"/>
      <c r="V657" s="143"/>
      <c r="W657" s="102"/>
      <c r="X657" s="102" t="str">
        <f t="shared" si="122"/>
        <v/>
      </c>
      <c r="Y657" s="102"/>
      <c r="Z657" s="102"/>
      <c r="AA657" s="102"/>
      <c r="AB657" s="102"/>
      <c r="AC657" s="102"/>
      <c r="AD657" s="102"/>
      <c r="AE657" s="102"/>
      <c r="AF657" s="102"/>
      <c r="AG657" s="102"/>
      <c r="AH657" s="102"/>
      <c r="AI657" s="102"/>
      <c r="AJ657" s="102"/>
      <c r="AK657" s="102"/>
      <c r="AL657" s="102"/>
      <c r="AM657" s="102"/>
    </row>
    <row r="658" spans="1:39">
      <c r="A658" s="143"/>
      <c r="B658" s="143"/>
      <c r="C658" s="155"/>
      <c r="D658" s="143"/>
      <c r="E658" s="146"/>
      <c r="F658" s="147"/>
      <c r="G658" s="147"/>
      <c r="H658" s="148"/>
      <c r="I658" s="143"/>
      <c r="J658" s="143"/>
      <c r="K658" s="149"/>
      <c r="L658" s="150" t="str">
        <f t="shared" si="113"/>
        <v/>
      </c>
      <c r="M658" s="150" t="str">
        <f t="shared" si="114"/>
        <v/>
      </c>
      <c r="N658" s="151" t="str">
        <f t="shared" si="115"/>
        <v/>
      </c>
      <c r="O658" s="151" t="str">
        <f t="shared" si="116"/>
        <v/>
      </c>
      <c r="P658" s="151" t="str">
        <f t="shared" si="117"/>
        <v/>
      </c>
      <c r="Q658" s="151" t="str">
        <f t="shared" si="118"/>
        <v/>
      </c>
      <c r="R658" s="150" t="str">
        <f t="shared" si="119"/>
        <v/>
      </c>
      <c r="S658" s="150" t="str">
        <f t="shared" si="120"/>
        <v/>
      </c>
      <c r="T658" s="150" t="str">
        <f t="shared" si="121"/>
        <v/>
      </c>
      <c r="U658" s="152"/>
      <c r="V658" s="143"/>
      <c r="W658" s="102"/>
      <c r="X658" s="102" t="str">
        <f t="shared" si="122"/>
        <v/>
      </c>
      <c r="Y658" s="102"/>
      <c r="Z658" s="102"/>
      <c r="AA658" s="102"/>
      <c r="AB658" s="102"/>
      <c r="AC658" s="102"/>
      <c r="AD658" s="102"/>
      <c r="AE658" s="102"/>
      <c r="AF658" s="102"/>
      <c r="AG658" s="102"/>
      <c r="AH658" s="102"/>
      <c r="AI658" s="102"/>
      <c r="AJ658" s="102"/>
      <c r="AK658" s="102"/>
      <c r="AL658" s="102"/>
      <c r="AM658" s="102"/>
    </row>
    <row r="659" spans="1:39">
      <c r="A659" s="143"/>
      <c r="B659" s="143"/>
      <c r="C659" s="155"/>
      <c r="D659" s="143"/>
      <c r="E659" s="146"/>
      <c r="F659" s="147"/>
      <c r="G659" s="147"/>
      <c r="H659" s="148"/>
      <c r="I659" s="143"/>
      <c r="J659" s="143"/>
      <c r="K659" s="149"/>
      <c r="L659" s="150" t="str">
        <f t="shared" si="113"/>
        <v/>
      </c>
      <c r="M659" s="150" t="str">
        <f t="shared" si="114"/>
        <v/>
      </c>
      <c r="N659" s="151" t="str">
        <f t="shared" si="115"/>
        <v/>
      </c>
      <c r="O659" s="151" t="str">
        <f t="shared" si="116"/>
        <v/>
      </c>
      <c r="P659" s="151" t="str">
        <f t="shared" si="117"/>
        <v/>
      </c>
      <c r="Q659" s="151" t="str">
        <f t="shared" si="118"/>
        <v/>
      </c>
      <c r="R659" s="150" t="str">
        <f t="shared" si="119"/>
        <v/>
      </c>
      <c r="S659" s="150" t="str">
        <f t="shared" si="120"/>
        <v/>
      </c>
      <c r="T659" s="150" t="str">
        <f t="shared" si="121"/>
        <v/>
      </c>
      <c r="U659" s="152"/>
      <c r="V659" s="143"/>
      <c r="W659" s="102"/>
      <c r="X659" s="102" t="str">
        <f t="shared" si="122"/>
        <v/>
      </c>
      <c r="Y659" s="102"/>
      <c r="Z659" s="102"/>
      <c r="AA659" s="102"/>
      <c r="AB659" s="102"/>
      <c r="AC659" s="102"/>
      <c r="AD659" s="102"/>
      <c r="AE659" s="102"/>
      <c r="AF659" s="102"/>
      <c r="AG659" s="102"/>
      <c r="AH659" s="102"/>
      <c r="AI659" s="102"/>
      <c r="AJ659" s="102"/>
      <c r="AK659" s="102"/>
      <c r="AL659" s="102"/>
      <c r="AM659" s="102"/>
    </row>
    <row r="660" spans="1:39">
      <c r="A660" s="143"/>
      <c r="B660" s="143"/>
      <c r="C660" s="155"/>
      <c r="D660" s="143"/>
      <c r="E660" s="146"/>
      <c r="F660" s="147"/>
      <c r="G660" s="147"/>
      <c r="H660" s="148"/>
      <c r="I660" s="143"/>
      <c r="J660" s="143"/>
      <c r="K660" s="149"/>
      <c r="L660" s="150" t="str">
        <f t="shared" si="113"/>
        <v/>
      </c>
      <c r="M660" s="150" t="str">
        <f t="shared" si="114"/>
        <v/>
      </c>
      <c r="N660" s="151" t="str">
        <f t="shared" si="115"/>
        <v/>
      </c>
      <c r="O660" s="151" t="str">
        <f t="shared" si="116"/>
        <v/>
      </c>
      <c r="P660" s="151" t="str">
        <f t="shared" si="117"/>
        <v/>
      </c>
      <c r="Q660" s="151" t="str">
        <f t="shared" si="118"/>
        <v/>
      </c>
      <c r="R660" s="150" t="str">
        <f t="shared" si="119"/>
        <v/>
      </c>
      <c r="S660" s="150" t="str">
        <f t="shared" si="120"/>
        <v/>
      </c>
      <c r="T660" s="150" t="str">
        <f t="shared" si="121"/>
        <v/>
      </c>
      <c r="U660" s="152"/>
      <c r="V660" s="143"/>
      <c r="W660" s="102"/>
      <c r="X660" s="102" t="str">
        <f t="shared" si="122"/>
        <v/>
      </c>
      <c r="Y660" s="102"/>
      <c r="Z660" s="102"/>
      <c r="AA660" s="102"/>
      <c r="AB660" s="102"/>
      <c r="AC660" s="102"/>
      <c r="AD660" s="102"/>
      <c r="AE660" s="102"/>
      <c r="AF660" s="102"/>
      <c r="AG660" s="102"/>
      <c r="AH660" s="102"/>
      <c r="AI660" s="102"/>
      <c r="AJ660" s="102"/>
      <c r="AK660" s="102"/>
      <c r="AL660" s="102"/>
      <c r="AM660" s="102"/>
    </row>
    <row r="661" spans="1:39">
      <c r="A661" s="143"/>
      <c r="B661" s="143"/>
      <c r="C661" s="155"/>
      <c r="D661" s="143"/>
      <c r="E661" s="146"/>
      <c r="F661" s="147"/>
      <c r="G661" s="147"/>
      <c r="H661" s="148"/>
      <c r="I661" s="143"/>
      <c r="J661" s="143"/>
      <c r="K661" s="149"/>
      <c r="L661" s="150" t="str">
        <f t="shared" si="113"/>
        <v/>
      </c>
      <c r="M661" s="150" t="str">
        <f t="shared" si="114"/>
        <v/>
      </c>
      <c r="N661" s="151" t="str">
        <f t="shared" si="115"/>
        <v/>
      </c>
      <c r="O661" s="151" t="str">
        <f t="shared" si="116"/>
        <v/>
      </c>
      <c r="P661" s="151" t="str">
        <f t="shared" si="117"/>
        <v/>
      </c>
      <c r="Q661" s="151" t="str">
        <f t="shared" si="118"/>
        <v/>
      </c>
      <c r="R661" s="150" t="str">
        <f t="shared" si="119"/>
        <v/>
      </c>
      <c r="S661" s="150" t="str">
        <f t="shared" si="120"/>
        <v/>
      </c>
      <c r="T661" s="150" t="str">
        <f t="shared" si="121"/>
        <v/>
      </c>
      <c r="U661" s="152"/>
      <c r="V661" s="143"/>
      <c r="W661" s="102"/>
      <c r="X661" s="102" t="str">
        <f t="shared" si="122"/>
        <v/>
      </c>
      <c r="Y661" s="102"/>
      <c r="Z661" s="102"/>
      <c r="AA661" s="102"/>
      <c r="AB661" s="102"/>
      <c r="AC661" s="102"/>
      <c r="AD661" s="102"/>
      <c r="AE661" s="102"/>
      <c r="AF661" s="102"/>
      <c r="AG661" s="102"/>
      <c r="AH661" s="102"/>
      <c r="AI661" s="102"/>
      <c r="AJ661" s="102"/>
      <c r="AK661" s="102"/>
      <c r="AL661" s="102"/>
      <c r="AM661" s="102"/>
    </row>
    <row r="662" spans="1:39">
      <c r="A662" s="143"/>
      <c r="B662" s="143"/>
      <c r="C662" s="155"/>
      <c r="D662" s="143"/>
      <c r="E662" s="146"/>
      <c r="F662" s="147"/>
      <c r="G662" s="147"/>
      <c r="H662" s="148"/>
      <c r="I662" s="143"/>
      <c r="J662" s="143"/>
      <c r="K662" s="149"/>
      <c r="L662" s="150" t="str">
        <f t="shared" si="113"/>
        <v/>
      </c>
      <c r="M662" s="150" t="str">
        <f t="shared" si="114"/>
        <v/>
      </c>
      <c r="N662" s="151" t="str">
        <f t="shared" si="115"/>
        <v/>
      </c>
      <c r="O662" s="151" t="str">
        <f t="shared" si="116"/>
        <v/>
      </c>
      <c r="P662" s="151" t="str">
        <f t="shared" si="117"/>
        <v/>
      </c>
      <c r="Q662" s="151" t="str">
        <f t="shared" si="118"/>
        <v/>
      </c>
      <c r="R662" s="150" t="str">
        <f t="shared" si="119"/>
        <v/>
      </c>
      <c r="S662" s="150" t="str">
        <f t="shared" si="120"/>
        <v/>
      </c>
      <c r="T662" s="150" t="str">
        <f t="shared" si="121"/>
        <v/>
      </c>
      <c r="U662" s="152"/>
      <c r="V662" s="143"/>
      <c r="W662" s="102"/>
      <c r="X662" s="102" t="str">
        <f t="shared" si="122"/>
        <v/>
      </c>
      <c r="Y662" s="102"/>
      <c r="Z662" s="102"/>
      <c r="AA662" s="102"/>
      <c r="AB662" s="102"/>
      <c r="AC662" s="102"/>
      <c r="AD662" s="102"/>
      <c r="AE662" s="102"/>
      <c r="AF662" s="102"/>
      <c r="AG662" s="102"/>
      <c r="AH662" s="102"/>
      <c r="AI662" s="102"/>
      <c r="AJ662" s="102"/>
      <c r="AK662" s="102"/>
      <c r="AL662" s="102"/>
      <c r="AM662" s="102"/>
    </row>
    <row r="663" spans="1:39">
      <c r="A663" s="143"/>
      <c r="B663" s="143"/>
      <c r="C663" s="155"/>
      <c r="D663" s="143"/>
      <c r="E663" s="146"/>
      <c r="F663" s="147"/>
      <c r="G663" s="147"/>
      <c r="H663" s="148"/>
      <c r="I663" s="143"/>
      <c r="J663" s="143"/>
      <c r="K663" s="149"/>
      <c r="L663" s="150" t="str">
        <f t="shared" si="113"/>
        <v/>
      </c>
      <c r="M663" s="150" t="str">
        <f t="shared" si="114"/>
        <v/>
      </c>
      <c r="N663" s="151" t="str">
        <f t="shared" si="115"/>
        <v/>
      </c>
      <c r="O663" s="151" t="str">
        <f t="shared" si="116"/>
        <v/>
      </c>
      <c r="P663" s="151" t="str">
        <f t="shared" si="117"/>
        <v/>
      </c>
      <c r="Q663" s="151" t="str">
        <f t="shared" si="118"/>
        <v/>
      </c>
      <c r="R663" s="150" t="str">
        <f t="shared" si="119"/>
        <v/>
      </c>
      <c r="S663" s="150" t="str">
        <f t="shared" si="120"/>
        <v/>
      </c>
      <c r="T663" s="150" t="str">
        <f t="shared" si="121"/>
        <v/>
      </c>
      <c r="U663" s="152"/>
      <c r="V663" s="143"/>
      <c r="W663" s="102"/>
      <c r="X663" s="102" t="str">
        <f t="shared" si="122"/>
        <v/>
      </c>
      <c r="Y663" s="102"/>
      <c r="Z663" s="102"/>
      <c r="AA663" s="102"/>
      <c r="AB663" s="102"/>
      <c r="AC663" s="102"/>
      <c r="AD663" s="102"/>
      <c r="AE663" s="102"/>
      <c r="AF663" s="102"/>
      <c r="AG663" s="102"/>
      <c r="AH663" s="102"/>
      <c r="AI663" s="102"/>
      <c r="AJ663" s="102"/>
      <c r="AK663" s="102"/>
      <c r="AL663" s="102"/>
      <c r="AM663" s="102"/>
    </row>
    <row r="664" spans="1:39">
      <c r="A664" s="143"/>
      <c r="B664" s="143"/>
      <c r="C664" s="155"/>
      <c r="D664" s="143"/>
      <c r="E664" s="146"/>
      <c r="F664" s="147"/>
      <c r="G664" s="147"/>
      <c r="H664" s="148"/>
      <c r="I664" s="143"/>
      <c r="J664" s="143"/>
      <c r="K664" s="149"/>
      <c r="L664" s="150" t="str">
        <f t="shared" si="113"/>
        <v/>
      </c>
      <c r="M664" s="150" t="str">
        <f t="shared" si="114"/>
        <v/>
      </c>
      <c r="N664" s="151" t="str">
        <f t="shared" si="115"/>
        <v/>
      </c>
      <c r="O664" s="151" t="str">
        <f t="shared" si="116"/>
        <v/>
      </c>
      <c r="P664" s="151" t="str">
        <f t="shared" si="117"/>
        <v/>
      </c>
      <c r="Q664" s="151" t="str">
        <f t="shared" si="118"/>
        <v/>
      </c>
      <c r="R664" s="150" t="str">
        <f t="shared" si="119"/>
        <v/>
      </c>
      <c r="S664" s="150" t="str">
        <f t="shared" si="120"/>
        <v/>
      </c>
      <c r="T664" s="150" t="str">
        <f t="shared" si="121"/>
        <v/>
      </c>
      <c r="U664" s="152"/>
      <c r="V664" s="143"/>
      <c r="W664" s="102"/>
      <c r="X664" s="102" t="str">
        <f t="shared" si="122"/>
        <v/>
      </c>
      <c r="Y664" s="102"/>
      <c r="Z664" s="102"/>
      <c r="AA664" s="102"/>
      <c r="AB664" s="102"/>
      <c r="AC664" s="102"/>
      <c r="AD664" s="102"/>
      <c r="AE664" s="102"/>
      <c r="AF664" s="102"/>
      <c r="AG664" s="102"/>
      <c r="AH664" s="102"/>
      <c r="AI664" s="102"/>
      <c r="AJ664" s="102"/>
      <c r="AK664" s="102"/>
      <c r="AL664" s="102"/>
      <c r="AM664" s="102"/>
    </row>
    <row r="665" spans="1:39">
      <c r="A665" s="143"/>
      <c r="B665" s="143"/>
      <c r="C665" s="155"/>
      <c r="D665" s="143"/>
      <c r="E665" s="146"/>
      <c r="F665" s="147"/>
      <c r="G665" s="147"/>
      <c r="H665" s="148"/>
      <c r="I665" s="143"/>
      <c r="J665" s="143"/>
      <c r="K665" s="149"/>
      <c r="L665" s="150" t="str">
        <f t="shared" si="113"/>
        <v/>
      </c>
      <c r="M665" s="150" t="str">
        <f t="shared" si="114"/>
        <v/>
      </c>
      <c r="N665" s="151" t="str">
        <f t="shared" si="115"/>
        <v/>
      </c>
      <c r="O665" s="151" t="str">
        <f t="shared" si="116"/>
        <v/>
      </c>
      <c r="P665" s="151" t="str">
        <f t="shared" si="117"/>
        <v/>
      </c>
      <c r="Q665" s="151" t="str">
        <f t="shared" si="118"/>
        <v/>
      </c>
      <c r="R665" s="150" t="str">
        <f t="shared" si="119"/>
        <v/>
      </c>
      <c r="S665" s="150" t="str">
        <f t="shared" si="120"/>
        <v/>
      </c>
      <c r="T665" s="150" t="str">
        <f t="shared" si="121"/>
        <v/>
      </c>
      <c r="U665" s="152"/>
      <c r="V665" s="143"/>
      <c r="W665" s="102"/>
      <c r="X665" s="102" t="str">
        <f t="shared" si="122"/>
        <v/>
      </c>
      <c r="Y665" s="102"/>
      <c r="Z665" s="102"/>
      <c r="AA665" s="102"/>
      <c r="AB665" s="102"/>
      <c r="AC665" s="102"/>
      <c r="AD665" s="102"/>
      <c r="AE665" s="102"/>
      <c r="AF665" s="102"/>
      <c r="AG665" s="102"/>
      <c r="AH665" s="102"/>
      <c r="AI665" s="102"/>
      <c r="AJ665" s="102"/>
      <c r="AK665" s="102"/>
      <c r="AL665" s="102"/>
      <c r="AM665" s="102"/>
    </row>
    <row r="666" spans="1:39">
      <c r="A666" s="143"/>
      <c r="B666" s="143"/>
      <c r="C666" s="155"/>
      <c r="D666" s="143"/>
      <c r="E666" s="146"/>
      <c r="F666" s="147"/>
      <c r="G666" s="147"/>
      <c r="H666" s="148"/>
      <c r="I666" s="143"/>
      <c r="J666" s="143"/>
      <c r="K666" s="149"/>
      <c r="L666" s="150" t="str">
        <f t="shared" si="113"/>
        <v/>
      </c>
      <c r="M666" s="150" t="str">
        <f t="shared" si="114"/>
        <v/>
      </c>
      <c r="N666" s="151" t="str">
        <f t="shared" si="115"/>
        <v/>
      </c>
      <c r="O666" s="151" t="str">
        <f t="shared" si="116"/>
        <v/>
      </c>
      <c r="P666" s="151" t="str">
        <f t="shared" si="117"/>
        <v/>
      </c>
      <c r="Q666" s="151" t="str">
        <f t="shared" si="118"/>
        <v/>
      </c>
      <c r="R666" s="150" t="str">
        <f t="shared" si="119"/>
        <v/>
      </c>
      <c r="S666" s="150" t="str">
        <f t="shared" si="120"/>
        <v/>
      </c>
      <c r="T666" s="150" t="str">
        <f t="shared" si="121"/>
        <v/>
      </c>
      <c r="U666" s="152"/>
      <c r="V666" s="143"/>
      <c r="W666" s="102"/>
      <c r="X666" s="102" t="str">
        <f t="shared" si="122"/>
        <v/>
      </c>
      <c r="Y666" s="102"/>
      <c r="Z666" s="102"/>
      <c r="AA666" s="102"/>
      <c r="AB666" s="102"/>
      <c r="AC666" s="102"/>
      <c r="AD666" s="102"/>
      <c r="AE666" s="102"/>
      <c r="AF666" s="102"/>
      <c r="AG666" s="102"/>
      <c r="AH666" s="102"/>
      <c r="AI666" s="102"/>
      <c r="AJ666" s="102"/>
      <c r="AK666" s="102"/>
      <c r="AL666" s="102"/>
      <c r="AM666" s="102"/>
    </row>
    <row r="667" spans="1:39">
      <c r="A667" s="143"/>
      <c r="B667" s="143"/>
      <c r="C667" s="155"/>
      <c r="D667" s="143"/>
      <c r="E667" s="146"/>
      <c r="F667" s="147"/>
      <c r="G667" s="147"/>
      <c r="H667" s="148"/>
      <c r="I667" s="143"/>
      <c r="J667" s="143"/>
      <c r="K667" s="149"/>
      <c r="L667" s="150" t="str">
        <f t="shared" si="113"/>
        <v/>
      </c>
      <c r="M667" s="150" t="str">
        <f t="shared" si="114"/>
        <v/>
      </c>
      <c r="N667" s="151" t="str">
        <f t="shared" si="115"/>
        <v/>
      </c>
      <c r="O667" s="151" t="str">
        <f t="shared" si="116"/>
        <v/>
      </c>
      <c r="P667" s="151" t="str">
        <f t="shared" si="117"/>
        <v/>
      </c>
      <c r="Q667" s="151" t="str">
        <f t="shared" si="118"/>
        <v/>
      </c>
      <c r="R667" s="150" t="str">
        <f t="shared" si="119"/>
        <v/>
      </c>
      <c r="S667" s="150" t="str">
        <f t="shared" si="120"/>
        <v/>
      </c>
      <c r="T667" s="150" t="str">
        <f t="shared" si="121"/>
        <v/>
      </c>
      <c r="U667" s="152"/>
      <c r="V667" s="143"/>
      <c r="W667" s="102"/>
      <c r="X667" s="102" t="str">
        <f t="shared" si="122"/>
        <v/>
      </c>
      <c r="Y667" s="102"/>
      <c r="Z667" s="102"/>
      <c r="AA667" s="102"/>
      <c r="AB667" s="102"/>
      <c r="AC667" s="102"/>
      <c r="AD667" s="102"/>
      <c r="AE667" s="102"/>
      <c r="AF667" s="102"/>
      <c r="AG667" s="102"/>
      <c r="AH667" s="102"/>
      <c r="AI667" s="102"/>
      <c r="AJ667" s="102"/>
      <c r="AK667" s="102"/>
      <c r="AL667" s="102"/>
      <c r="AM667" s="102"/>
    </row>
    <row r="668" spans="1:39">
      <c r="A668" s="143"/>
      <c r="B668" s="143"/>
      <c r="C668" s="155"/>
      <c r="D668" s="143"/>
      <c r="E668" s="146"/>
      <c r="F668" s="147"/>
      <c r="G668" s="147"/>
      <c r="H668" s="148"/>
      <c r="I668" s="143"/>
      <c r="J668" s="143"/>
      <c r="K668" s="149"/>
      <c r="L668" s="150" t="str">
        <f t="shared" si="113"/>
        <v/>
      </c>
      <c r="M668" s="150" t="str">
        <f t="shared" si="114"/>
        <v/>
      </c>
      <c r="N668" s="151" t="str">
        <f t="shared" si="115"/>
        <v/>
      </c>
      <c r="O668" s="151" t="str">
        <f t="shared" si="116"/>
        <v/>
      </c>
      <c r="P668" s="151" t="str">
        <f t="shared" si="117"/>
        <v/>
      </c>
      <c r="Q668" s="151" t="str">
        <f t="shared" si="118"/>
        <v/>
      </c>
      <c r="R668" s="150" t="str">
        <f t="shared" si="119"/>
        <v/>
      </c>
      <c r="S668" s="150" t="str">
        <f t="shared" si="120"/>
        <v/>
      </c>
      <c r="T668" s="150" t="str">
        <f t="shared" si="121"/>
        <v/>
      </c>
      <c r="U668" s="152"/>
      <c r="V668" s="143"/>
      <c r="W668" s="102"/>
      <c r="X668" s="102" t="str">
        <f t="shared" si="122"/>
        <v/>
      </c>
      <c r="Y668" s="102"/>
      <c r="Z668" s="102"/>
      <c r="AA668" s="102"/>
      <c r="AB668" s="102"/>
      <c r="AC668" s="102"/>
      <c r="AD668" s="102"/>
      <c r="AE668" s="102"/>
      <c r="AF668" s="102"/>
      <c r="AG668" s="102"/>
      <c r="AH668" s="102"/>
      <c r="AI668" s="102"/>
      <c r="AJ668" s="102"/>
      <c r="AK668" s="102"/>
      <c r="AL668" s="102"/>
      <c r="AM668" s="102"/>
    </row>
    <row r="669" spans="1:39">
      <c r="A669" s="143"/>
      <c r="B669" s="143"/>
      <c r="C669" s="155"/>
      <c r="D669" s="143"/>
      <c r="E669" s="146"/>
      <c r="F669" s="147"/>
      <c r="G669" s="147"/>
      <c r="H669" s="148"/>
      <c r="I669" s="143"/>
      <c r="J669" s="143"/>
      <c r="K669" s="149"/>
      <c r="L669" s="150" t="str">
        <f t="shared" si="113"/>
        <v/>
      </c>
      <c r="M669" s="150" t="str">
        <f t="shared" si="114"/>
        <v/>
      </c>
      <c r="N669" s="151" t="str">
        <f t="shared" si="115"/>
        <v/>
      </c>
      <c r="O669" s="151" t="str">
        <f t="shared" si="116"/>
        <v/>
      </c>
      <c r="P669" s="151" t="str">
        <f t="shared" si="117"/>
        <v/>
      </c>
      <c r="Q669" s="151" t="str">
        <f t="shared" si="118"/>
        <v/>
      </c>
      <c r="R669" s="150" t="str">
        <f t="shared" si="119"/>
        <v/>
      </c>
      <c r="S669" s="150" t="str">
        <f t="shared" si="120"/>
        <v/>
      </c>
      <c r="T669" s="150" t="str">
        <f t="shared" si="121"/>
        <v/>
      </c>
      <c r="U669" s="152"/>
      <c r="V669" s="143"/>
      <c r="W669" s="102"/>
      <c r="X669" s="102" t="str">
        <f t="shared" si="122"/>
        <v/>
      </c>
      <c r="Y669" s="102"/>
      <c r="Z669" s="102"/>
      <c r="AA669" s="102"/>
      <c r="AB669" s="102"/>
      <c r="AC669" s="102"/>
      <c r="AD669" s="102"/>
      <c r="AE669" s="102"/>
      <c r="AF669" s="102"/>
      <c r="AG669" s="102"/>
      <c r="AH669" s="102"/>
      <c r="AI669" s="102"/>
      <c r="AJ669" s="102"/>
      <c r="AK669" s="102"/>
      <c r="AL669" s="102"/>
      <c r="AM669" s="102"/>
    </row>
    <row r="670" spans="1:39">
      <c r="A670" s="143"/>
      <c r="B670" s="143"/>
      <c r="C670" s="155"/>
      <c r="D670" s="143"/>
      <c r="E670" s="146"/>
      <c r="F670" s="147"/>
      <c r="G670" s="147"/>
      <c r="H670" s="148"/>
      <c r="I670" s="143"/>
      <c r="J670" s="143"/>
      <c r="K670" s="149"/>
      <c r="L670" s="150" t="str">
        <f t="shared" si="113"/>
        <v/>
      </c>
      <c r="M670" s="150" t="str">
        <f t="shared" si="114"/>
        <v/>
      </c>
      <c r="N670" s="151" t="str">
        <f t="shared" si="115"/>
        <v/>
      </c>
      <c r="O670" s="151" t="str">
        <f t="shared" si="116"/>
        <v/>
      </c>
      <c r="P670" s="151" t="str">
        <f t="shared" si="117"/>
        <v/>
      </c>
      <c r="Q670" s="151" t="str">
        <f t="shared" si="118"/>
        <v/>
      </c>
      <c r="R670" s="150" t="str">
        <f t="shared" si="119"/>
        <v/>
      </c>
      <c r="S670" s="150" t="str">
        <f t="shared" si="120"/>
        <v/>
      </c>
      <c r="T670" s="150" t="str">
        <f t="shared" si="121"/>
        <v/>
      </c>
      <c r="U670" s="152"/>
      <c r="V670" s="143"/>
      <c r="W670" s="102"/>
      <c r="X670" s="102" t="str">
        <f t="shared" si="122"/>
        <v/>
      </c>
      <c r="Y670" s="102"/>
      <c r="Z670" s="102"/>
      <c r="AA670" s="102"/>
      <c r="AB670" s="102"/>
      <c r="AC670" s="102"/>
      <c r="AD670" s="102"/>
      <c r="AE670" s="102"/>
      <c r="AF670" s="102"/>
      <c r="AG670" s="102"/>
      <c r="AH670" s="102"/>
      <c r="AI670" s="102"/>
      <c r="AJ670" s="102"/>
      <c r="AK670" s="102"/>
      <c r="AL670" s="102"/>
      <c r="AM670" s="102"/>
    </row>
    <row r="671" spans="1:39">
      <c r="A671" s="143"/>
      <c r="B671" s="143"/>
      <c r="C671" s="155"/>
      <c r="D671" s="143"/>
      <c r="E671" s="146"/>
      <c r="F671" s="147"/>
      <c r="G671" s="147"/>
      <c r="H671" s="148"/>
      <c r="I671" s="143"/>
      <c r="J671" s="143"/>
      <c r="K671" s="149"/>
      <c r="L671" s="150" t="str">
        <f t="shared" si="113"/>
        <v/>
      </c>
      <c r="M671" s="150" t="str">
        <f t="shared" si="114"/>
        <v/>
      </c>
      <c r="N671" s="151" t="str">
        <f t="shared" si="115"/>
        <v/>
      </c>
      <c r="O671" s="151" t="str">
        <f t="shared" si="116"/>
        <v/>
      </c>
      <c r="P671" s="151" t="str">
        <f t="shared" si="117"/>
        <v/>
      </c>
      <c r="Q671" s="151" t="str">
        <f t="shared" si="118"/>
        <v/>
      </c>
      <c r="R671" s="150" t="str">
        <f t="shared" si="119"/>
        <v/>
      </c>
      <c r="S671" s="150" t="str">
        <f t="shared" si="120"/>
        <v/>
      </c>
      <c r="T671" s="150" t="str">
        <f t="shared" si="121"/>
        <v/>
      </c>
      <c r="U671" s="152"/>
      <c r="V671" s="143"/>
      <c r="W671" s="102"/>
      <c r="X671" s="102" t="str">
        <f t="shared" si="122"/>
        <v/>
      </c>
      <c r="Y671" s="102"/>
      <c r="Z671" s="102"/>
      <c r="AA671" s="102"/>
      <c r="AB671" s="102"/>
      <c r="AC671" s="102"/>
      <c r="AD671" s="102"/>
      <c r="AE671" s="102"/>
      <c r="AF671" s="102"/>
      <c r="AG671" s="102"/>
      <c r="AH671" s="102"/>
      <c r="AI671" s="102"/>
      <c r="AJ671" s="102"/>
      <c r="AK671" s="102"/>
      <c r="AL671" s="102"/>
      <c r="AM671" s="102"/>
    </row>
    <row r="672" spans="1:39">
      <c r="A672" s="143"/>
      <c r="B672" s="143"/>
      <c r="C672" s="155"/>
      <c r="D672" s="143"/>
      <c r="E672" s="146"/>
      <c r="F672" s="147"/>
      <c r="G672" s="147"/>
      <c r="H672" s="148"/>
      <c r="I672" s="143"/>
      <c r="J672" s="143"/>
      <c r="K672" s="149"/>
      <c r="L672" s="150" t="str">
        <f t="shared" si="113"/>
        <v/>
      </c>
      <c r="M672" s="150" t="str">
        <f t="shared" si="114"/>
        <v/>
      </c>
      <c r="N672" s="151" t="str">
        <f t="shared" si="115"/>
        <v/>
      </c>
      <c r="O672" s="151" t="str">
        <f t="shared" si="116"/>
        <v/>
      </c>
      <c r="P672" s="151" t="str">
        <f t="shared" si="117"/>
        <v/>
      </c>
      <c r="Q672" s="151" t="str">
        <f t="shared" si="118"/>
        <v/>
      </c>
      <c r="R672" s="150" t="str">
        <f t="shared" si="119"/>
        <v/>
      </c>
      <c r="S672" s="150" t="str">
        <f t="shared" si="120"/>
        <v/>
      </c>
      <c r="T672" s="150" t="str">
        <f t="shared" si="121"/>
        <v/>
      </c>
      <c r="U672" s="152"/>
      <c r="V672" s="143"/>
      <c r="W672" s="102"/>
      <c r="X672" s="102" t="str">
        <f t="shared" si="122"/>
        <v/>
      </c>
      <c r="Y672" s="102"/>
      <c r="Z672" s="102"/>
      <c r="AA672" s="102"/>
      <c r="AB672" s="102"/>
      <c r="AC672" s="102"/>
      <c r="AD672" s="102"/>
      <c r="AE672" s="102"/>
      <c r="AF672" s="102"/>
      <c r="AG672" s="102"/>
      <c r="AH672" s="102"/>
      <c r="AI672" s="102"/>
      <c r="AJ672" s="102"/>
      <c r="AK672" s="102"/>
      <c r="AL672" s="102"/>
      <c r="AM672" s="102"/>
    </row>
    <row r="673" spans="1:39">
      <c r="A673" s="143"/>
      <c r="B673" s="143"/>
      <c r="C673" s="155"/>
      <c r="D673" s="143"/>
      <c r="E673" s="146"/>
      <c r="F673" s="147"/>
      <c r="G673" s="147"/>
      <c r="H673" s="148"/>
      <c r="I673" s="143"/>
      <c r="J673" s="143"/>
      <c r="K673" s="149"/>
      <c r="L673" s="150" t="str">
        <f t="shared" si="113"/>
        <v/>
      </c>
      <c r="M673" s="150" t="str">
        <f t="shared" si="114"/>
        <v/>
      </c>
      <c r="N673" s="151" t="str">
        <f t="shared" si="115"/>
        <v/>
      </c>
      <c r="O673" s="151" t="str">
        <f t="shared" si="116"/>
        <v/>
      </c>
      <c r="P673" s="151" t="str">
        <f t="shared" si="117"/>
        <v/>
      </c>
      <c r="Q673" s="151" t="str">
        <f t="shared" si="118"/>
        <v/>
      </c>
      <c r="R673" s="150" t="str">
        <f t="shared" si="119"/>
        <v/>
      </c>
      <c r="S673" s="150" t="str">
        <f t="shared" si="120"/>
        <v/>
      </c>
      <c r="T673" s="150" t="str">
        <f t="shared" si="121"/>
        <v/>
      </c>
      <c r="U673" s="152"/>
      <c r="V673" s="143"/>
      <c r="W673" s="102"/>
      <c r="X673" s="102" t="str">
        <f t="shared" si="122"/>
        <v/>
      </c>
      <c r="Y673" s="102"/>
      <c r="Z673" s="102"/>
      <c r="AA673" s="102"/>
      <c r="AB673" s="102"/>
      <c r="AC673" s="102"/>
      <c r="AD673" s="102"/>
      <c r="AE673" s="102"/>
      <c r="AF673" s="102"/>
      <c r="AG673" s="102"/>
      <c r="AH673" s="102"/>
      <c r="AI673" s="102"/>
      <c r="AJ673" s="102"/>
      <c r="AK673" s="102"/>
      <c r="AL673" s="102"/>
      <c r="AM673" s="102"/>
    </row>
    <row r="674" spans="1:39">
      <c r="A674" s="143"/>
      <c r="B674" s="143"/>
      <c r="C674" s="155"/>
      <c r="D674" s="143"/>
      <c r="E674" s="146"/>
      <c r="F674" s="147"/>
      <c r="G674" s="147"/>
      <c r="H674" s="148"/>
      <c r="I674" s="143"/>
      <c r="J674" s="143"/>
      <c r="K674" s="149"/>
      <c r="L674" s="150" t="str">
        <f t="shared" si="113"/>
        <v/>
      </c>
      <c r="M674" s="150" t="str">
        <f t="shared" si="114"/>
        <v/>
      </c>
      <c r="N674" s="151" t="str">
        <f t="shared" si="115"/>
        <v/>
      </c>
      <c r="O674" s="151" t="str">
        <f t="shared" si="116"/>
        <v/>
      </c>
      <c r="P674" s="151" t="str">
        <f t="shared" si="117"/>
        <v/>
      </c>
      <c r="Q674" s="151" t="str">
        <f t="shared" si="118"/>
        <v/>
      </c>
      <c r="R674" s="150" t="str">
        <f t="shared" si="119"/>
        <v/>
      </c>
      <c r="S674" s="150" t="str">
        <f t="shared" si="120"/>
        <v/>
      </c>
      <c r="T674" s="150" t="str">
        <f t="shared" si="121"/>
        <v/>
      </c>
      <c r="U674" s="152"/>
      <c r="V674" s="143"/>
      <c r="W674" s="102"/>
      <c r="X674" s="102" t="str">
        <f t="shared" si="122"/>
        <v/>
      </c>
      <c r="Y674" s="102"/>
      <c r="Z674" s="102"/>
      <c r="AA674" s="102"/>
      <c r="AB674" s="102"/>
      <c r="AC674" s="102"/>
      <c r="AD674" s="102"/>
      <c r="AE674" s="102"/>
      <c r="AF674" s="102"/>
      <c r="AG674" s="102"/>
      <c r="AH674" s="102"/>
      <c r="AI674" s="102"/>
      <c r="AJ674" s="102"/>
      <c r="AK674" s="102"/>
      <c r="AL674" s="102"/>
      <c r="AM674" s="102"/>
    </row>
    <row r="675" spans="1:39">
      <c r="A675" s="143"/>
      <c r="B675" s="143"/>
      <c r="C675" s="155"/>
      <c r="D675" s="143"/>
      <c r="E675" s="146"/>
      <c r="F675" s="147"/>
      <c r="G675" s="147"/>
      <c r="H675" s="148"/>
      <c r="I675" s="143"/>
      <c r="J675" s="143"/>
      <c r="K675" s="149"/>
      <c r="L675" s="150" t="str">
        <f t="shared" si="113"/>
        <v/>
      </c>
      <c r="M675" s="150" t="str">
        <f t="shared" si="114"/>
        <v/>
      </c>
      <c r="N675" s="151" t="str">
        <f t="shared" si="115"/>
        <v/>
      </c>
      <c r="O675" s="151" t="str">
        <f t="shared" si="116"/>
        <v/>
      </c>
      <c r="P675" s="151" t="str">
        <f t="shared" si="117"/>
        <v/>
      </c>
      <c r="Q675" s="151" t="str">
        <f t="shared" si="118"/>
        <v/>
      </c>
      <c r="R675" s="150" t="str">
        <f t="shared" si="119"/>
        <v/>
      </c>
      <c r="S675" s="150" t="str">
        <f t="shared" si="120"/>
        <v/>
      </c>
      <c r="T675" s="150" t="str">
        <f t="shared" si="121"/>
        <v/>
      </c>
      <c r="U675" s="152"/>
      <c r="V675" s="143"/>
      <c r="W675" s="102"/>
      <c r="X675" s="102" t="str">
        <f t="shared" si="122"/>
        <v/>
      </c>
      <c r="Y675" s="102"/>
      <c r="Z675" s="102"/>
      <c r="AA675" s="102"/>
      <c r="AB675" s="102"/>
      <c r="AC675" s="102"/>
      <c r="AD675" s="102"/>
      <c r="AE675" s="102"/>
      <c r="AF675" s="102"/>
      <c r="AG675" s="102"/>
      <c r="AH675" s="102"/>
      <c r="AI675" s="102"/>
      <c r="AJ675" s="102"/>
      <c r="AK675" s="102"/>
      <c r="AL675" s="102"/>
      <c r="AM675" s="102"/>
    </row>
    <row r="676" spans="1:39">
      <c r="A676" s="143"/>
      <c r="B676" s="143"/>
      <c r="C676" s="155"/>
      <c r="D676" s="143"/>
      <c r="E676" s="146"/>
      <c r="F676" s="147"/>
      <c r="G676" s="147"/>
      <c r="H676" s="148"/>
      <c r="I676" s="143"/>
      <c r="J676" s="143"/>
      <c r="K676" s="149"/>
      <c r="L676" s="150" t="str">
        <f t="shared" si="113"/>
        <v/>
      </c>
      <c r="M676" s="150" t="str">
        <f t="shared" si="114"/>
        <v/>
      </c>
      <c r="N676" s="151" t="str">
        <f t="shared" si="115"/>
        <v/>
      </c>
      <c r="O676" s="151" t="str">
        <f t="shared" si="116"/>
        <v/>
      </c>
      <c r="P676" s="151" t="str">
        <f t="shared" si="117"/>
        <v/>
      </c>
      <c r="Q676" s="151" t="str">
        <f t="shared" si="118"/>
        <v/>
      </c>
      <c r="R676" s="150" t="str">
        <f t="shared" si="119"/>
        <v/>
      </c>
      <c r="S676" s="150" t="str">
        <f t="shared" si="120"/>
        <v/>
      </c>
      <c r="T676" s="150" t="str">
        <f t="shared" si="121"/>
        <v/>
      </c>
      <c r="U676" s="152"/>
      <c r="V676" s="143"/>
      <c r="W676" s="102"/>
      <c r="X676" s="102" t="str">
        <f t="shared" si="122"/>
        <v/>
      </c>
      <c r="Y676" s="102"/>
      <c r="Z676" s="102"/>
      <c r="AA676" s="102"/>
      <c r="AB676" s="102"/>
      <c r="AC676" s="102"/>
      <c r="AD676" s="102"/>
      <c r="AE676" s="102"/>
      <c r="AF676" s="102"/>
      <c r="AG676" s="102"/>
      <c r="AH676" s="102"/>
      <c r="AI676" s="102"/>
      <c r="AJ676" s="102"/>
      <c r="AK676" s="102"/>
      <c r="AL676" s="102"/>
      <c r="AM676" s="102"/>
    </row>
    <row r="677" spans="1:39">
      <c r="A677" s="143"/>
      <c r="B677" s="143"/>
      <c r="C677" s="155"/>
      <c r="D677" s="143"/>
      <c r="E677" s="146"/>
      <c r="F677" s="147"/>
      <c r="G677" s="147"/>
      <c r="H677" s="148"/>
      <c r="I677" s="143"/>
      <c r="J677" s="143"/>
      <c r="K677" s="149"/>
      <c r="L677" s="150" t="str">
        <f t="shared" si="113"/>
        <v/>
      </c>
      <c r="M677" s="150" t="str">
        <f t="shared" si="114"/>
        <v/>
      </c>
      <c r="N677" s="151" t="str">
        <f t="shared" si="115"/>
        <v/>
      </c>
      <c r="O677" s="151" t="str">
        <f t="shared" si="116"/>
        <v/>
      </c>
      <c r="P677" s="151" t="str">
        <f t="shared" si="117"/>
        <v/>
      </c>
      <c r="Q677" s="151" t="str">
        <f t="shared" si="118"/>
        <v/>
      </c>
      <c r="R677" s="150" t="str">
        <f t="shared" si="119"/>
        <v/>
      </c>
      <c r="S677" s="150" t="str">
        <f t="shared" si="120"/>
        <v/>
      </c>
      <c r="T677" s="150" t="str">
        <f t="shared" si="121"/>
        <v/>
      </c>
      <c r="U677" s="152"/>
      <c r="V677" s="143"/>
      <c r="W677" s="102"/>
      <c r="X677" s="102" t="str">
        <f t="shared" si="122"/>
        <v/>
      </c>
      <c r="Y677" s="102"/>
      <c r="Z677" s="102"/>
      <c r="AA677" s="102"/>
      <c r="AB677" s="102"/>
      <c r="AC677" s="102"/>
      <c r="AD677" s="102"/>
      <c r="AE677" s="102"/>
      <c r="AF677" s="102"/>
      <c r="AG677" s="102"/>
      <c r="AH677" s="102"/>
      <c r="AI677" s="102"/>
      <c r="AJ677" s="102"/>
      <c r="AK677" s="102"/>
      <c r="AL677" s="102"/>
      <c r="AM677" s="102"/>
    </row>
    <row r="678" spans="1:39">
      <c r="A678" s="143"/>
      <c r="B678" s="143"/>
      <c r="C678" s="155"/>
      <c r="D678" s="143"/>
      <c r="E678" s="146"/>
      <c r="F678" s="147"/>
      <c r="G678" s="147"/>
      <c r="H678" s="148"/>
      <c r="I678" s="143"/>
      <c r="J678" s="143"/>
      <c r="K678" s="149"/>
      <c r="L678" s="150" t="str">
        <f t="shared" si="113"/>
        <v/>
      </c>
      <c r="M678" s="150" t="str">
        <f t="shared" si="114"/>
        <v/>
      </c>
      <c r="N678" s="151" t="str">
        <f t="shared" si="115"/>
        <v/>
      </c>
      <c r="O678" s="151" t="str">
        <f t="shared" si="116"/>
        <v/>
      </c>
      <c r="P678" s="151" t="str">
        <f t="shared" si="117"/>
        <v/>
      </c>
      <c r="Q678" s="151" t="str">
        <f t="shared" si="118"/>
        <v/>
      </c>
      <c r="R678" s="150" t="str">
        <f t="shared" si="119"/>
        <v/>
      </c>
      <c r="S678" s="150" t="str">
        <f t="shared" si="120"/>
        <v/>
      </c>
      <c r="T678" s="150" t="str">
        <f t="shared" si="121"/>
        <v/>
      </c>
      <c r="U678" s="152"/>
      <c r="V678" s="143"/>
      <c r="W678" s="102"/>
      <c r="X678" s="102" t="str">
        <f t="shared" si="122"/>
        <v/>
      </c>
      <c r="Y678" s="102"/>
      <c r="Z678" s="102"/>
      <c r="AA678" s="102"/>
      <c r="AB678" s="102"/>
      <c r="AC678" s="102"/>
      <c r="AD678" s="102"/>
      <c r="AE678" s="102"/>
      <c r="AF678" s="102"/>
      <c r="AG678" s="102"/>
      <c r="AH678" s="102"/>
      <c r="AI678" s="102"/>
      <c r="AJ678" s="102"/>
      <c r="AK678" s="102"/>
      <c r="AL678" s="102"/>
      <c r="AM678" s="102"/>
    </row>
    <row r="679" spans="1:39">
      <c r="A679" s="143"/>
      <c r="B679" s="143"/>
      <c r="C679" s="155"/>
      <c r="D679" s="143"/>
      <c r="E679" s="146"/>
      <c r="F679" s="147"/>
      <c r="G679" s="147"/>
      <c r="H679" s="148"/>
      <c r="I679" s="143"/>
      <c r="J679" s="143"/>
      <c r="K679" s="149"/>
      <c r="L679" s="150" t="str">
        <f t="shared" si="113"/>
        <v/>
      </c>
      <c r="M679" s="150" t="str">
        <f t="shared" si="114"/>
        <v/>
      </c>
      <c r="N679" s="151" t="str">
        <f t="shared" si="115"/>
        <v/>
      </c>
      <c r="O679" s="151" t="str">
        <f t="shared" si="116"/>
        <v/>
      </c>
      <c r="P679" s="151" t="str">
        <f t="shared" si="117"/>
        <v/>
      </c>
      <c r="Q679" s="151" t="str">
        <f t="shared" si="118"/>
        <v/>
      </c>
      <c r="R679" s="150" t="str">
        <f t="shared" si="119"/>
        <v/>
      </c>
      <c r="S679" s="150" t="str">
        <f t="shared" si="120"/>
        <v/>
      </c>
      <c r="T679" s="150" t="str">
        <f t="shared" si="121"/>
        <v/>
      </c>
      <c r="U679" s="152"/>
      <c r="V679" s="143"/>
      <c r="W679" s="102"/>
      <c r="X679" s="102" t="str">
        <f t="shared" si="122"/>
        <v/>
      </c>
      <c r="Y679" s="102"/>
      <c r="Z679" s="102"/>
      <c r="AA679" s="102"/>
      <c r="AB679" s="102"/>
      <c r="AC679" s="102"/>
      <c r="AD679" s="102"/>
      <c r="AE679" s="102"/>
      <c r="AF679" s="102"/>
      <c r="AG679" s="102"/>
      <c r="AH679" s="102"/>
      <c r="AI679" s="102"/>
      <c r="AJ679" s="102"/>
      <c r="AK679" s="102"/>
      <c r="AL679" s="102"/>
      <c r="AM679" s="102"/>
    </row>
    <row r="680" spans="1:39">
      <c r="A680" s="143"/>
      <c r="B680" s="143"/>
      <c r="C680" s="155"/>
      <c r="D680" s="143"/>
      <c r="E680" s="146"/>
      <c r="F680" s="147"/>
      <c r="G680" s="147"/>
      <c r="H680" s="148"/>
      <c r="I680" s="143"/>
      <c r="J680" s="143"/>
      <c r="K680" s="149"/>
      <c r="L680" s="150" t="str">
        <f t="shared" si="113"/>
        <v/>
      </c>
      <c r="M680" s="150" t="str">
        <f t="shared" si="114"/>
        <v/>
      </c>
      <c r="N680" s="151" t="str">
        <f t="shared" si="115"/>
        <v/>
      </c>
      <c r="O680" s="151" t="str">
        <f t="shared" si="116"/>
        <v/>
      </c>
      <c r="P680" s="151" t="str">
        <f t="shared" si="117"/>
        <v/>
      </c>
      <c r="Q680" s="151" t="str">
        <f t="shared" si="118"/>
        <v/>
      </c>
      <c r="R680" s="150" t="str">
        <f t="shared" si="119"/>
        <v/>
      </c>
      <c r="S680" s="150" t="str">
        <f t="shared" si="120"/>
        <v/>
      </c>
      <c r="T680" s="150" t="str">
        <f t="shared" si="121"/>
        <v/>
      </c>
      <c r="U680" s="152"/>
      <c r="V680" s="143"/>
      <c r="W680" s="102"/>
      <c r="X680" s="102" t="str">
        <f t="shared" si="122"/>
        <v/>
      </c>
      <c r="Y680" s="102"/>
      <c r="Z680" s="102"/>
      <c r="AA680" s="102"/>
      <c r="AB680" s="102"/>
      <c r="AC680" s="102"/>
      <c r="AD680" s="102"/>
      <c r="AE680" s="102"/>
      <c r="AF680" s="102"/>
      <c r="AG680" s="102"/>
      <c r="AH680" s="102"/>
      <c r="AI680" s="102"/>
      <c r="AJ680" s="102"/>
      <c r="AK680" s="102"/>
      <c r="AL680" s="102"/>
      <c r="AM680" s="102"/>
    </row>
    <row r="681" spans="1:39">
      <c r="A681" s="143"/>
      <c r="B681" s="143"/>
      <c r="C681" s="155"/>
      <c r="D681" s="143"/>
      <c r="E681" s="146"/>
      <c r="F681" s="147"/>
      <c r="G681" s="147"/>
      <c r="H681" s="148"/>
      <c r="I681" s="143"/>
      <c r="J681" s="143"/>
      <c r="K681" s="149"/>
      <c r="L681" s="150" t="str">
        <f t="shared" si="113"/>
        <v/>
      </c>
      <c r="M681" s="150" t="str">
        <f t="shared" si="114"/>
        <v/>
      </c>
      <c r="N681" s="151" t="str">
        <f t="shared" si="115"/>
        <v/>
      </c>
      <c r="O681" s="151" t="str">
        <f t="shared" si="116"/>
        <v/>
      </c>
      <c r="P681" s="151" t="str">
        <f t="shared" si="117"/>
        <v/>
      </c>
      <c r="Q681" s="151" t="str">
        <f t="shared" si="118"/>
        <v/>
      </c>
      <c r="R681" s="150" t="str">
        <f t="shared" si="119"/>
        <v/>
      </c>
      <c r="S681" s="150" t="str">
        <f t="shared" si="120"/>
        <v/>
      </c>
      <c r="T681" s="150" t="str">
        <f t="shared" si="121"/>
        <v/>
      </c>
      <c r="U681" s="152"/>
      <c r="V681" s="143"/>
      <c r="W681" s="102"/>
      <c r="X681" s="102" t="str">
        <f t="shared" si="122"/>
        <v/>
      </c>
      <c r="Y681" s="102"/>
      <c r="Z681" s="102"/>
      <c r="AA681" s="102"/>
      <c r="AB681" s="102"/>
      <c r="AC681" s="102"/>
      <c r="AD681" s="102"/>
      <c r="AE681" s="102"/>
      <c r="AF681" s="102"/>
      <c r="AG681" s="102"/>
      <c r="AH681" s="102"/>
      <c r="AI681" s="102"/>
      <c r="AJ681" s="102"/>
      <c r="AK681" s="102"/>
      <c r="AL681" s="102"/>
      <c r="AM681" s="102"/>
    </row>
    <row r="682" spans="1:39">
      <c r="A682" s="143"/>
      <c r="B682" s="143"/>
      <c r="C682" s="155"/>
      <c r="D682" s="143"/>
      <c r="E682" s="146"/>
      <c r="F682" s="147"/>
      <c r="G682" s="147"/>
      <c r="H682" s="148"/>
      <c r="I682" s="143"/>
      <c r="J682" s="143"/>
      <c r="K682" s="149"/>
      <c r="L682" s="150" t="str">
        <f t="shared" si="113"/>
        <v/>
      </c>
      <c r="M682" s="150" t="str">
        <f t="shared" si="114"/>
        <v/>
      </c>
      <c r="N682" s="151" t="str">
        <f t="shared" si="115"/>
        <v/>
      </c>
      <c r="O682" s="151" t="str">
        <f t="shared" si="116"/>
        <v/>
      </c>
      <c r="P682" s="151" t="str">
        <f t="shared" si="117"/>
        <v/>
      </c>
      <c r="Q682" s="151" t="str">
        <f t="shared" si="118"/>
        <v/>
      </c>
      <c r="R682" s="150" t="str">
        <f t="shared" si="119"/>
        <v/>
      </c>
      <c r="S682" s="150" t="str">
        <f t="shared" si="120"/>
        <v/>
      </c>
      <c r="T682" s="150" t="str">
        <f t="shared" si="121"/>
        <v/>
      </c>
      <c r="U682" s="152"/>
      <c r="V682" s="143"/>
      <c r="W682" s="102"/>
      <c r="X682" s="102" t="str">
        <f t="shared" si="122"/>
        <v/>
      </c>
      <c r="Y682" s="102"/>
      <c r="Z682" s="102"/>
      <c r="AA682" s="102"/>
      <c r="AB682" s="102"/>
      <c r="AC682" s="102"/>
      <c r="AD682" s="102"/>
      <c r="AE682" s="102"/>
      <c r="AF682" s="102"/>
      <c r="AG682" s="102"/>
      <c r="AH682" s="102"/>
      <c r="AI682" s="102"/>
      <c r="AJ682" s="102"/>
      <c r="AK682" s="102"/>
      <c r="AL682" s="102"/>
      <c r="AM682" s="102"/>
    </row>
    <row r="683" spans="1:39">
      <c r="A683" s="143"/>
      <c r="B683" s="143"/>
      <c r="C683" s="155"/>
      <c r="D683" s="143"/>
      <c r="E683" s="146"/>
      <c r="F683" s="147"/>
      <c r="G683" s="147"/>
      <c r="H683" s="148"/>
      <c r="I683" s="143"/>
      <c r="J683" s="143"/>
      <c r="K683" s="149"/>
      <c r="L683" s="150" t="str">
        <f t="shared" si="113"/>
        <v/>
      </c>
      <c r="M683" s="150" t="str">
        <f t="shared" si="114"/>
        <v/>
      </c>
      <c r="N683" s="151" t="str">
        <f t="shared" si="115"/>
        <v/>
      </c>
      <c r="O683" s="151" t="str">
        <f t="shared" si="116"/>
        <v/>
      </c>
      <c r="P683" s="151" t="str">
        <f t="shared" si="117"/>
        <v/>
      </c>
      <c r="Q683" s="151" t="str">
        <f t="shared" si="118"/>
        <v/>
      </c>
      <c r="R683" s="150" t="str">
        <f t="shared" si="119"/>
        <v/>
      </c>
      <c r="S683" s="150" t="str">
        <f t="shared" si="120"/>
        <v/>
      </c>
      <c r="T683" s="150" t="str">
        <f t="shared" si="121"/>
        <v/>
      </c>
      <c r="U683" s="152"/>
      <c r="V683" s="143"/>
      <c r="W683" s="102"/>
      <c r="X683" s="102" t="str">
        <f t="shared" si="122"/>
        <v/>
      </c>
      <c r="Y683" s="102"/>
      <c r="Z683" s="102"/>
      <c r="AA683" s="102"/>
      <c r="AB683" s="102"/>
      <c r="AC683" s="102"/>
      <c r="AD683" s="102"/>
      <c r="AE683" s="102"/>
      <c r="AF683" s="102"/>
      <c r="AG683" s="102"/>
      <c r="AH683" s="102"/>
      <c r="AI683" s="102"/>
      <c r="AJ683" s="102"/>
      <c r="AK683" s="102"/>
      <c r="AL683" s="102"/>
      <c r="AM683" s="102"/>
    </row>
    <row r="684" spans="1:39">
      <c r="A684" s="143"/>
      <c r="B684" s="143"/>
      <c r="C684" s="155"/>
      <c r="D684" s="143"/>
      <c r="E684" s="146"/>
      <c r="F684" s="147"/>
      <c r="G684" s="147"/>
      <c r="H684" s="148"/>
      <c r="I684" s="143"/>
      <c r="J684" s="143"/>
      <c r="K684" s="149"/>
      <c r="L684" s="150" t="str">
        <f t="shared" si="113"/>
        <v/>
      </c>
      <c r="M684" s="150" t="str">
        <f t="shared" si="114"/>
        <v/>
      </c>
      <c r="N684" s="151" t="str">
        <f t="shared" si="115"/>
        <v/>
      </c>
      <c r="O684" s="151" t="str">
        <f t="shared" si="116"/>
        <v/>
      </c>
      <c r="P684" s="151" t="str">
        <f t="shared" si="117"/>
        <v/>
      </c>
      <c r="Q684" s="151" t="str">
        <f t="shared" si="118"/>
        <v/>
      </c>
      <c r="R684" s="150" t="str">
        <f t="shared" si="119"/>
        <v/>
      </c>
      <c r="S684" s="150" t="str">
        <f t="shared" si="120"/>
        <v/>
      </c>
      <c r="T684" s="150" t="str">
        <f t="shared" si="121"/>
        <v/>
      </c>
      <c r="U684" s="152"/>
      <c r="V684" s="143"/>
      <c r="W684" s="102"/>
      <c r="X684" s="102" t="str">
        <f t="shared" si="122"/>
        <v/>
      </c>
      <c r="Y684" s="102"/>
      <c r="Z684" s="102"/>
      <c r="AA684" s="102"/>
      <c r="AB684" s="102"/>
      <c r="AC684" s="102"/>
      <c r="AD684" s="102"/>
      <c r="AE684" s="102"/>
      <c r="AF684" s="102"/>
      <c r="AG684" s="102"/>
      <c r="AH684" s="102"/>
      <c r="AI684" s="102"/>
      <c r="AJ684" s="102"/>
      <c r="AK684" s="102"/>
      <c r="AL684" s="102"/>
      <c r="AM684" s="102"/>
    </row>
    <row r="685" spans="1:39">
      <c r="A685" s="143"/>
      <c r="B685" s="143"/>
      <c r="C685" s="155"/>
      <c r="D685" s="143"/>
      <c r="E685" s="146"/>
      <c r="F685" s="147"/>
      <c r="G685" s="147"/>
      <c r="H685" s="148"/>
      <c r="I685" s="143"/>
      <c r="J685" s="143"/>
      <c r="K685" s="149"/>
      <c r="L685" s="150" t="str">
        <f t="shared" si="113"/>
        <v/>
      </c>
      <c r="M685" s="150" t="str">
        <f t="shared" si="114"/>
        <v/>
      </c>
      <c r="N685" s="151" t="str">
        <f t="shared" si="115"/>
        <v/>
      </c>
      <c r="O685" s="151" t="str">
        <f t="shared" si="116"/>
        <v/>
      </c>
      <c r="P685" s="151" t="str">
        <f t="shared" si="117"/>
        <v/>
      </c>
      <c r="Q685" s="151" t="str">
        <f t="shared" si="118"/>
        <v/>
      </c>
      <c r="R685" s="150" t="str">
        <f t="shared" si="119"/>
        <v/>
      </c>
      <c r="S685" s="150" t="str">
        <f t="shared" si="120"/>
        <v/>
      </c>
      <c r="T685" s="150" t="str">
        <f t="shared" si="121"/>
        <v/>
      </c>
      <c r="U685" s="152"/>
      <c r="V685" s="143"/>
      <c r="W685" s="102"/>
      <c r="X685" s="102" t="str">
        <f t="shared" si="122"/>
        <v/>
      </c>
      <c r="Y685" s="102"/>
      <c r="Z685" s="102"/>
      <c r="AA685" s="102"/>
      <c r="AB685" s="102"/>
      <c r="AC685" s="102"/>
      <c r="AD685" s="102"/>
      <c r="AE685" s="102"/>
      <c r="AF685" s="102"/>
      <c r="AG685" s="102"/>
      <c r="AH685" s="102"/>
      <c r="AI685" s="102"/>
      <c r="AJ685" s="102"/>
      <c r="AK685" s="102"/>
      <c r="AL685" s="102"/>
      <c r="AM685" s="102"/>
    </row>
    <row r="686" spans="1:39">
      <c r="A686" s="143"/>
      <c r="B686" s="143"/>
      <c r="C686" s="155"/>
      <c r="D686" s="143"/>
      <c r="E686" s="146"/>
      <c r="F686" s="147"/>
      <c r="G686" s="147"/>
      <c r="H686" s="148"/>
      <c r="I686" s="143"/>
      <c r="J686" s="143"/>
      <c r="K686" s="149"/>
      <c r="L686" s="150" t="str">
        <f t="shared" si="113"/>
        <v/>
      </c>
      <c r="M686" s="150" t="str">
        <f t="shared" si="114"/>
        <v/>
      </c>
      <c r="N686" s="151" t="str">
        <f t="shared" si="115"/>
        <v/>
      </c>
      <c r="O686" s="151" t="str">
        <f t="shared" si="116"/>
        <v/>
      </c>
      <c r="P686" s="151" t="str">
        <f t="shared" si="117"/>
        <v/>
      </c>
      <c r="Q686" s="151" t="str">
        <f t="shared" si="118"/>
        <v/>
      </c>
      <c r="R686" s="150" t="str">
        <f t="shared" si="119"/>
        <v/>
      </c>
      <c r="S686" s="150" t="str">
        <f t="shared" si="120"/>
        <v/>
      </c>
      <c r="T686" s="150" t="str">
        <f t="shared" si="121"/>
        <v/>
      </c>
      <c r="U686" s="152"/>
      <c r="V686" s="143"/>
      <c r="W686" s="102"/>
      <c r="X686" s="102" t="str">
        <f t="shared" si="122"/>
        <v/>
      </c>
      <c r="Y686" s="102"/>
      <c r="Z686" s="102"/>
      <c r="AA686" s="102"/>
      <c r="AB686" s="102"/>
      <c r="AC686" s="102"/>
      <c r="AD686" s="102"/>
      <c r="AE686" s="102"/>
      <c r="AF686" s="102"/>
      <c r="AG686" s="102"/>
      <c r="AH686" s="102"/>
      <c r="AI686" s="102"/>
      <c r="AJ686" s="102"/>
      <c r="AK686" s="102"/>
      <c r="AL686" s="102"/>
      <c r="AM686" s="102"/>
    </row>
    <row r="687" spans="1:39">
      <c r="A687" s="143"/>
      <c r="B687" s="143"/>
      <c r="C687" s="155"/>
      <c r="D687" s="143"/>
      <c r="E687" s="146"/>
      <c r="F687" s="147"/>
      <c r="G687" s="147"/>
      <c r="H687" s="148"/>
      <c r="I687" s="143"/>
      <c r="J687" s="143"/>
      <c r="K687" s="149"/>
      <c r="L687" s="150" t="str">
        <f t="shared" si="113"/>
        <v/>
      </c>
      <c r="M687" s="150" t="str">
        <f t="shared" si="114"/>
        <v/>
      </c>
      <c r="N687" s="151" t="str">
        <f t="shared" si="115"/>
        <v/>
      </c>
      <c r="O687" s="151" t="str">
        <f t="shared" si="116"/>
        <v/>
      </c>
      <c r="P687" s="151" t="str">
        <f t="shared" si="117"/>
        <v/>
      </c>
      <c r="Q687" s="151" t="str">
        <f t="shared" si="118"/>
        <v/>
      </c>
      <c r="R687" s="150" t="str">
        <f t="shared" si="119"/>
        <v/>
      </c>
      <c r="S687" s="150" t="str">
        <f t="shared" si="120"/>
        <v/>
      </c>
      <c r="T687" s="150" t="str">
        <f t="shared" si="121"/>
        <v/>
      </c>
      <c r="U687" s="152"/>
      <c r="V687" s="143"/>
      <c r="W687" s="102"/>
      <c r="X687" s="102" t="str">
        <f t="shared" si="122"/>
        <v/>
      </c>
      <c r="Y687" s="102"/>
      <c r="Z687" s="102"/>
      <c r="AA687" s="102"/>
      <c r="AB687" s="102"/>
      <c r="AC687" s="102"/>
      <c r="AD687" s="102"/>
      <c r="AE687" s="102"/>
      <c r="AF687" s="102"/>
      <c r="AG687" s="102"/>
      <c r="AH687" s="102"/>
      <c r="AI687" s="102"/>
      <c r="AJ687" s="102"/>
      <c r="AK687" s="102"/>
      <c r="AL687" s="102"/>
      <c r="AM687" s="102"/>
    </row>
    <row r="688" spans="1:39">
      <c r="A688" s="143"/>
      <c r="B688" s="143"/>
      <c r="C688" s="155"/>
      <c r="D688" s="143"/>
      <c r="E688" s="146"/>
      <c r="F688" s="147"/>
      <c r="G688" s="147"/>
      <c r="H688" s="148"/>
      <c r="I688" s="143"/>
      <c r="J688" s="143"/>
      <c r="K688" s="149"/>
      <c r="L688" s="150" t="str">
        <f t="shared" si="113"/>
        <v/>
      </c>
      <c r="M688" s="150" t="str">
        <f t="shared" si="114"/>
        <v/>
      </c>
      <c r="N688" s="151" t="str">
        <f t="shared" si="115"/>
        <v/>
      </c>
      <c r="O688" s="151" t="str">
        <f t="shared" si="116"/>
        <v/>
      </c>
      <c r="P688" s="151" t="str">
        <f t="shared" si="117"/>
        <v/>
      </c>
      <c r="Q688" s="151" t="str">
        <f t="shared" si="118"/>
        <v/>
      </c>
      <c r="R688" s="150" t="str">
        <f t="shared" si="119"/>
        <v/>
      </c>
      <c r="S688" s="150" t="str">
        <f t="shared" si="120"/>
        <v/>
      </c>
      <c r="T688" s="150" t="str">
        <f t="shared" si="121"/>
        <v/>
      </c>
      <c r="U688" s="152"/>
      <c r="V688" s="143"/>
      <c r="W688" s="102"/>
      <c r="X688" s="102" t="str">
        <f t="shared" si="122"/>
        <v/>
      </c>
      <c r="Y688" s="102"/>
      <c r="Z688" s="102"/>
      <c r="AA688" s="102"/>
      <c r="AB688" s="102"/>
      <c r="AC688" s="102"/>
      <c r="AD688" s="102"/>
      <c r="AE688" s="102"/>
      <c r="AF688" s="102"/>
      <c r="AG688" s="102"/>
      <c r="AH688" s="102"/>
      <c r="AI688" s="102"/>
      <c r="AJ688" s="102"/>
      <c r="AK688" s="102"/>
      <c r="AL688" s="102"/>
      <c r="AM688" s="102"/>
    </row>
    <row r="689" spans="1:39">
      <c r="A689" s="143"/>
      <c r="B689" s="143"/>
      <c r="C689" s="155"/>
      <c r="D689" s="143"/>
      <c r="E689" s="146"/>
      <c r="F689" s="147"/>
      <c r="G689" s="147"/>
      <c r="H689" s="148"/>
      <c r="I689" s="143"/>
      <c r="J689" s="143"/>
      <c r="K689" s="149"/>
      <c r="L689" s="150" t="str">
        <f t="shared" si="113"/>
        <v/>
      </c>
      <c r="M689" s="150" t="str">
        <f t="shared" si="114"/>
        <v/>
      </c>
      <c r="N689" s="151" t="str">
        <f t="shared" si="115"/>
        <v/>
      </c>
      <c r="O689" s="151" t="str">
        <f t="shared" si="116"/>
        <v/>
      </c>
      <c r="P689" s="151" t="str">
        <f t="shared" si="117"/>
        <v/>
      </c>
      <c r="Q689" s="151" t="str">
        <f t="shared" si="118"/>
        <v/>
      </c>
      <c r="R689" s="150" t="str">
        <f t="shared" si="119"/>
        <v/>
      </c>
      <c r="S689" s="150" t="str">
        <f t="shared" si="120"/>
        <v/>
      </c>
      <c r="T689" s="150" t="str">
        <f t="shared" si="121"/>
        <v/>
      </c>
      <c r="U689" s="152"/>
      <c r="V689" s="143"/>
      <c r="W689" s="102"/>
      <c r="X689" s="102" t="str">
        <f t="shared" si="122"/>
        <v/>
      </c>
      <c r="Y689" s="102"/>
      <c r="Z689" s="102"/>
      <c r="AA689" s="102"/>
      <c r="AB689" s="102"/>
      <c r="AC689" s="102"/>
      <c r="AD689" s="102"/>
      <c r="AE689" s="102"/>
      <c r="AF689" s="102"/>
      <c r="AG689" s="102"/>
      <c r="AH689" s="102"/>
      <c r="AI689" s="102"/>
      <c r="AJ689" s="102"/>
      <c r="AK689" s="102"/>
      <c r="AL689" s="102"/>
      <c r="AM689" s="102"/>
    </row>
    <row r="690" spans="1:39">
      <c r="A690" s="143"/>
      <c r="B690" s="143"/>
      <c r="C690" s="155"/>
      <c r="D690" s="143"/>
      <c r="E690" s="146"/>
      <c r="F690" s="147"/>
      <c r="G690" s="147"/>
      <c r="H690" s="148"/>
      <c r="I690" s="143"/>
      <c r="J690" s="143"/>
      <c r="K690" s="149"/>
      <c r="L690" s="150" t="str">
        <f t="shared" si="113"/>
        <v/>
      </c>
      <c r="M690" s="150" t="str">
        <f t="shared" si="114"/>
        <v/>
      </c>
      <c r="N690" s="151" t="str">
        <f t="shared" si="115"/>
        <v/>
      </c>
      <c r="O690" s="151" t="str">
        <f t="shared" si="116"/>
        <v/>
      </c>
      <c r="P690" s="151" t="str">
        <f t="shared" si="117"/>
        <v/>
      </c>
      <c r="Q690" s="151" t="str">
        <f t="shared" si="118"/>
        <v/>
      </c>
      <c r="R690" s="150" t="str">
        <f t="shared" si="119"/>
        <v/>
      </c>
      <c r="S690" s="150" t="str">
        <f t="shared" si="120"/>
        <v/>
      </c>
      <c r="T690" s="150" t="str">
        <f t="shared" si="121"/>
        <v/>
      </c>
      <c r="U690" s="152"/>
      <c r="V690" s="143"/>
      <c r="W690" s="102"/>
      <c r="X690" s="102" t="str">
        <f t="shared" si="122"/>
        <v/>
      </c>
      <c r="Y690" s="102"/>
      <c r="Z690" s="102"/>
      <c r="AA690" s="102"/>
      <c r="AB690" s="102"/>
      <c r="AC690" s="102"/>
      <c r="AD690" s="102"/>
      <c r="AE690" s="102"/>
      <c r="AF690" s="102"/>
      <c r="AG690" s="102"/>
      <c r="AH690" s="102"/>
      <c r="AI690" s="102"/>
      <c r="AJ690" s="102"/>
      <c r="AK690" s="102"/>
      <c r="AL690" s="102"/>
      <c r="AM690" s="102"/>
    </row>
    <row r="691" spans="1:39">
      <c r="A691" s="143"/>
      <c r="B691" s="143"/>
      <c r="C691" s="155"/>
      <c r="D691" s="143"/>
      <c r="E691" s="146"/>
      <c r="F691" s="147"/>
      <c r="G691" s="147"/>
      <c r="H691" s="148"/>
      <c r="I691" s="143"/>
      <c r="J691" s="143"/>
      <c r="K691" s="149"/>
      <c r="L691" s="150" t="str">
        <f t="shared" si="113"/>
        <v/>
      </c>
      <c r="M691" s="150" t="str">
        <f t="shared" si="114"/>
        <v/>
      </c>
      <c r="N691" s="151" t="str">
        <f t="shared" si="115"/>
        <v/>
      </c>
      <c r="O691" s="151" t="str">
        <f t="shared" si="116"/>
        <v/>
      </c>
      <c r="P691" s="151" t="str">
        <f t="shared" si="117"/>
        <v/>
      </c>
      <c r="Q691" s="151" t="str">
        <f t="shared" si="118"/>
        <v/>
      </c>
      <c r="R691" s="150" t="str">
        <f t="shared" si="119"/>
        <v/>
      </c>
      <c r="S691" s="150" t="str">
        <f t="shared" si="120"/>
        <v/>
      </c>
      <c r="T691" s="150" t="str">
        <f t="shared" si="121"/>
        <v/>
      </c>
      <c r="U691" s="152"/>
      <c r="V691" s="143"/>
      <c r="W691" s="102"/>
      <c r="X691" s="102" t="str">
        <f t="shared" si="122"/>
        <v/>
      </c>
      <c r="Y691" s="102"/>
      <c r="Z691" s="102"/>
      <c r="AA691" s="102"/>
      <c r="AB691" s="102"/>
      <c r="AC691" s="102"/>
      <c r="AD691" s="102"/>
      <c r="AE691" s="102"/>
      <c r="AF691" s="102"/>
      <c r="AG691" s="102"/>
      <c r="AH691" s="102"/>
      <c r="AI691" s="102"/>
      <c r="AJ691" s="102"/>
      <c r="AK691" s="102"/>
      <c r="AL691" s="102"/>
      <c r="AM691" s="102"/>
    </row>
    <row r="692" spans="1:39">
      <c r="A692" s="143"/>
      <c r="B692" s="143"/>
      <c r="C692" s="155"/>
      <c r="D692" s="143"/>
      <c r="E692" s="146"/>
      <c r="F692" s="147"/>
      <c r="G692" s="147"/>
      <c r="H692" s="148"/>
      <c r="I692" s="143"/>
      <c r="J692" s="143"/>
      <c r="K692" s="149"/>
      <c r="L692" s="150" t="str">
        <f t="shared" si="113"/>
        <v/>
      </c>
      <c r="M692" s="150" t="str">
        <f t="shared" si="114"/>
        <v/>
      </c>
      <c r="N692" s="151" t="str">
        <f t="shared" si="115"/>
        <v/>
      </c>
      <c r="O692" s="151" t="str">
        <f t="shared" si="116"/>
        <v/>
      </c>
      <c r="P692" s="151" t="str">
        <f t="shared" si="117"/>
        <v/>
      </c>
      <c r="Q692" s="151" t="str">
        <f t="shared" si="118"/>
        <v/>
      </c>
      <c r="R692" s="150" t="str">
        <f t="shared" si="119"/>
        <v/>
      </c>
      <c r="S692" s="150" t="str">
        <f t="shared" si="120"/>
        <v/>
      </c>
      <c r="T692" s="150" t="str">
        <f t="shared" si="121"/>
        <v/>
      </c>
      <c r="U692" s="152"/>
      <c r="V692" s="143"/>
      <c r="W692" s="102"/>
      <c r="X692" s="102" t="str">
        <f t="shared" si="122"/>
        <v/>
      </c>
      <c r="Y692" s="102"/>
      <c r="Z692" s="102"/>
      <c r="AA692" s="102"/>
      <c r="AB692" s="102"/>
      <c r="AC692" s="102"/>
      <c r="AD692" s="102"/>
      <c r="AE692" s="102"/>
      <c r="AF692" s="102"/>
      <c r="AG692" s="102"/>
      <c r="AH692" s="102"/>
      <c r="AI692" s="102"/>
      <c r="AJ692" s="102"/>
      <c r="AK692" s="102"/>
      <c r="AL692" s="102"/>
      <c r="AM692" s="102"/>
    </row>
    <row r="693" spans="1:39">
      <c r="A693" s="143"/>
      <c r="B693" s="143"/>
      <c r="C693" s="155"/>
      <c r="D693" s="143"/>
      <c r="E693" s="146"/>
      <c r="F693" s="147"/>
      <c r="G693" s="147"/>
      <c r="H693" s="148"/>
      <c r="I693" s="143"/>
      <c r="J693" s="143"/>
      <c r="K693" s="149"/>
      <c r="L693" s="150" t="str">
        <f t="shared" si="113"/>
        <v/>
      </c>
      <c r="M693" s="150" t="str">
        <f t="shared" si="114"/>
        <v/>
      </c>
      <c r="N693" s="151" t="str">
        <f t="shared" si="115"/>
        <v/>
      </c>
      <c r="O693" s="151" t="str">
        <f t="shared" si="116"/>
        <v/>
      </c>
      <c r="P693" s="151" t="str">
        <f t="shared" si="117"/>
        <v/>
      </c>
      <c r="Q693" s="151" t="str">
        <f t="shared" si="118"/>
        <v/>
      </c>
      <c r="R693" s="150" t="str">
        <f t="shared" si="119"/>
        <v/>
      </c>
      <c r="S693" s="150" t="str">
        <f t="shared" si="120"/>
        <v/>
      </c>
      <c r="T693" s="150" t="str">
        <f t="shared" si="121"/>
        <v/>
      </c>
      <c r="U693" s="152"/>
      <c r="V693" s="143"/>
      <c r="W693" s="102"/>
      <c r="X693" s="102" t="str">
        <f t="shared" si="122"/>
        <v/>
      </c>
      <c r="Y693" s="102"/>
      <c r="Z693" s="102"/>
      <c r="AA693" s="102"/>
      <c r="AB693" s="102"/>
      <c r="AC693" s="102"/>
      <c r="AD693" s="102"/>
      <c r="AE693" s="102"/>
      <c r="AF693" s="102"/>
      <c r="AG693" s="102"/>
      <c r="AH693" s="102"/>
      <c r="AI693" s="102"/>
      <c r="AJ693" s="102"/>
      <c r="AK693" s="102"/>
      <c r="AL693" s="102"/>
      <c r="AM693" s="102"/>
    </row>
    <row r="694" spans="1:39">
      <c r="A694" s="143"/>
      <c r="B694" s="143"/>
      <c r="C694" s="155"/>
      <c r="D694" s="143"/>
      <c r="E694" s="146"/>
      <c r="F694" s="147"/>
      <c r="G694" s="147"/>
      <c r="H694" s="148"/>
      <c r="I694" s="143"/>
      <c r="J694" s="143"/>
      <c r="K694" s="149"/>
      <c r="L694" s="150" t="str">
        <f t="shared" si="113"/>
        <v/>
      </c>
      <c r="M694" s="150" t="str">
        <f t="shared" si="114"/>
        <v/>
      </c>
      <c r="N694" s="151" t="str">
        <f t="shared" si="115"/>
        <v/>
      </c>
      <c r="O694" s="151" t="str">
        <f t="shared" si="116"/>
        <v/>
      </c>
      <c r="P694" s="151" t="str">
        <f t="shared" si="117"/>
        <v/>
      </c>
      <c r="Q694" s="151" t="str">
        <f t="shared" si="118"/>
        <v/>
      </c>
      <c r="R694" s="150" t="str">
        <f t="shared" si="119"/>
        <v/>
      </c>
      <c r="S694" s="150" t="str">
        <f t="shared" si="120"/>
        <v/>
      </c>
      <c r="T694" s="150" t="str">
        <f t="shared" si="121"/>
        <v/>
      </c>
      <c r="U694" s="152"/>
      <c r="V694" s="143"/>
      <c r="W694" s="102"/>
      <c r="X694" s="102" t="str">
        <f t="shared" si="122"/>
        <v/>
      </c>
      <c r="Y694" s="102"/>
      <c r="Z694" s="102"/>
      <c r="AA694" s="102"/>
      <c r="AB694" s="102"/>
      <c r="AC694" s="102"/>
      <c r="AD694" s="102"/>
      <c r="AE694" s="102"/>
      <c r="AF694" s="102"/>
      <c r="AG694" s="102"/>
      <c r="AH694" s="102"/>
      <c r="AI694" s="102"/>
      <c r="AJ694" s="102"/>
      <c r="AK694" s="102"/>
      <c r="AL694" s="102"/>
      <c r="AM694" s="102"/>
    </row>
    <row r="695" spans="1:39">
      <c r="A695" s="143"/>
      <c r="B695" s="143"/>
      <c r="C695" s="155"/>
      <c r="D695" s="143"/>
      <c r="E695" s="146"/>
      <c r="F695" s="147"/>
      <c r="G695" s="147"/>
      <c r="H695" s="148"/>
      <c r="I695" s="143"/>
      <c r="J695" s="143"/>
      <c r="K695" s="149"/>
      <c r="L695" s="150" t="str">
        <f t="shared" si="113"/>
        <v/>
      </c>
      <c r="M695" s="150" t="str">
        <f t="shared" si="114"/>
        <v/>
      </c>
      <c r="N695" s="151" t="str">
        <f t="shared" si="115"/>
        <v/>
      </c>
      <c r="O695" s="151" t="str">
        <f t="shared" si="116"/>
        <v/>
      </c>
      <c r="P695" s="151" t="str">
        <f t="shared" si="117"/>
        <v/>
      </c>
      <c r="Q695" s="151" t="str">
        <f t="shared" si="118"/>
        <v/>
      </c>
      <c r="R695" s="150" t="str">
        <f t="shared" si="119"/>
        <v/>
      </c>
      <c r="S695" s="150" t="str">
        <f t="shared" si="120"/>
        <v/>
      </c>
      <c r="T695" s="150" t="str">
        <f t="shared" si="121"/>
        <v/>
      </c>
      <c r="U695" s="152"/>
      <c r="V695" s="143"/>
      <c r="W695" s="102"/>
      <c r="X695" s="102" t="str">
        <f t="shared" si="122"/>
        <v/>
      </c>
      <c r="Y695" s="102"/>
      <c r="Z695" s="102"/>
      <c r="AA695" s="102"/>
      <c r="AB695" s="102"/>
      <c r="AC695" s="102"/>
      <c r="AD695" s="102"/>
      <c r="AE695" s="102"/>
      <c r="AF695" s="102"/>
      <c r="AG695" s="102"/>
      <c r="AH695" s="102"/>
      <c r="AI695" s="102"/>
      <c r="AJ695" s="102"/>
      <c r="AK695" s="102"/>
      <c r="AL695" s="102"/>
      <c r="AM695" s="102"/>
    </row>
    <row r="696" spans="1:39">
      <c r="A696" s="143"/>
      <c r="B696" s="143"/>
      <c r="C696" s="155"/>
      <c r="D696" s="143"/>
      <c r="E696" s="146"/>
      <c r="F696" s="147"/>
      <c r="G696" s="147"/>
      <c r="H696" s="148"/>
      <c r="I696" s="143"/>
      <c r="J696" s="143"/>
      <c r="K696" s="149"/>
      <c r="L696" s="150" t="str">
        <f t="shared" si="113"/>
        <v/>
      </c>
      <c r="M696" s="150" t="str">
        <f t="shared" si="114"/>
        <v/>
      </c>
      <c r="N696" s="151" t="str">
        <f t="shared" si="115"/>
        <v/>
      </c>
      <c r="O696" s="151" t="str">
        <f t="shared" si="116"/>
        <v/>
      </c>
      <c r="P696" s="151" t="str">
        <f t="shared" si="117"/>
        <v/>
      </c>
      <c r="Q696" s="151" t="str">
        <f t="shared" si="118"/>
        <v/>
      </c>
      <c r="R696" s="150" t="str">
        <f t="shared" si="119"/>
        <v/>
      </c>
      <c r="S696" s="150" t="str">
        <f t="shared" si="120"/>
        <v/>
      </c>
      <c r="T696" s="150" t="str">
        <f t="shared" si="121"/>
        <v/>
      </c>
      <c r="U696" s="152"/>
      <c r="V696" s="143"/>
      <c r="W696" s="102"/>
      <c r="X696" s="102" t="str">
        <f t="shared" si="122"/>
        <v/>
      </c>
      <c r="Y696" s="102"/>
      <c r="Z696" s="102"/>
      <c r="AA696" s="102"/>
      <c r="AB696" s="102"/>
      <c r="AC696" s="102"/>
      <c r="AD696" s="102"/>
      <c r="AE696" s="102"/>
      <c r="AF696" s="102"/>
      <c r="AG696" s="102"/>
      <c r="AH696" s="102"/>
      <c r="AI696" s="102"/>
      <c r="AJ696" s="102"/>
      <c r="AK696" s="102"/>
      <c r="AL696" s="102"/>
      <c r="AM696" s="102"/>
    </row>
    <row r="697" spans="1:39">
      <c r="A697" s="143"/>
      <c r="B697" s="143"/>
      <c r="C697" s="155"/>
      <c r="D697" s="143"/>
      <c r="E697" s="146"/>
      <c r="F697" s="147"/>
      <c r="G697" s="147"/>
      <c r="H697" s="148"/>
      <c r="I697" s="143"/>
      <c r="J697" s="143"/>
      <c r="K697" s="149"/>
      <c r="L697" s="150" t="str">
        <f t="shared" si="113"/>
        <v/>
      </c>
      <c r="M697" s="150" t="str">
        <f t="shared" si="114"/>
        <v/>
      </c>
      <c r="N697" s="151" t="str">
        <f t="shared" si="115"/>
        <v/>
      </c>
      <c r="O697" s="151" t="str">
        <f t="shared" si="116"/>
        <v/>
      </c>
      <c r="P697" s="151" t="str">
        <f t="shared" si="117"/>
        <v/>
      </c>
      <c r="Q697" s="151" t="str">
        <f t="shared" si="118"/>
        <v/>
      </c>
      <c r="R697" s="150" t="str">
        <f t="shared" si="119"/>
        <v/>
      </c>
      <c r="S697" s="150" t="str">
        <f t="shared" si="120"/>
        <v/>
      </c>
      <c r="T697" s="150" t="str">
        <f t="shared" si="121"/>
        <v/>
      </c>
      <c r="U697" s="152"/>
      <c r="V697" s="143"/>
      <c r="W697" s="102"/>
      <c r="X697" s="102" t="str">
        <f t="shared" si="122"/>
        <v/>
      </c>
      <c r="Y697" s="102"/>
      <c r="Z697" s="102"/>
      <c r="AA697" s="102"/>
      <c r="AB697" s="102"/>
      <c r="AC697" s="102"/>
      <c r="AD697" s="102"/>
      <c r="AE697" s="102"/>
      <c r="AF697" s="102"/>
      <c r="AG697" s="102"/>
      <c r="AH697" s="102"/>
      <c r="AI697" s="102"/>
      <c r="AJ697" s="102"/>
      <c r="AK697" s="102"/>
      <c r="AL697" s="102"/>
      <c r="AM697" s="102"/>
    </row>
    <row r="698" spans="1:39">
      <c r="A698" s="143"/>
      <c r="B698" s="143"/>
      <c r="C698" s="155"/>
      <c r="D698" s="143"/>
      <c r="E698" s="146"/>
      <c r="F698" s="147"/>
      <c r="G698" s="147"/>
      <c r="H698" s="148"/>
      <c r="I698" s="143"/>
      <c r="J698" s="143"/>
      <c r="K698" s="149"/>
      <c r="L698" s="150" t="str">
        <f t="shared" si="113"/>
        <v/>
      </c>
      <c r="M698" s="150" t="str">
        <f t="shared" si="114"/>
        <v/>
      </c>
      <c r="N698" s="151" t="str">
        <f t="shared" si="115"/>
        <v/>
      </c>
      <c r="O698" s="151" t="str">
        <f t="shared" si="116"/>
        <v/>
      </c>
      <c r="P698" s="151" t="str">
        <f t="shared" si="117"/>
        <v/>
      </c>
      <c r="Q698" s="151" t="str">
        <f t="shared" si="118"/>
        <v/>
      </c>
      <c r="R698" s="150" t="str">
        <f t="shared" si="119"/>
        <v/>
      </c>
      <c r="S698" s="150" t="str">
        <f t="shared" si="120"/>
        <v/>
      </c>
      <c r="T698" s="150" t="str">
        <f t="shared" si="121"/>
        <v/>
      </c>
      <c r="U698" s="152"/>
      <c r="V698" s="143"/>
      <c r="W698" s="102"/>
      <c r="X698" s="102" t="str">
        <f t="shared" si="122"/>
        <v/>
      </c>
      <c r="Y698" s="102"/>
      <c r="Z698" s="102"/>
      <c r="AA698" s="102"/>
      <c r="AB698" s="102"/>
      <c r="AC698" s="102"/>
      <c r="AD698" s="102"/>
      <c r="AE698" s="102"/>
      <c r="AF698" s="102"/>
      <c r="AG698" s="102"/>
      <c r="AH698" s="102"/>
      <c r="AI698" s="102"/>
      <c r="AJ698" s="102"/>
      <c r="AK698" s="102"/>
      <c r="AL698" s="102"/>
      <c r="AM698" s="102"/>
    </row>
    <row r="699" spans="1:39">
      <c r="A699" s="143"/>
      <c r="B699" s="143"/>
      <c r="C699" s="155"/>
      <c r="D699" s="143"/>
      <c r="E699" s="146"/>
      <c r="F699" s="147"/>
      <c r="G699" s="147"/>
      <c r="H699" s="148"/>
      <c r="I699" s="143"/>
      <c r="J699" s="143"/>
      <c r="K699" s="149"/>
      <c r="L699" s="150" t="str">
        <f t="shared" si="113"/>
        <v/>
      </c>
      <c r="M699" s="150" t="str">
        <f t="shared" si="114"/>
        <v/>
      </c>
      <c r="N699" s="151" t="str">
        <f t="shared" si="115"/>
        <v/>
      </c>
      <c r="O699" s="151" t="str">
        <f t="shared" si="116"/>
        <v/>
      </c>
      <c r="P699" s="151" t="str">
        <f t="shared" si="117"/>
        <v/>
      </c>
      <c r="Q699" s="151" t="str">
        <f t="shared" si="118"/>
        <v/>
      </c>
      <c r="R699" s="150" t="str">
        <f t="shared" si="119"/>
        <v/>
      </c>
      <c r="S699" s="150" t="str">
        <f t="shared" si="120"/>
        <v/>
      </c>
      <c r="T699" s="150" t="str">
        <f t="shared" si="121"/>
        <v/>
      </c>
      <c r="U699" s="152"/>
      <c r="V699" s="143"/>
      <c r="W699" s="102"/>
      <c r="X699" s="102" t="str">
        <f t="shared" si="122"/>
        <v/>
      </c>
      <c r="Y699" s="102"/>
      <c r="Z699" s="102"/>
      <c r="AA699" s="102"/>
      <c r="AB699" s="102"/>
      <c r="AC699" s="102"/>
      <c r="AD699" s="102"/>
      <c r="AE699" s="102"/>
      <c r="AF699" s="102"/>
      <c r="AG699" s="102"/>
      <c r="AH699" s="102"/>
      <c r="AI699" s="102"/>
      <c r="AJ699" s="102"/>
      <c r="AK699" s="102"/>
      <c r="AL699" s="102"/>
      <c r="AM699" s="102"/>
    </row>
    <row r="700" spans="1:39">
      <c r="A700" s="143"/>
      <c r="B700" s="143"/>
      <c r="C700" s="155"/>
      <c r="D700" s="143"/>
      <c r="E700" s="146"/>
      <c r="F700" s="147"/>
      <c r="G700" s="147"/>
      <c r="H700" s="148"/>
      <c r="I700" s="143"/>
      <c r="J700" s="143"/>
      <c r="K700" s="149"/>
      <c r="L700" s="150" t="str">
        <f t="shared" si="113"/>
        <v/>
      </c>
      <c r="M700" s="150" t="str">
        <f t="shared" si="114"/>
        <v/>
      </c>
      <c r="N700" s="151" t="str">
        <f t="shared" si="115"/>
        <v/>
      </c>
      <c r="O700" s="151" t="str">
        <f t="shared" si="116"/>
        <v/>
      </c>
      <c r="P700" s="151" t="str">
        <f t="shared" si="117"/>
        <v/>
      </c>
      <c r="Q700" s="151" t="str">
        <f t="shared" si="118"/>
        <v/>
      </c>
      <c r="R700" s="150" t="str">
        <f t="shared" si="119"/>
        <v/>
      </c>
      <c r="S700" s="150" t="str">
        <f t="shared" si="120"/>
        <v/>
      </c>
      <c r="T700" s="150" t="str">
        <f t="shared" si="121"/>
        <v/>
      </c>
      <c r="U700" s="152"/>
      <c r="V700" s="143"/>
      <c r="W700" s="102"/>
      <c r="X700" s="102" t="str">
        <f t="shared" si="122"/>
        <v/>
      </c>
      <c r="Y700" s="102"/>
      <c r="Z700" s="102"/>
      <c r="AA700" s="102"/>
      <c r="AB700" s="102"/>
      <c r="AC700" s="102"/>
      <c r="AD700" s="102"/>
      <c r="AE700" s="102"/>
      <c r="AF700" s="102"/>
      <c r="AG700" s="102"/>
      <c r="AH700" s="102"/>
      <c r="AI700" s="102"/>
      <c r="AJ700" s="102"/>
      <c r="AK700" s="102"/>
      <c r="AL700" s="102"/>
      <c r="AM700" s="102"/>
    </row>
    <row r="701" spans="1:39">
      <c r="A701" s="143"/>
      <c r="B701" s="143"/>
      <c r="C701" s="155"/>
      <c r="D701" s="143"/>
      <c r="E701" s="146"/>
      <c r="F701" s="147"/>
      <c r="G701" s="147"/>
      <c r="H701" s="148"/>
      <c r="I701" s="143"/>
      <c r="J701" s="143"/>
      <c r="K701" s="149"/>
      <c r="L701" s="150" t="str">
        <f t="shared" si="113"/>
        <v/>
      </c>
      <c r="M701" s="150" t="str">
        <f t="shared" si="114"/>
        <v/>
      </c>
      <c r="N701" s="151" t="str">
        <f t="shared" si="115"/>
        <v/>
      </c>
      <c r="O701" s="151" t="str">
        <f t="shared" si="116"/>
        <v/>
      </c>
      <c r="P701" s="151" t="str">
        <f t="shared" si="117"/>
        <v/>
      </c>
      <c r="Q701" s="151" t="str">
        <f t="shared" si="118"/>
        <v/>
      </c>
      <c r="R701" s="150" t="str">
        <f t="shared" si="119"/>
        <v/>
      </c>
      <c r="S701" s="150" t="str">
        <f t="shared" si="120"/>
        <v/>
      </c>
      <c r="T701" s="150" t="str">
        <f t="shared" si="121"/>
        <v/>
      </c>
      <c r="U701" s="152"/>
      <c r="V701" s="143"/>
      <c r="W701" s="102"/>
      <c r="X701" s="102" t="str">
        <f t="shared" si="122"/>
        <v/>
      </c>
      <c r="Y701" s="102"/>
      <c r="Z701" s="102"/>
      <c r="AA701" s="102"/>
      <c r="AB701" s="102"/>
      <c r="AC701" s="102"/>
      <c r="AD701" s="102"/>
      <c r="AE701" s="102"/>
      <c r="AF701" s="102"/>
      <c r="AG701" s="102"/>
      <c r="AH701" s="102"/>
      <c r="AI701" s="102"/>
      <c r="AJ701" s="102"/>
      <c r="AK701" s="102"/>
      <c r="AL701" s="102"/>
      <c r="AM701" s="102"/>
    </row>
    <row r="702" spans="1:39">
      <c r="A702" s="143"/>
      <c r="B702" s="143"/>
      <c r="C702" s="155"/>
      <c r="D702" s="143"/>
      <c r="E702" s="146"/>
      <c r="F702" s="147"/>
      <c r="G702" s="147"/>
      <c r="H702" s="148"/>
      <c r="I702" s="143"/>
      <c r="J702" s="143"/>
      <c r="K702" s="149"/>
      <c r="L702" s="150" t="str">
        <f t="shared" si="113"/>
        <v/>
      </c>
      <c r="M702" s="150" t="str">
        <f t="shared" si="114"/>
        <v/>
      </c>
      <c r="N702" s="151" t="str">
        <f t="shared" si="115"/>
        <v/>
      </c>
      <c r="O702" s="151" t="str">
        <f t="shared" si="116"/>
        <v/>
      </c>
      <c r="P702" s="151" t="str">
        <f t="shared" si="117"/>
        <v/>
      </c>
      <c r="Q702" s="151" t="str">
        <f t="shared" si="118"/>
        <v/>
      </c>
      <c r="R702" s="150" t="str">
        <f t="shared" si="119"/>
        <v/>
      </c>
      <c r="S702" s="150" t="str">
        <f t="shared" si="120"/>
        <v/>
      </c>
      <c r="T702" s="150" t="str">
        <f t="shared" si="121"/>
        <v/>
      </c>
      <c r="U702" s="152"/>
      <c r="V702" s="143"/>
      <c r="W702" s="102"/>
      <c r="X702" s="102" t="str">
        <f t="shared" si="122"/>
        <v/>
      </c>
      <c r="Y702" s="102"/>
      <c r="Z702" s="102"/>
      <c r="AA702" s="102"/>
      <c r="AB702" s="102"/>
      <c r="AC702" s="102"/>
      <c r="AD702" s="102"/>
      <c r="AE702" s="102"/>
      <c r="AF702" s="102"/>
      <c r="AG702" s="102"/>
      <c r="AH702" s="102"/>
      <c r="AI702" s="102"/>
      <c r="AJ702" s="102"/>
      <c r="AK702" s="102"/>
      <c r="AL702" s="102"/>
      <c r="AM702" s="102"/>
    </row>
    <row r="703" spans="1:39">
      <c r="A703" s="143"/>
      <c r="B703" s="143"/>
      <c r="C703" s="155"/>
      <c r="D703" s="143"/>
      <c r="E703" s="146"/>
      <c r="F703" s="147"/>
      <c r="G703" s="147"/>
      <c r="H703" s="148"/>
      <c r="I703" s="143"/>
      <c r="J703" s="143"/>
      <c r="K703" s="149"/>
      <c r="L703" s="150" t="str">
        <f t="shared" si="113"/>
        <v/>
      </c>
      <c r="M703" s="150" t="str">
        <f t="shared" si="114"/>
        <v/>
      </c>
      <c r="N703" s="151" t="str">
        <f t="shared" si="115"/>
        <v/>
      </c>
      <c r="O703" s="151" t="str">
        <f t="shared" si="116"/>
        <v/>
      </c>
      <c r="P703" s="151" t="str">
        <f t="shared" si="117"/>
        <v/>
      </c>
      <c r="Q703" s="151" t="str">
        <f t="shared" si="118"/>
        <v/>
      </c>
      <c r="R703" s="150" t="str">
        <f t="shared" si="119"/>
        <v/>
      </c>
      <c r="S703" s="150" t="str">
        <f t="shared" si="120"/>
        <v/>
      </c>
      <c r="T703" s="150" t="str">
        <f t="shared" si="121"/>
        <v/>
      </c>
      <c r="U703" s="152"/>
      <c r="V703" s="143"/>
      <c r="W703" s="102"/>
      <c r="X703" s="102" t="str">
        <f t="shared" si="122"/>
        <v/>
      </c>
      <c r="Y703" s="102"/>
      <c r="Z703" s="102"/>
      <c r="AA703" s="102"/>
      <c r="AB703" s="102"/>
      <c r="AC703" s="102"/>
      <c r="AD703" s="102"/>
      <c r="AE703" s="102"/>
      <c r="AF703" s="102"/>
      <c r="AG703" s="102"/>
      <c r="AH703" s="102"/>
      <c r="AI703" s="102"/>
      <c r="AJ703" s="102"/>
      <c r="AK703" s="102"/>
      <c r="AL703" s="102"/>
      <c r="AM703" s="102"/>
    </row>
    <row r="704" spans="1:39">
      <c r="A704" s="143"/>
      <c r="B704" s="143"/>
      <c r="C704" s="155"/>
      <c r="D704" s="143"/>
      <c r="E704" s="146"/>
      <c r="F704" s="147"/>
      <c r="G704" s="147"/>
      <c r="H704" s="148"/>
      <c r="I704" s="143"/>
      <c r="J704" s="143"/>
      <c r="K704" s="149"/>
      <c r="L704" s="150" t="str">
        <f t="shared" si="113"/>
        <v/>
      </c>
      <c r="M704" s="150" t="str">
        <f t="shared" si="114"/>
        <v/>
      </c>
      <c r="N704" s="151" t="str">
        <f t="shared" si="115"/>
        <v/>
      </c>
      <c r="O704" s="151" t="str">
        <f t="shared" si="116"/>
        <v/>
      </c>
      <c r="P704" s="151" t="str">
        <f t="shared" si="117"/>
        <v/>
      </c>
      <c r="Q704" s="151" t="str">
        <f t="shared" si="118"/>
        <v/>
      </c>
      <c r="R704" s="150" t="str">
        <f t="shared" si="119"/>
        <v/>
      </c>
      <c r="S704" s="150" t="str">
        <f t="shared" si="120"/>
        <v/>
      </c>
      <c r="T704" s="150" t="str">
        <f t="shared" si="121"/>
        <v/>
      </c>
      <c r="U704" s="152"/>
      <c r="V704" s="143"/>
      <c r="W704" s="102"/>
      <c r="X704" s="102" t="str">
        <f t="shared" si="122"/>
        <v/>
      </c>
      <c r="Y704" s="102"/>
      <c r="Z704" s="102"/>
      <c r="AA704" s="102"/>
      <c r="AB704" s="102"/>
      <c r="AC704" s="102"/>
      <c r="AD704" s="102"/>
      <c r="AE704" s="102"/>
      <c r="AF704" s="102"/>
      <c r="AG704" s="102"/>
      <c r="AH704" s="102"/>
      <c r="AI704" s="102"/>
      <c r="AJ704" s="102"/>
      <c r="AK704" s="102"/>
      <c r="AL704" s="102"/>
      <c r="AM704" s="102"/>
    </row>
    <row r="705" spans="1:39">
      <c r="A705" s="143"/>
      <c r="B705" s="143"/>
      <c r="C705" s="155"/>
      <c r="D705" s="143"/>
      <c r="E705" s="146"/>
      <c r="F705" s="147"/>
      <c r="G705" s="147"/>
      <c r="H705" s="148"/>
      <c r="I705" s="143"/>
      <c r="J705" s="143"/>
      <c r="K705" s="149"/>
      <c r="L705" s="150" t="str">
        <f t="shared" si="113"/>
        <v/>
      </c>
      <c r="M705" s="150" t="str">
        <f t="shared" si="114"/>
        <v/>
      </c>
      <c r="N705" s="151" t="str">
        <f t="shared" si="115"/>
        <v/>
      </c>
      <c r="O705" s="151" t="str">
        <f t="shared" si="116"/>
        <v/>
      </c>
      <c r="P705" s="151" t="str">
        <f t="shared" si="117"/>
        <v/>
      </c>
      <c r="Q705" s="151" t="str">
        <f t="shared" si="118"/>
        <v/>
      </c>
      <c r="R705" s="150" t="str">
        <f t="shared" si="119"/>
        <v/>
      </c>
      <c r="S705" s="150" t="str">
        <f t="shared" si="120"/>
        <v/>
      </c>
      <c r="T705" s="150" t="str">
        <f t="shared" si="121"/>
        <v/>
      </c>
      <c r="U705" s="152"/>
      <c r="V705" s="143"/>
      <c r="W705" s="102"/>
      <c r="X705" s="102" t="str">
        <f t="shared" si="122"/>
        <v/>
      </c>
      <c r="Y705" s="102"/>
      <c r="Z705" s="102"/>
      <c r="AA705" s="102"/>
      <c r="AB705" s="102"/>
      <c r="AC705" s="102"/>
      <c r="AD705" s="102"/>
      <c r="AE705" s="102"/>
      <c r="AF705" s="102"/>
      <c r="AG705" s="102"/>
      <c r="AH705" s="102"/>
      <c r="AI705" s="102"/>
      <c r="AJ705" s="102"/>
      <c r="AK705" s="102"/>
      <c r="AL705" s="102"/>
      <c r="AM705" s="102"/>
    </row>
    <row r="706" spans="1:39">
      <c r="A706" s="143"/>
      <c r="B706" s="143"/>
      <c r="C706" s="155"/>
      <c r="D706" s="143"/>
      <c r="E706" s="146"/>
      <c r="F706" s="147"/>
      <c r="G706" s="147"/>
      <c r="H706" s="148"/>
      <c r="I706" s="143"/>
      <c r="J706" s="143"/>
      <c r="K706" s="149"/>
      <c r="L706" s="150" t="str">
        <f t="shared" si="113"/>
        <v/>
      </c>
      <c r="M706" s="150" t="str">
        <f t="shared" si="114"/>
        <v/>
      </c>
      <c r="N706" s="151" t="str">
        <f t="shared" si="115"/>
        <v/>
      </c>
      <c r="O706" s="151" t="str">
        <f t="shared" si="116"/>
        <v/>
      </c>
      <c r="P706" s="151" t="str">
        <f t="shared" si="117"/>
        <v/>
      </c>
      <c r="Q706" s="151" t="str">
        <f t="shared" si="118"/>
        <v/>
      </c>
      <c r="R706" s="150" t="str">
        <f t="shared" si="119"/>
        <v/>
      </c>
      <c r="S706" s="150" t="str">
        <f t="shared" si="120"/>
        <v/>
      </c>
      <c r="T706" s="150" t="str">
        <f t="shared" si="121"/>
        <v/>
      </c>
      <c r="U706" s="152"/>
      <c r="V706" s="143"/>
      <c r="W706" s="102"/>
      <c r="X706" s="102" t="str">
        <f t="shared" si="122"/>
        <v/>
      </c>
      <c r="Y706" s="102"/>
      <c r="Z706" s="102"/>
      <c r="AA706" s="102"/>
      <c r="AB706" s="102"/>
      <c r="AC706" s="102"/>
      <c r="AD706" s="102"/>
      <c r="AE706" s="102"/>
      <c r="AF706" s="102"/>
      <c r="AG706" s="102"/>
      <c r="AH706" s="102"/>
      <c r="AI706" s="102"/>
      <c r="AJ706" s="102"/>
      <c r="AK706" s="102"/>
      <c r="AL706" s="102"/>
      <c r="AM706" s="102"/>
    </row>
    <row r="707" spans="1:39">
      <c r="A707" s="143"/>
      <c r="B707" s="143"/>
      <c r="C707" s="155"/>
      <c r="D707" s="143"/>
      <c r="E707" s="146"/>
      <c r="F707" s="147"/>
      <c r="G707" s="147"/>
      <c r="H707" s="148"/>
      <c r="I707" s="143"/>
      <c r="J707" s="143"/>
      <c r="K707" s="149"/>
      <c r="L707" s="150" t="str">
        <f t="shared" si="113"/>
        <v/>
      </c>
      <c r="M707" s="150" t="str">
        <f t="shared" si="114"/>
        <v/>
      </c>
      <c r="N707" s="151" t="str">
        <f t="shared" si="115"/>
        <v/>
      </c>
      <c r="O707" s="151" t="str">
        <f t="shared" si="116"/>
        <v/>
      </c>
      <c r="P707" s="151" t="str">
        <f t="shared" si="117"/>
        <v/>
      </c>
      <c r="Q707" s="151" t="str">
        <f t="shared" si="118"/>
        <v/>
      </c>
      <c r="R707" s="150" t="str">
        <f t="shared" si="119"/>
        <v/>
      </c>
      <c r="S707" s="150" t="str">
        <f t="shared" si="120"/>
        <v/>
      </c>
      <c r="T707" s="150" t="str">
        <f t="shared" si="121"/>
        <v/>
      </c>
      <c r="U707" s="152"/>
      <c r="V707" s="143"/>
      <c r="W707" s="102"/>
      <c r="X707" s="102" t="str">
        <f t="shared" si="122"/>
        <v/>
      </c>
      <c r="Y707" s="102"/>
      <c r="Z707" s="102"/>
      <c r="AA707" s="102"/>
      <c r="AB707" s="102"/>
      <c r="AC707" s="102"/>
      <c r="AD707" s="102"/>
      <c r="AE707" s="102"/>
      <c r="AF707" s="102"/>
      <c r="AG707" s="102"/>
      <c r="AH707" s="102"/>
      <c r="AI707" s="102"/>
      <c r="AJ707" s="102"/>
      <c r="AK707" s="102"/>
      <c r="AL707" s="102"/>
      <c r="AM707" s="102"/>
    </row>
    <row r="708" spans="1:39">
      <c r="A708" s="143"/>
      <c r="B708" s="143"/>
      <c r="C708" s="155"/>
      <c r="D708" s="143"/>
      <c r="E708" s="146"/>
      <c r="F708" s="147"/>
      <c r="G708" s="147"/>
      <c r="H708" s="148"/>
      <c r="I708" s="143"/>
      <c r="J708" s="143"/>
      <c r="K708" s="149"/>
      <c r="L708" s="150" t="str">
        <f t="shared" si="113"/>
        <v/>
      </c>
      <c r="M708" s="150" t="str">
        <f t="shared" si="114"/>
        <v/>
      </c>
      <c r="N708" s="151" t="str">
        <f t="shared" si="115"/>
        <v/>
      </c>
      <c r="O708" s="151" t="str">
        <f t="shared" si="116"/>
        <v/>
      </c>
      <c r="P708" s="151" t="str">
        <f t="shared" si="117"/>
        <v/>
      </c>
      <c r="Q708" s="151" t="str">
        <f t="shared" si="118"/>
        <v/>
      </c>
      <c r="R708" s="150" t="str">
        <f t="shared" si="119"/>
        <v/>
      </c>
      <c r="S708" s="150" t="str">
        <f t="shared" si="120"/>
        <v/>
      </c>
      <c r="T708" s="150" t="str">
        <f t="shared" si="121"/>
        <v/>
      </c>
      <c r="U708" s="152"/>
      <c r="V708" s="143"/>
      <c r="W708" s="102"/>
      <c r="X708" s="102" t="str">
        <f t="shared" si="122"/>
        <v/>
      </c>
      <c r="Y708" s="102"/>
      <c r="Z708" s="102"/>
      <c r="AA708" s="102"/>
      <c r="AB708" s="102"/>
      <c r="AC708" s="102"/>
      <c r="AD708" s="102"/>
      <c r="AE708" s="102"/>
      <c r="AF708" s="102"/>
      <c r="AG708" s="102"/>
      <c r="AH708" s="102"/>
      <c r="AI708" s="102"/>
      <c r="AJ708" s="102"/>
      <c r="AK708" s="102"/>
      <c r="AL708" s="102"/>
      <c r="AM708" s="102"/>
    </row>
    <row r="709" spans="1:39">
      <c r="A709" s="143"/>
      <c r="B709" s="143"/>
      <c r="C709" s="155"/>
      <c r="D709" s="143"/>
      <c r="E709" s="146"/>
      <c r="F709" s="147"/>
      <c r="G709" s="147"/>
      <c r="H709" s="148"/>
      <c r="I709" s="143"/>
      <c r="J709" s="143"/>
      <c r="K709" s="149"/>
      <c r="L709" s="150" t="str">
        <f t="shared" si="113"/>
        <v/>
      </c>
      <c r="M709" s="150" t="str">
        <f t="shared" si="114"/>
        <v/>
      </c>
      <c r="N709" s="151" t="str">
        <f t="shared" si="115"/>
        <v/>
      </c>
      <c r="O709" s="151" t="str">
        <f t="shared" si="116"/>
        <v/>
      </c>
      <c r="P709" s="151" t="str">
        <f t="shared" si="117"/>
        <v/>
      </c>
      <c r="Q709" s="151" t="str">
        <f t="shared" si="118"/>
        <v/>
      </c>
      <c r="R709" s="150" t="str">
        <f t="shared" si="119"/>
        <v/>
      </c>
      <c r="S709" s="150" t="str">
        <f t="shared" si="120"/>
        <v/>
      </c>
      <c r="T709" s="150" t="str">
        <f t="shared" si="121"/>
        <v/>
      </c>
      <c r="U709" s="152"/>
      <c r="V709" s="143"/>
      <c r="W709" s="102"/>
      <c r="X709" s="102" t="str">
        <f t="shared" si="122"/>
        <v/>
      </c>
      <c r="Y709" s="102"/>
      <c r="Z709" s="102"/>
      <c r="AA709" s="102"/>
      <c r="AB709" s="102"/>
      <c r="AC709" s="102"/>
      <c r="AD709" s="102"/>
      <c r="AE709" s="102"/>
      <c r="AF709" s="102"/>
      <c r="AG709" s="102"/>
      <c r="AH709" s="102"/>
      <c r="AI709" s="102"/>
      <c r="AJ709" s="102"/>
      <c r="AK709" s="102"/>
      <c r="AL709" s="102"/>
      <c r="AM709" s="102"/>
    </row>
    <row r="710" spans="1:39">
      <c r="A710" s="143"/>
      <c r="B710" s="143"/>
      <c r="C710" s="155"/>
      <c r="D710" s="143"/>
      <c r="E710" s="146"/>
      <c r="F710" s="147"/>
      <c r="G710" s="147"/>
      <c r="H710" s="148"/>
      <c r="I710" s="143"/>
      <c r="J710" s="143"/>
      <c r="K710" s="149"/>
      <c r="L710" s="150" t="str">
        <f t="shared" si="113"/>
        <v/>
      </c>
      <c r="M710" s="150" t="str">
        <f t="shared" si="114"/>
        <v/>
      </c>
      <c r="N710" s="151" t="str">
        <f t="shared" si="115"/>
        <v/>
      </c>
      <c r="O710" s="151" t="str">
        <f t="shared" si="116"/>
        <v/>
      </c>
      <c r="P710" s="151" t="str">
        <f t="shared" si="117"/>
        <v/>
      </c>
      <c r="Q710" s="151" t="str">
        <f t="shared" si="118"/>
        <v/>
      </c>
      <c r="R710" s="150" t="str">
        <f t="shared" si="119"/>
        <v/>
      </c>
      <c r="S710" s="150" t="str">
        <f t="shared" si="120"/>
        <v/>
      </c>
      <c r="T710" s="150" t="str">
        <f t="shared" si="121"/>
        <v/>
      </c>
      <c r="U710" s="152"/>
      <c r="V710" s="143"/>
      <c r="W710" s="102"/>
      <c r="X710" s="102" t="str">
        <f t="shared" si="122"/>
        <v/>
      </c>
      <c r="Y710" s="102"/>
      <c r="Z710" s="102"/>
      <c r="AA710" s="102"/>
      <c r="AB710" s="102"/>
      <c r="AC710" s="102"/>
      <c r="AD710" s="102"/>
      <c r="AE710" s="102"/>
      <c r="AF710" s="102"/>
      <c r="AG710" s="102"/>
      <c r="AH710" s="102"/>
      <c r="AI710" s="102"/>
      <c r="AJ710" s="102"/>
      <c r="AK710" s="102"/>
      <c r="AL710" s="102"/>
      <c r="AM710" s="102"/>
    </row>
    <row r="711" spans="1:39">
      <c r="A711" s="143"/>
      <c r="B711" s="143"/>
      <c r="C711" s="155"/>
      <c r="D711" s="143"/>
      <c r="E711" s="146"/>
      <c r="F711" s="147"/>
      <c r="G711" s="147"/>
      <c r="H711" s="148"/>
      <c r="I711" s="143"/>
      <c r="J711" s="143"/>
      <c r="K711" s="149"/>
      <c r="L711" s="150" t="str">
        <f t="shared" si="113"/>
        <v/>
      </c>
      <c r="M711" s="150" t="str">
        <f t="shared" si="114"/>
        <v/>
      </c>
      <c r="N711" s="151" t="str">
        <f t="shared" si="115"/>
        <v/>
      </c>
      <c r="O711" s="151" t="str">
        <f t="shared" si="116"/>
        <v/>
      </c>
      <c r="P711" s="151" t="str">
        <f t="shared" si="117"/>
        <v/>
      </c>
      <c r="Q711" s="151" t="str">
        <f t="shared" si="118"/>
        <v/>
      </c>
      <c r="R711" s="150" t="str">
        <f t="shared" si="119"/>
        <v/>
      </c>
      <c r="S711" s="150" t="str">
        <f t="shared" si="120"/>
        <v/>
      </c>
      <c r="T711" s="150" t="str">
        <f t="shared" si="121"/>
        <v/>
      </c>
      <c r="U711" s="152"/>
      <c r="V711" s="143"/>
      <c r="W711" s="102"/>
      <c r="X711" s="102" t="str">
        <f t="shared" si="122"/>
        <v/>
      </c>
      <c r="Y711" s="102"/>
      <c r="Z711" s="102"/>
      <c r="AA711" s="102"/>
      <c r="AB711" s="102"/>
      <c r="AC711" s="102"/>
      <c r="AD711" s="102"/>
      <c r="AE711" s="102"/>
      <c r="AF711" s="102"/>
      <c r="AG711" s="102"/>
      <c r="AH711" s="102"/>
      <c r="AI711" s="102"/>
      <c r="AJ711" s="102"/>
      <c r="AK711" s="102"/>
      <c r="AL711" s="102"/>
      <c r="AM711" s="102"/>
    </row>
    <row r="712" spans="1:39">
      <c r="A712" s="143"/>
      <c r="B712" s="143"/>
      <c r="C712" s="155"/>
      <c r="D712" s="143"/>
      <c r="E712" s="146"/>
      <c r="F712" s="147"/>
      <c r="G712" s="147"/>
      <c r="H712" s="148"/>
      <c r="I712" s="143"/>
      <c r="J712" s="143"/>
      <c r="K712" s="149"/>
      <c r="L712" s="150" t="str">
        <f t="shared" si="113"/>
        <v/>
      </c>
      <c r="M712" s="150" t="str">
        <f t="shared" si="114"/>
        <v/>
      </c>
      <c r="N712" s="151" t="str">
        <f t="shared" si="115"/>
        <v/>
      </c>
      <c r="O712" s="151" t="str">
        <f t="shared" si="116"/>
        <v/>
      </c>
      <c r="P712" s="151" t="str">
        <f t="shared" si="117"/>
        <v/>
      </c>
      <c r="Q712" s="151" t="str">
        <f t="shared" si="118"/>
        <v/>
      </c>
      <c r="R712" s="150" t="str">
        <f t="shared" si="119"/>
        <v/>
      </c>
      <c r="S712" s="150" t="str">
        <f t="shared" si="120"/>
        <v/>
      </c>
      <c r="T712" s="150" t="str">
        <f t="shared" si="121"/>
        <v/>
      </c>
      <c r="U712" s="152"/>
      <c r="V712" s="143"/>
      <c r="W712" s="102"/>
      <c r="X712" s="102" t="str">
        <f t="shared" si="122"/>
        <v/>
      </c>
      <c r="Y712" s="102"/>
      <c r="Z712" s="102"/>
      <c r="AA712" s="102"/>
      <c r="AB712" s="102"/>
      <c r="AC712" s="102"/>
      <c r="AD712" s="102"/>
      <c r="AE712" s="102"/>
      <c r="AF712" s="102"/>
      <c r="AG712" s="102"/>
      <c r="AH712" s="102"/>
      <c r="AI712" s="102"/>
      <c r="AJ712" s="102"/>
      <c r="AK712" s="102"/>
      <c r="AL712" s="102"/>
      <c r="AM712" s="102"/>
    </row>
    <row r="713" spans="1:39">
      <c r="A713" s="143"/>
      <c r="B713" s="143"/>
      <c r="C713" s="155"/>
      <c r="D713" s="143"/>
      <c r="E713" s="146"/>
      <c r="F713" s="147"/>
      <c r="G713" s="147"/>
      <c r="H713" s="148"/>
      <c r="I713" s="143"/>
      <c r="J713" s="143"/>
      <c r="K713" s="149"/>
      <c r="L713" s="150" t="str">
        <f t="shared" si="113"/>
        <v/>
      </c>
      <c r="M713" s="150" t="str">
        <f t="shared" si="114"/>
        <v/>
      </c>
      <c r="N713" s="151" t="str">
        <f t="shared" si="115"/>
        <v/>
      </c>
      <c r="O713" s="151" t="str">
        <f t="shared" si="116"/>
        <v/>
      </c>
      <c r="P713" s="151" t="str">
        <f t="shared" si="117"/>
        <v/>
      </c>
      <c r="Q713" s="151" t="str">
        <f t="shared" si="118"/>
        <v/>
      </c>
      <c r="R713" s="150" t="str">
        <f t="shared" si="119"/>
        <v/>
      </c>
      <c r="S713" s="150" t="str">
        <f t="shared" si="120"/>
        <v/>
      </c>
      <c r="T713" s="150" t="str">
        <f t="shared" si="121"/>
        <v/>
      </c>
      <c r="U713" s="152"/>
      <c r="V713" s="143"/>
      <c r="W713" s="102"/>
      <c r="X713" s="102" t="str">
        <f t="shared" si="122"/>
        <v/>
      </c>
      <c r="Y713" s="102"/>
      <c r="Z713" s="102"/>
      <c r="AA713" s="102"/>
      <c r="AB713" s="102"/>
      <c r="AC713" s="102"/>
      <c r="AD713" s="102"/>
      <c r="AE713" s="102"/>
      <c r="AF713" s="102"/>
      <c r="AG713" s="102"/>
      <c r="AH713" s="102"/>
      <c r="AI713" s="102"/>
      <c r="AJ713" s="102"/>
      <c r="AK713" s="102"/>
      <c r="AL713" s="102"/>
      <c r="AM713" s="102"/>
    </row>
    <row r="714" spans="1:39">
      <c r="A714" s="143"/>
      <c r="B714" s="143"/>
      <c r="C714" s="155"/>
      <c r="D714" s="143"/>
      <c r="E714" s="146"/>
      <c r="F714" s="147"/>
      <c r="G714" s="147"/>
      <c r="H714" s="148"/>
      <c r="I714" s="143"/>
      <c r="J714" s="143"/>
      <c r="K714" s="149"/>
      <c r="L714" s="150" t="str">
        <f t="shared" ref="L714:L777" si="123">IF(K714="","",IF(K714="W",R714*J714-J714,IF(K714="L",-J714,0)))</f>
        <v/>
      </c>
      <c r="M714" s="150" t="str">
        <f t="shared" ref="M714:M777" si="124">IF(K714="","",IF(K714="W",S714*J714-J714,IF(K714="L",-J714,0)))</f>
        <v/>
      </c>
      <c r="N714" s="151" t="str">
        <f t="shared" ref="N714:N777" si="125">IFERROR((1/S714-1/R714)/(1/R714),"")</f>
        <v/>
      </c>
      <c r="O714" s="151" t="str">
        <f t="shared" ref="O714:O777" si="126">IFERROR(IF(Q714="","",P714 - Q714),"")</f>
        <v/>
      </c>
      <c r="P714" s="151" t="str">
        <f t="shared" ref="P714:P777" si="127">IF(F714="","",IF(F714 &lt; 0, -F714 / (-F714 + 100), 100 / (F714 + 100)))</f>
        <v/>
      </c>
      <c r="Q714" s="151" t="str">
        <f t="shared" ref="Q714:Q777" si="128">IFERROR((1/S714) / ((1/S714) + (1/T714)),"")</f>
        <v/>
      </c>
      <c r="R714" s="150" t="str">
        <f t="shared" ref="R714:R777" si="129">IFERROR(IF(G714&gt;0, G714/100 + 1, 100/ABS(G714) + 1),"")</f>
        <v/>
      </c>
      <c r="S714" s="150" t="str">
        <f t="shared" ref="S714:S777" si="130">IFERROR(IF(H714&gt;0, H714/100 + 1, 100/ABS(H714) + 1),"")</f>
        <v/>
      </c>
      <c r="T714" s="150" t="str">
        <f t="shared" ref="T714:T777" si="131">IFERROR(IF(I714&gt;0, I714/100 + 1, 100/ABS(I714) + 1),"")</f>
        <v/>
      </c>
      <c r="U714" s="152"/>
      <c r="V714" s="143"/>
      <c r="W714" s="102"/>
      <c r="X714" s="102" t="str">
        <f t="shared" ref="X714:X777" si="132">IF(B714=$D$3,U714,"")</f>
        <v/>
      </c>
      <c r="Y714" s="102"/>
      <c r="Z714" s="102"/>
      <c r="AA714" s="102"/>
      <c r="AB714" s="102"/>
      <c r="AC714" s="102"/>
      <c r="AD714" s="102"/>
      <c r="AE714" s="102"/>
      <c r="AF714" s="102"/>
      <c r="AG714" s="102"/>
      <c r="AH714" s="102"/>
      <c r="AI714" s="102"/>
      <c r="AJ714" s="102"/>
      <c r="AK714" s="102"/>
      <c r="AL714" s="102"/>
      <c r="AM714" s="102"/>
    </row>
    <row r="715" spans="1:39">
      <c r="A715" s="143"/>
      <c r="B715" s="143"/>
      <c r="C715" s="155"/>
      <c r="D715" s="143"/>
      <c r="E715" s="146"/>
      <c r="F715" s="147"/>
      <c r="G715" s="147"/>
      <c r="H715" s="148"/>
      <c r="I715" s="143"/>
      <c r="J715" s="143"/>
      <c r="K715" s="149"/>
      <c r="L715" s="150" t="str">
        <f t="shared" si="123"/>
        <v/>
      </c>
      <c r="M715" s="150" t="str">
        <f t="shared" si="124"/>
        <v/>
      </c>
      <c r="N715" s="151" t="str">
        <f t="shared" si="125"/>
        <v/>
      </c>
      <c r="O715" s="151" t="str">
        <f t="shared" si="126"/>
        <v/>
      </c>
      <c r="P715" s="151" t="str">
        <f t="shared" si="127"/>
        <v/>
      </c>
      <c r="Q715" s="151" t="str">
        <f t="shared" si="128"/>
        <v/>
      </c>
      <c r="R715" s="150" t="str">
        <f t="shared" si="129"/>
        <v/>
      </c>
      <c r="S715" s="150" t="str">
        <f t="shared" si="130"/>
        <v/>
      </c>
      <c r="T715" s="150" t="str">
        <f t="shared" si="131"/>
        <v/>
      </c>
      <c r="U715" s="152"/>
      <c r="V715" s="143"/>
      <c r="W715" s="102"/>
      <c r="X715" s="102" t="str">
        <f t="shared" si="132"/>
        <v/>
      </c>
      <c r="Y715" s="102"/>
      <c r="Z715" s="102"/>
      <c r="AA715" s="102"/>
      <c r="AB715" s="102"/>
      <c r="AC715" s="102"/>
      <c r="AD715" s="102"/>
      <c r="AE715" s="102"/>
      <c r="AF715" s="102"/>
      <c r="AG715" s="102"/>
      <c r="AH715" s="102"/>
      <c r="AI715" s="102"/>
      <c r="AJ715" s="102"/>
      <c r="AK715" s="102"/>
      <c r="AL715" s="102"/>
      <c r="AM715" s="102"/>
    </row>
    <row r="716" spans="1:39">
      <c r="A716" s="143"/>
      <c r="B716" s="143"/>
      <c r="C716" s="155"/>
      <c r="D716" s="143"/>
      <c r="E716" s="146"/>
      <c r="F716" s="147"/>
      <c r="G716" s="147"/>
      <c r="H716" s="148"/>
      <c r="I716" s="143"/>
      <c r="J716" s="143"/>
      <c r="K716" s="149"/>
      <c r="L716" s="150" t="str">
        <f t="shared" si="123"/>
        <v/>
      </c>
      <c r="M716" s="150" t="str">
        <f t="shared" si="124"/>
        <v/>
      </c>
      <c r="N716" s="151" t="str">
        <f t="shared" si="125"/>
        <v/>
      </c>
      <c r="O716" s="151" t="str">
        <f t="shared" si="126"/>
        <v/>
      </c>
      <c r="P716" s="151" t="str">
        <f t="shared" si="127"/>
        <v/>
      </c>
      <c r="Q716" s="151" t="str">
        <f t="shared" si="128"/>
        <v/>
      </c>
      <c r="R716" s="150" t="str">
        <f t="shared" si="129"/>
        <v/>
      </c>
      <c r="S716" s="150" t="str">
        <f t="shared" si="130"/>
        <v/>
      </c>
      <c r="T716" s="150" t="str">
        <f t="shared" si="131"/>
        <v/>
      </c>
      <c r="U716" s="152"/>
      <c r="V716" s="143"/>
      <c r="W716" s="102"/>
      <c r="X716" s="102" t="str">
        <f t="shared" si="132"/>
        <v/>
      </c>
      <c r="Y716" s="102"/>
      <c r="Z716" s="102"/>
      <c r="AA716" s="102"/>
      <c r="AB716" s="102"/>
      <c r="AC716" s="102"/>
      <c r="AD716" s="102"/>
      <c r="AE716" s="102"/>
      <c r="AF716" s="102"/>
      <c r="AG716" s="102"/>
      <c r="AH716" s="102"/>
      <c r="AI716" s="102"/>
      <c r="AJ716" s="102"/>
      <c r="AK716" s="102"/>
      <c r="AL716" s="102"/>
      <c r="AM716" s="102"/>
    </row>
    <row r="717" spans="1:39">
      <c r="A717" s="143"/>
      <c r="B717" s="143"/>
      <c r="C717" s="155"/>
      <c r="D717" s="143"/>
      <c r="E717" s="146"/>
      <c r="F717" s="147"/>
      <c r="G717" s="147"/>
      <c r="H717" s="148"/>
      <c r="I717" s="143"/>
      <c r="J717" s="143"/>
      <c r="K717" s="149"/>
      <c r="L717" s="150" t="str">
        <f t="shared" si="123"/>
        <v/>
      </c>
      <c r="M717" s="150" t="str">
        <f t="shared" si="124"/>
        <v/>
      </c>
      <c r="N717" s="151" t="str">
        <f t="shared" si="125"/>
        <v/>
      </c>
      <c r="O717" s="151" t="str">
        <f t="shared" si="126"/>
        <v/>
      </c>
      <c r="P717" s="151" t="str">
        <f t="shared" si="127"/>
        <v/>
      </c>
      <c r="Q717" s="151" t="str">
        <f t="shared" si="128"/>
        <v/>
      </c>
      <c r="R717" s="150" t="str">
        <f t="shared" si="129"/>
        <v/>
      </c>
      <c r="S717" s="150" t="str">
        <f t="shared" si="130"/>
        <v/>
      </c>
      <c r="T717" s="150" t="str">
        <f t="shared" si="131"/>
        <v/>
      </c>
      <c r="U717" s="152"/>
      <c r="V717" s="143"/>
      <c r="W717" s="102"/>
      <c r="X717" s="102" t="str">
        <f t="shared" si="132"/>
        <v/>
      </c>
      <c r="Y717" s="102"/>
      <c r="Z717" s="102"/>
      <c r="AA717" s="102"/>
      <c r="AB717" s="102"/>
      <c r="AC717" s="102"/>
      <c r="AD717" s="102"/>
      <c r="AE717" s="102"/>
      <c r="AF717" s="102"/>
      <c r="AG717" s="102"/>
      <c r="AH717" s="102"/>
      <c r="AI717" s="102"/>
      <c r="AJ717" s="102"/>
      <c r="AK717" s="102"/>
      <c r="AL717" s="102"/>
      <c r="AM717" s="102"/>
    </row>
    <row r="718" spans="1:39">
      <c r="A718" s="143"/>
      <c r="B718" s="143"/>
      <c r="C718" s="155"/>
      <c r="D718" s="143"/>
      <c r="E718" s="146"/>
      <c r="F718" s="147"/>
      <c r="G718" s="147"/>
      <c r="H718" s="148"/>
      <c r="I718" s="143"/>
      <c r="J718" s="143"/>
      <c r="K718" s="149"/>
      <c r="L718" s="150" t="str">
        <f t="shared" si="123"/>
        <v/>
      </c>
      <c r="M718" s="150" t="str">
        <f t="shared" si="124"/>
        <v/>
      </c>
      <c r="N718" s="151" t="str">
        <f t="shared" si="125"/>
        <v/>
      </c>
      <c r="O718" s="151" t="str">
        <f t="shared" si="126"/>
        <v/>
      </c>
      <c r="P718" s="151" t="str">
        <f t="shared" si="127"/>
        <v/>
      </c>
      <c r="Q718" s="151" t="str">
        <f t="shared" si="128"/>
        <v/>
      </c>
      <c r="R718" s="150" t="str">
        <f t="shared" si="129"/>
        <v/>
      </c>
      <c r="S718" s="150" t="str">
        <f t="shared" si="130"/>
        <v/>
      </c>
      <c r="T718" s="150" t="str">
        <f t="shared" si="131"/>
        <v/>
      </c>
      <c r="U718" s="152"/>
      <c r="V718" s="143"/>
      <c r="W718" s="102"/>
      <c r="X718" s="102" t="str">
        <f t="shared" si="132"/>
        <v/>
      </c>
      <c r="Y718" s="102"/>
      <c r="Z718" s="102"/>
      <c r="AA718" s="102"/>
      <c r="AB718" s="102"/>
      <c r="AC718" s="102"/>
      <c r="AD718" s="102"/>
      <c r="AE718" s="102"/>
      <c r="AF718" s="102"/>
      <c r="AG718" s="102"/>
      <c r="AH718" s="102"/>
      <c r="AI718" s="102"/>
      <c r="AJ718" s="102"/>
      <c r="AK718" s="102"/>
      <c r="AL718" s="102"/>
      <c r="AM718" s="102"/>
    </row>
    <row r="719" spans="1:39">
      <c r="A719" s="143"/>
      <c r="B719" s="143"/>
      <c r="C719" s="155"/>
      <c r="D719" s="143"/>
      <c r="E719" s="146"/>
      <c r="F719" s="147"/>
      <c r="G719" s="147"/>
      <c r="H719" s="148"/>
      <c r="I719" s="143"/>
      <c r="J719" s="143"/>
      <c r="K719" s="149"/>
      <c r="L719" s="150" t="str">
        <f t="shared" si="123"/>
        <v/>
      </c>
      <c r="M719" s="150" t="str">
        <f t="shared" si="124"/>
        <v/>
      </c>
      <c r="N719" s="151" t="str">
        <f t="shared" si="125"/>
        <v/>
      </c>
      <c r="O719" s="151" t="str">
        <f t="shared" si="126"/>
        <v/>
      </c>
      <c r="P719" s="151" t="str">
        <f t="shared" si="127"/>
        <v/>
      </c>
      <c r="Q719" s="151" t="str">
        <f t="shared" si="128"/>
        <v/>
      </c>
      <c r="R719" s="150" t="str">
        <f t="shared" si="129"/>
        <v/>
      </c>
      <c r="S719" s="150" t="str">
        <f t="shared" si="130"/>
        <v/>
      </c>
      <c r="T719" s="150" t="str">
        <f t="shared" si="131"/>
        <v/>
      </c>
      <c r="U719" s="152"/>
      <c r="V719" s="143"/>
      <c r="W719" s="102"/>
      <c r="X719" s="102" t="str">
        <f t="shared" si="132"/>
        <v/>
      </c>
      <c r="Y719" s="102"/>
      <c r="Z719" s="102"/>
      <c r="AA719" s="102"/>
      <c r="AB719" s="102"/>
      <c r="AC719" s="102"/>
      <c r="AD719" s="102"/>
      <c r="AE719" s="102"/>
      <c r="AF719" s="102"/>
      <c r="AG719" s="102"/>
      <c r="AH719" s="102"/>
      <c r="AI719" s="102"/>
      <c r="AJ719" s="102"/>
      <c r="AK719" s="102"/>
      <c r="AL719" s="102"/>
      <c r="AM719" s="102"/>
    </row>
    <row r="720" spans="1:39">
      <c r="A720" s="143"/>
      <c r="B720" s="143"/>
      <c r="C720" s="155"/>
      <c r="D720" s="143"/>
      <c r="E720" s="146"/>
      <c r="F720" s="147"/>
      <c r="G720" s="147"/>
      <c r="H720" s="148"/>
      <c r="I720" s="143"/>
      <c r="J720" s="143"/>
      <c r="K720" s="149"/>
      <c r="L720" s="150" t="str">
        <f t="shared" si="123"/>
        <v/>
      </c>
      <c r="M720" s="150" t="str">
        <f t="shared" si="124"/>
        <v/>
      </c>
      <c r="N720" s="151" t="str">
        <f t="shared" si="125"/>
        <v/>
      </c>
      <c r="O720" s="151" t="str">
        <f t="shared" si="126"/>
        <v/>
      </c>
      <c r="P720" s="151" t="str">
        <f t="shared" si="127"/>
        <v/>
      </c>
      <c r="Q720" s="151" t="str">
        <f t="shared" si="128"/>
        <v/>
      </c>
      <c r="R720" s="150" t="str">
        <f t="shared" si="129"/>
        <v/>
      </c>
      <c r="S720" s="150" t="str">
        <f t="shared" si="130"/>
        <v/>
      </c>
      <c r="T720" s="150" t="str">
        <f t="shared" si="131"/>
        <v/>
      </c>
      <c r="U720" s="152"/>
      <c r="V720" s="143"/>
      <c r="W720" s="102"/>
      <c r="X720" s="102" t="str">
        <f t="shared" si="132"/>
        <v/>
      </c>
      <c r="Y720" s="102"/>
      <c r="Z720" s="102"/>
      <c r="AA720" s="102"/>
      <c r="AB720" s="102"/>
      <c r="AC720" s="102"/>
      <c r="AD720" s="102"/>
      <c r="AE720" s="102"/>
      <c r="AF720" s="102"/>
      <c r="AG720" s="102"/>
      <c r="AH720" s="102"/>
      <c r="AI720" s="102"/>
      <c r="AJ720" s="102"/>
      <c r="AK720" s="102"/>
      <c r="AL720" s="102"/>
      <c r="AM720" s="102"/>
    </row>
    <row r="721" spans="1:39">
      <c r="A721" s="143"/>
      <c r="B721" s="143"/>
      <c r="C721" s="155"/>
      <c r="D721" s="143"/>
      <c r="E721" s="146"/>
      <c r="F721" s="147"/>
      <c r="G721" s="147"/>
      <c r="H721" s="148"/>
      <c r="I721" s="143"/>
      <c r="J721" s="143"/>
      <c r="K721" s="149"/>
      <c r="L721" s="150" t="str">
        <f t="shared" si="123"/>
        <v/>
      </c>
      <c r="M721" s="150" t="str">
        <f t="shared" si="124"/>
        <v/>
      </c>
      <c r="N721" s="151" t="str">
        <f t="shared" si="125"/>
        <v/>
      </c>
      <c r="O721" s="151" t="str">
        <f t="shared" si="126"/>
        <v/>
      </c>
      <c r="P721" s="151" t="str">
        <f t="shared" si="127"/>
        <v/>
      </c>
      <c r="Q721" s="151" t="str">
        <f t="shared" si="128"/>
        <v/>
      </c>
      <c r="R721" s="150" t="str">
        <f t="shared" si="129"/>
        <v/>
      </c>
      <c r="S721" s="150" t="str">
        <f t="shared" si="130"/>
        <v/>
      </c>
      <c r="T721" s="150" t="str">
        <f t="shared" si="131"/>
        <v/>
      </c>
      <c r="U721" s="152"/>
      <c r="V721" s="143"/>
      <c r="W721" s="102"/>
      <c r="X721" s="102" t="str">
        <f t="shared" si="132"/>
        <v/>
      </c>
      <c r="Y721" s="102"/>
      <c r="Z721" s="102"/>
      <c r="AA721" s="102"/>
      <c r="AB721" s="102"/>
      <c r="AC721" s="102"/>
      <c r="AD721" s="102"/>
      <c r="AE721" s="102"/>
      <c r="AF721" s="102"/>
      <c r="AG721" s="102"/>
      <c r="AH721" s="102"/>
      <c r="AI721" s="102"/>
      <c r="AJ721" s="102"/>
      <c r="AK721" s="102"/>
      <c r="AL721" s="102"/>
      <c r="AM721" s="102"/>
    </row>
    <row r="722" spans="1:39">
      <c r="A722" s="143"/>
      <c r="B722" s="143"/>
      <c r="C722" s="155"/>
      <c r="D722" s="143"/>
      <c r="E722" s="146"/>
      <c r="F722" s="147"/>
      <c r="G722" s="147"/>
      <c r="H722" s="148"/>
      <c r="I722" s="143"/>
      <c r="J722" s="143"/>
      <c r="K722" s="149"/>
      <c r="L722" s="150" t="str">
        <f t="shared" si="123"/>
        <v/>
      </c>
      <c r="M722" s="150" t="str">
        <f t="shared" si="124"/>
        <v/>
      </c>
      <c r="N722" s="151" t="str">
        <f t="shared" si="125"/>
        <v/>
      </c>
      <c r="O722" s="151" t="str">
        <f t="shared" si="126"/>
        <v/>
      </c>
      <c r="P722" s="151" t="str">
        <f t="shared" si="127"/>
        <v/>
      </c>
      <c r="Q722" s="151" t="str">
        <f t="shared" si="128"/>
        <v/>
      </c>
      <c r="R722" s="150" t="str">
        <f t="shared" si="129"/>
        <v/>
      </c>
      <c r="S722" s="150" t="str">
        <f t="shared" si="130"/>
        <v/>
      </c>
      <c r="T722" s="150" t="str">
        <f t="shared" si="131"/>
        <v/>
      </c>
      <c r="U722" s="152"/>
      <c r="V722" s="143"/>
      <c r="W722" s="102"/>
      <c r="X722" s="102" t="str">
        <f t="shared" si="132"/>
        <v/>
      </c>
      <c r="Y722" s="102"/>
      <c r="Z722" s="102"/>
      <c r="AA722" s="102"/>
      <c r="AB722" s="102"/>
      <c r="AC722" s="102"/>
      <c r="AD722" s="102"/>
      <c r="AE722" s="102"/>
      <c r="AF722" s="102"/>
      <c r="AG722" s="102"/>
      <c r="AH722" s="102"/>
      <c r="AI722" s="102"/>
      <c r="AJ722" s="102"/>
      <c r="AK722" s="102"/>
      <c r="AL722" s="102"/>
      <c r="AM722" s="102"/>
    </row>
    <row r="723" spans="1:39">
      <c r="A723" s="143"/>
      <c r="B723" s="143"/>
      <c r="C723" s="155"/>
      <c r="D723" s="143"/>
      <c r="E723" s="146"/>
      <c r="F723" s="147"/>
      <c r="G723" s="147"/>
      <c r="H723" s="148"/>
      <c r="I723" s="143"/>
      <c r="J723" s="143"/>
      <c r="K723" s="149"/>
      <c r="L723" s="150" t="str">
        <f t="shared" si="123"/>
        <v/>
      </c>
      <c r="M723" s="150" t="str">
        <f t="shared" si="124"/>
        <v/>
      </c>
      <c r="N723" s="151" t="str">
        <f t="shared" si="125"/>
        <v/>
      </c>
      <c r="O723" s="151" t="str">
        <f t="shared" si="126"/>
        <v/>
      </c>
      <c r="P723" s="151" t="str">
        <f t="shared" si="127"/>
        <v/>
      </c>
      <c r="Q723" s="151" t="str">
        <f t="shared" si="128"/>
        <v/>
      </c>
      <c r="R723" s="150" t="str">
        <f t="shared" si="129"/>
        <v/>
      </c>
      <c r="S723" s="150" t="str">
        <f t="shared" si="130"/>
        <v/>
      </c>
      <c r="T723" s="150" t="str">
        <f t="shared" si="131"/>
        <v/>
      </c>
      <c r="U723" s="152"/>
      <c r="V723" s="143"/>
      <c r="W723" s="102"/>
      <c r="X723" s="102" t="str">
        <f t="shared" si="132"/>
        <v/>
      </c>
      <c r="Y723" s="102"/>
      <c r="Z723" s="102"/>
      <c r="AA723" s="102"/>
      <c r="AB723" s="102"/>
      <c r="AC723" s="102"/>
      <c r="AD723" s="102"/>
      <c r="AE723" s="102"/>
      <c r="AF723" s="102"/>
      <c r="AG723" s="102"/>
      <c r="AH723" s="102"/>
      <c r="AI723" s="102"/>
      <c r="AJ723" s="102"/>
      <c r="AK723" s="102"/>
      <c r="AL723" s="102"/>
      <c r="AM723" s="102"/>
    </row>
    <row r="724" spans="1:39">
      <c r="A724" s="143"/>
      <c r="B724" s="143"/>
      <c r="C724" s="155"/>
      <c r="D724" s="143"/>
      <c r="E724" s="146"/>
      <c r="F724" s="147"/>
      <c r="G724" s="147"/>
      <c r="H724" s="148"/>
      <c r="I724" s="143"/>
      <c r="J724" s="143"/>
      <c r="K724" s="149"/>
      <c r="L724" s="150" t="str">
        <f t="shared" si="123"/>
        <v/>
      </c>
      <c r="M724" s="150" t="str">
        <f t="shared" si="124"/>
        <v/>
      </c>
      <c r="N724" s="151" t="str">
        <f t="shared" si="125"/>
        <v/>
      </c>
      <c r="O724" s="151" t="str">
        <f t="shared" si="126"/>
        <v/>
      </c>
      <c r="P724" s="151" t="str">
        <f t="shared" si="127"/>
        <v/>
      </c>
      <c r="Q724" s="151" t="str">
        <f t="shared" si="128"/>
        <v/>
      </c>
      <c r="R724" s="150" t="str">
        <f t="shared" si="129"/>
        <v/>
      </c>
      <c r="S724" s="150" t="str">
        <f t="shared" si="130"/>
        <v/>
      </c>
      <c r="T724" s="150" t="str">
        <f t="shared" si="131"/>
        <v/>
      </c>
      <c r="U724" s="152"/>
      <c r="V724" s="143"/>
      <c r="W724" s="102"/>
      <c r="X724" s="102" t="str">
        <f t="shared" si="132"/>
        <v/>
      </c>
      <c r="Y724" s="102"/>
      <c r="Z724" s="102"/>
      <c r="AA724" s="102"/>
      <c r="AB724" s="102"/>
      <c r="AC724" s="102"/>
      <c r="AD724" s="102"/>
      <c r="AE724" s="102"/>
      <c r="AF724" s="102"/>
      <c r="AG724" s="102"/>
      <c r="AH724" s="102"/>
      <c r="AI724" s="102"/>
      <c r="AJ724" s="102"/>
      <c r="AK724" s="102"/>
      <c r="AL724" s="102"/>
      <c r="AM724" s="102"/>
    </row>
    <row r="725" spans="1:39">
      <c r="A725" s="143"/>
      <c r="B725" s="143"/>
      <c r="C725" s="155"/>
      <c r="D725" s="143"/>
      <c r="E725" s="146"/>
      <c r="F725" s="147"/>
      <c r="G725" s="147"/>
      <c r="H725" s="148"/>
      <c r="I725" s="143"/>
      <c r="J725" s="143"/>
      <c r="K725" s="149"/>
      <c r="L725" s="150" t="str">
        <f t="shared" si="123"/>
        <v/>
      </c>
      <c r="M725" s="150" t="str">
        <f t="shared" si="124"/>
        <v/>
      </c>
      <c r="N725" s="151" t="str">
        <f t="shared" si="125"/>
        <v/>
      </c>
      <c r="O725" s="151" t="str">
        <f t="shared" si="126"/>
        <v/>
      </c>
      <c r="P725" s="151" t="str">
        <f t="shared" si="127"/>
        <v/>
      </c>
      <c r="Q725" s="151" t="str">
        <f t="shared" si="128"/>
        <v/>
      </c>
      <c r="R725" s="150" t="str">
        <f t="shared" si="129"/>
        <v/>
      </c>
      <c r="S725" s="150" t="str">
        <f t="shared" si="130"/>
        <v/>
      </c>
      <c r="T725" s="150" t="str">
        <f t="shared" si="131"/>
        <v/>
      </c>
      <c r="U725" s="152"/>
      <c r="V725" s="143"/>
      <c r="W725" s="102"/>
      <c r="X725" s="102" t="str">
        <f t="shared" si="132"/>
        <v/>
      </c>
      <c r="Y725" s="102"/>
      <c r="Z725" s="102"/>
      <c r="AA725" s="102"/>
      <c r="AB725" s="102"/>
      <c r="AC725" s="102"/>
      <c r="AD725" s="102"/>
      <c r="AE725" s="102"/>
      <c r="AF725" s="102"/>
      <c r="AG725" s="102"/>
      <c r="AH725" s="102"/>
      <c r="AI725" s="102"/>
      <c r="AJ725" s="102"/>
      <c r="AK725" s="102"/>
      <c r="AL725" s="102"/>
      <c r="AM725" s="102"/>
    </row>
    <row r="726" spans="1:39">
      <c r="A726" s="143"/>
      <c r="B726" s="143"/>
      <c r="C726" s="155"/>
      <c r="D726" s="143"/>
      <c r="E726" s="146"/>
      <c r="F726" s="147"/>
      <c r="G726" s="147"/>
      <c r="H726" s="148"/>
      <c r="I726" s="143"/>
      <c r="J726" s="143"/>
      <c r="K726" s="149"/>
      <c r="L726" s="150" t="str">
        <f t="shared" si="123"/>
        <v/>
      </c>
      <c r="M726" s="150" t="str">
        <f t="shared" si="124"/>
        <v/>
      </c>
      <c r="N726" s="151" t="str">
        <f t="shared" si="125"/>
        <v/>
      </c>
      <c r="O726" s="151" t="str">
        <f t="shared" si="126"/>
        <v/>
      </c>
      <c r="P726" s="151" t="str">
        <f t="shared" si="127"/>
        <v/>
      </c>
      <c r="Q726" s="151" t="str">
        <f t="shared" si="128"/>
        <v/>
      </c>
      <c r="R726" s="150" t="str">
        <f t="shared" si="129"/>
        <v/>
      </c>
      <c r="S726" s="150" t="str">
        <f t="shared" si="130"/>
        <v/>
      </c>
      <c r="T726" s="150" t="str">
        <f t="shared" si="131"/>
        <v/>
      </c>
      <c r="U726" s="152"/>
      <c r="V726" s="143"/>
      <c r="W726" s="102"/>
      <c r="X726" s="102" t="str">
        <f t="shared" si="132"/>
        <v/>
      </c>
      <c r="Y726" s="102"/>
      <c r="Z726" s="102"/>
      <c r="AA726" s="102"/>
      <c r="AB726" s="102"/>
      <c r="AC726" s="102"/>
      <c r="AD726" s="102"/>
      <c r="AE726" s="102"/>
      <c r="AF726" s="102"/>
      <c r="AG726" s="102"/>
      <c r="AH726" s="102"/>
      <c r="AI726" s="102"/>
      <c r="AJ726" s="102"/>
      <c r="AK726" s="102"/>
      <c r="AL726" s="102"/>
      <c r="AM726" s="102"/>
    </row>
    <row r="727" spans="1:39">
      <c r="A727" s="143"/>
      <c r="B727" s="143"/>
      <c r="C727" s="155"/>
      <c r="D727" s="143"/>
      <c r="E727" s="146"/>
      <c r="F727" s="147"/>
      <c r="G727" s="147"/>
      <c r="H727" s="148"/>
      <c r="I727" s="143"/>
      <c r="J727" s="143"/>
      <c r="K727" s="149"/>
      <c r="L727" s="150" t="str">
        <f t="shared" si="123"/>
        <v/>
      </c>
      <c r="M727" s="150" t="str">
        <f t="shared" si="124"/>
        <v/>
      </c>
      <c r="N727" s="151" t="str">
        <f t="shared" si="125"/>
        <v/>
      </c>
      <c r="O727" s="151" t="str">
        <f t="shared" si="126"/>
        <v/>
      </c>
      <c r="P727" s="151" t="str">
        <f t="shared" si="127"/>
        <v/>
      </c>
      <c r="Q727" s="151" t="str">
        <f t="shared" si="128"/>
        <v/>
      </c>
      <c r="R727" s="150" t="str">
        <f t="shared" si="129"/>
        <v/>
      </c>
      <c r="S727" s="150" t="str">
        <f t="shared" si="130"/>
        <v/>
      </c>
      <c r="T727" s="150" t="str">
        <f t="shared" si="131"/>
        <v/>
      </c>
      <c r="U727" s="152"/>
      <c r="V727" s="143"/>
      <c r="W727" s="102"/>
      <c r="X727" s="102" t="str">
        <f t="shared" si="132"/>
        <v/>
      </c>
      <c r="Y727" s="102"/>
      <c r="Z727" s="102"/>
      <c r="AA727" s="102"/>
      <c r="AB727" s="102"/>
      <c r="AC727" s="102"/>
      <c r="AD727" s="102"/>
      <c r="AE727" s="102"/>
      <c r="AF727" s="102"/>
      <c r="AG727" s="102"/>
      <c r="AH727" s="102"/>
      <c r="AI727" s="102"/>
      <c r="AJ727" s="102"/>
      <c r="AK727" s="102"/>
      <c r="AL727" s="102"/>
      <c r="AM727" s="102"/>
    </row>
    <row r="728" spans="1:39">
      <c r="A728" s="143"/>
      <c r="B728" s="143"/>
      <c r="C728" s="155"/>
      <c r="D728" s="143"/>
      <c r="E728" s="146"/>
      <c r="F728" s="147"/>
      <c r="G728" s="147"/>
      <c r="H728" s="148"/>
      <c r="I728" s="143"/>
      <c r="J728" s="143"/>
      <c r="K728" s="149"/>
      <c r="L728" s="150" t="str">
        <f t="shared" si="123"/>
        <v/>
      </c>
      <c r="M728" s="150" t="str">
        <f t="shared" si="124"/>
        <v/>
      </c>
      <c r="N728" s="151" t="str">
        <f t="shared" si="125"/>
        <v/>
      </c>
      <c r="O728" s="151" t="str">
        <f t="shared" si="126"/>
        <v/>
      </c>
      <c r="P728" s="151" t="str">
        <f t="shared" si="127"/>
        <v/>
      </c>
      <c r="Q728" s="151" t="str">
        <f t="shared" si="128"/>
        <v/>
      </c>
      <c r="R728" s="150" t="str">
        <f t="shared" si="129"/>
        <v/>
      </c>
      <c r="S728" s="150" t="str">
        <f t="shared" si="130"/>
        <v/>
      </c>
      <c r="T728" s="150" t="str">
        <f t="shared" si="131"/>
        <v/>
      </c>
      <c r="U728" s="152"/>
      <c r="V728" s="143"/>
      <c r="W728" s="102"/>
      <c r="X728" s="102" t="str">
        <f t="shared" si="132"/>
        <v/>
      </c>
      <c r="Y728" s="102"/>
      <c r="Z728" s="102"/>
      <c r="AA728" s="102"/>
      <c r="AB728" s="102"/>
      <c r="AC728" s="102"/>
      <c r="AD728" s="102"/>
      <c r="AE728" s="102"/>
      <c r="AF728" s="102"/>
      <c r="AG728" s="102"/>
      <c r="AH728" s="102"/>
      <c r="AI728" s="102"/>
      <c r="AJ728" s="102"/>
      <c r="AK728" s="102"/>
      <c r="AL728" s="102"/>
      <c r="AM728" s="102"/>
    </row>
    <row r="729" spans="1:39">
      <c r="A729" s="143"/>
      <c r="B729" s="143"/>
      <c r="C729" s="155"/>
      <c r="D729" s="143"/>
      <c r="E729" s="146"/>
      <c r="F729" s="147"/>
      <c r="G729" s="147"/>
      <c r="H729" s="148"/>
      <c r="I729" s="143"/>
      <c r="J729" s="143"/>
      <c r="K729" s="149"/>
      <c r="L729" s="150" t="str">
        <f t="shared" si="123"/>
        <v/>
      </c>
      <c r="M729" s="150" t="str">
        <f t="shared" si="124"/>
        <v/>
      </c>
      <c r="N729" s="151" t="str">
        <f t="shared" si="125"/>
        <v/>
      </c>
      <c r="O729" s="151" t="str">
        <f t="shared" si="126"/>
        <v/>
      </c>
      <c r="P729" s="151" t="str">
        <f t="shared" si="127"/>
        <v/>
      </c>
      <c r="Q729" s="151" t="str">
        <f t="shared" si="128"/>
        <v/>
      </c>
      <c r="R729" s="150" t="str">
        <f t="shared" si="129"/>
        <v/>
      </c>
      <c r="S729" s="150" t="str">
        <f t="shared" si="130"/>
        <v/>
      </c>
      <c r="T729" s="150" t="str">
        <f t="shared" si="131"/>
        <v/>
      </c>
      <c r="U729" s="152"/>
      <c r="V729" s="143"/>
      <c r="W729" s="102"/>
      <c r="X729" s="102" t="str">
        <f t="shared" si="132"/>
        <v/>
      </c>
      <c r="Y729" s="102"/>
      <c r="Z729" s="102"/>
      <c r="AA729" s="102"/>
      <c r="AB729" s="102"/>
      <c r="AC729" s="102"/>
      <c r="AD729" s="102"/>
      <c r="AE729" s="102"/>
      <c r="AF729" s="102"/>
      <c r="AG729" s="102"/>
      <c r="AH729" s="102"/>
      <c r="AI729" s="102"/>
      <c r="AJ729" s="102"/>
      <c r="AK729" s="102"/>
      <c r="AL729" s="102"/>
      <c r="AM729" s="102"/>
    </row>
    <row r="730" spans="1:39">
      <c r="A730" s="143"/>
      <c r="B730" s="143"/>
      <c r="C730" s="155"/>
      <c r="D730" s="143"/>
      <c r="E730" s="146"/>
      <c r="F730" s="147"/>
      <c r="G730" s="147"/>
      <c r="H730" s="148"/>
      <c r="I730" s="143"/>
      <c r="J730" s="143"/>
      <c r="K730" s="149"/>
      <c r="L730" s="150" t="str">
        <f t="shared" si="123"/>
        <v/>
      </c>
      <c r="M730" s="150" t="str">
        <f t="shared" si="124"/>
        <v/>
      </c>
      <c r="N730" s="151" t="str">
        <f t="shared" si="125"/>
        <v/>
      </c>
      <c r="O730" s="151" t="str">
        <f t="shared" si="126"/>
        <v/>
      </c>
      <c r="P730" s="151" t="str">
        <f t="shared" si="127"/>
        <v/>
      </c>
      <c r="Q730" s="151" t="str">
        <f t="shared" si="128"/>
        <v/>
      </c>
      <c r="R730" s="150" t="str">
        <f t="shared" si="129"/>
        <v/>
      </c>
      <c r="S730" s="150" t="str">
        <f t="shared" si="130"/>
        <v/>
      </c>
      <c r="T730" s="150" t="str">
        <f t="shared" si="131"/>
        <v/>
      </c>
      <c r="U730" s="152"/>
      <c r="V730" s="143"/>
      <c r="W730" s="102"/>
      <c r="X730" s="102" t="str">
        <f t="shared" si="132"/>
        <v/>
      </c>
      <c r="Y730" s="102"/>
      <c r="Z730" s="102"/>
      <c r="AA730" s="102"/>
      <c r="AB730" s="102"/>
      <c r="AC730" s="102"/>
      <c r="AD730" s="102"/>
      <c r="AE730" s="102"/>
      <c r="AF730" s="102"/>
      <c r="AG730" s="102"/>
      <c r="AH730" s="102"/>
      <c r="AI730" s="102"/>
      <c r="AJ730" s="102"/>
      <c r="AK730" s="102"/>
      <c r="AL730" s="102"/>
      <c r="AM730" s="102"/>
    </row>
    <row r="731" spans="1:39">
      <c r="A731" s="143"/>
      <c r="B731" s="143"/>
      <c r="C731" s="155"/>
      <c r="D731" s="143"/>
      <c r="E731" s="146"/>
      <c r="F731" s="147"/>
      <c r="G731" s="147"/>
      <c r="H731" s="148"/>
      <c r="I731" s="143"/>
      <c r="J731" s="143"/>
      <c r="K731" s="149"/>
      <c r="L731" s="150" t="str">
        <f t="shared" si="123"/>
        <v/>
      </c>
      <c r="M731" s="150" t="str">
        <f t="shared" si="124"/>
        <v/>
      </c>
      <c r="N731" s="151" t="str">
        <f t="shared" si="125"/>
        <v/>
      </c>
      <c r="O731" s="151" t="str">
        <f t="shared" si="126"/>
        <v/>
      </c>
      <c r="P731" s="151" t="str">
        <f t="shared" si="127"/>
        <v/>
      </c>
      <c r="Q731" s="151" t="str">
        <f t="shared" si="128"/>
        <v/>
      </c>
      <c r="R731" s="150" t="str">
        <f t="shared" si="129"/>
        <v/>
      </c>
      <c r="S731" s="150" t="str">
        <f t="shared" si="130"/>
        <v/>
      </c>
      <c r="T731" s="150" t="str">
        <f t="shared" si="131"/>
        <v/>
      </c>
      <c r="U731" s="152"/>
      <c r="V731" s="143"/>
      <c r="W731" s="102"/>
      <c r="X731" s="102" t="str">
        <f t="shared" si="132"/>
        <v/>
      </c>
      <c r="Y731" s="102"/>
      <c r="Z731" s="102"/>
      <c r="AA731" s="102"/>
      <c r="AB731" s="102"/>
      <c r="AC731" s="102"/>
      <c r="AD731" s="102"/>
      <c r="AE731" s="102"/>
      <c r="AF731" s="102"/>
      <c r="AG731" s="102"/>
      <c r="AH731" s="102"/>
      <c r="AI731" s="102"/>
      <c r="AJ731" s="102"/>
      <c r="AK731" s="102"/>
      <c r="AL731" s="102"/>
      <c r="AM731" s="102"/>
    </row>
    <row r="732" spans="1:39">
      <c r="A732" s="143"/>
      <c r="B732" s="143"/>
      <c r="C732" s="155"/>
      <c r="D732" s="143"/>
      <c r="E732" s="146"/>
      <c r="F732" s="147"/>
      <c r="G732" s="147"/>
      <c r="H732" s="148"/>
      <c r="I732" s="143"/>
      <c r="J732" s="143"/>
      <c r="K732" s="149"/>
      <c r="L732" s="150" t="str">
        <f t="shared" si="123"/>
        <v/>
      </c>
      <c r="M732" s="150" t="str">
        <f t="shared" si="124"/>
        <v/>
      </c>
      <c r="N732" s="151" t="str">
        <f t="shared" si="125"/>
        <v/>
      </c>
      <c r="O732" s="151" t="str">
        <f t="shared" si="126"/>
        <v/>
      </c>
      <c r="P732" s="151" t="str">
        <f t="shared" si="127"/>
        <v/>
      </c>
      <c r="Q732" s="151" t="str">
        <f t="shared" si="128"/>
        <v/>
      </c>
      <c r="R732" s="150" t="str">
        <f t="shared" si="129"/>
        <v/>
      </c>
      <c r="S732" s="150" t="str">
        <f t="shared" si="130"/>
        <v/>
      </c>
      <c r="T732" s="150" t="str">
        <f t="shared" si="131"/>
        <v/>
      </c>
      <c r="U732" s="152"/>
      <c r="V732" s="143"/>
      <c r="W732" s="102"/>
      <c r="X732" s="102" t="str">
        <f t="shared" si="132"/>
        <v/>
      </c>
      <c r="Y732" s="102"/>
      <c r="Z732" s="102"/>
      <c r="AA732" s="102"/>
      <c r="AB732" s="102"/>
      <c r="AC732" s="102"/>
      <c r="AD732" s="102"/>
      <c r="AE732" s="102"/>
      <c r="AF732" s="102"/>
      <c r="AG732" s="102"/>
      <c r="AH732" s="102"/>
      <c r="AI732" s="102"/>
      <c r="AJ732" s="102"/>
      <c r="AK732" s="102"/>
      <c r="AL732" s="102"/>
      <c r="AM732" s="102"/>
    </row>
    <row r="733" spans="1:39">
      <c r="A733" s="143"/>
      <c r="B733" s="143"/>
      <c r="C733" s="155"/>
      <c r="D733" s="143"/>
      <c r="E733" s="146"/>
      <c r="F733" s="147"/>
      <c r="G733" s="147"/>
      <c r="H733" s="148"/>
      <c r="I733" s="143"/>
      <c r="J733" s="143"/>
      <c r="K733" s="149"/>
      <c r="L733" s="150" t="str">
        <f t="shared" si="123"/>
        <v/>
      </c>
      <c r="M733" s="150" t="str">
        <f t="shared" si="124"/>
        <v/>
      </c>
      <c r="N733" s="151" t="str">
        <f t="shared" si="125"/>
        <v/>
      </c>
      <c r="O733" s="151" t="str">
        <f t="shared" si="126"/>
        <v/>
      </c>
      <c r="P733" s="151" t="str">
        <f t="shared" si="127"/>
        <v/>
      </c>
      <c r="Q733" s="151" t="str">
        <f t="shared" si="128"/>
        <v/>
      </c>
      <c r="R733" s="150" t="str">
        <f t="shared" si="129"/>
        <v/>
      </c>
      <c r="S733" s="150" t="str">
        <f t="shared" si="130"/>
        <v/>
      </c>
      <c r="T733" s="150" t="str">
        <f t="shared" si="131"/>
        <v/>
      </c>
      <c r="U733" s="152"/>
      <c r="V733" s="143"/>
      <c r="W733" s="102"/>
      <c r="X733" s="102" t="str">
        <f t="shared" si="132"/>
        <v/>
      </c>
      <c r="Y733" s="102"/>
      <c r="Z733" s="102"/>
      <c r="AA733" s="102"/>
      <c r="AB733" s="102"/>
      <c r="AC733" s="102"/>
      <c r="AD733" s="102"/>
      <c r="AE733" s="102"/>
      <c r="AF733" s="102"/>
      <c r="AG733" s="102"/>
      <c r="AH733" s="102"/>
      <c r="AI733" s="102"/>
      <c r="AJ733" s="102"/>
      <c r="AK733" s="102"/>
      <c r="AL733" s="102"/>
      <c r="AM733" s="102"/>
    </row>
    <row r="734" spans="1:39">
      <c r="A734" s="143"/>
      <c r="B734" s="143"/>
      <c r="C734" s="155"/>
      <c r="D734" s="143"/>
      <c r="E734" s="146"/>
      <c r="F734" s="147"/>
      <c r="G734" s="147"/>
      <c r="H734" s="148"/>
      <c r="I734" s="143"/>
      <c r="J734" s="143"/>
      <c r="K734" s="149"/>
      <c r="L734" s="150" t="str">
        <f t="shared" si="123"/>
        <v/>
      </c>
      <c r="M734" s="150" t="str">
        <f t="shared" si="124"/>
        <v/>
      </c>
      <c r="N734" s="151" t="str">
        <f t="shared" si="125"/>
        <v/>
      </c>
      <c r="O734" s="151" t="str">
        <f t="shared" si="126"/>
        <v/>
      </c>
      <c r="P734" s="151" t="str">
        <f t="shared" si="127"/>
        <v/>
      </c>
      <c r="Q734" s="151" t="str">
        <f t="shared" si="128"/>
        <v/>
      </c>
      <c r="R734" s="150" t="str">
        <f t="shared" si="129"/>
        <v/>
      </c>
      <c r="S734" s="150" t="str">
        <f t="shared" si="130"/>
        <v/>
      </c>
      <c r="T734" s="150" t="str">
        <f t="shared" si="131"/>
        <v/>
      </c>
      <c r="U734" s="152"/>
      <c r="V734" s="143"/>
      <c r="W734" s="102"/>
      <c r="X734" s="102" t="str">
        <f t="shared" si="132"/>
        <v/>
      </c>
      <c r="Y734" s="102"/>
      <c r="Z734" s="102"/>
      <c r="AA734" s="102"/>
      <c r="AB734" s="102"/>
      <c r="AC734" s="102"/>
      <c r="AD734" s="102"/>
      <c r="AE734" s="102"/>
      <c r="AF734" s="102"/>
      <c r="AG734" s="102"/>
      <c r="AH734" s="102"/>
      <c r="AI734" s="102"/>
      <c r="AJ734" s="102"/>
      <c r="AK734" s="102"/>
      <c r="AL734" s="102"/>
      <c r="AM734" s="102"/>
    </row>
    <row r="735" spans="1:39">
      <c r="A735" s="143"/>
      <c r="B735" s="143"/>
      <c r="C735" s="155"/>
      <c r="D735" s="143"/>
      <c r="E735" s="146"/>
      <c r="F735" s="147"/>
      <c r="G735" s="147"/>
      <c r="H735" s="148"/>
      <c r="I735" s="143"/>
      <c r="J735" s="143"/>
      <c r="K735" s="149"/>
      <c r="L735" s="150" t="str">
        <f t="shared" si="123"/>
        <v/>
      </c>
      <c r="M735" s="150" t="str">
        <f t="shared" si="124"/>
        <v/>
      </c>
      <c r="N735" s="151" t="str">
        <f t="shared" si="125"/>
        <v/>
      </c>
      <c r="O735" s="151" t="str">
        <f t="shared" si="126"/>
        <v/>
      </c>
      <c r="P735" s="151" t="str">
        <f t="shared" si="127"/>
        <v/>
      </c>
      <c r="Q735" s="151" t="str">
        <f t="shared" si="128"/>
        <v/>
      </c>
      <c r="R735" s="150" t="str">
        <f t="shared" si="129"/>
        <v/>
      </c>
      <c r="S735" s="150" t="str">
        <f t="shared" si="130"/>
        <v/>
      </c>
      <c r="T735" s="150" t="str">
        <f t="shared" si="131"/>
        <v/>
      </c>
      <c r="U735" s="152"/>
      <c r="V735" s="143"/>
      <c r="W735" s="102"/>
      <c r="X735" s="102" t="str">
        <f t="shared" si="132"/>
        <v/>
      </c>
      <c r="Y735" s="102"/>
      <c r="Z735" s="102"/>
      <c r="AA735" s="102"/>
      <c r="AB735" s="102"/>
      <c r="AC735" s="102"/>
      <c r="AD735" s="102"/>
      <c r="AE735" s="102"/>
      <c r="AF735" s="102"/>
      <c r="AG735" s="102"/>
      <c r="AH735" s="102"/>
      <c r="AI735" s="102"/>
      <c r="AJ735" s="102"/>
      <c r="AK735" s="102"/>
      <c r="AL735" s="102"/>
      <c r="AM735" s="102"/>
    </row>
    <row r="736" spans="1:39">
      <c r="A736" s="143"/>
      <c r="B736" s="143"/>
      <c r="C736" s="155"/>
      <c r="D736" s="143"/>
      <c r="E736" s="146"/>
      <c r="F736" s="147"/>
      <c r="G736" s="147"/>
      <c r="H736" s="148"/>
      <c r="I736" s="143"/>
      <c r="J736" s="143"/>
      <c r="K736" s="149"/>
      <c r="L736" s="150" t="str">
        <f t="shared" si="123"/>
        <v/>
      </c>
      <c r="M736" s="150" t="str">
        <f t="shared" si="124"/>
        <v/>
      </c>
      <c r="N736" s="151" t="str">
        <f t="shared" si="125"/>
        <v/>
      </c>
      <c r="O736" s="151" t="str">
        <f t="shared" si="126"/>
        <v/>
      </c>
      <c r="P736" s="151" t="str">
        <f t="shared" si="127"/>
        <v/>
      </c>
      <c r="Q736" s="151" t="str">
        <f t="shared" si="128"/>
        <v/>
      </c>
      <c r="R736" s="150" t="str">
        <f t="shared" si="129"/>
        <v/>
      </c>
      <c r="S736" s="150" t="str">
        <f t="shared" si="130"/>
        <v/>
      </c>
      <c r="T736" s="150" t="str">
        <f t="shared" si="131"/>
        <v/>
      </c>
      <c r="U736" s="152"/>
      <c r="V736" s="143"/>
      <c r="W736" s="102"/>
      <c r="X736" s="102" t="str">
        <f t="shared" si="132"/>
        <v/>
      </c>
      <c r="Y736" s="102"/>
      <c r="Z736" s="102"/>
      <c r="AA736" s="102"/>
      <c r="AB736" s="102"/>
      <c r="AC736" s="102"/>
      <c r="AD736" s="102"/>
      <c r="AE736" s="102"/>
      <c r="AF736" s="102"/>
      <c r="AG736" s="102"/>
      <c r="AH736" s="102"/>
      <c r="AI736" s="102"/>
      <c r="AJ736" s="102"/>
      <c r="AK736" s="102"/>
      <c r="AL736" s="102"/>
      <c r="AM736" s="102"/>
    </row>
    <row r="737" spans="1:39">
      <c r="A737" s="143"/>
      <c r="B737" s="143"/>
      <c r="C737" s="155"/>
      <c r="D737" s="143"/>
      <c r="E737" s="146"/>
      <c r="F737" s="147"/>
      <c r="G737" s="147"/>
      <c r="H737" s="148"/>
      <c r="I737" s="143"/>
      <c r="J737" s="143"/>
      <c r="K737" s="149"/>
      <c r="L737" s="150" t="str">
        <f t="shared" si="123"/>
        <v/>
      </c>
      <c r="M737" s="150" t="str">
        <f t="shared" si="124"/>
        <v/>
      </c>
      <c r="N737" s="151" t="str">
        <f t="shared" si="125"/>
        <v/>
      </c>
      <c r="O737" s="151" t="str">
        <f t="shared" si="126"/>
        <v/>
      </c>
      <c r="P737" s="151" t="str">
        <f t="shared" si="127"/>
        <v/>
      </c>
      <c r="Q737" s="151" t="str">
        <f t="shared" si="128"/>
        <v/>
      </c>
      <c r="R737" s="150" t="str">
        <f t="shared" si="129"/>
        <v/>
      </c>
      <c r="S737" s="150" t="str">
        <f t="shared" si="130"/>
        <v/>
      </c>
      <c r="T737" s="150" t="str">
        <f t="shared" si="131"/>
        <v/>
      </c>
      <c r="U737" s="152"/>
      <c r="V737" s="143"/>
      <c r="W737" s="102"/>
      <c r="X737" s="102" t="str">
        <f t="shared" si="132"/>
        <v/>
      </c>
      <c r="Y737" s="102"/>
      <c r="Z737" s="102"/>
      <c r="AA737" s="102"/>
      <c r="AB737" s="102"/>
      <c r="AC737" s="102"/>
      <c r="AD737" s="102"/>
      <c r="AE737" s="102"/>
      <c r="AF737" s="102"/>
      <c r="AG737" s="102"/>
      <c r="AH737" s="102"/>
      <c r="AI737" s="102"/>
      <c r="AJ737" s="102"/>
      <c r="AK737" s="102"/>
      <c r="AL737" s="102"/>
      <c r="AM737" s="102"/>
    </row>
    <row r="738" spans="1:39">
      <c r="A738" s="143"/>
      <c r="B738" s="143"/>
      <c r="C738" s="155"/>
      <c r="D738" s="143"/>
      <c r="E738" s="146"/>
      <c r="F738" s="147"/>
      <c r="G738" s="147"/>
      <c r="H738" s="148"/>
      <c r="I738" s="143"/>
      <c r="J738" s="143"/>
      <c r="K738" s="149"/>
      <c r="L738" s="150" t="str">
        <f t="shared" si="123"/>
        <v/>
      </c>
      <c r="M738" s="150" t="str">
        <f t="shared" si="124"/>
        <v/>
      </c>
      <c r="N738" s="151" t="str">
        <f t="shared" si="125"/>
        <v/>
      </c>
      <c r="O738" s="151" t="str">
        <f t="shared" si="126"/>
        <v/>
      </c>
      <c r="P738" s="151" t="str">
        <f t="shared" si="127"/>
        <v/>
      </c>
      <c r="Q738" s="151" t="str">
        <f t="shared" si="128"/>
        <v/>
      </c>
      <c r="R738" s="150" t="str">
        <f t="shared" si="129"/>
        <v/>
      </c>
      <c r="S738" s="150" t="str">
        <f t="shared" si="130"/>
        <v/>
      </c>
      <c r="T738" s="150" t="str">
        <f t="shared" si="131"/>
        <v/>
      </c>
      <c r="U738" s="152"/>
      <c r="V738" s="143"/>
      <c r="W738" s="102"/>
      <c r="X738" s="102" t="str">
        <f t="shared" si="132"/>
        <v/>
      </c>
      <c r="Y738" s="102"/>
      <c r="Z738" s="102"/>
      <c r="AA738" s="102"/>
      <c r="AB738" s="102"/>
      <c r="AC738" s="102"/>
      <c r="AD738" s="102"/>
      <c r="AE738" s="102"/>
      <c r="AF738" s="102"/>
      <c r="AG738" s="102"/>
      <c r="AH738" s="102"/>
      <c r="AI738" s="102"/>
      <c r="AJ738" s="102"/>
      <c r="AK738" s="102"/>
      <c r="AL738" s="102"/>
      <c r="AM738" s="102"/>
    </row>
    <row r="739" spans="1:39">
      <c r="A739" s="143"/>
      <c r="B739" s="143"/>
      <c r="C739" s="155"/>
      <c r="D739" s="143"/>
      <c r="E739" s="146"/>
      <c r="F739" s="147"/>
      <c r="G739" s="147"/>
      <c r="H739" s="148"/>
      <c r="I739" s="143"/>
      <c r="J739" s="143"/>
      <c r="K739" s="149"/>
      <c r="L739" s="150" t="str">
        <f t="shared" si="123"/>
        <v/>
      </c>
      <c r="M739" s="150" t="str">
        <f t="shared" si="124"/>
        <v/>
      </c>
      <c r="N739" s="151" t="str">
        <f t="shared" si="125"/>
        <v/>
      </c>
      <c r="O739" s="151" t="str">
        <f t="shared" si="126"/>
        <v/>
      </c>
      <c r="P739" s="151" t="str">
        <f t="shared" si="127"/>
        <v/>
      </c>
      <c r="Q739" s="151" t="str">
        <f t="shared" si="128"/>
        <v/>
      </c>
      <c r="R739" s="150" t="str">
        <f t="shared" si="129"/>
        <v/>
      </c>
      <c r="S739" s="150" t="str">
        <f t="shared" si="130"/>
        <v/>
      </c>
      <c r="T739" s="150" t="str">
        <f t="shared" si="131"/>
        <v/>
      </c>
      <c r="U739" s="152"/>
      <c r="V739" s="143"/>
      <c r="W739" s="102"/>
      <c r="X739" s="102" t="str">
        <f t="shared" si="132"/>
        <v/>
      </c>
      <c r="Y739" s="102"/>
      <c r="Z739" s="102"/>
      <c r="AA739" s="102"/>
      <c r="AB739" s="102"/>
      <c r="AC739" s="102"/>
      <c r="AD739" s="102"/>
      <c r="AE739" s="102"/>
      <c r="AF739" s="102"/>
      <c r="AG739" s="102"/>
      <c r="AH739" s="102"/>
      <c r="AI739" s="102"/>
      <c r="AJ739" s="102"/>
      <c r="AK739" s="102"/>
      <c r="AL739" s="102"/>
      <c r="AM739" s="102"/>
    </row>
    <row r="740" spans="1:39">
      <c r="A740" s="143"/>
      <c r="B740" s="143"/>
      <c r="C740" s="155"/>
      <c r="D740" s="143"/>
      <c r="E740" s="146"/>
      <c r="F740" s="147"/>
      <c r="G740" s="147"/>
      <c r="H740" s="148"/>
      <c r="I740" s="143"/>
      <c r="J740" s="143"/>
      <c r="K740" s="149"/>
      <c r="L740" s="150" t="str">
        <f t="shared" si="123"/>
        <v/>
      </c>
      <c r="M740" s="150" t="str">
        <f t="shared" si="124"/>
        <v/>
      </c>
      <c r="N740" s="151" t="str">
        <f t="shared" si="125"/>
        <v/>
      </c>
      <c r="O740" s="151" t="str">
        <f t="shared" si="126"/>
        <v/>
      </c>
      <c r="P740" s="151" t="str">
        <f t="shared" si="127"/>
        <v/>
      </c>
      <c r="Q740" s="151" t="str">
        <f t="shared" si="128"/>
        <v/>
      </c>
      <c r="R740" s="150" t="str">
        <f t="shared" si="129"/>
        <v/>
      </c>
      <c r="S740" s="150" t="str">
        <f t="shared" si="130"/>
        <v/>
      </c>
      <c r="T740" s="150" t="str">
        <f t="shared" si="131"/>
        <v/>
      </c>
      <c r="U740" s="152"/>
      <c r="V740" s="143"/>
      <c r="W740" s="102"/>
      <c r="X740" s="102" t="str">
        <f t="shared" si="132"/>
        <v/>
      </c>
      <c r="Y740" s="102"/>
      <c r="Z740" s="102"/>
      <c r="AA740" s="102"/>
      <c r="AB740" s="102"/>
      <c r="AC740" s="102"/>
      <c r="AD740" s="102"/>
      <c r="AE740" s="102"/>
      <c r="AF740" s="102"/>
      <c r="AG740" s="102"/>
      <c r="AH740" s="102"/>
      <c r="AI740" s="102"/>
      <c r="AJ740" s="102"/>
      <c r="AK740" s="102"/>
      <c r="AL740" s="102"/>
      <c r="AM740" s="102"/>
    </row>
    <row r="741" spans="1:39">
      <c r="A741" s="143"/>
      <c r="B741" s="143"/>
      <c r="C741" s="155"/>
      <c r="D741" s="143"/>
      <c r="E741" s="146"/>
      <c r="F741" s="147"/>
      <c r="G741" s="147"/>
      <c r="H741" s="148"/>
      <c r="I741" s="143"/>
      <c r="J741" s="143"/>
      <c r="K741" s="149"/>
      <c r="L741" s="150" t="str">
        <f t="shared" si="123"/>
        <v/>
      </c>
      <c r="M741" s="150" t="str">
        <f t="shared" si="124"/>
        <v/>
      </c>
      <c r="N741" s="151" t="str">
        <f t="shared" si="125"/>
        <v/>
      </c>
      <c r="O741" s="151" t="str">
        <f t="shared" si="126"/>
        <v/>
      </c>
      <c r="P741" s="151" t="str">
        <f t="shared" si="127"/>
        <v/>
      </c>
      <c r="Q741" s="151" t="str">
        <f t="shared" si="128"/>
        <v/>
      </c>
      <c r="R741" s="150" t="str">
        <f t="shared" si="129"/>
        <v/>
      </c>
      <c r="S741" s="150" t="str">
        <f t="shared" si="130"/>
        <v/>
      </c>
      <c r="T741" s="150" t="str">
        <f t="shared" si="131"/>
        <v/>
      </c>
      <c r="U741" s="152"/>
      <c r="V741" s="143"/>
      <c r="W741" s="102"/>
      <c r="X741" s="102" t="str">
        <f t="shared" si="132"/>
        <v/>
      </c>
      <c r="Y741" s="102"/>
      <c r="Z741" s="102"/>
      <c r="AA741" s="102"/>
      <c r="AB741" s="102"/>
      <c r="AC741" s="102"/>
      <c r="AD741" s="102"/>
      <c r="AE741" s="102"/>
      <c r="AF741" s="102"/>
      <c r="AG741" s="102"/>
      <c r="AH741" s="102"/>
      <c r="AI741" s="102"/>
      <c r="AJ741" s="102"/>
      <c r="AK741" s="102"/>
      <c r="AL741" s="102"/>
      <c r="AM741" s="102"/>
    </row>
    <row r="742" spans="1:39">
      <c r="A742" s="143"/>
      <c r="B742" s="143"/>
      <c r="C742" s="155"/>
      <c r="D742" s="143"/>
      <c r="E742" s="146"/>
      <c r="F742" s="147"/>
      <c r="G742" s="147"/>
      <c r="H742" s="148"/>
      <c r="I742" s="143"/>
      <c r="J742" s="143"/>
      <c r="K742" s="149"/>
      <c r="L742" s="150" t="str">
        <f t="shared" si="123"/>
        <v/>
      </c>
      <c r="M742" s="150" t="str">
        <f t="shared" si="124"/>
        <v/>
      </c>
      <c r="N742" s="151" t="str">
        <f t="shared" si="125"/>
        <v/>
      </c>
      <c r="O742" s="151" t="str">
        <f t="shared" si="126"/>
        <v/>
      </c>
      <c r="P742" s="151" t="str">
        <f t="shared" si="127"/>
        <v/>
      </c>
      <c r="Q742" s="151" t="str">
        <f t="shared" si="128"/>
        <v/>
      </c>
      <c r="R742" s="150" t="str">
        <f t="shared" si="129"/>
        <v/>
      </c>
      <c r="S742" s="150" t="str">
        <f t="shared" si="130"/>
        <v/>
      </c>
      <c r="T742" s="150" t="str">
        <f t="shared" si="131"/>
        <v/>
      </c>
      <c r="U742" s="152"/>
      <c r="V742" s="143"/>
      <c r="W742" s="102"/>
      <c r="X742" s="102" t="str">
        <f t="shared" si="132"/>
        <v/>
      </c>
      <c r="Y742" s="102"/>
      <c r="Z742" s="102"/>
      <c r="AA742" s="102"/>
      <c r="AB742" s="102"/>
      <c r="AC742" s="102"/>
      <c r="AD742" s="102"/>
      <c r="AE742" s="102"/>
      <c r="AF742" s="102"/>
      <c r="AG742" s="102"/>
      <c r="AH742" s="102"/>
      <c r="AI742" s="102"/>
      <c r="AJ742" s="102"/>
      <c r="AK742" s="102"/>
      <c r="AL742" s="102"/>
      <c r="AM742" s="102"/>
    </row>
    <row r="743" spans="1:39">
      <c r="A743" s="143"/>
      <c r="B743" s="143"/>
      <c r="C743" s="155"/>
      <c r="D743" s="143"/>
      <c r="E743" s="146"/>
      <c r="F743" s="147"/>
      <c r="G743" s="147"/>
      <c r="H743" s="148"/>
      <c r="I743" s="143"/>
      <c r="J743" s="143"/>
      <c r="K743" s="149"/>
      <c r="L743" s="150" t="str">
        <f t="shared" si="123"/>
        <v/>
      </c>
      <c r="M743" s="150" t="str">
        <f t="shared" si="124"/>
        <v/>
      </c>
      <c r="N743" s="151" t="str">
        <f t="shared" si="125"/>
        <v/>
      </c>
      <c r="O743" s="151" t="str">
        <f t="shared" si="126"/>
        <v/>
      </c>
      <c r="P743" s="151" t="str">
        <f t="shared" si="127"/>
        <v/>
      </c>
      <c r="Q743" s="151" t="str">
        <f t="shared" si="128"/>
        <v/>
      </c>
      <c r="R743" s="150" t="str">
        <f t="shared" si="129"/>
        <v/>
      </c>
      <c r="S743" s="150" t="str">
        <f t="shared" si="130"/>
        <v/>
      </c>
      <c r="T743" s="150" t="str">
        <f t="shared" si="131"/>
        <v/>
      </c>
      <c r="U743" s="152"/>
      <c r="V743" s="143"/>
      <c r="W743" s="102"/>
      <c r="X743" s="102" t="str">
        <f t="shared" si="132"/>
        <v/>
      </c>
      <c r="Y743" s="102"/>
      <c r="Z743" s="102"/>
      <c r="AA743" s="102"/>
      <c r="AB743" s="102"/>
      <c r="AC743" s="102"/>
      <c r="AD743" s="102"/>
      <c r="AE743" s="102"/>
      <c r="AF743" s="102"/>
      <c r="AG743" s="102"/>
      <c r="AH743" s="102"/>
      <c r="AI743" s="102"/>
      <c r="AJ743" s="102"/>
      <c r="AK743" s="102"/>
      <c r="AL743" s="102"/>
      <c r="AM743" s="102"/>
    </row>
    <row r="744" spans="1:39">
      <c r="A744" s="143"/>
      <c r="B744" s="143"/>
      <c r="C744" s="155"/>
      <c r="D744" s="143"/>
      <c r="E744" s="146"/>
      <c r="F744" s="147"/>
      <c r="G744" s="147"/>
      <c r="H744" s="148"/>
      <c r="I744" s="143"/>
      <c r="J744" s="143"/>
      <c r="K744" s="149"/>
      <c r="L744" s="150" t="str">
        <f t="shared" si="123"/>
        <v/>
      </c>
      <c r="M744" s="150" t="str">
        <f t="shared" si="124"/>
        <v/>
      </c>
      <c r="N744" s="151" t="str">
        <f t="shared" si="125"/>
        <v/>
      </c>
      <c r="O744" s="151" t="str">
        <f t="shared" si="126"/>
        <v/>
      </c>
      <c r="P744" s="151" t="str">
        <f t="shared" si="127"/>
        <v/>
      </c>
      <c r="Q744" s="151" t="str">
        <f t="shared" si="128"/>
        <v/>
      </c>
      <c r="R744" s="150" t="str">
        <f t="shared" si="129"/>
        <v/>
      </c>
      <c r="S744" s="150" t="str">
        <f t="shared" si="130"/>
        <v/>
      </c>
      <c r="T744" s="150" t="str">
        <f t="shared" si="131"/>
        <v/>
      </c>
      <c r="U744" s="152"/>
      <c r="V744" s="143"/>
      <c r="W744" s="102"/>
      <c r="X744" s="102" t="str">
        <f t="shared" si="132"/>
        <v/>
      </c>
      <c r="Y744" s="102"/>
      <c r="Z744" s="102"/>
      <c r="AA744" s="102"/>
      <c r="AB744" s="102"/>
      <c r="AC744" s="102"/>
      <c r="AD744" s="102"/>
      <c r="AE744" s="102"/>
      <c r="AF744" s="102"/>
      <c r="AG744" s="102"/>
      <c r="AH744" s="102"/>
      <c r="AI744" s="102"/>
      <c r="AJ744" s="102"/>
      <c r="AK744" s="102"/>
      <c r="AL744" s="102"/>
      <c r="AM744" s="102"/>
    </row>
    <row r="745" spans="1:39">
      <c r="A745" s="143"/>
      <c r="B745" s="143"/>
      <c r="C745" s="155"/>
      <c r="D745" s="143"/>
      <c r="E745" s="146"/>
      <c r="F745" s="147"/>
      <c r="G745" s="147"/>
      <c r="H745" s="148"/>
      <c r="I745" s="143"/>
      <c r="J745" s="143"/>
      <c r="K745" s="149"/>
      <c r="L745" s="150" t="str">
        <f t="shared" si="123"/>
        <v/>
      </c>
      <c r="M745" s="150" t="str">
        <f t="shared" si="124"/>
        <v/>
      </c>
      <c r="N745" s="151" t="str">
        <f t="shared" si="125"/>
        <v/>
      </c>
      <c r="O745" s="151" t="str">
        <f t="shared" si="126"/>
        <v/>
      </c>
      <c r="P745" s="151" t="str">
        <f t="shared" si="127"/>
        <v/>
      </c>
      <c r="Q745" s="151" t="str">
        <f t="shared" si="128"/>
        <v/>
      </c>
      <c r="R745" s="150" t="str">
        <f t="shared" si="129"/>
        <v/>
      </c>
      <c r="S745" s="150" t="str">
        <f t="shared" si="130"/>
        <v/>
      </c>
      <c r="T745" s="150" t="str">
        <f t="shared" si="131"/>
        <v/>
      </c>
      <c r="U745" s="152"/>
      <c r="V745" s="143"/>
      <c r="W745" s="102"/>
      <c r="X745" s="102" t="str">
        <f t="shared" si="132"/>
        <v/>
      </c>
      <c r="Y745" s="102"/>
      <c r="Z745" s="102"/>
      <c r="AA745" s="102"/>
      <c r="AB745" s="102"/>
      <c r="AC745" s="102"/>
      <c r="AD745" s="102"/>
      <c r="AE745" s="102"/>
      <c r="AF745" s="102"/>
      <c r="AG745" s="102"/>
      <c r="AH745" s="102"/>
      <c r="AI745" s="102"/>
      <c r="AJ745" s="102"/>
      <c r="AK745" s="102"/>
      <c r="AL745" s="102"/>
      <c r="AM745" s="102"/>
    </row>
    <row r="746" spans="1:39">
      <c r="A746" s="143"/>
      <c r="B746" s="143"/>
      <c r="C746" s="155"/>
      <c r="D746" s="143"/>
      <c r="E746" s="146"/>
      <c r="F746" s="147"/>
      <c r="G746" s="147"/>
      <c r="H746" s="148"/>
      <c r="I746" s="143"/>
      <c r="J746" s="143"/>
      <c r="K746" s="149"/>
      <c r="L746" s="150" t="str">
        <f t="shared" si="123"/>
        <v/>
      </c>
      <c r="M746" s="150" t="str">
        <f t="shared" si="124"/>
        <v/>
      </c>
      <c r="N746" s="151" t="str">
        <f t="shared" si="125"/>
        <v/>
      </c>
      <c r="O746" s="151" t="str">
        <f t="shared" si="126"/>
        <v/>
      </c>
      <c r="P746" s="151" t="str">
        <f t="shared" si="127"/>
        <v/>
      </c>
      <c r="Q746" s="151" t="str">
        <f t="shared" si="128"/>
        <v/>
      </c>
      <c r="R746" s="150" t="str">
        <f t="shared" si="129"/>
        <v/>
      </c>
      <c r="S746" s="150" t="str">
        <f t="shared" si="130"/>
        <v/>
      </c>
      <c r="T746" s="150" t="str">
        <f t="shared" si="131"/>
        <v/>
      </c>
      <c r="U746" s="152"/>
      <c r="V746" s="143"/>
      <c r="W746" s="102"/>
      <c r="X746" s="102" t="str">
        <f t="shared" si="132"/>
        <v/>
      </c>
      <c r="Y746" s="102"/>
      <c r="Z746" s="102"/>
      <c r="AA746" s="102"/>
      <c r="AB746" s="102"/>
      <c r="AC746" s="102"/>
      <c r="AD746" s="102"/>
      <c r="AE746" s="102"/>
      <c r="AF746" s="102"/>
      <c r="AG746" s="102"/>
      <c r="AH746" s="102"/>
      <c r="AI746" s="102"/>
      <c r="AJ746" s="102"/>
      <c r="AK746" s="102"/>
      <c r="AL746" s="102"/>
      <c r="AM746" s="102"/>
    </row>
    <row r="747" spans="1:39">
      <c r="A747" s="143"/>
      <c r="B747" s="143"/>
      <c r="C747" s="155"/>
      <c r="D747" s="143"/>
      <c r="E747" s="146"/>
      <c r="F747" s="147"/>
      <c r="G747" s="147"/>
      <c r="H747" s="148"/>
      <c r="I747" s="143"/>
      <c r="J747" s="143"/>
      <c r="K747" s="149"/>
      <c r="L747" s="150" t="str">
        <f t="shared" si="123"/>
        <v/>
      </c>
      <c r="M747" s="150" t="str">
        <f t="shared" si="124"/>
        <v/>
      </c>
      <c r="N747" s="151" t="str">
        <f t="shared" si="125"/>
        <v/>
      </c>
      <c r="O747" s="151" t="str">
        <f t="shared" si="126"/>
        <v/>
      </c>
      <c r="P747" s="151" t="str">
        <f t="shared" si="127"/>
        <v/>
      </c>
      <c r="Q747" s="151" t="str">
        <f t="shared" si="128"/>
        <v/>
      </c>
      <c r="R747" s="150" t="str">
        <f t="shared" si="129"/>
        <v/>
      </c>
      <c r="S747" s="150" t="str">
        <f t="shared" si="130"/>
        <v/>
      </c>
      <c r="T747" s="150" t="str">
        <f t="shared" si="131"/>
        <v/>
      </c>
      <c r="U747" s="152"/>
      <c r="V747" s="143"/>
      <c r="W747" s="102"/>
      <c r="X747" s="102" t="str">
        <f t="shared" si="132"/>
        <v/>
      </c>
      <c r="Y747" s="102"/>
      <c r="Z747" s="102"/>
      <c r="AA747" s="102"/>
      <c r="AB747" s="102"/>
      <c r="AC747" s="102"/>
      <c r="AD747" s="102"/>
      <c r="AE747" s="102"/>
      <c r="AF747" s="102"/>
      <c r="AG747" s="102"/>
      <c r="AH747" s="102"/>
      <c r="AI747" s="102"/>
      <c r="AJ747" s="102"/>
      <c r="AK747" s="102"/>
      <c r="AL747" s="102"/>
      <c r="AM747" s="102"/>
    </row>
    <row r="748" spans="1:39">
      <c r="A748" s="143"/>
      <c r="B748" s="143"/>
      <c r="C748" s="155"/>
      <c r="D748" s="143"/>
      <c r="E748" s="146"/>
      <c r="F748" s="147"/>
      <c r="G748" s="147"/>
      <c r="H748" s="148"/>
      <c r="I748" s="143"/>
      <c r="J748" s="143"/>
      <c r="K748" s="149"/>
      <c r="L748" s="150" t="str">
        <f t="shared" si="123"/>
        <v/>
      </c>
      <c r="M748" s="150" t="str">
        <f t="shared" si="124"/>
        <v/>
      </c>
      <c r="N748" s="151" t="str">
        <f t="shared" si="125"/>
        <v/>
      </c>
      <c r="O748" s="151" t="str">
        <f t="shared" si="126"/>
        <v/>
      </c>
      <c r="P748" s="151" t="str">
        <f t="shared" si="127"/>
        <v/>
      </c>
      <c r="Q748" s="151" t="str">
        <f t="shared" si="128"/>
        <v/>
      </c>
      <c r="R748" s="150" t="str">
        <f t="shared" si="129"/>
        <v/>
      </c>
      <c r="S748" s="150" t="str">
        <f t="shared" si="130"/>
        <v/>
      </c>
      <c r="T748" s="150" t="str">
        <f t="shared" si="131"/>
        <v/>
      </c>
      <c r="U748" s="152"/>
      <c r="V748" s="143"/>
      <c r="W748" s="102"/>
      <c r="X748" s="102" t="str">
        <f t="shared" si="132"/>
        <v/>
      </c>
      <c r="Y748" s="102"/>
      <c r="Z748" s="102"/>
      <c r="AA748" s="102"/>
      <c r="AB748" s="102"/>
      <c r="AC748" s="102"/>
      <c r="AD748" s="102"/>
      <c r="AE748" s="102"/>
      <c r="AF748" s="102"/>
      <c r="AG748" s="102"/>
      <c r="AH748" s="102"/>
      <c r="AI748" s="102"/>
      <c r="AJ748" s="102"/>
      <c r="AK748" s="102"/>
      <c r="AL748" s="102"/>
      <c r="AM748" s="102"/>
    </row>
    <row r="749" spans="1:39">
      <c r="A749" s="143"/>
      <c r="B749" s="143"/>
      <c r="C749" s="155"/>
      <c r="D749" s="143"/>
      <c r="E749" s="146"/>
      <c r="F749" s="147"/>
      <c r="G749" s="147"/>
      <c r="H749" s="148"/>
      <c r="I749" s="143"/>
      <c r="J749" s="143"/>
      <c r="K749" s="149"/>
      <c r="L749" s="150" t="str">
        <f t="shared" si="123"/>
        <v/>
      </c>
      <c r="M749" s="150" t="str">
        <f t="shared" si="124"/>
        <v/>
      </c>
      <c r="N749" s="151" t="str">
        <f t="shared" si="125"/>
        <v/>
      </c>
      <c r="O749" s="151" t="str">
        <f t="shared" si="126"/>
        <v/>
      </c>
      <c r="P749" s="151" t="str">
        <f t="shared" si="127"/>
        <v/>
      </c>
      <c r="Q749" s="151" t="str">
        <f t="shared" si="128"/>
        <v/>
      </c>
      <c r="R749" s="150" t="str">
        <f t="shared" si="129"/>
        <v/>
      </c>
      <c r="S749" s="150" t="str">
        <f t="shared" si="130"/>
        <v/>
      </c>
      <c r="T749" s="150" t="str">
        <f t="shared" si="131"/>
        <v/>
      </c>
      <c r="U749" s="152"/>
      <c r="V749" s="143"/>
      <c r="W749" s="102"/>
      <c r="X749" s="102" t="str">
        <f t="shared" si="132"/>
        <v/>
      </c>
      <c r="Y749" s="102"/>
      <c r="Z749" s="102"/>
      <c r="AA749" s="102"/>
      <c r="AB749" s="102"/>
      <c r="AC749" s="102"/>
      <c r="AD749" s="102"/>
      <c r="AE749" s="102"/>
      <c r="AF749" s="102"/>
      <c r="AG749" s="102"/>
      <c r="AH749" s="102"/>
      <c r="AI749" s="102"/>
      <c r="AJ749" s="102"/>
      <c r="AK749" s="102"/>
      <c r="AL749" s="102"/>
      <c r="AM749" s="102"/>
    </row>
    <row r="750" spans="1:39">
      <c r="A750" s="143"/>
      <c r="B750" s="143"/>
      <c r="C750" s="155"/>
      <c r="D750" s="143"/>
      <c r="E750" s="146"/>
      <c r="F750" s="147"/>
      <c r="G750" s="147"/>
      <c r="H750" s="148"/>
      <c r="I750" s="143"/>
      <c r="J750" s="143"/>
      <c r="K750" s="149"/>
      <c r="L750" s="150" t="str">
        <f t="shared" si="123"/>
        <v/>
      </c>
      <c r="M750" s="150" t="str">
        <f t="shared" si="124"/>
        <v/>
      </c>
      <c r="N750" s="151" t="str">
        <f t="shared" si="125"/>
        <v/>
      </c>
      <c r="O750" s="151" t="str">
        <f t="shared" si="126"/>
        <v/>
      </c>
      <c r="P750" s="151" t="str">
        <f t="shared" si="127"/>
        <v/>
      </c>
      <c r="Q750" s="151" t="str">
        <f t="shared" si="128"/>
        <v/>
      </c>
      <c r="R750" s="150" t="str">
        <f t="shared" si="129"/>
        <v/>
      </c>
      <c r="S750" s="150" t="str">
        <f t="shared" si="130"/>
        <v/>
      </c>
      <c r="T750" s="150" t="str">
        <f t="shared" si="131"/>
        <v/>
      </c>
      <c r="U750" s="152"/>
      <c r="V750" s="143"/>
      <c r="W750" s="102"/>
      <c r="X750" s="102" t="str">
        <f t="shared" si="132"/>
        <v/>
      </c>
      <c r="Y750" s="102"/>
      <c r="Z750" s="102"/>
      <c r="AA750" s="102"/>
      <c r="AB750" s="102"/>
      <c r="AC750" s="102"/>
      <c r="AD750" s="102"/>
      <c r="AE750" s="102"/>
      <c r="AF750" s="102"/>
      <c r="AG750" s="102"/>
      <c r="AH750" s="102"/>
      <c r="AI750" s="102"/>
      <c r="AJ750" s="102"/>
      <c r="AK750" s="102"/>
      <c r="AL750" s="102"/>
      <c r="AM750" s="102"/>
    </row>
    <row r="751" spans="1:39">
      <c r="A751" s="143"/>
      <c r="B751" s="143"/>
      <c r="C751" s="155"/>
      <c r="D751" s="143"/>
      <c r="E751" s="146"/>
      <c r="F751" s="147"/>
      <c r="G751" s="147"/>
      <c r="H751" s="148"/>
      <c r="I751" s="143"/>
      <c r="J751" s="143"/>
      <c r="K751" s="149"/>
      <c r="L751" s="150" t="str">
        <f t="shared" si="123"/>
        <v/>
      </c>
      <c r="M751" s="150" t="str">
        <f t="shared" si="124"/>
        <v/>
      </c>
      <c r="N751" s="151" t="str">
        <f t="shared" si="125"/>
        <v/>
      </c>
      <c r="O751" s="151" t="str">
        <f t="shared" si="126"/>
        <v/>
      </c>
      <c r="P751" s="151" t="str">
        <f t="shared" si="127"/>
        <v/>
      </c>
      <c r="Q751" s="151" t="str">
        <f t="shared" si="128"/>
        <v/>
      </c>
      <c r="R751" s="150" t="str">
        <f t="shared" si="129"/>
        <v/>
      </c>
      <c r="S751" s="150" t="str">
        <f t="shared" si="130"/>
        <v/>
      </c>
      <c r="T751" s="150" t="str">
        <f t="shared" si="131"/>
        <v/>
      </c>
      <c r="U751" s="152"/>
      <c r="V751" s="143"/>
      <c r="W751" s="102"/>
      <c r="X751" s="102" t="str">
        <f t="shared" si="132"/>
        <v/>
      </c>
      <c r="Y751" s="102"/>
      <c r="Z751" s="102"/>
      <c r="AA751" s="102"/>
      <c r="AB751" s="102"/>
      <c r="AC751" s="102"/>
      <c r="AD751" s="102"/>
      <c r="AE751" s="102"/>
      <c r="AF751" s="102"/>
      <c r="AG751" s="102"/>
      <c r="AH751" s="102"/>
      <c r="AI751" s="102"/>
      <c r="AJ751" s="102"/>
      <c r="AK751" s="102"/>
      <c r="AL751" s="102"/>
      <c r="AM751" s="102"/>
    </row>
    <row r="752" spans="1:39">
      <c r="A752" s="143"/>
      <c r="B752" s="143"/>
      <c r="C752" s="155"/>
      <c r="D752" s="143"/>
      <c r="E752" s="146"/>
      <c r="F752" s="147"/>
      <c r="G752" s="147"/>
      <c r="H752" s="148"/>
      <c r="I752" s="143"/>
      <c r="J752" s="143"/>
      <c r="K752" s="149"/>
      <c r="L752" s="150" t="str">
        <f t="shared" si="123"/>
        <v/>
      </c>
      <c r="M752" s="150" t="str">
        <f t="shared" si="124"/>
        <v/>
      </c>
      <c r="N752" s="151" t="str">
        <f t="shared" si="125"/>
        <v/>
      </c>
      <c r="O752" s="151" t="str">
        <f t="shared" si="126"/>
        <v/>
      </c>
      <c r="P752" s="151" t="str">
        <f t="shared" si="127"/>
        <v/>
      </c>
      <c r="Q752" s="151" t="str">
        <f t="shared" si="128"/>
        <v/>
      </c>
      <c r="R752" s="150" t="str">
        <f t="shared" si="129"/>
        <v/>
      </c>
      <c r="S752" s="150" t="str">
        <f t="shared" si="130"/>
        <v/>
      </c>
      <c r="T752" s="150" t="str">
        <f t="shared" si="131"/>
        <v/>
      </c>
      <c r="U752" s="152"/>
      <c r="V752" s="143"/>
      <c r="W752" s="102"/>
      <c r="X752" s="102" t="str">
        <f t="shared" si="132"/>
        <v/>
      </c>
      <c r="Y752" s="102"/>
      <c r="Z752" s="102"/>
      <c r="AA752" s="102"/>
      <c r="AB752" s="102"/>
      <c r="AC752" s="102"/>
      <c r="AD752" s="102"/>
      <c r="AE752" s="102"/>
      <c r="AF752" s="102"/>
      <c r="AG752" s="102"/>
      <c r="AH752" s="102"/>
      <c r="AI752" s="102"/>
      <c r="AJ752" s="102"/>
      <c r="AK752" s="102"/>
      <c r="AL752" s="102"/>
      <c r="AM752" s="102"/>
    </row>
    <row r="753" spans="1:39">
      <c r="A753" s="143"/>
      <c r="B753" s="143"/>
      <c r="C753" s="155"/>
      <c r="D753" s="143"/>
      <c r="E753" s="146"/>
      <c r="F753" s="147"/>
      <c r="G753" s="147"/>
      <c r="H753" s="148"/>
      <c r="I753" s="143"/>
      <c r="J753" s="143"/>
      <c r="K753" s="149"/>
      <c r="L753" s="150" t="str">
        <f t="shared" si="123"/>
        <v/>
      </c>
      <c r="M753" s="150" t="str">
        <f t="shared" si="124"/>
        <v/>
      </c>
      <c r="N753" s="151" t="str">
        <f t="shared" si="125"/>
        <v/>
      </c>
      <c r="O753" s="151" t="str">
        <f t="shared" si="126"/>
        <v/>
      </c>
      <c r="P753" s="151" t="str">
        <f t="shared" si="127"/>
        <v/>
      </c>
      <c r="Q753" s="151" t="str">
        <f t="shared" si="128"/>
        <v/>
      </c>
      <c r="R753" s="150" t="str">
        <f t="shared" si="129"/>
        <v/>
      </c>
      <c r="S753" s="150" t="str">
        <f t="shared" si="130"/>
        <v/>
      </c>
      <c r="T753" s="150" t="str">
        <f t="shared" si="131"/>
        <v/>
      </c>
      <c r="U753" s="152"/>
      <c r="V753" s="143"/>
      <c r="W753" s="102"/>
      <c r="X753" s="102" t="str">
        <f t="shared" si="132"/>
        <v/>
      </c>
      <c r="Y753" s="102"/>
      <c r="Z753" s="102"/>
      <c r="AA753" s="102"/>
      <c r="AB753" s="102"/>
      <c r="AC753" s="102"/>
      <c r="AD753" s="102"/>
      <c r="AE753" s="102"/>
      <c r="AF753" s="102"/>
      <c r="AG753" s="102"/>
      <c r="AH753" s="102"/>
      <c r="AI753" s="102"/>
      <c r="AJ753" s="102"/>
      <c r="AK753" s="102"/>
      <c r="AL753" s="102"/>
      <c r="AM753" s="102"/>
    </row>
    <row r="754" spans="1:39">
      <c r="A754" s="143"/>
      <c r="B754" s="143"/>
      <c r="C754" s="155"/>
      <c r="D754" s="143"/>
      <c r="E754" s="146"/>
      <c r="F754" s="147"/>
      <c r="G754" s="147"/>
      <c r="H754" s="148"/>
      <c r="I754" s="143"/>
      <c r="J754" s="143"/>
      <c r="K754" s="149"/>
      <c r="L754" s="150" t="str">
        <f t="shared" si="123"/>
        <v/>
      </c>
      <c r="M754" s="150" t="str">
        <f t="shared" si="124"/>
        <v/>
      </c>
      <c r="N754" s="151" t="str">
        <f t="shared" si="125"/>
        <v/>
      </c>
      <c r="O754" s="151" t="str">
        <f t="shared" si="126"/>
        <v/>
      </c>
      <c r="P754" s="151" t="str">
        <f t="shared" si="127"/>
        <v/>
      </c>
      <c r="Q754" s="151" t="str">
        <f t="shared" si="128"/>
        <v/>
      </c>
      <c r="R754" s="150" t="str">
        <f t="shared" si="129"/>
        <v/>
      </c>
      <c r="S754" s="150" t="str">
        <f t="shared" si="130"/>
        <v/>
      </c>
      <c r="T754" s="150" t="str">
        <f t="shared" si="131"/>
        <v/>
      </c>
      <c r="U754" s="152"/>
      <c r="V754" s="143"/>
      <c r="W754" s="102"/>
      <c r="X754" s="102" t="str">
        <f t="shared" si="132"/>
        <v/>
      </c>
      <c r="Y754" s="102"/>
      <c r="Z754" s="102"/>
      <c r="AA754" s="102"/>
      <c r="AB754" s="102"/>
      <c r="AC754" s="102"/>
      <c r="AD754" s="102"/>
      <c r="AE754" s="102"/>
      <c r="AF754" s="102"/>
      <c r="AG754" s="102"/>
      <c r="AH754" s="102"/>
      <c r="AI754" s="102"/>
      <c r="AJ754" s="102"/>
      <c r="AK754" s="102"/>
      <c r="AL754" s="102"/>
      <c r="AM754" s="102"/>
    </row>
    <row r="755" spans="1:39">
      <c r="A755" s="143"/>
      <c r="B755" s="143"/>
      <c r="C755" s="155"/>
      <c r="D755" s="143"/>
      <c r="E755" s="146"/>
      <c r="F755" s="147"/>
      <c r="G755" s="147"/>
      <c r="H755" s="148"/>
      <c r="I755" s="143"/>
      <c r="J755" s="143"/>
      <c r="K755" s="149"/>
      <c r="L755" s="150" t="str">
        <f t="shared" si="123"/>
        <v/>
      </c>
      <c r="M755" s="150" t="str">
        <f t="shared" si="124"/>
        <v/>
      </c>
      <c r="N755" s="151" t="str">
        <f t="shared" si="125"/>
        <v/>
      </c>
      <c r="O755" s="151" t="str">
        <f t="shared" si="126"/>
        <v/>
      </c>
      <c r="P755" s="151" t="str">
        <f t="shared" si="127"/>
        <v/>
      </c>
      <c r="Q755" s="151" t="str">
        <f t="shared" si="128"/>
        <v/>
      </c>
      <c r="R755" s="150" t="str">
        <f t="shared" si="129"/>
        <v/>
      </c>
      <c r="S755" s="150" t="str">
        <f t="shared" si="130"/>
        <v/>
      </c>
      <c r="T755" s="150" t="str">
        <f t="shared" si="131"/>
        <v/>
      </c>
      <c r="U755" s="152"/>
      <c r="V755" s="143"/>
      <c r="W755" s="102"/>
      <c r="X755" s="102" t="str">
        <f t="shared" si="132"/>
        <v/>
      </c>
      <c r="Y755" s="102"/>
      <c r="Z755" s="102"/>
      <c r="AA755" s="102"/>
      <c r="AB755" s="102"/>
      <c r="AC755" s="102"/>
      <c r="AD755" s="102"/>
      <c r="AE755" s="102"/>
      <c r="AF755" s="102"/>
      <c r="AG755" s="102"/>
      <c r="AH755" s="102"/>
      <c r="AI755" s="102"/>
      <c r="AJ755" s="102"/>
      <c r="AK755" s="102"/>
      <c r="AL755" s="102"/>
      <c r="AM755" s="102"/>
    </row>
    <row r="756" spans="1:39">
      <c r="A756" s="143"/>
      <c r="B756" s="143"/>
      <c r="C756" s="155"/>
      <c r="D756" s="143"/>
      <c r="E756" s="146"/>
      <c r="F756" s="147"/>
      <c r="G756" s="147"/>
      <c r="H756" s="148"/>
      <c r="I756" s="143"/>
      <c r="J756" s="143"/>
      <c r="K756" s="149"/>
      <c r="L756" s="150" t="str">
        <f t="shared" si="123"/>
        <v/>
      </c>
      <c r="M756" s="150" t="str">
        <f t="shared" si="124"/>
        <v/>
      </c>
      <c r="N756" s="151" t="str">
        <f t="shared" si="125"/>
        <v/>
      </c>
      <c r="O756" s="151" t="str">
        <f t="shared" si="126"/>
        <v/>
      </c>
      <c r="P756" s="151" t="str">
        <f t="shared" si="127"/>
        <v/>
      </c>
      <c r="Q756" s="151" t="str">
        <f t="shared" si="128"/>
        <v/>
      </c>
      <c r="R756" s="150" t="str">
        <f t="shared" si="129"/>
        <v/>
      </c>
      <c r="S756" s="150" t="str">
        <f t="shared" si="130"/>
        <v/>
      </c>
      <c r="T756" s="150" t="str">
        <f t="shared" si="131"/>
        <v/>
      </c>
      <c r="U756" s="152"/>
      <c r="V756" s="143"/>
      <c r="W756" s="102"/>
      <c r="X756" s="102" t="str">
        <f t="shared" si="132"/>
        <v/>
      </c>
      <c r="Y756" s="102"/>
      <c r="Z756" s="102"/>
      <c r="AA756" s="102"/>
      <c r="AB756" s="102"/>
      <c r="AC756" s="102"/>
      <c r="AD756" s="102"/>
      <c r="AE756" s="102"/>
      <c r="AF756" s="102"/>
      <c r="AG756" s="102"/>
      <c r="AH756" s="102"/>
      <c r="AI756" s="102"/>
      <c r="AJ756" s="102"/>
      <c r="AK756" s="102"/>
      <c r="AL756" s="102"/>
      <c r="AM756" s="102"/>
    </row>
    <row r="757" spans="1:39">
      <c r="A757" s="143"/>
      <c r="B757" s="143"/>
      <c r="C757" s="155"/>
      <c r="D757" s="143"/>
      <c r="E757" s="146"/>
      <c r="F757" s="147"/>
      <c r="G757" s="147"/>
      <c r="H757" s="148"/>
      <c r="I757" s="143"/>
      <c r="J757" s="143"/>
      <c r="K757" s="149"/>
      <c r="L757" s="150" t="str">
        <f t="shared" si="123"/>
        <v/>
      </c>
      <c r="M757" s="150" t="str">
        <f t="shared" si="124"/>
        <v/>
      </c>
      <c r="N757" s="151" t="str">
        <f t="shared" si="125"/>
        <v/>
      </c>
      <c r="O757" s="151" t="str">
        <f t="shared" si="126"/>
        <v/>
      </c>
      <c r="P757" s="151" t="str">
        <f t="shared" si="127"/>
        <v/>
      </c>
      <c r="Q757" s="151" t="str">
        <f t="shared" si="128"/>
        <v/>
      </c>
      <c r="R757" s="150" t="str">
        <f t="shared" si="129"/>
        <v/>
      </c>
      <c r="S757" s="150" t="str">
        <f t="shared" si="130"/>
        <v/>
      </c>
      <c r="T757" s="150" t="str">
        <f t="shared" si="131"/>
        <v/>
      </c>
      <c r="U757" s="152"/>
      <c r="V757" s="143"/>
      <c r="W757" s="102"/>
      <c r="X757" s="102" t="str">
        <f t="shared" si="132"/>
        <v/>
      </c>
      <c r="Y757" s="102"/>
      <c r="Z757" s="102"/>
      <c r="AA757" s="102"/>
      <c r="AB757" s="102"/>
      <c r="AC757" s="102"/>
      <c r="AD757" s="102"/>
      <c r="AE757" s="102"/>
      <c r="AF757" s="102"/>
      <c r="AG757" s="102"/>
      <c r="AH757" s="102"/>
      <c r="AI757" s="102"/>
      <c r="AJ757" s="102"/>
      <c r="AK757" s="102"/>
      <c r="AL757" s="102"/>
      <c r="AM757" s="102"/>
    </row>
    <row r="758" spans="1:39">
      <c r="A758" s="143"/>
      <c r="B758" s="143"/>
      <c r="C758" s="155"/>
      <c r="D758" s="143"/>
      <c r="E758" s="146"/>
      <c r="F758" s="147"/>
      <c r="G758" s="147"/>
      <c r="H758" s="148"/>
      <c r="I758" s="143"/>
      <c r="J758" s="143"/>
      <c r="K758" s="149"/>
      <c r="L758" s="150" t="str">
        <f t="shared" si="123"/>
        <v/>
      </c>
      <c r="M758" s="150" t="str">
        <f t="shared" si="124"/>
        <v/>
      </c>
      <c r="N758" s="151" t="str">
        <f t="shared" si="125"/>
        <v/>
      </c>
      <c r="O758" s="151" t="str">
        <f t="shared" si="126"/>
        <v/>
      </c>
      <c r="P758" s="151" t="str">
        <f t="shared" si="127"/>
        <v/>
      </c>
      <c r="Q758" s="151" t="str">
        <f t="shared" si="128"/>
        <v/>
      </c>
      <c r="R758" s="150" t="str">
        <f t="shared" si="129"/>
        <v/>
      </c>
      <c r="S758" s="150" t="str">
        <f t="shared" si="130"/>
        <v/>
      </c>
      <c r="T758" s="150" t="str">
        <f t="shared" si="131"/>
        <v/>
      </c>
      <c r="U758" s="152"/>
      <c r="V758" s="143"/>
      <c r="W758" s="102"/>
      <c r="X758" s="102" t="str">
        <f t="shared" si="132"/>
        <v/>
      </c>
      <c r="Y758" s="102"/>
      <c r="Z758" s="102"/>
      <c r="AA758" s="102"/>
      <c r="AB758" s="102"/>
      <c r="AC758" s="102"/>
      <c r="AD758" s="102"/>
      <c r="AE758" s="102"/>
      <c r="AF758" s="102"/>
      <c r="AG758" s="102"/>
      <c r="AH758" s="102"/>
      <c r="AI758" s="102"/>
      <c r="AJ758" s="102"/>
      <c r="AK758" s="102"/>
      <c r="AL758" s="102"/>
      <c r="AM758" s="102"/>
    </row>
    <row r="759" spans="1:39">
      <c r="A759" s="143"/>
      <c r="B759" s="143"/>
      <c r="C759" s="155"/>
      <c r="D759" s="143"/>
      <c r="E759" s="146"/>
      <c r="F759" s="147"/>
      <c r="G759" s="147"/>
      <c r="H759" s="148"/>
      <c r="I759" s="143"/>
      <c r="J759" s="143"/>
      <c r="K759" s="149"/>
      <c r="L759" s="150" t="str">
        <f t="shared" si="123"/>
        <v/>
      </c>
      <c r="M759" s="150" t="str">
        <f t="shared" si="124"/>
        <v/>
      </c>
      <c r="N759" s="151" t="str">
        <f t="shared" si="125"/>
        <v/>
      </c>
      <c r="O759" s="151" t="str">
        <f t="shared" si="126"/>
        <v/>
      </c>
      <c r="P759" s="151" t="str">
        <f t="shared" si="127"/>
        <v/>
      </c>
      <c r="Q759" s="151" t="str">
        <f t="shared" si="128"/>
        <v/>
      </c>
      <c r="R759" s="150" t="str">
        <f t="shared" si="129"/>
        <v/>
      </c>
      <c r="S759" s="150" t="str">
        <f t="shared" si="130"/>
        <v/>
      </c>
      <c r="T759" s="150" t="str">
        <f t="shared" si="131"/>
        <v/>
      </c>
      <c r="U759" s="152"/>
      <c r="V759" s="143"/>
      <c r="W759" s="102"/>
      <c r="X759" s="102" t="str">
        <f t="shared" si="132"/>
        <v/>
      </c>
      <c r="Y759" s="102"/>
      <c r="Z759" s="102"/>
      <c r="AA759" s="102"/>
      <c r="AB759" s="102"/>
      <c r="AC759" s="102"/>
      <c r="AD759" s="102"/>
      <c r="AE759" s="102"/>
      <c r="AF759" s="102"/>
      <c r="AG759" s="102"/>
      <c r="AH759" s="102"/>
      <c r="AI759" s="102"/>
      <c r="AJ759" s="102"/>
      <c r="AK759" s="102"/>
      <c r="AL759" s="102"/>
      <c r="AM759" s="102"/>
    </row>
    <row r="760" spans="1:39">
      <c r="A760" s="143"/>
      <c r="B760" s="143"/>
      <c r="C760" s="155"/>
      <c r="D760" s="143"/>
      <c r="E760" s="146"/>
      <c r="F760" s="147"/>
      <c r="G760" s="147"/>
      <c r="H760" s="148"/>
      <c r="I760" s="143"/>
      <c r="J760" s="143"/>
      <c r="K760" s="149"/>
      <c r="L760" s="150" t="str">
        <f t="shared" si="123"/>
        <v/>
      </c>
      <c r="M760" s="150" t="str">
        <f t="shared" si="124"/>
        <v/>
      </c>
      <c r="N760" s="151" t="str">
        <f t="shared" si="125"/>
        <v/>
      </c>
      <c r="O760" s="151" t="str">
        <f t="shared" si="126"/>
        <v/>
      </c>
      <c r="P760" s="151" t="str">
        <f t="shared" si="127"/>
        <v/>
      </c>
      <c r="Q760" s="151" t="str">
        <f t="shared" si="128"/>
        <v/>
      </c>
      <c r="R760" s="150" t="str">
        <f t="shared" si="129"/>
        <v/>
      </c>
      <c r="S760" s="150" t="str">
        <f t="shared" si="130"/>
        <v/>
      </c>
      <c r="T760" s="150" t="str">
        <f t="shared" si="131"/>
        <v/>
      </c>
      <c r="U760" s="152"/>
      <c r="V760" s="143"/>
      <c r="W760" s="102"/>
      <c r="X760" s="102" t="str">
        <f t="shared" si="132"/>
        <v/>
      </c>
      <c r="Y760" s="102"/>
      <c r="Z760" s="102"/>
      <c r="AA760" s="102"/>
      <c r="AB760" s="102"/>
      <c r="AC760" s="102"/>
      <c r="AD760" s="102"/>
      <c r="AE760" s="102"/>
      <c r="AF760" s="102"/>
      <c r="AG760" s="102"/>
      <c r="AH760" s="102"/>
      <c r="AI760" s="102"/>
      <c r="AJ760" s="102"/>
      <c r="AK760" s="102"/>
      <c r="AL760" s="102"/>
      <c r="AM760" s="102"/>
    </row>
    <row r="761" spans="1:39">
      <c r="A761" s="143"/>
      <c r="B761" s="143"/>
      <c r="C761" s="155"/>
      <c r="D761" s="143"/>
      <c r="E761" s="146"/>
      <c r="F761" s="147"/>
      <c r="G761" s="147"/>
      <c r="H761" s="148"/>
      <c r="I761" s="143"/>
      <c r="J761" s="143"/>
      <c r="K761" s="149"/>
      <c r="L761" s="150" t="str">
        <f t="shared" si="123"/>
        <v/>
      </c>
      <c r="M761" s="150" t="str">
        <f t="shared" si="124"/>
        <v/>
      </c>
      <c r="N761" s="151" t="str">
        <f t="shared" si="125"/>
        <v/>
      </c>
      <c r="O761" s="151" t="str">
        <f t="shared" si="126"/>
        <v/>
      </c>
      <c r="P761" s="151" t="str">
        <f t="shared" si="127"/>
        <v/>
      </c>
      <c r="Q761" s="151" t="str">
        <f t="shared" si="128"/>
        <v/>
      </c>
      <c r="R761" s="150" t="str">
        <f t="shared" si="129"/>
        <v/>
      </c>
      <c r="S761" s="150" t="str">
        <f t="shared" si="130"/>
        <v/>
      </c>
      <c r="T761" s="150" t="str">
        <f t="shared" si="131"/>
        <v/>
      </c>
      <c r="U761" s="152"/>
      <c r="V761" s="143"/>
      <c r="W761" s="102"/>
      <c r="X761" s="102" t="str">
        <f t="shared" si="132"/>
        <v/>
      </c>
      <c r="Y761" s="102"/>
      <c r="Z761" s="102"/>
      <c r="AA761" s="102"/>
      <c r="AB761" s="102"/>
      <c r="AC761" s="102"/>
      <c r="AD761" s="102"/>
      <c r="AE761" s="102"/>
      <c r="AF761" s="102"/>
      <c r="AG761" s="102"/>
      <c r="AH761" s="102"/>
      <c r="AI761" s="102"/>
      <c r="AJ761" s="102"/>
      <c r="AK761" s="102"/>
      <c r="AL761" s="102"/>
      <c r="AM761" s="102"/>
    </row>
    <row r="762" spans="1:39">
      <c r="A762" s="143"/>
      <c r="B762" s="143"/>
      <c r="C762" s="155"/>
      <c r="D762" s="143"/>
      <c r="E762" s="146"/>
      <c r="F762" s="147"/>
      <c r="G762" s="147"/>
      <c r="H762" s="148"/>
      <c r="I762" s="143"/>
      <c r="J762" s="143"/>
      <c r="K762" s="149"/>
      <c r="L762" s="150" t="str">
        <f t="shared" si="123"/>
        <v/>
      </c>
      <c r="M762" s="150" t="str">
        <f t="shared" si="124"/>
        <v/>
      </c>
      <c r="N762" s="151" t="str">
        <f t="shared" si="125"/>
        <v/>
      </c>
      <c r="O762" s="151" t="str">
        <f t="shared" si="126"/>
        <v/>
      </c>
      <c r="P762" s="151" t="str">
        <f t="shared" si="127"/>
        <v/>
      </c>
      <c r="Q762" s="151" t="str">
        <f t="shared" si="128"/>
        <v/>
      </c>
      <c r="R762" s="150" t="str">
        <f t="shared" si="129"/>
        <v/>
      </c>
      <c r="S762" s="150" t="str">
        <f t="shared" si="130"/>
        <v/>
      </c>
      <c r="T762" s="150" t="str">
        <f t="shared" si="131"/>
        <v/>
      </c>
      <c r="U762" s="152"/>
      <c r="V762" s="143"/>
      <c r="W762" s="102"/>
      <c r="X762" s="102" t="str">
        <f t="shared" si="132"/>
        <v/>
      </c>
      <c r="Y762" s="102"/>
      <c r="Z762" s="102"/>
      <c r="AA762" s="102"/>
      <c r="AB762" s="102"/>
      <c r="AC762" s="102"/>
      <c r="AD762" s="102"/>
      <c r="AE762" s="102"/>
      <c r="AF762" s="102"/>
      <c r="AG762" s="102"/>
      <c r="AH762" s="102"/>
      <c r="AI762" s="102"/>
      <c r="AJ762" s="102"/>
      <c r="AK762" s="102"/>
      <c r="AL762" s="102"/>
      <c r="AM762" s="102"/>
    </row>
    <row r="763" spans="1:39">
      <c r="A763" s="143"/>
      <c r="B763" s="143"/>
      <c r="C763" s="155"/>
      <c r="D763" s="143"/>
      <c r="E763" s="146"/>
      <c r="F763" s="147"/>
      <c r="G763" s="147"/>
      <c r="H763" s="148"/>
      <c r="I763" s="143"/>
      <c r="J763" s="143"/>
      <c r="K763" s="149"/>
      <c r="L763" s="150" t="str">
        <f t="shared" si="123"/>
        <v/>
      </c>
      <c r="M763" s="150" t="str">
        <f t="shared" si="124"/>
        <v/>
      </c>
      <c r="N763" s="151" t="str">
        <f t="shared" si="125"/>
        <v/>
      </c>
      <c r="O763" s="151" t="str">
        <f t="shared" si="126"/>
        <v/>
      </c>
      <c r="P763" s="151" t="str">
        <f t="shared" si="127"/>
        <v/>
      </c>
      <c r="Q763" s="151" t="str">
        <f t="shared" si="128"/>
        <v/>
      </c>
      <c r="R763" s="150" t="str">
        <f t="shared" si="129"/>
        <v/>
      </c>
      <c r="S763" s="150" t="str">
        <f t="shared" si="130"/>
        <v/>
      </c>
      <c r="T763" s="150" t="str">
        <f t="shared" si="131"/>
        <v/>
      </c>
      <c r="U763" s="152"/>
      <c r="V763" s="143"/>
      <c r="W763" s="102"/>
      <c r="X763" s="102" t="str">
        <f t="shared" si="132"/>
        <v/>
      </c>
      <c r="Y763" s="102"/>
      <c r="Z763" s="102"/>
      <c r="AA763" s="102"/>
      <c r="AB763" s="102"/>
      <c r="AC763" s="102"/>
      <c r="AD763" s="102"/>
      <c r="AE763" s="102"/>
      <c r="AF763" s="102"/>
      <c r="AG763" s="102"/>
      <c r="AH763" s="102"/>
      <c r="AI763" s="102"/>
      <c r="AJ763" s="102"/>
      <c r="AK763" s="102"/>
      <c r="AL763" s="102"/>
      <c r="AM763" s="102"/>
    </row>
    <row r="764" spans="1:39">
      <c r="A764" s="143"/>
      <c r="B764" s="143"/>
      <c r="C764" s="155"/>
      <c r="D764" s="143"/>
      <c r="E764" s="146"/>
      <c r="F764" s="147"/>
      <c r="G764" s="147"/>
      <c r="H764" s="148"/>
      <c r="I764" s="143"/>
      <c r="J764" s="143"/>
      <c r="K764" s="149"/>
      <c r="L764" s="150" t="str">
        <f t="shared" si="123"/>
        <v/>
      </c>
      <c r="M764" s="150" t="str">
        <f t="shared" si="124"/>
        <v/>
      </c>
      <c r="N764" s="151" t="str">
        <f t="shared" si="125"/>
        <v/>
      </c>
      <c r="O764" s="151" t="str">
        <f t="shared" si="126"/>
        <v/>
      </c>
      <c r="P764" s="151" t="str">
        <f t="shared" si="127"/>
        <v/>
      </c>
      <c r="Q764" s="151" t="str">
        <f t="shared" si="128"/>
        <v/>
      </c>
      <c r="R764" s="150" t="str">
        <f t="shared" si="129"/>
        <v/>
      </c>
      <c r="S764" s="150" t="str">
        <f t="shared" si="130"/>
        <v/>
      </c>
      <c r="T764" s="150" t="str">
        <f t="shared" si="131"/>
        <v/>
      </c>
      <c r="U764" s="152"/>
      <c r="V764" s="143"/>
      <c r="W764" s="102"/>
      <c r="X764" s="102" t="str">
        <f t="shared" si="132"/>
        <v/>
      </c>
      <c r="Y764" s="102"/>
      <c r="Z764" s="102"/>
      <c r="AA764" s="102"/>
      <c r="AB764" s="102"/>
      <c r="AC764" s="102"/>
      <c r="AD764" s="102"/>
      <c r="AE764" s="102"/>
      <c r="AF764" s="102"/>
      <c r="AG764" s="102"/>
      <c r="AH764" s="102"/>
      <c r="AI764" s="102"/>
      <c r="AJ764" s="102"/>
      <c r="AK764" s="102"/>
      <c r="AL764" s="102"/>
      <c r="AM764" s="102"/>
    </row>
    <row r="765" spans="1:39">
      <c r="A765" s="143"/>
      <c r="B765" s="143"/>
      <c r="C765" s="155"/>
      <c r="D765" s="143"/>
      <c r="E765" s="146"/>
      <c r="F765" s="147"/>
      <c r="G765" s="147"/>
      <c r="H765" s="148"/>
      <c r="I765" s="143"/>
      <c r="J765" s="143"/>
      <c r="K765" s="149"/>
      <c r="L765" s="150" t="str">
        <f t="shared" si="123"/>
        <v/>
      </c>
      <c r="M765" s="150" t="str">
        <f t="shared" si="124"/>
        <v/>
      </c>
      <c r="N765" s="151" t="str">
        <f t="shared" si="125"/>
        <v/>
      </c>
      <c r="O765" s="151" t="str">
        <f t="shared" si="126"/>
        <v/>
      </c>
      <c r="P765" s="151" t="str">
        <f t="shared" si="127"/>
        <v/>
      </c>
      <c r="Q765" s="151" t="str">
        <f t="shared" si="128"/>
        <v/>
      </c>
      <c r="R765" s="150" t="str">
        <f t="shared" si="129"/>
        <v/>
      </c>
      <c r="S765" s="150" t="str">
        <f t="shared" si="130"/>
        <v/>
      </c>
      <c r="T765" s="150" t="str">
        <f t="shared" si="131"/>
        <v/>
      </c>
      <c r="U765" s="152"/>
      <c r="V765" s="143"/>
      <c r="W765" s="102"/>
      <c r="X765" s="102" t="str">
        <f t="shared" si="132"/>
        <v/>
      </c>
      <c r="Y765" s="102"/>
      <c r="Z765" s="102"/>
      <c r="AA765" s="102"/>
      <c r="AB765" s="102"/>
      <c r="AC765" s="102"/>
      <c r="AD765" s="102"/>
      <c r="AE765" s="102"/>
      <c r="AF765" s="102"/>
      <c r="AG765" s="102"/>
      <c r="AH765" s="102"/>
      <c r="AI765" s="102"/>
      <c r="AJ765" s="102"/>
      <c r="AK765" s="102"/>
      <c r="AL765" s="102"/>
      <c r="AM765" s="102"/>
    </row>
    <row r="766" spans="1:39">
      <c r="A766" s="143"/>
      <c r="B766" s="143"/>
      <c r="C766" s="155"/>
      <c r="D766" s="143"/>
      <c r="E766" s="146"/>
      <c r="F766" s="147"/>
      <c r="G766" s="147"/>
      <c r="H766" s="148"/>
      <c r="I766" s="143"/>
      <c r="J766" s="143"/>
      <c r="K766" s="149"/>
      <c r="L766" s="150" t="str">
        <f t="shared" si="123"/>
        <v/>
      </c>
      <c r="M766" s="150" t="str">
        <f t="shared" si="124"/>
        <v/>
      </c>
      <c r="N766" s="151" t="str">
        <f t="shared" si="125"/>
        <v/>
      </c>
      <c r="O766" s="151" t="str">
        <f t="shared" si="126"/>
        <v/>
      </c>
      <c r="P766" s="151" t="str">
        <f t="shared" si="127"/>
        <v/>
      </c>
      <c r="Q766" s="151" t="str">
        <f t="shared" si="128"/>
        <v/>
      </c>
      <c r="R766" s="150" t="str">
        <f t="shared" si="129"/>
        <v/>
      </c>
      <c r="S766" s="150" t="str">
        <f t="shared" si="130"/>
        <v/>
      </c>
      <c r="T766" s="150" t="str">
        <f t="shared" si="131"/>
        <v/>
      </c>
      <c r="U766" s="152"/>
      <c r="V766" s="143"/>
      <c r="W766" s="102"/>
      <c r="X766" s="102" t="str">
        <f t="shared" si="132"/>
        <v/>
      </c>
      <c r="Y766" s="102"/>
      <c r="Z766" s="102"/>
      <c r="AA766" s="102"/>
      <c r="AB766" s="102"/>
      <c r="AC766" s="102"/>
      <c r="AD766" s="102"/>
      <c r="AE766" s="102"/>
      <c r="AF766" s="102"/>
      <c r="AG766" s="102"/>
      <c r="AH766" s="102"/>
      <c r="AI766" s="102"/>
      <c r="AJ766" s="102"/>
      <c r="AK766" s="102"/>
      <c r="AL766" s="102"/>
      <c r="AM766" s="102"/>
    </row>
    <row r="767" spans="1:39">
      <c r="A767" s="143"/>
      <c r="B767" s="143"/>
      <c r="C767" s="155"/>
      <c r="D767" s="143"/>
      <c r="E767" s="146"/>
      <c r="F767" s="147"/>
      <c r="G767" s="147"/>
      <c r="H767" s="148"/>
      <c r="I767" s="143"/>
      <c r="J767" s="143"/>
      <c r="K767" s="149"/>
      <c r="L767" s="150" t="str">
        <f t="shared" si="123"/>
        <v/>
      </c>
      <c r="M767" s="150" t="str">
        <f t="shared" si="124"/>
        <v/>
      </c>
      <c r="N767" s="151" t="str">
        <f t="shared" si="125"/>
        <v/>
      </c>
      <c r="O767" s="151" t="str">
        <f t="shared" si="126"/>
        <v/>
      </c>
      <c r="P767" s="151" t="str">
        <f t="shared" si="127"/>
        <v/>
      </c>
      <c r="Q767" s="151" t="str">
        <f t="shared" si="128"/>
        <v/>
      </c>
      <c r="R767" s="150" t="str">
        <f t="shared" si="129"/>
        <v/>
      </c>
      <c r="S767" s="150" t="str">
        <f t="shared" si="130"/>
        <v/>
      </c>
      <c r="T767" s="150" t="str">
        <f t="shared" si="131"/>
        <v/>
      </c>
      <c r="U767" s="152"/>
      <c r="V767" s="143"/>
      <c r="W767" s="102"/>
      <c r="X767" s="102" t="str">
        <f t="shared" si="132"/>
        <v/>
      </c>
      <c r="Y767" s="102"/>
      <c r="Z767" s="102"/>
      <c r="AA767" s="102"/>
      <c r="AB767" s="102"/>
      <c r="AC767" s="102"/>
      <c r="AD767" s="102"/>
      <c r="AE767" s="102"/>
      <c r="AF767" s="102"/>
      <c r="AG767" s="102"/>
      <c r="AH767" s="102"/>
      <c r="AI767" s="102"/>
      <c r="AJ767" s="102"/>
      <c r="AK767" s="102"/>
      <c r="AL767" s="102"/>
      <c r="AM767" s="102"/>
    </row>
    <row r="768" spans="1:39">
      <c r="A768" s="143"/>
      <c r="B768" s="143"/>
      <c r="C768" s="155"/>
      <c r="D768" s="143"/>
      <c r="E768" s="146"/>
      <c r="F768" s="147"/>
      <c r="G768" s="147"/>
      <c r="H768" s="148"/>
      <c r="I768" s="143"/>
      <c r="J768" s="143"/>
      <c r="K768" s="149"/>
      <c r="L768" s="150" t="str">
        <f t="shared" si="123"/>
        <v/>
      </c>
      <c r="M768" s="150" t="str">
        <f t="shared" si="124"/>
        <v/>
      </c>
      <c r="N768" s="151" t="str">
        <f t="shared" si="125"/>
        <v/>
      </c>
      <c r="O768" s="151" t="str">
        <f t="shared" si="126"/>
        <v/>
      </c>
      <c r="P768" s="151" t="str">
        <f t="shared" si="127"/>
        <v/>
      </c>
      <c r="Q768" s="151" t="str">
        <f t="shared" si="128"/>
        <v/>
      </c>
      <c r="R768" s="150" t="str">
        <f t="shared" si="129"/>
        <v/>
      </c>
      <c r="S768" s="150" t="str">
        <f t="shared" si="130"/>
        <v/>
      </c>
      <c r="T768" s="150" t="str">
        <f t="shared" si="131"/>
        <v/>
      </c>
      <c r="U768" s="152"/>
      <c r="V768" s="143"/>
      <c r="W768" s="102"/>
      <c r="X768" s="102" t="str">
        <f t="shared" si="132"/>
        <v/>
      </c>
      <c r="Y768" s="102"/>
      <c r="Z768" s="102"/>
      <c r="AA768" s="102"/>
      <c r="AB768" s="102"/>
      <c r="AC768" s="102"/>
      <c r="AD768" s="102"/>
      <c r="AE768" s="102"/>
      <c r="AF768" s="102"/>
      <c r="AG768" s="102"/>
      <c r="AH768" s="102"/>
      <c r="AI768" s="102"/>
      <c r="AJ768" s="102"/>
      <c r="AK768" s="102"/>
      <c r="AL768" s="102"/>
      <c r="AM768" s="102"/>
    </row>
    <row r="769" spans="1:39">
      <c r="A769" s="143"/>
      <c r="B769" s="143"/>
      <c r="C769" s="155"/>
      <c r="D769" s="143"/>
      <c r="E769" s="146"/>
      <c r="F769" s="147"/>
      <c r="G769" s="147"/>
      <c r="H769" s="148"/>
      <c r="I769" s="143"/>
      <c r="J769" s="143"/>
      <c r="K769" s="149"/>
      <c r="L769" s="150" t="str">
        <f t="shared" si="123"/>
        <v/>
      </c>
      <c r="M769" s="150" t="str">
        <f t="shared" si="124"/>
        <v/>
      </c>
      <c r="N769" s="151" t="str">
        <f t="shared" si="125"/>
        <v/>
      </c>
      <c r="O769" s="151" t="str">
        <f t="shared" si="126"/>
        <v/>
      </c>
      <c r="P769" s="151" t="str">
        <f t="shared" si="127"/>
        <v/>
      </c>
      <c r="Q769" s="151" t="str">
        <f t="shared" si="128"/>
        <v/>
      </c>
      <c r="R769" s="150" t="str">
        <f t="shared" si="129"/>
        <v/>
      </c>
      <c r="S769" s="150" t="str">
        <f t="shared" si="130"/>
        <v/>
      </c>
      <c r="T769" s="150" t="str">
        <f t="shared" si="131"/>
        <v/>
      </c>
      <c r="U769" s="152"/>
      <c r="V769" s="143"/>
      <c r="W769" s="102"/>
      <c r="X769" s="102" t="str">
        <f t="shared" si="132"/>
        <v/>
      </c>
      <c r="Y769" s="102"/>
      <c r="Z769" s="102"/>
      <c r="AA769" s="102"/>
      <c r="AB769" s="102"/>
      <c r="AC769" s="102"/>
      <c r="AD769" s="102"/>
      <c r="AE769" s="102"/>
      <c r="AF769" s="102"/>
      <c r="AG769" s="102"/>
      <c r="AH769" s="102"/>
      <c r="AI769" s="102"/>
      <c r="AJ769" s="102"/>
      <c r="AK769" s="102"/>
      <c r="AL769" s="102"/>
      <c r="AM769" s="102"/>
    </row>
    <row r="770" spans="1:39">
      <c r="A770" s="143"/>
      <c r="B770" s="143"/>
      <c r="C770" s="155"/>
      <c r="D770" s="143"/>
      <c r="E770" s="146"/>
      <c r="F770" s="147"/>
      <c r="G770" s="147"/>
      <c r="H770" s="148"/>
      <c r="I770" s="143"/>
      <c r="J770" s="143"/>
      <c r="K770" s="149"/>
      <c r="L770" s="150" t="str">
        <f t="shared" si="123"/>
        <v/>
      </c>
      <c r="M770" s="150" t="str">
        <f t="shared" si="124"/>
        <v/>
      </c>
      <c r="N770" s="151" t="str">
        <f t="shared" si="125"/>
        <v/>
      </c>
      <c r="O770" s="151" t="str">
        <f t="shared" si="126"/>
        <v/>
      </c>
      <c r="P770" s="151" t="str">
        <f t="shared" si="127"/>
        <v/>
      </c>
      <c r="Q770" s="151" t="str">
        <f t="shared" si="128"/>
        <v/>
      </c>
      <c r="R770" s="150" t="str">
        <f t="shared" si="129"/>
        <v/>
      </c>
      <c r="S770" s="150" t="str">
        <f t="shared" si="130"/>
        <v/>
      </c>
      <c r="T770" s="150" t="str">
        <f t="shared" si="131"/>
        <v/>
      </c>
      <c r="U770" s="152"/>
      <c r="V770" s="143"/>
      <c r="W770" s="102"/>
      <c r="X770" s="102" t="str">
        <f t="shared" si="132"/>
        <v/>
      </c>
      <c r="Y770" s="102"/>
      <c r="Z770" s="102"/>
      <c r="AA770" s="102"/>
      <c r="AB770" s="102"/>
      <c r="AC770" s="102"/>
      <c r="AD770" s="102"/>
      <c r="AE770" s="102"/>
      <c r="AF770" s="102"/>
      <c r="AG770" s="102"/>
      <c r="AH770" s="102"/>
      <c r="AI770" s="102"/>
      <c r="AJ770" s="102"/>
      <c r="AK770" s="102"/>
      <c r="AL770" s="102"/>
      <c r="AM770" s="102"/>
    </row>
    <row r="771" spans="1:39">
      <c r="A771" s="143"/>
      <c r="B771" s="143"/>
      <c r="C771" s="155"/>
      <c r="D771" s="143"/>
      <c r="E771" s="146"/>
      <c r="F771" s="147"/>
      <c r="G771" s="147"/>
      <c r="H771" s="148"/>
      <c r="I771" s="143"/>
      <c r="J771" s="143"/>
      <c r="K771" s="149"/>
      <c r="L771" s="150" t="str">
        <f t="shared" si="123"/>
        <v/>
      </c>
      <c r="M771" s="150" t="str">
        <f t="shared" si="124"/>
        <v/>
      </c>
      <c r="N771" s="151" t="str">
        <f t="shared" si="125"/>
        <v/>
      </c>
      <c r="O771" s="151" t="str">
        <f t="shared" si="126"/>
        <v/>
      </c>
      <c r="P771" s="151" t="str">
        <f t="shared" si="127"/>
        <v/>
      </c>
      <c r="Q771" s="151" t="str">
        <f t="shared" si="128"/>
        <v/>
      </c>
      <c r="R771" s="150" t="str">
        <f t="shared" si="129"/>
        <v/>
      </c>
      <c r="S771" s="150" t="str">
        <f t="shared" si="130"/>
        <v/>
      </c>
      <c r="T771" s="150" t="str">
        <f t="shared" si="131"/>
        <v/>
      </c>
      <c r="U771" s="152"/>
      <c r="V771" s="143"/>
      <c r="W771" s="102"/>
      <c r="X771" s="102" t="str">
        <f t="shared" si="132"/>
        <v/>
      </c>
      <c r="Y771" s="102"/>
      <c r="Z771" s="102"/>
      <c r="AA771" s="102"/>
      <c r="AB771" s="102"/>
      <c r="AC771" s="102"/>
      <c r="AD771" s="102"/>
      <c r="AE771" s="102"/>
      <c r="AF771" s="102"/>
      <c r="AG771" s="102"/>
      <c r="AH771" s="102"/>
      <c r="AI771" s="102"/>
      <c r="AJ771" s="102"/>
      <c r="AK771" s="102"/>
      <c r="AL771" s="102"/>
      <c r="AM771" s="102"/>
    </row>
    <row r="772" spans="1:39">
      <c r="A772" s="143"/>
      <c r="B772" s="143"/>
      <c r="C772" s="155"/>
      <c r="D772" s="143"/>
      <c r="E772" s="146"/>
      <c r="F772" s="147"/>
      <c r="G772" s="147"/>
      <c r="H772" s="148"/>
      <c r="I772" s="143"/>
      <c r="J772" s="143"/>
      <c r="K772" s="149"/>
      <c r="L772" s="150" t="str">
        <f t="shared" si="123"/>
        <v/>
      </c>
      <c r="M772" s="150" t="str">
        <f t="shared" si="124"/>
        <v/>
      </c>
      <c r="N772" s="151" t="str">
        <f t="shared" si="125"/>
        <v/>
      </c>
      <c r="O772" s="151" t="str">
        <f t="shared" si="126"/>
        <v/>
      </c>
      <c r="P772" s="151" t="str">
        <f t="shared" si="127"/>
        <v/>
      </c>
      <c r="Q772" s="151" t="str">
        <f t="shared" si="128"/>
        <v/>
      </c>
      <c r="R772" s="150" t="str">
        <f t="shared" si="129"/>
        <v/>
      </c>
      <c r="S772" s="150" t="str">
        <f t="shared" si="130"/>
        <v/>
      </c>
      <c r="T772" s="150" t="str">
        <f t="shared" si="131"/>
        <v/>
      </c>
      <c r="U772" s="152"/>
      <c r="V772" s="143"/>
      <c r="W772" s="102"/>
      <c r="X772" s="102" t="str">
        <f t="shared" si="132"/>
        <v/>
      </c>
      <c r="Y772" s="102"/>
      <c r="Z772" s="102"/>
      <c r="AA772" s="102"/>
      <c r="AB772" s="102"/>
      <c r="AC772" s="102"/>
      <c r="AD772" s="102"/>
      <c r="AE772" s="102"/>
      <c r="AF772" s="102"/>
      <c r="AG772" s="102"/>
      <c r="AH772" s="102"/>
      <c r="AI772" s="102"/>
      <c r="AJ772" s="102"/>
      <c r="AK772" s="102"/>
      <c r="AL772" s="102"/>
      <c r="AM772" s="102"/>
    </row>
    <row r="773" spans="1:39">
      <c r="A773" s="143"/>
      <c r="B773" s="143"/>
      <c r="C773" s="155"/>
      <c r="D773" s="143"/>
      <c r="E773" s="146"/>
      <c r="F773" s="147"/>
      <c r="G773" s="147"/>
      <c r="H773" s="148"/>
      <c r="I773" s="143"/>
      <c r="J773" s="143"/>
      <c r="K773" s="149"/>
      <c r="L773" s="150" t="str">
        <f t="shared" si="123"/>
        <v/>
      </c>
      <c r="M773" s="150" t="str">
        <f t="shared" si="124"/>
        <v/>
      </c>
      <c r="N773" s="151" t="str">
        <f t="shared" si="125"/>
        <v/>
      </c>
      <c r="O773" s="151" t="str">
        <f t="shared" si="126"/>
        <v/>
      </c>
      <c r="P773" s="151" t="str">
        <f t="shared" si="127"/>
        <v/>
      </c>
      <c r="Q773" s="151" t="str">
        <f t="shared" si="128"/>
        <v/>
      </c>
      <c r="R773" s="150" t="str">
        <f t="shared" si="129"/>
        <v/>
      </c>
      <c r="S773" s="150" t="str">
        <f t="shared" si="130"/>
        <v/>
      </c>
      <c r="T773" s="150" t="str">
        <f t="shared" si="131"/>
        <v/>
      </c>
      <c r="U773" s="152"/>
      <c r="V773" s="143"/>
      <c r="W773" s="102"/>
      <c r="X773" s="102" t="str">
        <f t="shared" si="132"/>
        <v/>
      </c>
      <c r="Y773" s="102"/>
      <c r="Z773" s="102"/>
      <c r="AA773" s="102"/>
      <c r="AB773" s="102"/>
      <c r="AC773" s="102"/>
      <c r="AD773" s="102"/>
      <c r="AE773" s="102"/>
      <c r="AF773" s="102"/>
      <c r="AG773" s="102"/>
      <c r="AH773" s="102"/>
      <c r="AI773" s="102"/>
      <c r="AJ773" s="102"/>
      <c r="AK773" s="102"/>
      <c r="AL773" s="102"/>
      <c r="AM773" s="102"/>
    </row>
    <row r="774" spans="1:39">
      <c r="A774" s="143"/>
      <c r="B774" s="143"/>
      <c r="C774" s="155"/>
      <c r="D774" s="143"/>
      <c r="E774" s="146"/>
      <c r="F774" s="147"/>
      <c r="G774" s="147"/>
      <c r="H774" s="148"/>
      <c r="I774" s="143"/>
      <c r="J774" s="143"/>
      <c r="K774" s="149"/>
      <c r="L774" s="150" t="str">
        <f t="shared" si="123"/>
        <v/>
      </c>
      <c r="M774" s="150" t="str">
        <f t="shared" si="124"/>
        <v/>
      </c>
      <c r="N774" s="151" t="str">
        <f t="shared" si="125"/>
        <v/>
      </c>
      <c r="O774" s="151" t="str">
        <f t="shared" si="126"/>
        <v/>
      </c>
      <c r="P774" s="151" t="str">
        <f t="shared" si="127"/>
        <v/>
      </c>
      <c r="Q774" s="151" t="str">
        <f t="shared" si="128"/>
        <v/>
      </c>
      <c r="R774" s="150" t="str">
        <f t="shared" si="129"/>
        <v/>
      </c>
      <c r="S774" s="150" t="str">
        <f t="shared" si="130"/>
        <v/>
      </c>
      <c r="T774" s="150" t="str">
        <f t="shared" si="131"/>
        <v/>
      </c>
      <c r="U774" s="152"/>
      <c r="V774" s="143"/>
      <c r="W774" s="102"/>
      <c r="X774" s="102" t="str">
        <f t="shared" si="132"/>
        <v/>
      </c>
      <c r="Y774" s="102"/>
      <c r="Z774" s="102"/>
      <c r="AA774" s="102"/>
      <c r="AB774" s="102"/>
      <c r="AC774" s="102"/>
      <c r="AD774" s="102"/>
      <c r="AE774" s="102"/>
      <c r="AF774" s="102"/>
      <c r="AG774" s="102"/>
      <c r="AH774" s="102"/>
      <c r="AI774" s="102"/>
      <c r="AJ774" s="102"/>
      <c r="AK774" s="102"/>
      <c r="AL774" s="102"/>
      <c r="AM774" s="102"/>
    </row>
    <row r="775" spans="1:39">
      <c r="A775" s="143"/>
      <c r="B775" s="143"/>
      <c r="C775" s="155"/>
      <c r="D775" s="143"/>
      <c r="E775" s="146"/>
      <c r="F775" s="147"/>
      <c r="G775" s="147"/>
      <c r="H775" s="148"/>
      <c r="I775" s="143"/>
      <c r="J775" s="143"/>
      <c r="K775" s="149"/>
      <c r="L775" s="150" t="str">
        <f t="shared" si="123"/>
        <v/>
      </c>
      <c r="M775" s="150" t="str">
        <f t="shared" si="124"/>
        <v/>
      </c>
      <c r="N775" s="151" t="str">
        <f t="shared" si="125"/>
        <v/>
      </c>
      <c r="O775" s="151" t="str">
        <f t="shared" si="126"/>
        <v/>
      </c>
      <c r="P775" s="151" t="str">
        <f t="shared" si="127"/>
        <v/>
      </c>
      <c r="Q775" s="151" t="str">
        <f t="shared" si="128"/>
        <v/>
      </c>
      <c r="R775" s="150" t="str">
        <f t="shared" si="129"/>
        <v/>
      </c>
      <c r="S775" s="150" t="str">
        <f t="shared" si="130"/>
        <v/>
      </c>
      <c r="T775" s="150" t="str">
        <f t="shared" si="131"/>
        <v/>
      </c>
      <c r="U775" s="152"/>
      <c r="V775" s="143"/>
      <c r="W775" s="102"/>
      <c r="X775" s="102" t="str">
        <f t="shared" si="132"/>
        <v/>
      </c>
      <c r="Y775" s="102"/>
      <c r="Z775" s="102"/>
      <c r="AA775" s="102"/>
      <c r="AB775" s="102"/>
      <c r="AC775" s="102"/>
      <c r="AD775" s="102"/>
      <c r="AE775" s="102"/>
      <c r="AF775" s="102"/>
      <c r="AG775" s="102"/>
      <c r="AH775" s="102"/>
      <c r="AI775" s="102"/>
      <c r="AJ775" s="102"/>
      <c r="AK775" s="102"/>
      <c r="AL775" s="102"/>
      <c r="AM775" s="102"/>
    </row>
    <row r="776" spans="1:39">
      <c r="A776" s="143"/>
      <c r="B776" s="143"/>
      <c r="C776" s="155"/>
      <c r="D776" s="143"/>
      <c r="E776" s="146"/>
      <c r="F776" s="147"/>
      <c r="G776" s="147"/>
      <c r="H776" s="148"/>
      <c r="I776" s="143"/>
      <c r="J776" s="143"/>
      <c r="K776" s="149"/>
      <c r="L776" s="150" t="str">
        <f t="shared" si="123"/>
        <v/>
      </c>
      <c r="M776" s="150" t="str">
        <f t="shared" si="124"/>
        <v/>
      </c>
      <c r="N776" s="151" t="str">
        <f t="shared" si="125"/>
        <v/>
      </c>
      <c r="O776" s="151" t="str">
        <f t="shared" si="126"/>
        <v/>
      </c>
      <c r="P776" s="151" t="str">
        <f t="shared" si="127"/>
        <v/>
      </c>
      <c r="Q776" s="151" t="str">
        <f t="shared" si="128"/>
        <v/>
      </c>
      <c r="R776" s="150" t="str">
        <f t="shared" si="129"/>
        <v/>
      </c>
      <c r="S776" s="150" t="str">
        <f t="shared" si="130"/>
        <v/>
      </c>
      <c r="T776" s="150" t="str">
        <f t="shared" si="131"/>
        <v/>
      </c>
      <c r="U776" s="152"/>
      <c r="V776" s="143"/>
      <c r="W776" s="102"/>
      <c r="X776" s="102" t="str">
        <f t="shared" si="132"/>
        <v/>
      </c>
      <c r="Y776" s="102"/>
      <c r="Z776" s="102"/>
      <c r="AA776" s="102"/>
      <c r="AB776" s="102"/>
      <c r="AC776" s="102"/>
      <c r="AD776" s="102"/>
      <c r="AE776" s="102"/>
      <c r="AF776" s="102"/>
      <c r="AG776" s="102"/>
      <c r="AH776" s="102"/>
      <c r="AI776" s="102"/>
      <c r="AJ776" s="102"/>
      <c r="AK776" s="102"/>
      <c r="AL776" s="102"/>
      <c r="AM776" s="102"/>
    </row>
    <row r="777" spans="1:39">
      <c r="A777" s="143"/>
      <c r="B777" s="143"/>
      <c r="C777" s="155"/>
      <c r="D777" s="143"/>
      <c r="E777" s="146"/>
      <c r="F777" s="147"/>
      <c r="G777" s="147"/>
      <c r="H777" s="148"/>
      <c r="I777" s="143"/>
      <c r="J777" s="143"/>
      <c r="K777" s="149"/>
      <c r="L777" s="150" t="str">
        <f t="shared" si="123"/>
        <v/>
      </c>
      <c r="M777" s="150" t="str">
        <f t="shared" si="124"/>
        <v/>
      </c>
      <c r="N777" s="151" t="str">
        <f t="shared" si="125"/>
        <v/>
      </c>
      <c r="O777" s="151" t="str">
        <f t="shared" si="126"/>
        <v/>
      </c>
      <c r="P777" s="151" t="str">
        <f t="shared" si="127"/>
        <v/>
      </c>
      <c r="Q777" s="151" t="str">
        <f t="shared" si="128"/>
        <v/>
      </c>
      <c r="R777" s="150" t="str">
        <f t="shared" si="129"/>
        <v/>
      </c>
      <c r="S777" s="150" t="str">
        <f t="shared" si="130"/>
        <v/>
      </c>
      <c r="T777" s="150" t="str">
        <f t="shared" si="131"/>
        <v/>
      </c>
      <c r="U777" s="152"/>
      <c r="V777" s="143"/>
      <c r="W777" s="102"/>
      <c r="X777" s="102" t="str">
        <f t="shared" si="132"/>
        <v/>
      </c>
      <c r="Y777" s="102"/>
      <c r="Z777" s="102"/>
      <c r="AA777" s="102"/>
      <c r="AB777" s="102"/>
      <c r="AC777" s="102"/>
      <c r="AD777" s="102"/>
      <c r="AE777" s="102"/>
      <c r="AF777" s="102"/>
      <c r="AG777" s="102"/>
      <c r="AH777" s="102"/>
      <c r="AI777" s="102"/>
      <c r="AJ777" s="102"/>
      <c r="AK777" s="102"/>
      <c r="AL777" s="102"/>
      <c r="AM777" s="102"/>
    </row>
    <row r="778" spans="1:39">
      <c r="A778" s="143"/>
      <c r="B778" s="143"/>
      <c r="C778" s="155"/>
      <c r="D778" s="143"/>
      <c r="E778" s="146"/>
      <c r="F778" s="147"/>
      <c r="G778" s="147"/>
      <c r="H778" s="148"/>
      <c r="I778" s="143"/>
      <c r="J778" s="143"/>
      <c r="K778" s="149"/>
      <c r="L778" s="150" t="str">
        <f t="shared" ref="L778:L841" si="133">IF(K778="","",IF(K778="W",R778*J778-J778,IF(K778="L",-J778,0)))</f>
        <v/>
      </c>
      <c r="M778" s="150" t="str">
        <f t="shared" ref="M778:M841" si="134">IF(K778="","",IF(K778="W",S778*J778-J778,IF(K778="L",-J778,0)))</f>
        <v/>
      </c>
      <c r="N778" s="151" t="str">
        <f t="shared" ref="N778:N841" si="135">IFERROR((1/S778-1/R778)/(1/R778),"")</f>
        <v/>
      </c>
      <c r="O778" s="151" t="str">
        <f t="shared" ref="O778:O841" si="136">IFERROR(IF(Q778="","",P778 - Q778),"")</f>
        <v/>
      </c>
      <c r="P778" s="151" t="str">
        <f t="shared" ref="P778:P841" si="137">IF(F778="","",IF(F778 &lt; 0, -F778 / (-F778 + 100), 100 / (F778 + 100)))</f>
        <v/>
      </c>
      <c r="Q778" s="151" t="str">
        <f t="shared" ref="Q778:Q841" si="138">IFERROR((1/S778) / ((1/S778) + (1/T778)),"")</f>
        <v/>
      </c>
      <c r="R778" s="150" t="str">
        <f t="shared" ref="R778:R841" si="139">IFERROR(IF(G778&gt;0, G778/100 + 1, 100/ABS(G778) + 1),"")</f>
        <v/>
      </c>
      <c r="S778" s="150" t="str">
        <f t="shared" ref="S778:S841" si="140">IFERROR(IF(H778&gt;0, H778/100 + 1, 100/ABS(H778) + 1),"")</f>
        <v/>
      </c>
      <c r="T778" s="150" t="str">
        <f t="shared" ref="T778:T841" si="141">IFERROR(IF(I778&gt;0, I778/100 + 1, 100/ABS(I778) + 1),"")</f>
        <v/>
      </c>
      <c r="U778" s="152"/>
      <c r="V778" s="143"/>
      <c r="W778" s="102"/>
      <c r="X778" s="102" t="str">
        <f t="shared" ref="X778:X841" si="142">IF(B778=$D$3,U778,"")</f>
        <v/>
      </c>
      <c r="Y778" s="102"/>
      <c r="Z778" s="102"/>
      <c r="AA778" s="102"/>
      <c r="AB778" s="102"/>
      <c r="AC778" s="102"/>
      <c r="AD778" s="102"/>
      <c r="AE778" s="102"/>
      <c r="AF778" s="102"/>
      <c r="AG778" s="102"/>
      <c r="AH778" s="102"/>
      <c r="AI778" s="102"/>
      <c r="AJ778" s="102"/>
      <c r="AK778" s="102"/>
      <c r="AL778" s="102"/>
      <c r="AM778" s="102"/>
    </row>
    <row r="779" spans="1:39">
      <c r="A779" s="143"/>
      <c r="B779" s="143"/>
      <c r="C779" s="155"/>
      <c r="D779" s="143"/>
      <c r="E779" s="146"/>
      <c r="F779" s="147"/>
      <c r="G779" s="147"/>
      <c r="H779" s="148"/>
      <c r="I779" s="143"/>
      <c r="J779" s="143"/>
      <c r="K779" s="149"/>
      <c r="L779" s="150" t="str">
        <f t="shared" si="133"/>
        <v/>
      </c>
      <c r="M779" s="150" t="str">
        <f t="shared" si="134"/>
        <v/>
      </c>
      <c r="N779" s="151" t="str">
        <f t="shared" si="135"/>
        <v/>
      </c>
      <c r="O779" s="151" t="str">
        <f t="shared" si="136"/>
        <v/>
      </c>
      <c r="P779" s="151" t="str">
        <f t="shared" si="137"/>
        <v/>
      </c>
      <c r="Q779" s="151" t="str">
        <f t="shared" si="138"/>
        <v/>
      </c>
      <c r="R779" s="150" t="str">
        <f t="shared" si="139"/>
        <v/>
      </c>
      <c r="S779" s="150" t="str">
        <f t="shared" si="140"/>
        <v/>
      </c>
      <c r="T779" s="150" t="str">
        <f t="shared" si="141"/>
        <v/>
      </c>
      <c r="U779" s="152"/>
      <c r="V779" s="143"/>
      <c r="W779" s="102"/>
      <c r="X779" s="102" t="str">
        <f t="shared" si="142"/>
        <v/>
      </c>
      <c r="Y779" s="102"/>
      <c r="Z779" s="102"/>
      <c r="AA779" s="102"/>
      <c r="AB779" s="102"/>
      <c r="AC779" s="102"/>
      <c r="AD779" s="102"/>
      <c r="AE779" s="102"/>
      <c r="AF779" s="102"/>
      <c r="AG779" s="102"/>
      <c r="AH779" s="102"/>
      <c r="AI779" s="102"/>
      <c r="AJ779" s="102"/>
      <c r="AK779" s="102"/>
      <c r="AL779" s="102"/>
      <c r="AM779" s="102"/>
    </row>
    <row r="780" spans="1:39">
      <c r="A780" s="143"/>
      <c r="B780" s="143"/>
      <c r="C780" s="155"/>
      <c r="D780" s="143"/>
      <c r="E780" s="146"/>
      <c r="F780" s="147"/>
      <c r="G780" s="147"/>
      <c r="H780" s="148"/>
      <c r="I780" s="143"/>
      <c r="J780" s="143"/>
      <c r="K780" s="149"/>
      <c r="L780" s="150" t="str">
        <f t="shared" si="133"/>
        <v/>
      </c>
      <c r="M780" s="150" t="str">
        <f t="shared" si="134"/>
        <v/>
      </c>
      <c r="N780" s="151" t="str">
        <f t="shared" si="135"/>
        <v/>
      </c>
      <c r="O780" s="151" t="str">
        <f t="shared" si="136"/>
        <v/>
      </c>
      <c r="P780" s="151" t="str">
        <f t="shared" si="137"/>
        <v/>
      </c>
      <c r="Q780" s="151" t="str">
        <f t="shared" si="138"/>
        <v/>
      </c>
      <c r="R780" s="150" t="str">
        <f t="shared" si="139"/>
        <v/>
      </c>
      <c r="S780" s="150" t="str">
        <f t="shared" si="140"/>
        <v/>
      </c>
      <c r="T780" s="150" t="str">
        <f t="shared" si="141"/>
        <v/>
      </c>
      <c r="U780" s="152"/>
      <c r="V780" s="143"/>
      <c r="W780" s="102"/>
      <c r="X780" s="102" t="str">
        <f t="shared" si="142"/>
        <v/>
      </c>
      <c r="Y780" s="102"/>
      <c r="Z780" s="102"/>
      <c r="AA780" s="102"/>
      <c r="AB780" s="102"/>
      <c r="AC780" s="102"/>
      <c r="AD780" s="102"/>
      <c r="AE780" s="102"/>
      <c r="AF780" s="102"/>
      <c r="AG780" s="102"/>
      <c r="AH780" s="102"/>
      <c r="AI780" s="102"/>
      <c r="AJ780" s="102"/>
      <c r="AK780" s="102"/>
      <c r="AL780" s="102"/>
      <c r="AM780" s="102"/>
    </row>
    <row r="781" spans="1:39">
      <c r="A781" s="143"/>
      <c r="B781" s="143"/>
      <c r="C781" s="155"/>
      <c r="D781" s="143"/>
      <c r="E781" s="146"/>
      <c r="F781" s="147"/>
      <c r="G781" s="147"/>
      <c r="H781" s="148"/>
      <c r="I781" s="143"/>
      <c r="J781" s="143"/>
      <c r="K781" s="149"/>
      <c r="L781" s="150" t="str">
        <f t="shared" si="133"/>
        <v/>
      </c>
      <c r="M781" s="150" t="str">
        <f t="shared" si="134"/>
        <v/>
      </c>
      <c r="N781" s="151" t="str">
        <f t="shared" si="135"/>
        <v/>
      </c>
      <c r="O781" s="151" t="str">
        <f t="shared" si="136"/>
        <v/>
      </c>
      <c r="P781" s="151" t="str">
        <f t="shared" si="137"/>
        <v/>
      </c>
      <c r="Q781" s="151" t="str">
        <f t="shared" si="138"/>
        <v/>
      </c>
      <c r="R781" s="150" t="str">
        <f t="shared" si="139"/>
        <v/>
      </c>
      <c r="S781" s="150" t="str">
        <f t="shared" si="140"/>
        <v/>
      </c>
      <c r="T781" s="150" t="str">
        <f t="shared" si="141"/>
        <v/>
      </c>
      <c r="U781" s="152"/>
      <c r="V781" s="143"/>
      <c r="W781" s="102"/>
      <c r="X781" s="102" t="str">
        <f t="shared" si="142"/>
        <v/>
      </c>
      <c r="Y781" s="102"/>
      <c r="Z781" s="102"/>
      <c r="AA781" s="102"/>
      <c r="AB781" s="102"/>
      <c r="AC781" s="102"/>
      <c r="AD781" s="102"/>
      <c r="AE781" s="102"/>
      <c r="AF781" s="102"/>
      <c r="AG781" s="102"/>
      <c r="AH781" s="102"/>
      <c r="AI781" s="102"/>
      <c r="AJ781" s="102"/>
      <c r="AK781" s="102"/>
      <c r="AL781" s="102"/>
      <c r="AM781" s="102"/>
    </row>
    <row r="782" spans="1:39">
      <c r="A782" s="143"/>
      <c r="B782" s="143"/>
      <c r="C782" s="155"/>
      <c r="D782" s="143"/>
      <c r="E782" s="146"/>
      <c r="F782" s="147"/>
      <c r="G782" s="147"/>
      <c r="H782" s="148"/>
      <c r="I782" s="143"/>
      <c r="J782" s="143"/>
      <c r="K782" s="149"/>
      <c r="L782" s="150" t="str">
        <f t="shared" si="133"/>
        <v/>
      </c>
      <c r="M782" s="150" t="str">
        <f t="shared" si="134"/>
        <v/>
      </c>
      <c r="N782" s="151" t="str">
        <f t="shared" si="135"/>
        <v/>
      </c>
      <c r="O782" s="151" t="str">
        <f t="shared" si="136"/>
        <v/>
      </c>
      <c r="P782" s="151" t="str">
        <f t="shared" si="137"/>
        <v/>
      </c>
      <c r="Q782" s="151" t="str">
        <f t="shared" si="138"/>
        <v/>
      </c>
      <c r="R782" s="150" t="str">
        <f t="shared" si="139"/>
        <v/>
      </c>
      <c r="S782" s="150" t="str">
        <f t="shared" si="140"/>
        <v/>
      </c>
      <c r="T782" s="150" t="str">
        <f t="shared" si="141"/>
        <v/>
      </c>
      <c r="U782" s="152"/>
      <c r="V782" s="143"/>
      <c r="W782" s="102"/>
      <c r="X782" s="102" t="str">
        <f t="shared" si="142"/>
        <v/>
      </c>
      <c r="Y782" s="102"/>
      <c r="Z782" s="102"/>
      <c r="AA782" s="102"/>
      <c r="AB782" s="102"/>
      <c r="AC782" s="102"/>
      <c r="AD782" s="102"/>
      <c r="AE782" s="102"/>
      <c r="AF782" s="102"/>
      <c r="AG782" s="102"/>
      <c r="AH782" s="102"/>
      <c r="AI782" s="102"/>
      <c r="AJ782" s="102"/>
      <c r="AK782" s="102"/>
      <c r="AL782" s="102"/>
      <c r="AM782" s="102"/>
    </row>
    <row r="783" spans="1:39">
      <c r="A783" s="143"/>
      <c r="B783" s="143"/>
      <c r="C783" s="155"/>
      <c r="D783" s="143"/>
      <c r="E783" s="146"/>
      <c r="F783" s="147"/>
      <c r="G783" s="147"/>
      <c r="H783" s="148"/>
      <c r="I783" s="143"/>
      <c r="J783" s="143"/>
      <c r="K783" s="149"/>
      <c r="L783" s="150" t="str">
        <f t="shared" si="133"/>
        <v/>
      </c>
      <c r="M783" s="150" t="str">
        <f t="shared" si="134"/>
        <v/>
      </c>
      <c r="N783" s="151" t="str">
        <f t="shared" si="135"/>
        <v/>
      </c>
      <c r="O783" s="151" t="str">
        <f t="shared" si="136"/>
        <v/>
      </c>
      <c r="P783" s="151" t="str">
        <f t="shared" si="137"/>
        <v/>
      </c>
      <c r="Q783" s="151" t="str">
        <f t="shared" si="138"/>
        <v/>
      </c>
      <c r="R783" s="150" t="str">
        <f t="shared" si="139"/>
        <v/>
      </c>
      <c r="S783" s="150" t="str">
        <f t="shared" si="140"/>
        <v/>
      </c>
      <c r="T783" s="150" t="str">
        <f t="shared" si="141"/>
        <v/>
      </c>
      <c r="U783" s="152"/>
      <c r="V783" s="143"/>
      <c r="W783" s="102"/>
      <c r="X783" s="102" t="str">
        <f t="shared" si="142"/>
        <v/>
      </c>
      <c r="Y783" s="102"/>
      <c r="Z783" s="102"/>
      <c r="AA783" s="102"/>
      <c r="AB783" s="102"/>
      <c r="AC783" s="102"/>
      <c r="AD783" s="102"/>
      <c r="AE783" s="102"/>
      <c r="AF783" s="102"/>
      <c r="AG783" s="102"/>
      <c r="AH783" s="102"/>
      <c r="AI783" s="102"/>
      <c r="AJ783" s="102"/>
      <c r="AK783" s="102"/>
      <c r="AL783" s="102"/>
      <c r="AM783" s="102"/>
    </row>
    <row r="784" spans="1:39">
      <c r="A784" s="143"/>
      <c r="B784" s="143"/>
      <c r="C784" s="155"/>
      <c r="D784" s="143"/>
      <c r="E784" s="146"/>
      <c r="F784" s="147"/>
      <c r="G784" s="147"/>
      <c r="H784" s="148"/>
      <c r="I784" s="143"/>
      <c r="J784" s="143"/>
      <c r="K784" s="149"/>
      <c r="L784" s="150" t="str">
        <f t="shared" si="133"/>
        <v/>
      </c>
      <c r="M784" s="150" t="str">
        <f t="shared" si="134"/>
        <v/>
      </c>
      <c r="N784" s="151" t="str">
        <f t="shared" si="135"/>
        <v/>
      </c>
      <c r="O784" s="151" t="str">
        <f t="shared" si="136"/>
        <v/>
      </c>
      <c r="P784" s="151" t="str">
        <f t="shared" si="137"/>
        <v/>
      </c>
      <c r="Q784" s="151" t="str">
        <f t="shared" si="138"/>
        <v/>
      </c>
      <c r="R784" s="150" t="str">
        <f t="shared" si="139"/>
        <v/>
      </c>
      <c r="S784" s="150" t="str">
        <f t="shared" si="140"/>
        <v/>
      </c>
      <c r="T784" s="150" t="str">
        <f t="shared" si="141"/>
        <v/>
      </c>
      <c r="U784" s="152"/>
      <c r="V784" s="143"/>
      <c r="W784" s="102"/>
      <c r="X784" s="102" t="str">
        <f t="shared" si="142"/>
        <v/>
      </c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</row>
    <row r="785" spans="1:39">
      <c r="A785" s="143"/>
      <c r="B785" s="143"/>
      <c r="C785" s="155"/>
      <c r="D785" s="143"/>
      <c r="E785" s="146"/>
      <c r="F785" s="147"/>
      <c r="G785" s="147"/>
      <c r="H785" s="148"/>
      <c r="I785" s="143"/>
      <c r="J785" s="143"/>
      <c r="K785" s="149"/>
      <c r="L785" s="150" t="str">
        <f t="shared" si="133"/>
        <v/>
      </c>
      <c r="M785" s="150" t="str">
        <f t="shared" si="134"/>
        <v/>
      </c>
      <c r="N785" s="151" t="str">
        <f t="shared" si="135"/>
        <v/>
      </c>
      <c r="O785" s="151" t="str">
        <f t="shared" si="136"/>
        <v/>
      </c>
      <c r="P785" s="151" t="str">
        <f t="shared" si="137"/>
        <v/>
      </c>
      <c r="Q785" s="151" t="str">
        <f t="shared" si="138"/>
        <v/>
      </c>
      <c r="R785" s="150" t="str">
        <f t="shared" si="139"/>
        <v/>
      </c>
      <c r="S785" s="150" t="str">
        <f t="shared" si="140"/>
        <v/>
      </c>
      <c r="T785" s="150" t="str">
        <f t="shared" si="141"/>
        <v/>
      </c>
      <c r="U785" s="152"/>
      <c r="V785" s="143"/>
      <c r="W785" s="102"/>
      <c r="X785" s="102" t="str">
        <f t="shared" si="142"/>
        <v/>
      </c>
      <c r="Y785" s="102"/>
      <c r="Z785" s="102"/>
      <c r="AA785" s="102"/>
      <c r="AB785" s="102"/>
      <c r="AC785" s="102"/>
      <c r="AD785" s="102"/>
      <c r="AE785" s="102"/>
      <c r="AF785" s="102"/>
      <c r="AG785" s="102"/>
      <c r="AH785" s="102"/>
      <c r="AI785" s="102"/>
      <c r="AJ785" s="102"/>
      <c r="AK785" s="102"/>
      <c r="AL785" s="102"/>
      <c r="AM785" s="102"/>
    </row>
    <row r="786" spans="1:39">
      <c r="A786" s="143"/>
      <c r="B786" s="143"/>
      <c r="C786" s="155"/>
      <c r="D786" s="143"/>
      <c r="E786" s="146"/>
      <c r="F786" s="147"/>
      <c r="G786" s="147"/>
      <c r="H786" s="148"/>
      <c r="I786" s="143"/>
      <c r="J786" s="143"/>
      <c r="K786" s="149"/>
      <c r="L786" s="150" t="str">
        <f t="shared" si="133"/>
        <v/>
      </c>
      <c r="M786" s="150" t="str">
        <f t="shared" si="134"/>
        <v/>
      </c>
      <c r="N786" s="151" t="str">
        <f t="shared" si="135"/>
        <v/>
      </c>
      <c r="O786" s="151" t="str">
        <f t="shared" si="136"/>
        <v/>
      </c>
      <c r="P786" s="151" t="str">
        <f t="shared" si="137"/>
        <v/>
      </c>
      <c r="Q786" s="151" t="str">
        <f t="shared" si="138"/>
        <v/>
      </c>
      <c r="R786" s="150" t="str">
        <f t="shared" si="139"/>
        <v/>
      </c>
      <c r="S786" s="150" t="str">
        <f t="shared" si="140"/>
        <v/>
      </c>
      <c r="T786" s="150" t="str">
        <f t="shared" si="141"/>
        <v/>
      </c>
      <c r="U786" s="152"/>
      <c r="V786" s="143"/>
      <c r="W786" s="102"/>
      <c r="X786" s="102" t="str">
        <f t="shared" si="142"/>
        <v/>
      </c>
      <c r="Y786" s="102"/>
      <c r="Z786" s="102"/>
      <c r="AA786" s="102"/>
      <c r="AB786" s="102"/>
      <c r="AC786" s="102"/>
      <c r="AD786" s="102"/>
      <c r="AE786" s="102"/>
      <c r="AF786" s="102"/>
      <c r="AG786" s="102"/>
      <c r="AH786" s="102"/>
      <c r="AI786" s="102"/>
      <c r="AJ786" s="102"/>
      <c r="AK786" s="102"/>
      <c r="AL786" s="102"/>
      <c r="AM786" s="102"/>
    </row>
    <row r="787" spans="1:39">
      <c r="A787" s="143"/>
      <c r="B787" s="143"/>
      <c r="C787" s="155"/>
      <c r="D787" s="143"/>
      <c r="E787" s="146"/>
      <c r="F787" s="147"/>
      <c r="G787" s="147"/>
      <c r="H787" s="148"/>
      <c r="I787" s="143"/>
      <c r="J787" s="143"/>
      <c r="K787" s="149"/>
      <c r="L787" s="150" t="str">
        <f t="shared" si="133"/>
        <v/>
      </c>
      <c r="M787" s="150" t="str">
        <f t="shared" si="134"/>
        <v/>
      </c>
      <c r="N787" s="151" t="str">
        <f t="shared" si="135"/>
        <v/>
      </c>
      <c r="O787" s="151" t="str">
        <f t="shared" si="136"/>
        <v/>
      </c>
      <c r="P787" s="151" t="str">
        <f t="shared" si="137"/>
        <v/>
      </c>
      <c r="Q787" s="151" t="str">
        <f t="shared" si="138"/>
        <v/>
      </c>
      <c r="R787" s="150" t="str">
        <f t="shared" si="139"/>
        <v/>
      </c>
      <c r="S787" s="150" t="str">
        <f t="shared" si="140"/>
        <v/>
      </c>
      <c r="T787" s="150" t="str">
        <f t="shared" si="141"/>
        <v/>
      </c>
      <c r="U787" s="152"/>
      <c r="V787" s="143"/>
      <c r="W787" s="102"/>
      <c r="X787" s="102" t="str">
        <f t="shared" si="142"/>
        <v/>
      </c>
      <c r="Y787" s="102"/>
      <c r="Z787" s="102"/>
      <c r="AA787" s="102"/>
      <c r="AB787" s="102"/>
      <c r="AC787" s="102"/>
      <c r="AD787" s="102"/>
      <c r="AE787" s="102"/>
      <c r="AF787" s="102"/>
      <c r="AG787" s="102"/>
      <c r="AH787" s="102"/>
      <c r="AI787" s="102"/>
      <c r="AJ787" s="102"/>
      <c r="AK787" s="102"/>
      <c r="AL787" s="102"/>
      <c r="AM787" s="102"/>
    </row>
    <row r="788" spans="1:39">
      <c r="A788" s="143"/>
      <c r="B788" s="143"/>
      <c r="C788" s="155"/>
      <c r="D788" s="143"/>
      <c r="E788" s="146"/>
      <c r="F788" s="147"/>
      <c r="G788" s="147"/>
      <c r="H788" s="148"/>
      <c r="I788" s="143"/>
      <c r="J788" s="143"/>
      <c r="K788" s="149"/>
      <c r="L788" s="150" t="str">
        <f t="shared" si="133"/>
        <v/>
      </c>
      <c r="M788" s="150" t="str">
        <f t="shared" si="134"/>
        <v/>
      </c>
      <c r="N788" s="151" t="str">
        <f t="shared" si="135"/>
        <v/>
      </c>
      <c r="O788" s="151" t="str">
        <f t="shared" si="136"/>
        <v/>
      </c>
      <c r="P788" s="151" t="str">
        <f t="shared" si="137"/>
        <v/>
      </c>
      <c r="Q788" s="151" t="str">
        <f t="shared" si="138"/>
        <v/>
      </c>
      <c r="R788" s="150" t="str">
        <f t="shared" si="139"/>
        <v/>
      </c>
      <c r="S788" s="150" t="str">
        <f t="shared" si="140"/>
        <v/>
      </c>
      <c r="T788" s="150" t="str">
        <f t="shared" si="141"/>
        <v/>
      </c>
      <c r="U788" s="152"/>
      <c r="V788" s="143"/>
      <c r="W788" s="102"/>
      <c r="X788" s="102" t="str">
        <f t="shared" si="142"/>
        <v/>
      </c>
      <c r="Y788" s="102"/>
      <c r="Z788" s="102"/>
      <c r="AA788" s="102"/>
      <c r="AB788" s="102"/>
      <c r="AC788" s="102"/>
      <c r="AD788" s="102"/>
      <c r="AE788" s="102"/>
      <c r="AF788" s="102"/>
      <c r="AG788" s="102"/>
      <c r="AH788" s="102"/>
      <c r="AI788" s="102"/>
      <c r="AJ788" s="102"/>
      <c r="AK788" s="102"/>
      <c r="AL788" s="102"/>
      <c r="AM788" s="102"/>
    </row>
    <row r="789" spans="1:39">
      <c r="A789" s="143"/>
      <c r="B789" s="143"/>
      <c r="C789" s="155"/>
      <c r="D789" s="143"/>
      <c r="E789" s="146"/>
      <c r="F789" s="147"/>
      <c r="G789" s="147"/>
      <c r="H789" s="148"/>
      <c r="I789" s="143"/>
      <c r="J789" s="143"/>
      <c r="K789" s="149"/>
      <c r="L789" s="150" t="str">
        <f t="shared" si="133"/>
        <v/>
      </c>
      <c r="M789" s="150" t="str">
        <f t="shared" si="134"/>
        <v/>
      </c>
      <c r="N789" s="151" t="str">
        <f t="shared" si="135"/>
        <v/>
      </c>
      <c r="O789" s="151" t="str">
        <f t="shared" si="136"/>
        <v/>
      </c>
      <c r="P789" s="151" t="str">
        <f t="shared" si="137"/>
        <v/>
      </c>
      <c r="Q789" s="151" t="str">
        <f t="shared" si="138"/>
        <v/>
      </c>
      <c r="R789" s="150" t="str">
        <f t="shared" si="139"/>
        <v/>
      </c>
      <c r="S789" s="150" t="str">
        <f t="shared" si="140"/>
        <v/>
      </c>
      <c r="T789" s="150" t="str">
        <f t="shared" si="141"/>
        <v/>
      </c>
      <c r="U789" s="152"/>
      <c r="V789" s="143"/>
      <c r="W789" s="102"/>
      <c r="X789" s="102" t="str">
        <f t="shared" si="142"/>
        <v/>
      </c>
      <c r="Y789" s="102"/>
      <c r="Z789" s="102"/>
      <c r="AA789" s="102"/>
      <c r="AB789" s="102"/>
      <c r="AC789" s="102"/>
      <c r="AD789" s="102"/>
      <c r="AE789" s="102"/>
      <c r="AF789" s="102"/>
      <c r="AG789" s="102"/>
      <c r="AH789" s="102"/>
      <c r="AI789" s="102"/>
      <c r="AJ789" s="102"/>
      <c r="AK789" s="102"/>
      <c r="AL789" s="102"/>
      <c r="AM789" s="102"/>
    </row>
    <row r="790" spans="1:39">
      <c r="A790" s="143"/>
      <c r="B790" s="143"/>
      <c r="C790" s="155"/>
      <c r="D790" s="143"/>
      <c r="E790" s="146"/>
      <c r="F790" s="147"/>
      <c r="G790" s="147"/>
      <c r="H790" s="148"/>
      <c r="I790" s="143"/>
      <c r="J790" s="143"/>
      <c r="K790" s="149"/>
      <c r="L790" s="150" t="str">
        <f t="shared" si="133"/>
        <v/>
      </c>
      <c r="M790" s="150" t="str">
        <f t="shared" si="134"/>
        <v/>
      </c>
      <c r="N790" s="151" t="str">
        <f t="shared" si="135"/>
        <v/>
      </c>
      <c r="O790" s="151" t="str">
        <f t="shared" si="136"/>
        <v/>
      </c>
      <c r="P790" s="151" t="str">
        <f t="shared" si="137"/>
        <v/>
      </c>
      <c r="Q790" s="151" t="str">
        <f t="shared" si="138"/>
        <v/>
      </c>
      <c r="R790" s="150" t="str">
        <f t="shared" si="139"/>
        <v/>
      </c>
      <c r="S790" s="150" t="str">
        <f t="shared" si="140"/>
        <v/>
      </c>
      <c r="T790" s="150" t="str">
        <f t="shared" si="141"/>
        <v/>
      </c>
      <c r="U790" s="152"/>
      <c r="V790" s="143"/>
      <c r="W790" s="102"/>
      <c r="X790" s="102" t="str">
        <f t="shared" si="142"/>
        <v/>
      </c>
      <c r="Y790" s="102"/>
      <c r="Z790" s="102"/>
      <c r="AA790" s="102"/>
      <c r="AB790" s="102"/>
      <c r="AC790" s="102"/>
      <c r="AD790" s="102"/>
      <c r="AE790" s="102"/>
      <c r="AF790" s="102"/>
      <c r="AG790" s="102"/>
      <c r="AH790" s="102"/>
      <c r="AI790" s="102"/>
      <c r="AJ790" s="102"/>
      <c r="AK790" s="102"/>
      <c r="AL790" s="102"/>
      <c r="AM790" s="102"/>
    </row>
    <row r="791" spans="1:39">
      <c r="A791" s="143"/>
      <c r="B791" s="143"/>
      <c r="C791" s="155"/>
      <c r="D791" s="143"/>
      <c r="E791" s="146"/>
      <c r="F791" s="147"/>
      <c r="G791" s="147"/>
      <c r="H791" s="148"/>
      <c r="I791" s="143"/>
      <c r="J791" s="143"/>
      <c r="K791" s="149"/>
      <c r="L791" s="150" t="str">
        <f t="shared" si="133"/>
        <v/>
      </c>
      <c r="M791" s="150" t="str">
        <f t="shared" si="134"/>
        <v/>
      </c>
      <c r="N791" s="151" t="str">
        <f t="shared" si="135"/>
        <v/>
      </c>
      <c r="O791" s="151" t="str">
        <f t="shared" si="136"/>
        <v/>
      </c>
      <c r="P791" s="151" t="str">
        <f t="shared" si="137"/>
        <v/>
      </c>
      <c r="Q791" s="151" t="str">
        <f t="shared" si="138"/>
        <v/>
      </c>
      <c r="R791" s="150" t="str">
        <f t="shared" si="139"/>
        <v/>
      </c>
      <c r="S791" s="150" t="str">
        <f t="shared" si="140"/>
        <v/>
      </c>
      <c r="T791" s="150" t="str">
        <f t="shared" si="141"/>
        <v/>
      </c>
      <c r="U791" s="152"/>
      <c r="V791" s="143"/>
      <c r="W791" s="102"/>
      <c r="X791" s="102" t="str">
        <f t="shared" si="142"/>
        <v/>
      </c>
      <c r="Y791" s="102"/>
      <c r="Z791" s="102"/>
      <c r="AA791" s="102"/>
      <c r="AB791" s="102"/>
      <c r="AC791" s="102"/>
      <c r="AD791" s="102"/>
      <c r="AE791" s="102"/>
      <c r="AF791" s="102"/>
      <c r="AG791" s="102"/>
      <c r="AH791" s="102"/>
      <c r="AI791" s="102"/>
      <c r="AJ791" s="102"/>
      <c r="AK791" s="102"/>
      <c r="AL791" s="102"/>
      <c r="AM791" s="102"/>
    </row>
    <row r="792" spans="1:39">
      <c r="A792" s="143"/>
      <c r="B792" s="143"/>
      <c r="C792" s="155"/>
      <c r="D792" s="143"/>
      <c r="E792" s="146"/>
      <c r="F792" s="147"/>
      <c r="G792" s="147"/>
      <c r="H792" s="148"/>
      <c r="I792" s="143"/>
      <c r="J792" s="143"/>
      <c r="K792" s="149"/>
      <c r="L792" s="150" t="str">
        <f t="shared" si="133"/>
        <v/>
      </c>
      <c r="M792" s="150" t="str">
        <f t="shared" si="134"/>
        <v/>
      </c>
      <c r="N792" s="151" t="str">
        <f t="shared" si="135"/>
        <v/>
      </c>
      <c r="O792" s="151" t="str">
        <f t="shared" si="136"/>
        <v/>
      </c>
      <c r="P792" s="151" t="str">
        <f t="shared" si="137"/>
        <v/>
      </c>
      <c r="Q792" s="151" t="str">
        <f t="shared" si="138"/>
        <v/>
      </c>
      <c r="R792" s="150" t="str">
        <f t="shared" si="139"/>
        <v/>
      </c>
      <c r="S792" s="150" t="str">
        <f t="shared" si="140"/>
        <v/>
      </c>
      <c r="T792" s="150" t="str">
        <f t="shared" si="141"/>
        <v/>
      </c>
      <c r="U792" s="152"/>
      <c r="V792" s="143"/>
      <c r="W792" s="102"/>
      <c r="X792" s="102" t="str">
        <f t="shared" si="142"/>
        <v/>
      </c>
      <c r="Y792" s="102"/>
      <c r="Z792" s="102"/>
      <c r="AA792" s="102"/>
      <c r="AB792" s="102"/>
      <c r="AC792" s="102"/>
      <c r="AD792" s="102"/>
      <c r="AE792" s="102"/>
      <c r="AF792" s="102"/>
      <c r="AG792" s="102"/>
      <c r="AH792" s="102"/>
      <c r="AI792" s="102"/>
      <c r="AJ792" s="102"/>
      <c r="AK792" s="102"/>
      <c r="AL792" s="102"/>
      <c r="AM792" s="102"/>
    </row>
    <row r="793" spans="1:39">
      <c r="A793" s="143"/>
      <c r="B793" s="143"/>
      <c r="C793" s="155"/>
      <c r="D793" s="143"/>
      <c r="E793" s="146"/>
      <c r="F793" s="147"/>
      <c r="G793" s="147"/>
      <c r="H793" s="148"/>
      <c r="I793" s="143"/>
      <c r="J793" s="143"/>
      <c r="K793" s="149"/>
      <c r="L793" s="150" t="str">
        <f t="shared" si="133"/>
        <v/>
      </c>
      <c r="M793" s="150" t="str">
        <f t="shared" si="134"/>
        <v/>
      </c>
      <c r="N793" s="151" t="str">
        <f t="shared" si="135"/>
        <v/>
      </c>
      <c r="O793" s="151" t="str">
        <f t="shared" si="136"/>
        <v/>
      </c>
      <c r="P793" s="151" t="str">
        <f t="shared" si="137"/>
        <v/>
      </c>
      <c r="Q793" s="151" t="str">
        <f t="shared" si="138"/>
        <v/>
      </c>
      <c r="R793" s="150" t="str">
        <f t="shared" si="139"/>
        <v/>
      </c>
      <c r="S793" s="150" t="str">
        <f t="shared" si="140"/>
        <v/>
      </c>
      <c r="T793" s="150" t="str">
        <f t="shared" si="141"/>
        <v/>
      </c>
      <c r="U793" s="152"/>
      <c r="V793" s="143"/>
      <c r="W793" s="102"/>
      <c r="X793" s="102" t="str">
        <f t="shared" si="142"/>
        <v/>
      </c>
      <c r="Y793" s="102"/>
      <c r="Z793" s="102"/>
      <c r="AA793" s="102"/>
      <c r="AB793" s="102"/>
      <c r="AC793" s="102"/>
      <c r="AD793" s="102"/>
      <c r="AE793" s="102"/>
      <c r="AF793" s="102"/>
      <c r="AG793" s="102"/>
      <c r="AH793" s="102"/>
      <c r="AI793" s="102"/>
      <c r="AJ793" s="102"/>
      <c r="AK793" s="102"/>
      <c r="AL793" s="102"/>
      <c r="AM793" s="102"/>
    </row>
    <row r="794" spans="1:39">
      <c r="A794" s="143"/>
      <c r="B794" s="143"/>
      <c r="C794" s="155"/>
      <c r="D794" s="143"/>
      <c r="E794" s="146"/>
      <c r="F794" s="147"/>
      <c r="G794" s="147"/>
      <c r="H794" s="148"/>
      <c r="I794" s="143"/>
      <c r="J794" s="143"/>
      <c r="K794" s="149"/>
      <c r="L794" s="150" t="str">
        <f t="shared" si="133"/>
        <v/>
      </c>
      <c r="M794" s="150" t="str">
        <f t="shared" si="134"/>
        <v/>
      </c>
      <c r="N794" s="151" t="str">
        <f t="shared" si="135"/>
        <v/>
      </c>
      <c r="O794" s="151" t="str">
        <f t="shared" si="136"/>
        <v/>
      </c>
      <c r="P794" s="151" t="str">
        <f t="shared" si="137"/>
        <v/>
      </c>
      <c r="Q794" s="151" t="str">
        <f t="shared" si="138"/>
        <v/>
      </c>
      <c r="R794" s="150" t="str">
        <f t="shared" si="139"/>
        <v/>
      </c>
      <c r="S794" s="150" t="str">
        <f t="shared" si="140"/>
        <v/>
      </c>
      <c r="T794" s="150" t="str">
        <f t="shared" si="141"/>
        <v/>
      </c>
      <c r="U794" s="152"/>
      <c r="V794" s="143"/>
      <c r="W794" s="102"/>
      <c r="X794" s="102" t="str">
        <f t="shared" si="142"/>
        <v/>
      </c>
      <c r="Y794" s="102"/>
      <c r="Z794" s="102"/>
      <c r="AA794" s="102"/>
      <c r="AB794" s="102"/>
      <c r="AC794" s="102"/>
      <c r="AD794" s="102"/>
      <c r="AE794" s="102"/>
      <c r="AF794" s="102"/>
      <c r="AG794" s="102"/>
      <c r="AH794" s="102"/>
      <c r="AI794" s="102"/>
      <c r="AJ794" s="102"/>
      <c r="AK794" s="102"/>
      <c r="AL794" s="102"/>
      <c r="AM794" s="102"/>
    </row>
    <row r="795" spans="1:39">
      <c r="A795" s="143"/>
      <c r="B795" s="143"/>
      <c r="C795" s="155"/>
      <c r="D795" s="143"/>
      <c r="E795" s="146"/>
      <c r="F795" s="147"/>
      <c r="G795" s="147"/>
      <c r="H795" s="148"/>
      <c r="I795" s="143"/>
      <c r="J795" s="143"/>
      <c r="K795" s="149"/>
      <c r="L795" s="150" t="str">
        <f t="shared" si="133"/>
        <v/>
      </c>
      <c r="M795" s="150" t="str">
        <f t="shared" si="134"/>
        <v/>
      </c>
      <c r="N795" s="151" t="str">
        <f t="shared" si="135"/>
        <v/>
      </c>
      <c r="O795" s="151" t="str">
        <f t="shared" si="136"/>
        <v/>
      </c>
      <c r="P795" s="151" t="str">
        <f t="shared" si="137"/>
        <v/>
      </c>
      <c r="Q795" s="151" t="str">
        <f t="shared" si="138"/>
        <v/>
      </c>
      <c r="R795" s="150" t="str">
        <f t="shared" si="139"/>
        <v/>
      </c>
      <c r="S795" s="150" t="str">
        <f t="shared" si="140"/>
        <v/>
      </c>
      <c r="T795" s="150" t="str">
        <f t="shared" si="141"/>
        <v/>
      </c>
      <c r="U795" s="152"/>
      <c r="V795" s="143"/>
      <c r="W795" s="102"/>
      <c r="X795" s="102" t="str">
        <f t="shared" si="142"/>
        <v/>
      </c>
      <c r="Y795" s="102"/>
      <c r="Z795" s="102"/>
      <c r="AA795" s="102"/>
      <c r="AB795" s="102"/>
      <c r="AC795" s="102"/>
      <c r="AD795" s="102"/>
      <c r="AE795" s="102"/>
      <c r="AF795" s="102"/>
      <c r="AG795" s="102"/>
      <c r="AH795" s="102"/>
      <c r="AI795" s="102"/>
      <c r="AJ795" s="102"/>
      <c r="AK795" s="102"/>
      <c r="AL795" s="102"/>
      <c r="AM795" s="102"/>
    </row>
    <row r="796" spans="1:39">
      <c r="A796" s="143"/>
      <c r="B796" s="143"/>
      <c r="C796" s="155"/>
      <c r="D796" s="143"/>
      <c r="E796" s="146"/>
      <c r="F796" s="147"/>
      <c r="G796" s="147"/>
      <c r="H796" s="148"/>
      <c r="I796" s="143"/>
      <c r="J796" s="143"/>
      <c r="K796" s="149"/>
      <c r="L796" s="150" t="str">
        <f t="shared" si="133"/>
        <v/>
      </c>
      <c r="M796" s="150" t="str">
        <f t="shared" si="134"/>
        <v/>
      </c>
      <c r="N796" s="151" t="str">
        <f t="shared" si="135"/>
        <v/>
      </c>
      <c r="O796" s="151" t="str">
        <f t="shared" si="136"/>
        <v/>
      </c>
      <c r="P796" s="151" t="str">
        <f t="shared" si="137"/>
        <v/>
      </c>
      <c r="Q796" s="151" t="str">
        <f t="shared" si="138"/>
        <v/>
      </c>
      <c r="R796" s="150" t="str">
        <f t="shared" si="139"/>
        <v/>
      </c>
      <c r="S796" s="150" t="str">
        <f t="shared" si="140"/>
        <v/>
      </c>
      <c r="T796" s="150" t="str">
        <f t="shared" si="141"/>
        <v/>
      </c>
      <c r="U796" s="152"/>
      <c r="V796" s="143"/>
      <c r="W796" s="102"/>
      <c r="X796" s="102" t="str">
        <f t="shared" si="142"/>
        <v/>
      </c>
      <c r="Y796" s="102"/>
      <c r="Z796" s="102"/>
      <c r="AA796" s="102"/>
      <c r="AB796" s="102"/>
      <c r="AC796" s="102"/>
      <c r="AD796" s="102"/>
      <c r="AE796" s="102"/>
      <c r="AF796" s="102"/>
      <c r="AG796" s="102"/>
      <c r="AH796" s="102"/>
      <c r="AI796" s="102"/>
      <c r="AJ796" s="102"/>
      <c r="AK796" s="102"/>
      <c r="AL796" s="102"/>
      <c r="AM796" s="102"/>
    </row>
    <row r="797" spans="1:39">
      <c r="A797" s="143"/>
      <c r="B797" s="143"/>
      <c r="C797" s="155"/>
      <c r="D797" s="143"/>
      <c r="E797" s="146"/>
      <c r="F797" s="147"/>
      <c r="G797" s="147"/>
      <c r="H797" s="148"/>
      <c r="I797" s="143"/>
      <c r="J797" s="143"/>
      <c r="K797" s="149"/>
      <c r="L797" s="150" t="str">
        <f t="shared" si="133"/>
        <v/>
      </c>
      <c r="M797" s="150" t="str">
        <f t="shared" si="134"/>
        <v/>
      </c>
      <c r="N797" s="151" t="str">
        <f t="shared" si="135"/>
        <v/>
      </c>
      <c r="O797" s="151" t="str">
        <f t="shared" si="136"/>
        <v/>
      </c>
      <c r="P797" s="151" t="str">
        <f t="shared" si="137"/>
        <v/>
      </c>
      <c r="Q797" s="151" t="str">
        <f t="shared" si="138"/>
        <v/>
      </c>
      <c r="R797" s="150" t="str">
        <f t="shared" si="139"/>
        <v/>
      </c>
      <c r="S797" s="150" t="str">
        <f t="shared" si="140"/>
        <v/>
      </c>
      <c r="T797" s="150" t="str">
        <f t="shared" si="141"/>
        <v/>
      </c>
      <c r="U797" s="152"/>
      <c r="V797" s="143"/>
      <c r="W797" s="102"/>
      <c r="X797" s="102" t="str">
        <f t="shared" si="142"/>
        <v/>
      </c>
      <c r="Y797" s="102"/>
      <c r="Z797" s="102"/>
      <c r="AA797" s="102"/>
      <c r="AB797" s="102"/>
      <c r="AC797" s="102"/>
      <c r="AD797" s="102"/>
      <c r="AE797" s="102"/>
      <c r="AF797" s="102"/>
      <c r="AG797" s="102"/>
      <c r="AH797" s="102"/>
      <c r="AI797" s="102"/>
      <c r="AJ797" s="102"/>
      <c r="AK797" s="102"/>
      <c r="AL797" s="102"/>
      <c r="AM797" s="102"/>
    </row>
    <row r="798" spans="1:39">
      <c r="A798" s="143"/>
      <c r="B798" s="143"/>
      <c r="C798" s="155"/>
      <c r="D798" s="143"/>
      <c r="E798" s="146"/>
      <c r="F798" s="147"/>
      <c r="G798" s="147"/>
      <c r="H798" s="148"/>
      <c r="I798" s="143"/>
      <c r="J798" s="143"/>
      <c r="K798" s="149"/>
      <c r="L798" s="150" t="str">
        <f t="shared" si="133"/>
        <v/>
      </c>
      <c r="M798" s="150" t="str">
        <f t="shared" si="134"/>
        <v/>
      </c>
      <c r="N798" s="151" t="str">
        <f t="shared" si="135"/>
        <v/>
      </c>
      <c r="O798" s="151" t="str">
        <f t="shared" si="136"/>
        <v/>
      </c>
      <c r="P798" s="151" t="str">
        <f t="shared" si="137"/>
        <v/>
      </c>
      <c r="Q798" s="151" t="str">
        <f t="shared" si="138"/>
        <v/>
      </c>
      <c r="R798" s="150" t="str">
        <f t="shared" si="139"/>
        <v/>
      </c>
      <c r="S798" s="150" t="str">
        <f t="shared" si="140"/>
        <v/>
      </c>
      <c r="T798" s="150" t="str">
        <f t="shared" si="141"/>
        <v/>
      </c>
      <c r="U798" s="152"/>
      <c r="V798" s="143"/>
      <c r="W798" s="102"/>
      <c r="X798" s="102" t="str">
        <f t="shared" si="142"/>
        <v/>
      </c>
      <c r="Y798" s="102"/>
      <c r="Z798" s="102"/>
      <c r="AA798" s="102"/>
      <c r="AB798" s="102"/>
      <c r="AC798" s="102"/>
      <c r="AD798" s="102"/>
      <c r="AE798" s="102"/>
      <c r="AF798" s="102"/>
      <c r="AG798" s="102"/>
      <c r="AH798" s="102"/>
      <c r="AI798" s="102"/>
      <c r="AJ798" s="102"/>
      <c r="AK798" s="102"/>
      <c r="AL798" s="102"/>
      <c r="AM798" s="102"/>
    </row>
    <row r="799" spans="1:39">
      <c r="A799" s="143"/>
      <c r="B799" s="143"/>
      <c r="C799" s="155"/>
      <c r="D799" s="143"/>
      <c r="E799" s="146"/>
      <c r="F799" s="147"/>
      <c r="G799" s="147"/>
      <c r="H799" s="148"/>
      <c r="I799" s="143"/>
      <c r="J799" s="143"/>
      <c r="K799" s="149"/>
      <c r="L799" s="150" t="str">
        <f t="shared" si="133"/>
        <v/>
      </c>
      <c r="M799" s="150" t="str">
        <f t="shared" si="134"/>
        <v/>
      </c>
      <c r="N799" s="151" t="str">
        <f t="shared" si="135"/>
        <v/>
      </c>
      <c r="O799" s="151" t="str">
        <f t="shared" si="136"/>
        <v/>
      </c>
      <c r="P799" s="151" t="str">
        <f t="shared" si="137"/>
        <v/>
      </c>
      <c r="Q799" s="151" t="str">
        <f t="shared" si="138"/>
        <v/>
      </c>
      <c r="R799" s="150" t="str">
        <f t="shared" si="139"/>
        <v/>
      </c>
      <c r="S799" s="150" t="str">
        <f t="shared" si="140"/>
        <v/>
      </c>
      <c r="T799" s="150" t="str">
        <f t="shared" si="141"/>
        <v/>
      </c>
      <c r="U799" s="152"/>
      <c r="V799" s="143"/>
      <c r="W799" s="102"/>
      <c r="X799" s="102" t="str">
        <f t="shared" si="142"/>
        <v/>
      </c>
      <c r="Y799" s="102"/>
      <c r="Z799" s="102"/>
      <c r="AA799" s="102"/>
      <c r="AB799" s="102"/>
      <c r="AC799" s="102"/>
      <c r="AD799" s="102"/>
      <c r="AE799" s="102"/>
      <c r="AF799" s="102"/>
      <c r="AG799" s="102"/>
      <c r="AH799" s="102"/>
      <c r="AI799" s="102"/>
      <c r="AJ799" s="102"/>
      <c r="AK799" s="102"/>
      <c r="AL799" s="102"/>
      <c r="AM799" s="102"/>
    </row>
    <row r="800" spans="1:39">
      <c r="A800" s="143"/>
      <c r="B800" s="143"/>
      <c r="C800" s="155"/>
      <c r="D800" s="143"/>
      <c r="E800" s="146"/>
      <c r="F800" s="147"/>
      <c r="G800" s="147"/>
      <c r="H800" s="148"/>
      <c r="I800" s="143"/>
      <c r="J800" s="143"/>
      <c r="K800" s="149"/>
      <c r="L800" s="150" t="str">
        <f t="shared" si="133"/>
        <v/>
      </c>
      <c r="M800" s="150" t="str">
        <f t="shared" si="134"/>
        <v/>
      </c>
      <c r="N800" s="151" t="str">
        <f t="shared" si="135"/>
        <v/>
      </c>
      <c r="O800" s="151" t="str">
        <f t="shared" si="136"/>
        <v/>
      </c>
      <c r="P800" s="151" t="str">
        <f t="shared" si="137"/>
        <v/>
      </c>
      <c r="Q800" s="151" t="str">
        <f t="shared" si="138"/>
        <v/>
      </c>
      <c r="R800" s="150" t="str">
        <f t="shared" si="139"/>
        <v/>
      </c>
      <c r="S800" s="150" t="str">
        <f t="shared" si="140"/>
        <v/>
      </c>
      <c r="T800" s="150" t="str">
        <f t="shared" si="141"/>
        <v/>
      </c>
      <c r="U800" s="152"/>
      <c r="V800" s="143"/>
      <c r="W800" s="102"/>
      <c r="X800" s="102" t="str">
        <f t="shared" si="142"/>
        <v/>
      </c>
      <c r="Y800" s="102"/>
      <c r="Z800" s="102"/>
      <c r="AA800" s="102"/>
      <c r="AB800" s="102"/>
      <c r="AC800" s="102"/>
      <c r="AD800" s="102"/>
      <c r="AE800" s="102"/>
      <c r="AF800" s="102"/>
      <c r="AG800" s="102"/>
      <c r="AH800" s="102"/>
      <c r="AI800" s="102"/>
      <c r="AJ800" s="102"/>
      <c r="AK800" s="102"/>
      <c r="AL800" s="102"/>
      <c r="AM800" s="102"/>
    </row>
    <row r="801" spans="1:39">
      <c r="A801" s="143"/>
      <c r="B801" s="143"/>
      <c r="C801" s="155"/>
      <c r="D801" s="143"/>
      <c r="E801" s="146"/>
      <c r="F801" s="147"/>
      <c r="G801" s="147"/>
      <c r="H801" s="148"/>
      <c r="I801" s="143"/>
      <c r="J801" s="143"/>
      <c r="K801" s="149"/>
      <c r="L801" s="150" t="str">
        <f t="shared" si="133"/>
        <v/>
      </c>
      <c r="M801" s="150" t="str">
        <f t="shared" si="134"/>
        <v/>
      </c>
      <c r="N801" s="151" t="str">
        <f t="shared" si="135"/>
        <v/>
      </c>
      <c r="O801" s="151" t="str">
        <f t="shared" si="136"/>
        <v/>
      </c>
      <c r="P801" s="151" t="str">
        <f t="shared" si="137"/>
        <v/>
      </c>
      <c r="Q801" s="151" t="str">
        <f t="shared" si="138"/>
        <v/>
      </c>
      <c r="R801" s="150" t="str">
        <f t="shared" si="139"/>
        <v/>
      </c>
      <c r="S801" s="150" t="str">
        <f t="shared" si="140"/>
        <v/>
      </c>
      <c r="T801" s="150" t="str">
        <f t="shared" si="141"/>
        <v/>
      </c>
      <c r="U801" s="152"/>
      <c r="V801" s="143"/>
      <c r="W801" s="102"/>
      <c r="X801" s="102" t="str">
        <f t="shared" si="142"/>
        <v/>
      </c>
      <c r="Y801" s="102"/>
      <c r="Z801" s="102"/>
      <c r="AA801" s="102"/>
      <c r="AB801" s="102"/>
      <c r="AC801" s="102"/>
      <c r="AD801" s="102"/>
      <c r="AE801" s="102"/>
      <c r="AF801" s="102"/>
      <c r="AG801" s="102"/>
      <c r="AH801" s="102"/>
      <c r="AI801" s="102"/>
      <c r="AJ801" s="102"/>
      <c r="AK801" s="102"/>
      <c r="AL801" s="102"/>
      <c r="AM801" s="102"/>
    </row>
    <row r="802" spans="1:39">
      <c r="A802" s="143"/>
      <c r="B802" s="143"/>
      <c r="C802" s="155"/>
      <c r="D802" s="143"/>
      <c r="E802" s="146"/>
      <c r="F802" s="147"/>
      <c r="G802" s="147"/>
      <c r="H802" s="148"/>
      <c r="I802" s="143"/>
      <c r="J802" s="143"/>
      <c r="K802" s="149"/>
      <c r="L802" s="150" t="str">
        <f t="shared" si="133"/>
        <v/>
      </c>
      <c r="M802" s="150" t="str">
        <f t="shared" si="134"/>
        <v/>
      </c>
      <c r="N802" s="151" t="str">
        <f t="shared" si="135"/>
        <v/>
      </c>
      <c r="O802" s="151" t="str">
        <f t="shared" si="136"/>
        <v/>
      </c>
      <c r="P802" s="151" t="str">
        <f t="shared" si="137"/>
        <v/>
      </c>
      <c r="Q802" s="151" t="str">
        <f t="shared" si="138"/>
        <v/>
      </c>
      <c r="R802" s="150" t="str">
        <f t="shared" si="139"/>
        <v/>
      </c>
      <c r="S802" s="150" t="str">
        <f t="shared" si="140"/>
        <v/>
      </c>
      <c r="T802" s="150" t="str">
        <f t="shared" si="141"/>
        <v/>
      </c>
      <c r="U802" s="152"/>
      <c r="V802" s="143"/>
      <c r="W802" s="102"/>
      <c r="X802" s="102" t="str">
        <f t="shared" si="142"/>
        <v/>
      </c>
      <c r="Y802" s="102"/>
      <c r="Z802" s="102"/>
      <c r="AA802" s="102"/>
      <c r="AB802" s="102"/>
      <c r="AC802" s="102"/>
      <c r="AD802" s="102"/>
      <c r="AE802" s="102"/>
      <c r="AF802" s="102"/>
      <c r="AG802" s="102"/>
      <c r="AH802" s="102"/>
      <c r="AI802" s="102"/>
      <c r="AJ802" s="102"/>
      <c r="AK802" s="102"/>
      <c r="AL802" s="102"/>
      <c r="AM802" s="102"/>
    </row>
    <row r="803" spans="1:39">
      <c r="A803" s="143"/>
      <c r="B803" s="143"/>
      <c r="C803" s="155"/>
      <c r="D803" s="143"/>
      <c r="E803" s="146"/>
      <c r="F803" s="147"/>
      <c r="G803" s="147"/>
      <c r="H803" s="148"/>
      <c r="I803" s="143"/>
      <c r="J803" s="143"/>
      <c r="K803" s="149"/>
      <c r="L803" s="150" t="str">
        <f t="shared" si="133"/>
        <v/>
      </c>
      <c r="M803" s="150" t="str">
        <f t="shared" si="134"/>
        <v/>
      </c>
      <c r="N803" s="151" t="str">
        <f t="shared" si="135"/>
        <v/>
      </c>
      <c r="O803" s="151" t="str">
        <f t="shared" si="136"/>
        <v/>
      </c>
      <c r="P803" s="151" t="str">
        <f t="shared" si="137"/>
        <v/>
      </c>
      <c r="Q803" s="151" t="str">
        <f t="shared" si="138"/>
        <v/>
      </c>
      <c r="R803" s="150" t="str">
        <f t="shared" si="139"/>
        <v/>
      </c>
      <c r="S803" s="150" t="str">
        <f t="shared" si="140"/>
        <v/>
      </c>
      <c r="T803" s="150" t="str">
        <f t="shared" si="141"/>
        <v/>
      </c>
      <c r="U803" s="152"/>
      <c r="V803" s="143"/>
      <c r="W803" s="102"/>
      <c r="X803" s="102" t="str">
        <f t="shared" si="142"/>
        <v/>
      </c>
      <c r="Y803" s="102"/>
      <c r="Z803" s="102"/>
      <c r="AA803" s="102"/>
      <c r="AB803" s="102"/>
      <c r="AC803" s="102"/>
      <c r="AD803" s="102"/>
      <c r="AE803" s="102"/>
      <c r="AF803" s="102"/>
      <c r="AG803" s="102"/>
      <c r="AH803" s="102"/>
      <c r="AI803" s="102"/>
      <c r="AJ803" s="102"/>
      <c r="AK803" s="102"/>
      <c r="AL803" s="102"/>
      <c r="AM803" s="102"/>
    </row>
    <row r="804" spans="1:39">
      <c r="A804" s="143"/>
      <c r="B804" s="143"/>
      <c r="C804" s="155"/>
      <c r="D804" s="143"/>
      <c r="E804" s="146"/>
      <c r="F804" s="147"/>
      <c r="G804" s="147"/>
      <c r="H804" s="148"/>
      <c r="I804" s="143"/>
      <c r="J804" s="143"/>
      <c r="K804" s="149"/>
      <c r="L804" s="150" t="str">
        <f t="shared" si="133"/>
        <v/>
      </c>
      <c r="M804" s="150" t="str">
        <f t="shared" si="134"/>
        <v/>
      </c>
      <c r="N804" s="151" t="str">
        <f t="shared" si="135"/>
        <v/>
      </c>
      <c r="O804" s="151" t="str">
        <f t="shared" si="136"/>
        <v/>
      </c>
      <c r="P804" s="151" t="str">
        <f t="shared" si="137"/>
        <v/>
      </c>
      <c r="Q804" s="151" t="str">
        <f t="shared" si="138"/>
        <v/>
      </c>
      <c r="R804" s="150" t="str">
        <f t="shared" si="139"/>
        <v/>
      </c>
      <c r="S804" s="150" t="str">
        <f t="shared" si="140"/>
        <v/>
      </c>
      <c r="T804" s="150" t="str">
        <f t="shared" si="141"/>
        <v/>
      </c>
      <c r="U804" s="152"/>
      <c r="V804" s="143"/>
      <c r="W804" s="102"/>
      <c r="X804" s="102" t="str">
        <f t="shared" si="142"/>
        <v/>
      </c>
      <c r="Y804" s="102"/>
      <c r="Z804" s="102"/>
      <c r="AA804" s="102"/>
      <c r="AB804" s="102"/>
      <c r="AC804" s="102"/>
      <c r="AD804" s="102"/>
      <c r="AE804" s="102"/>
      <c r="AF804" s="102"/>
      <c r="AG804" s="102"/>
      <c r="AH804" s="102"/>
      <c r="AI804" s="102"/>
      <c r="AJ804" s="102"/>
      <c r="AK804" s="102"/>
      <c r="AL804" s="102"/>
      <c r="AM804" s="102"/>
    </row>
    <row r="805" spans="1:39">
      <c r="A805" s="143"/>
      <c r="B805" s="143"/>
      <c r="C805" s="155"/>
      <c r="D805" s="143"/>
      <c r="E805" s="146"/>
      <c r="F805" s="147"/>
      <c r="G805" s="147"/>
      <c r="H805" s="148"/>
      <c r="I805" s="143"/>
      <c r="J805" s="143"/>
      <c r="K805" s="149"/>
      <c r="L805" s="150" t="str">
        <f t="shared" si="133"/>
        <v/>
      </c>
      <c r="M805" s="150" t="str">
        <f t="shared" si="134"/>
        <v/>
      </c>
      <c r="N805" s="151" t="str">
        <f t="shared" si="135"/>
        <v/>
      </c>
      <c r="O805" s="151" t="str">
        <f t="shared" si="136"/>
        <v/>
      </c>
      <c r="P805" s="151" t="str">
        <f t="shared" si="137"/>
        <v/>
      </c>
      <c r="Q805" s="151" t="str">
        <f t="shared" si="138"/>
        <v/>
      </c>
      <c r="R805" s="150" t="str">
        <f t="shared" si="139"/>
        <v/>
      </c>
      <c r="S805" s="150" t="str">
        <f t="shared" si="140"/>
        <v/>
      </c>
      <c r="T805" s="150" t="str">
        <f t="shared" si="141"/>
        <v/>
      </c>
      <c r="U805" s="152"/>
      <c r="V805" s="143"/>
      <c r="W805" s="102"/>
      <c r="X805" s="102" t="str">
        <f t="shared" si="142"/>
        <v/>
      </c>
      <c r="Y805" s="102"/>
      <c r="Z805" s="102"/>
      <c r="AA805" s="102"/>
      <c r="AB805" s="102"/>
      <c r="AC805" s="102"/>
      <c r="AD805" s="102"/>
      <c r="AE805" s="102"/>
      <c r="AF805" s="102"/>
      <c r="AG805" s="102"/>
      <c r="AH805" s="102"/>
      <c r="AI805" s="102"/>
      <c r="AJ805" s="102"/>
      <c r="AK805" s="102"/>
      <c r="AL805" s="102"/>
      <c r="AM805" s="102"/>
    </row>
    <row r="806" spans="1:39">
      <c r="A806" s="143"/>
      <c r="B806" s="143"/>
      <c r="C806" s="155"/>
      <c r="D806" s="143"/>
      <c r="E806" s="146"/>
      <c r="F806" s="147"/>
      <c r="G806" s="147"/>
      <c r="H806" s="148"/>
      <c r="I806" s="143"/>
      <c r="J806" s="143"/>
      <c r="K806" s="149"/>
      <c r="L806" s="150" t="str">
        <f t="shared" si="133"/>
        <v/>
      </c>
      <c r="M806" s="150" t="str">
        <f t="shared" si="134"/>
        <v/>
      </c>
      <c r="N806" s="151" t="str">
        <f t="shared" si="135"/>
        <v/>
      </c>
      <c r="O806" s="151" t="str">
        <f t="shared" si="136"/>
        <v/>
      </c>
      <c r="P806" s="151" t="str">
        <f t="shared" si="137"/>
        <v/>
      </c>
      <c r="Q806" s="151" t="str">
        <f t="shared" si="138"/>
        <v/>
      </c>
      <c r="R806" s="150" t="str">
        <f t="shared" si="139"/>
        <v/>
      </c>
      <c r="S806" s="150" t="str">
        <f t="shared" si="140"/>
        <v/>
      </c>
      <c r="T806" s="150" t="str">
        <f t="shared" si="141"/>
        <v/>
      </c>
      <c r="U806" s="152"/>
      <c r="V806" s="143"/>
      <c r="W806" s="102"/>
      <c r="X806" s="102" t="str">
        <f t="shared" si="142"/>
        <v/>
      </c>
      <c r="Y806" s="102"/>
      <c r="Z806" s="102"/>
      <c r="AA806" s="102"/>
      <c r="AB806" s="102"/>
      <c r="AC806" s="102"/>
      <c r="AD806" s="102"/>
      <c r="AE806" s="102"/>
      <c r="AF806" s="102"/>
      <c r="AG806" s="102"/>
      <c r="AH806" s="102"/>
      <c r="AI806" s="102"/>
      <c r="AJ806" s="102"/>
      <c r="AK806" s="102"/>
      <c r="AL806" s="102"/>
      <c r="AM806" s="102"/>
    </row>
    <row r="807" spans="1:39">
      <c r="A807" s="143"/>
      <c r="B807" s="143"/>
      <c r="C807" s="155"/>
      <c r="D807" s="143"/>
      <c r="E807" s="146"/>
      <c r="F807" s="147"/>
      <c r="G807" s="147"/>
      <c r="H807" s="148"/>
      <c r="I807" s="143"/>
      <c r="J807" s="143"/>
      <c r="K807" s="149"/>
      <c r="L807" s="150" t="str">
        <f t="shared" si="133"/>
        <v/>
      </c>
      <c r="M807" s="150" t="str">
        <f t="shared" si="134"/>
        <v/>
      </c>
      <c r="N807" s="151" t="str">
        <f t="shared" si="135"/>
        <v/>
      </c>
      <c r="O807" s="151" t="str">
        <f t="shared" si="136"/>
        <v/>
      </c>
      <c r="P807" s="151" t="str">
        <f t="shared" si="137"/>
        <v/>
      </c>
      <c r="Q807" s="151" t="str">
        <f t="shared" si="138"/>
        <v/>
      </c>
      <c r="R807" s="150" t="str">
        <f t="shared" si="139"/>
        <v/>
      </c>
      <c r="S807" s="150" t="str">
        <f t="shared" si="140"/>
        <v/>
      </c>
      <c r="T807" s="150" t="str">
        <f t="shared" si="141"/>
        <v/>
      </c>
      <c r="U807" s="152"/>
      <c r="V807" s="143"/>
      <c r="W807" s="102"/>
      <c r="X807" s="102" t="str">
        <f t="shared" si="142"/>
        <v/>
      </c>
      <c r="Y807" s="102"/>
      <c r="Z807" s="102"/>
      <c r="AA807" s="102"/>
      <c r="AB807" s="102"/>
      <c r="AC807" s="102"/>
      <c r="AD807" s="102"/>
      <c r="AE807" s="102"/>
      <c r="AF807" s="102"/>
      <c r="AG807" s="102"/>
      <c r="AH807" s="102"/>
      <c r="AI807" s="102"/>
      <c r="AJ807" s="102"/>
      <c r="AK807" s="102"/>
      <c r="AL807" s="102"/>
      <c r="AM807" s="102"/>
    </row>
    <row r="808" spans="1:39">
      <c r="A808" s="143"/>
      <c r="B808" s="143"/>
      <c r="C808" s="155"/>
      <c r="D808" s="143"/>
      <c r="E808" s="146"/>
      <c r="F808" s="147"/>
      <c r="G808" s="147"/>
      <c r="H808" s="148"/>
      <c r="I808" s="143"/>
      <c r="J808" s="143"/>
      <c r="K808" s="149"/>
      <c r="L808" s="150" t="str">
        <f t="shared" si="133"/>
        <v/>
      </c>
      <c r="M808" s="150" t="str">
        <f t="shared" si="134"/>
        <v/>
      </c>
      <c r="N808" s="151" t="str">
        <f t="shared" si="135"/>
        <v/>
      </c>
      <c r="O808" s="151" t="str">
        <f t="shared" si="136"/>
        <v/>
      </c>
      <c r="P808" s="151" t="str">
        <f t="shared" si="137"/>
        <v/>
      </c>
      <c r="Q808" s="151" t="str">
        <f t="shared" si="138"/>
        <v/>
      </c>
      <c r="R808" s="150" t="str">
        <f t="shared" si="139"/>
        <v/>
      </c>
      <c r="S808" s="150" t="str">
        <f t="shared" si="140"/>
        <v/>
      </c>
      <c r="T808" s="150" t="str">
        <f t="shared" si="141"/>
        <v/>
      </c>
      <c r="U808" s="152"/>
      <c r="V808" s="143"/>
      <c r="W808" s="102"/>
      <c r="X808" s="102" t="str">
        <f t="shared" si="142"/>
        <v/>
      </c>
      <c r="Y808" s="102"/>
      <c r="Z808" s="102"/>
      <c r="AA808" s="102"/>
      <c r="AB808" s="102"/>
      <c r="AC808" s="102"/>
      <c r="AD808" s="102"/>
      <c r="AE808" s="102"/>
      <c r="AF808" s="102"/>
      <c r="AG808" s="102"/>
      <c r="AH808" s="102"/>
      <c r="AI808" s="102"/>
      <c r="AJ808" s="102"/>
      <c r="AK808" s="102"/>
      <c r="AL808" s="102"/>
      <c r="AM808" s="102"/>
    </row>
    <row r="809" spans="1:39">
      <c r="A809" s="143"/>
      <c r="B809" s="143"/>
      <c r="C809" s="155"/>
      <c r="D809" s="143"/>
      <c r="E809" s="146"/>
      <c r="F809" s="147"/>
      <c r="G809" s="147"/>
      <c r="H809" s="148"/>
      <c r="I809" s="143"/>
      <c r="J809" s="143"/>
      <c r="K809" s="149"/>
      <c r="L809" s="150" t="str">
        <f t="shared" si="133"/>
        <v/>
      </c>
      <c r="M809" s="150" t="str">
        <f t="shared" si="134"/>
        <v/>
      </c>
      <c r="N809" s="151" t="str">
        <f t="shared" si="135"/>
        <v/>
      </c>
      <c r="O809" s="151" t="str">
        <f t="shared" si="136"/>
        <v/>
      </c>
      <c r="P809" s="151" t="str">
        <f t="shared" si="137"/>
        <v/>
      </c>
      <c r="Q809" s="151" t="str">
        <f t="shared" si="138"/>
        <v/>
      </c>
      <c r="R809" s="150" t="str">
        <f t="shared" si="139"/>
        <v/>
      </c>
      <c r="S809" s="150" t="str">
        <f t="shared" si="140"/>
        <v/>
      </c>
      <c r="T809" s="150" t="str">
        <f t="shared" si="141"/>
        <v/>
      </c>
      <c r="U809" s="152"/>
      <c r="V809" s="143"/>
      <c r="W809" s="102"/>
      <c r="X809" s="102" t="str">
        <f t="shared" si="142"/>
        <v/>
      </c>
      <c r="Y809" s="102"/>
      <c r="Z809" s="102"/>
      <c r="AA809" s="102"/>
      <c r="AB809" s="102"/>
      <c r="AC809" s="102"/>
      <c r="AD809" s="102"/>
      <c r="AE809" s="102"/>
      <c r="AF809" s="102"/>
      <c r="AG809" s="102"/>
      <c r="AH809" s="102"/>
      <c r="AI809" s="102"/>
      <c r="AJ809" s="102"/>
      <c r="AK809" s="102"/>
      <c r="AL809" s="102"/>
      <c r="AM809" s="102"/>
    </row>
    <row r="810" spans="1:39">
      <c r="A810" s="143"/>
      <c r="B810" s="143"/>
      <c r="C810" s="155"/>
      <c r="D810" s="143"/>
      <c r="E810" s="146"/>
      <c r="F810" s="147"/>
      <c r="G810" s="147"/>
      <c r="H810" s="148"/>
      <c r="I810" s="143"/>
      <c r="J810" s="143"/>
      <c r="K810" s="149"/>
      <c r="L810" s="150" t="str">
        <f t="shared" si="133"/>
        <v/>
      </c>
      <c r="M810" s="150" t="str">
        <f t="shared" si="134"/>
        <v/>
      </c>
      <c r="N810" s="151" t="str">
        <f t="shared" si="135"/>
        <v/>
      </c>
      <c r="O810" s="151" t="str">
        <f t="shared" si="136"/>
        <v/>
      </c>
      <c r="P810" s="151" t="str">
        <f t="shared" si="137"/>
        <v/>
      </c>
      <c r="Q810" s="151" t="str">
        <f t="shared" si="138"/>
        <v/>
      </c>
      <c r="R810" s="150" t="str">
        <f t="shared" si="139"/>
        <v/>
      </c>
      <c r="S810" s="150" t="str">
        <f t="shared" si="140"/>
        <v/>
      </c>
      <c r="T810" s="150" t="str">
        <f t="shared" si="141"/>
        <v/>
      </c>
      <c r="U810" s="152"/>
      <c r="V810" s="143"/>
      <c r="W810" s="102"/>
      <c r="X810" s="102" t="str">
        <f t="shared" si="142"/>
        <v/>
      </c>
      <c r="Y810" s="102"/>
      <c r="Z810" s="102"/>
      <c r="AA810" s="102"/>
      <c r="AB810" s="102"/>
      <c r="AC810" s="102"/>
      <c r="AD810" s="102"/>
      <c r="AE810" s="102"/>
      <c r="AF810" s="102"/>
      <c r="AG810" s="102"/>
      <c r="AH810" s="102"/>
      <c r="AI810" s="102"/>
      <c r="AJ810" s="102"/>
      <c r="AK810" s="102"/>
      <c r="AL810" s="102"/>
      <c r="AM810" s="102"/>
    </row>
    <row r="811" spans="1:39">
      <c r="A811" s="143"/>
      <c r="B811" s="143"/>
      <c r="C811" s="155"/>
      <c r="D811" s="143"/>
      <c r="E811" s="146"/>
      <c r="F811" s="147"/>
      <c r="G811" s="147"/>
      <c r="H811" s="148"/>
      <c r="I811" s="143"/>
      <c r="J811" s="143"/>
      <c r="K811" s="149"/>
      <c r="L811" s="150" t="str">
        <f t="shared" si="133"/>
        <v/>
      </c>
      <c r="M811" s="150" t="str">
        <f t="shared" si="134"/>
        <v/>
      </c>
      <c r="N811" s="151" t="str">
        <f t="shared" si="135"/>
        <v/>
      </c>
      <c r="O811" s="151" t="str">
        <f t="shared" si="136"/>
        <v/>
      </c>
      <c r="P811" s="151" t="str">
        <f t="shared" si="137"/>
        <v/>
      </c>
      <c r="Q811" s="151" t="str">
        <f t="shared" si="138"/>
        <v/>
      </c>
      <c r="R811" s="150" t="str">
        <f t="shared" si="139"/>
        <v/>
      </c>
      <c r="S811" s="150" t="str">
        <f t="shared" si="140"/>
        <v/>
      </c>
      <c r="T811" s="150" t="str">
        <f t="shared" si="141"/>
        <v/>
      </c>
      <c r="U811" s="152"/>
      <c r="V811" s="143"/>
      <c r="W811" s="102"/>
      <c r="X811" s="102" t="str">
        <f t="shared" si="142"/>
        <v/>
      </c>
      <c r="Y811" s="102"/>
      <c r="Z811" s="102"/>
      <c r="AA811" s="102"/>
      <c r="AB811" s="102"/>
      <c r="AC811" s="102"/>
      <c r="AD811" s="102"/>
      <c r="AE811" s="102"/>
      <c r="AF811" s="102"/>
      <c r="AG811" s="102"/>
      <c r="AH811" s="102"/>
      <c r="AI811" s="102"/>
      <c r="AJ811" s="102"/>
      <c r="AK811" s="102"/>
      <c r="AL811" s="102"/>
      <c r="AM811" s="102"/>
    </row>
    <row r="812" spans="1:39">
      <c r="A812" s="143"/>
      <c r="B812" s="143"/>
      <c r="C812" s="155"/>
      <c r="D812" s="143"/>
      <c r="E812" s="146"/>
      <c r="F812" s="147"/>
      <c r="G812" s="147"/>
      <c r="H812" s="148"/>
      <c r="I812" s="143"/>
      <c r="J812" s="143"/>
      <c r="K812" s="149"/>
      <c r="L812" s="150" t="str">
        <f t="shared" si="133"/>
        <v/>
      </c>
      <c r="M812" s="150" t="str">
        <f t="shared" si="134"/>
        <v/>
      </c>
      <c r="N812" s="151" t="str">
        <f t="shared" si="135"/>
        <v/>
      </c>
      <c r="O812" s="151" t="str">
        <f t="shared" si="136"/>
        <v/>
      </c>
      <c r="P812" s="151" t="str">
        <f t="shared" si="137"/>
        <v/>
      </c>
      <c r="Q812" s="151" t="str">
        <f t="shared" si="138"/>
        <v/>
      </c>
      <c r="R812" s="150" t="str">
        <f t="shared" si="139"/>
        <v/>
      </c>
      <c r="S812" s="150" t="str">
        <f t="shared" si="140"/>
        <v/>
      </c>
      <c r="T812" s="150" t="str">
        <f t="shared" si="141"/>
        <v/>
      </c>
      <c r="U812" s="152"/>
      <c r="V812" s="143"/>
      <c r="W812" s="102"/>
      <c r="X812" s="102" t="str">
        <f t="shared" si="142"/>
        <v/>
      </c>
      <c r="Y812" s="102"/>
      <c r="Z812" s="102"/>
      <c r="AA812" s="102"/>
      <c r="AB812" s="102"/>
      <c r="AC812" s="102"/>
      <c r="AD812" s="102"/>
      <c r="AE812" s="102"/>
      <c r="AF812" s="102"/>
      <c r="AG812" s="102"/>
      <c r="AH812" s="102"/>
      <c r="AI812" s="102"/>
      <c r="AJ812" s="102"/>
      <c r="AK812" s="102"/>
      <c r="AL812" s="102"/>
      <c r="AM812" s="102"/>
    </row>
    <row r="813" spans="1:39">
      <c r="A813" s="143"/>
      <c r="B813" s="143"/>
      <c r="C813" s="155"/>
      <c r="D813" s="143"/>
      <c r="E813" s="146"/>
      <c r="F813" s="147"/>
      <c r="G813" s="147"/>
      <c r="H813" s="148"/>
      <c r="I813" s="143"/>
      <c r="J813" s="143"/>
      <c r="K813" s="149"/>
      <c r="L813" s="150" t="str">
        <f t="shared" si="133"/>
        <v/>
      </c>
      <c r="M813" s="150" t="str">
        <f t="shared" si="134"/>
        <v/>
      </c>
      <c r="N813" s="151" t="str">
        <f t="shared" si="135"/>
        <v/>
      </c>
      <c r="O813" s="151" t="str">
        <f t="shared" si="136"/>
        <v/>
      </c>
      <c r="P813" s="151" t="str">
        <f t="shared" si="137"/>
        <v/>
      </c>
      <c r="Q813" s="151" t="str">
        <f t="shared" si="138"/>
        <v/>
      </c>
      <c r="R813" s="150" t="str">
        <f t="shared" si="139"/>
        <v/>
      </c>
      <c r="S813" s="150" t="str">
        <f t="shared" si="140"/>
        <v/>
      </c>
      <c r="T813" s="150" t="str">
        <f t="shared" si="141"/>
        <v/>
      </c>
      <c r="U813" s="152"/>
      <c r="V813" s="143"/>
      <c r="W813" s="102"/>
      <c r="X813" s="102" t="str">
        <f t="shared" si="142"/>
        <v/>
      </c>
      <c r="Y813" s="102"/>
      <c r="Z813" s="102"/>
      <c r="AA813" s="102"/>
      <c r="AB813" s="102"/>
      <c r="AC813" s="102"/>
      <c r="AD813" s="102"/>
      <c r="AE813" s="102"/>
      <c r="AF813" s="102"/>
      <c r="AG813" s="102"/>
      <c r="AH813" s="102"/>
      <c r="AI813" s="102"/>
      <c r="AJ813" s="102"/>
      <c r="AK813" s="102"/>
      <c r="AL813" s="102"/>
      <c r="AM813" s="102"/>
    </row>
    <row r="814" spans="1:39">
      <c r="A814" s="143"/>
      <c r="B814" s="143"/>
      <c r="C814" s="155"/>
      <c r="D814" s="143"/>
      <c r="E814" s="146"/>
      <c r="F814" s="147"/>
      <c r="G814" s="147"/>
      <c r="H814" s="148"/>
      <c r="I814" s="143"/>
      <c r="J814" s="143"/>
      <c r="K814" s="149"/>
      <c r="L814" s="150" t="str">
        <f t="shared" si="133"/>
        <v/>
      </c>
      <c r="M814" s="150" t="str">
        <f t="shared" si="134"/>
        <v/>
      </c>
      <c r="N814" s="151" t="str">
        <f t="shared" si="135"/>
        <v/>
      </c>
      <c r="O814" s="151" t="str">
        <f t="shared" si="136"/>
        <v/>
      </c>
      <c r="P814" s="151" t="str">
        <f t="shared" si="137"/>
        <v/>
      </c>
      <c r="Q814" s="151" t="str">
        <f t="shared" si="138"/>
        <v/>
      </c>
      <c r="R814" s="150" t="str">
        <f t="shared" si="139"/>
        <v/>
      </c>
      <c r="S814" s="150" t="str">
        <f t="shared" si="140"/>
        <v/>
      </c>
      <c r="T814" s="150" t="str">
        <f t="shared" si="141"/>
        <v/>
      </c>
      <c r="U814" s="152"/>
      <c r="V814" s="143"/>
      <c r="W814" s="102"/>
      <c r="X814" s="102" t="str">
        <f t="shared" si="142"/>
        <v/>
      </c>
      <c r="Y814" s="102"/>
      <c r="Z814" s="102"/>
      <c r="AA814" s="102"/>
      <c r="AB814" s="102"/>
      <c r="AC814" s="102"/>
      <c r="AD814" s="102"/>
      <c r="AE814" s="102"/>
      <c r="AF814" s="102"/>
      <c r="AG814" s="102"/>
      <c r="AH814" s="102"/>
      <c r="AI814" s="102"/>
      <c r="AJ814" s="102"/>
      <c r="AK814" s="102"/>
      <c r="AL814" s="102"/>
      <c r="AM814" s="102"/>
    </row>
    <row r="815" spans="1:39">
      <c r="A815" s="143"/>
      <c r="B815" s="143"/>
      <c r="C815" s="155"/>
      <c r="D815" s="143"/>
      <c r="E815" s="146"/>
      <c r="F815" s="147"/>
      <c r="G815" s="147"/>
      <c r="H815" s="148"/>
      <c r="I815" s="143"/>
      <c r="J815" s="143"/>
      <c r="K815" s="149"/>
      <c r="L815" s="150" t="str">
        <f t="shared" si="133"/>
        <v/>
      </c>
      <c r="M815" s="150" t="str">
        <f t="shared" si="134"/>
        <v/>
      </c>
      <c r="N815" s="151" t="str">
        <f t="shared" si="135"/>
        <v/>
      </c>
      <c r="O815" s="151" t="str">
        <f t="shared" si="136"/>
        <v/>
      </c>
      <c r="P815" s="151" t="str">
        <f t="shared" si="137"/>
        <v/>
      </c>
      <c r="Q815" s="151" t="str">
        <f t="shared" si="138"/>
        <v/>
      </c>
      <c r="R815" s="150" t="str">
        <f t="shared" si="139"/>
        <v/>
      </c>
      <c r="S815" s="150" t="str">
        <f t="shared" si="140"/>
        <v/>
      </c>
      <c r="T815" s="150" t="str">
        <f t="shared" si="141"/>
        <v/>
      </c>
      <c r="U815" s="152"/>
      <c r="V815" s="143"/>
      <c r="W815" s="102"/>
      <c r="X815" s="102" t="str">
        <f t="shared" si="142"/>
        <v/>
      </c>
      <c r="Y815" s="102"/>
      <c r="Z815" s="102"/>
      <c r="AA815" s="102"/>
      <c r="AB815" s="102"/>
      <c r="AC815" s="102"/>
      <c r="AD815" s="102"/>
      <c r="AE815" s="102"/>
      <c r="AF815" s="102"/>
      <c r="AG815" s="102"/>
      <c r="AH815" s="102"/>
      <c r="AI815" s="102"/>
      <c r="AJ815" s="102"/>
      <c r="AK815" s="102"/>
      <c r="AL815" s="102"/>
      <c r="AM815" s="102"/>
    </row>
    <row r="816" spans="1:39">
      <c r="A816" s="143"/>
      <c r="B816" s="143"/>
      <c r="C816" s="155"/>
      <c r="D816" s="143"/>
      <c r="E816" s="146"/>
      <c r="F816" s="147"/>
      <c r="G816" s="147"/>
      <c r="H816" s="148"/>
      <c r="I816" s="143"/>
      <c r="J816" s="143"/>
      <c r="K816" s="149"/>
      <c r="L816" s="150" t="str">
        <f t="shared" si="133"/>
        <v/>
      </c>
      <c r="M816" s="150" t="str">
        <f t="shared" si="134"/>
        <v/>
      </c>
      <c r="N816" s="151" t="str">
        <f t="shared" si="135"/>
        <v/>
      </c>
      <c r="O816" s="151" t="str">
        <f t="shared" si="136"/>
        <v/>
      </c>
      <c r="P816" s="151" t="str">
        <f t="shared" si="137"/>
        <v/>
      </c>
      <c r="Q816" s="151" t="str">
        <f t="shared" si="138"/>
        <v/>
      </c>
      <c r="R816" s="150" t="str">
        <f t="shared" si="139"/>
        <v/>
      </c>
      <c r="S816" s="150" t="str">
        <f t="shared" si="140"/>
        <v/>
      </c>
      <c r="T816" s="150" t="str">
        <f t="shared" si="141"/>
        <v/>
      </c>
      <c r="U816" s="152"/>
      <c r="V816" s="143"/>
      <c r="W816" s="102"/>
      <c r="X816" s="102" t="str">
        <f t="shared" si="142"/>
        <v/>
      </c>
      <c r="Y816" s="102"/>
      <c r="Z816" s="102"/>
      <c r="AA816" s="102"/>
      <c r="AB816" s="102"/>
      <c r="AC816" s="102"/>
      <c r="AD816" s="102"/>
      <c r="AE816" s="102"/>
      <c r="AF816" s="102"/>
      <c r="AG816" s="102"/>
      <c r="AH816" s="102"/>
      <c r="AI816" s="102"/>
      <c r="AJ816" s="102"/>
      <c r="AK816" s="102"/>
      <c r="AL816" s="102"/>
      <c r="AM816" s="102"/>
    </row>
    <row r="817" spans="1:39">
      <c r="A817" s="143"/>
      <c r="B817" s="143"/>
      <c r="C817" s="155"/>
      <c r="D817" s="143"/>
      <c r="E817" s="146"/>
      <c r="F817" s="147"/>
      <c r="G817" s="147"/>
      <c r="H817" s="148"/>
      <c r="I817" s="143"/>
      <c r="J817" s="143"/>
      <c r="K817" s="149"/>
      <c r="L817" s="150" t="str">
        <f t="shared" si="133"/>
        <v/>
      </c>
      <c r="M817" s="150" t="str">
        <f t="shared" si="134"/>
        <v/>
      </c>
      <c r="N817" s="151" t="str">
        <f t="shared" si="135"/>
        <v/>
      </c>
      <c r="O817" s="151" t="str">
        <f t="shared" si="136"/>
        <v/>
      </c>
      <c r="P817" s="151" t="str">
        <f t="shared" si="137"/>
        <v/>
      </c>
      <c r="Q817" s="151" t="str">
        <f t="shared" si="138"/>
        <v/>
      </c>
      <c r="R817" s="150" t="str">
        <f t="shared" si="139"/>
        <v/>
      </c>
      <c r="S817" s="150" t="str">
        <f t="shared" si="140"/>
        <v/>
      </c>
      <c r="T817" s="150" t="str">
        <f t="shared" si="141"/>
        <v/>
      </c>
      <c r="U817" s="152"/>
      <c r="V817" s="143"/>
      <c r="W817" s="102"/>
      <c r="X817" s="102" t="str">
        <f t="shared" si="142"/>
        <v/>
      </c>
      <c r="Y817" s="102"/>
      <c r="Z817" s="102"/>
      <c r="AA817" s="102"/>
      <c r="AB817" s="102"/>
      <c r="AC817" s="102"/>
      <c r="AD817" s="102"/>
      <c r="AE817" s="102"/>
      <c r="AF817" s="102"/>
      <c r="AG817" s="102"/>
      <c r="AH817" s="102"/>
      <c r="AI817" s="102"/>
      <c r="AJ817" s="102"/>
      <c r="AK817" s="102"/>
      <c r="AL817" s="102"/>
      <c r="AM817" s="102"/>
    </row>
    <row r="818" spans="1:39">
      <c r="A818" s="143"/>
      <c r="B818" s="143"/>
      <c r="C818" s="155"/>
      <c r="D818" s="143"/>
      <c r="E818" s="146"/>
      <c r="F818" s="147"/>
      <c r="G818" s="147"/>
      <c r="H818" s="148"/>
      <c r="I818" s="143"/>
      <c r="J818" s="143"/>
      <c r="K818" s="149"/>
      <c r="L818" s="150" t="str">
        <f t="shared" si="133"/>
        <v/>
      </c>
      <c r="M818" s="150" t="str">
        <f t="shared" si="134"/>
        <v/>
      </c>
      <c r="N818" s="151" t="str">
        <f t="shared" si="135"/>
        <v/>
      </c>
      <c r="O818" s="151" t="str">
        <f t="shared" si="136"/>
        <v/>
      </c>
      <c r="P818" s="151" t="str">
        <f t="shared" si="137"/>
        <v/>
      </c>
      <c r="Q818" s="151" t="str">
        <f t="shared" si="138"/>
        <v/>
      </c>
      <c r="R818" s="150" t="str">
        <f t="shared" si="139"/>
        <v/>
      </c>
      <c r="S818" s="150" t="str">
        <f t="shared" si="140"/>
        <v/>
      </c>
      <c r="T818" s="150" t="str">
        <f t="shared" si="141"/>
        <v/>
      </c>
      <c r="U818" s="152"/>
      <c r="V818" s="143"/>
      <c r="W818" s="102"/>
      <c r="X818" s="102" t="str">
        <f t="shared" si="142"/>
        <v/>
      </c>
      <c r="Y818" s="102"/>
      <c r="Z818" s="102"/>
      <c r="AA818" s="102"/>
      <c r="AB818" s="102"/>
      <c r="AC818" s="102"/>
      <c r="AD818" s="102"/>
      <c r="AE818" s="102"/>
      <c r="AF818" s="102"/>
      <c r="AG818" s="102"/>
      <c r="AH818" s="102"/>
      <c r="AI818" s="102"/>
      <c r="AJ818" s="102"/>
      <c r="AK818" s="102"/>
      <c r="AL818" s="102"/>
      <c r="AM818" s="102"/>
    </row>
    <row r="819" spans="1:39">
      <c r="A819" s="143"/>
      <c r="B819" s="143"/>
      <c r="C819" s="155"/>
      <c r="D819" s="143"/>
      <c r="E819" s="146"/>
      <c r="F819" s="147"/>
      <c r="G819" s="147"/>
      <c r="H819" s="148"/>
      <c r="I819" s="143"/>
      <c r="J819" s="143"/>
      <c r="K819" s="149"/>
      <c r="L819" s="150" t="str">
        <f t="shared" si="133"/>
        <v/>
      </c>
      <c r="M819" s="150" t="str">
        <f t="shared" si="134"/>
        <v/>
      </c>
      <c r="N819" s="151" t="str">
        <f t="shared" si="135"/>
        <v/>
      </c>
      <c r="O819" s="151" t="str">
        <f t="shared" si="136"/>
        <v/>
      </c>
      <c r="P819" s="151" t="str">
        <f t="shared" si="137"/>
        <v/>
      </c>
      <c r="Q819" s="151" t="str">
        <f t="shared" si="138"/>
        <v/>
      </c>
      <c r="R819" s="150" t="str">
        <f t="shared" si="139"/>
        <v/>
      </c>
      <c r="S819" s="150" t="str">
        <f t="shared" si="140"/>
        <v/>
      </c>
      <c r="T819" s="150" t="str">
        <f t="shared" si="141"/>
        <v/>
      </c>
      <c r="U819" s="152"/>
      <c r="V819" s="143"/>
      <c r="W819" s="102"/>
      <c r="X819" s="102" t="str">
        <f t="shared" si="142"/>
        <v/>
      </c>
      <c r="Y819" s="102"/>
      <c r="Z819" s="102"/>
      <c r="AA819" s="102"/>
      <c r="AB819" s="102"/>
      <c r="AC819" s="102"/>
      <c r="AD819" s="102"/>
      <c r="AE819" s="102"/>
      <c r="AF819" s="102"/>
      <c r="AG819" s="102"/>
      <c r="AH819" s="102"/>
      <c r="AI819" s="102"/>
      <c r="AJ819" s="102"/>
      <c r="AK819" s="102"/>
      <c r="AL819" s="102"/>
      <c r="AM819" s="102"/>
    </row>
    <row r="820" spans="1:39">
      <c r="A820" s="143"/>
      <c r="B820" s="143"/>
      <c r="C820" s="155"/>
      <c r="D820" s="143"/>
      <c r="E820" s="146"/>
      <c r="F820" s="147"/>
      <c r="G820" s="147"/>
      <c r="H820" s="148"/>
      <c r="I820" s="143"/>
      <c r="J820" s="143"/>
      <c r="K820" s="149"/>
      <c r="L820" s="150" t="str">
        <f t="shared" si="133"/>
        <v/>
      </c>
      <c r="M820" s="150" t="str">
        <f t="shared" si="134"/>
        <v/>
      </c>
      <c r="N820" s="151" t="str">
        <f t="shared" si="135"/>
        <v/>
      </c>
      <c r="O820" s="151" t="str">
        <f t="shared" si="136"/>
        <v/>
      </c>
      <c r="P820" s="151" t="str">
        <f t="shared" si="137"/>
        <v/>
      </c>
      <c r="Q820" s="151" t="str">
        <f t="shared" si="138"/>
        <v/>
      </c>
      <c r="R820" s="150" t="str">
        <f t="shared" si="139"/>
        <v/>
      </c>
      <c r="S820" s="150" t="str">
        <f t="shared" si="140"/>
        <v/>
      </c>
      <c r="T820" s="150" t="str">
        <f t="shared" si="141"/>
        <v/>
      </c>
      <c r="U820" s="152"/>
      <c r="V820" s="143"/>
      <c r="W820" s="102"/>
      <c r="X820" s="102" t="str">
        <f t="shared" si="142"/>
        <v/>
      </c>
      <c r="Y820" s="102"/>
      <c r="Z820" s="102"/>
      <c r="AA820" s="102"/>
      <c r="AB820" s="102"/>
      <c r="AC820" s="102"/>
      <c r="AD820" s="102"/>
      <c r="AE820" s="102"/>
      <c r="AF820" s="102"/>
      <c r="AG820" s="102"/>
      <c r="AH820" s="102"/>
      <c r="AI820" s="102"/>
      <c r="AJ820" s="102"/>
      <c r="AK820" s="102"/>
      <c r="AL820" s="102"/>
      <c r="AM820" s="102"/>
    </row>
    <row r="821" spans="1:39">
      <c r="A821" s="143"/>
      <c r="B821" s="143"/>
      <c r="C821" s="155"/>
      <c r="D821" s="143"/>
      <c r="E821" s="146"/>
      <c r="F821" s="147"/>
      <c r="G821" s="147"/>
      <c r="H821" s="148"/>
      <c r="I821" s="143"/>
      <c r="J821" s="143"/>
      <c r="K821" s="149"/>
      <c r="L821" s="150" t="str">
        <f t="shared" si="133"/>
        <v/>
      </c>
      <c r="M821" s="150" t="str">
        <f t="shared" si="134"/>
        <v/>
      </c>
      <c r="N821" s="151" t="str">
        <f t="shared" si="135"/>
        <v/>
      </c>
      <c r="O821" s="151" t="str">
        <f t="shared" si="136"/>
        <v/>
      </c>
      <c r="P821" s="151" t="str">
        <f t="shared" si="137"/>
        <v/>
      </c>
      <c r="Q821" s="151" t="str">
        <f t="shared" si="138"/>
        <v/>
      </c>
      <c r="R821" s="150" t="str">
        <f t="shared" si="139"/>
        <v/>
      </c>
      <c r="S821" s="150" t="str">
        <f t="shared" si="140"/>
        <v/>
      </c>
      <c r="T821" s="150" t="str">
        <f t="shared" si="141"/>
        <v/>
      </c>
      <c r="U821" s="152"/>
      <c r="V821" s="143"/>
      <c r="W821" s="102"/>
      <c r="X821" s="102" t="str">
        <f t="shared" si="142"/>
        <v/>
      </c>
      <c r="Y821" s="102"/>
      <c r="Z821" s="102"/>
      <c r="AA821" s="102"/>
      <c r="AB821" s="102"/>
      <c r="AC821" s="102"/>
      <c r="AD821" s="102"/>
      <c r="AE821" s="102"/>
      <c r="AF821" s="102"/>
      <c r="AG821" s="102"/>
      <c r="AH821" s="102"/>
      <c r="AI821" s="102"/>
      <c r="AJ821" s="102"/>
      <c r="AK821" s="102"/>
      <c r="AL821" s="102"/>
      <c r="AM821" s="102"/>
    </row>
    <row r="822" spans="1:39">
      <c r="A822" s="143"/>
      <c r="B822" s="143"/>
      <c r="C822" s="155"/>
      <c r="D822" s="143"/>
      <c r="E822" s="146"/>
      <c r="F822" s="147"/>
      <c r="G822" s="147"/>
      <c r="H822" s="148"/>
      <c r="I822" s="143"/>
      <c r="J822" s="143"/>
      <c r="K822" s="149"/>
      <c r="L822" s="150" t="str">
        <f t="shared" si="133"/>
        <v/>
      </c>
      <c r="M822" s="150" t="str">
        <f t="shared" si="134"/>
        <v/>
      </c>
      <c r="N822" s="151" t="str">
        <f t="shared" si="135"/>
        <v/>
      </c>
      <c r="O822" s="151" t="str">
        <f t="shared" si="136"/>
        <v/>
      </c>
      <c r="P822" s="151" t="str">
        <f t="shared" si="137"/>
        <v/>
      </c>
      <c r="Q822" s="151" t="str">
        <f t="shared" si="138"/>
        <v/>
      </c>
      <c r="R822" s="150" t="str">
        <f t="shared" si="139"/>
        <v/>
      </c>
      <c r="S822" s="150" t="str">
        <f t="shared" si="140"/>
        <v/>
      </c>
      <c r="T822" s="150" t="str">
        <f t="shared" si="141"/>
        <v/>
      </c>
      <c r="U822" s="152"/>
      <c r="V822" s="143"/>
      <c r="W822" s="102"/>
      <c r="X822" s="102" t="str">
        <f t="shared" si="142"/>
        <v/>
      </c>
      <c r="Y822" s="102"/>
      <c r="Z822" s="102"/>
      <c r="AA822" s="102"/>
      <c r="AB822" s="102"/>
      <c r="AC822" s="102"/>
      <c r="AD822" s="102"/>
      <c r="AE822" s="102"/>
      <c r="AF822" s="102"/>
      <c r="AG822" s="102"/>
      <c r="AH822" s="102"/>
      <c r="AI822" s="102"/>
      <c r="AJ822" s="102"/>
      <c r="AK822" s="102"/>
      <c r="AL822" s="102"/>
      <c r="AM822" s="102"/>
    </row>
    <row r="823" spans="1:39">
      <c r="A823" s="143"/>
      <c r="B823" s="143"/>
      <c r="C823" s="155"/>
      <c r="D823" s="143"/>
      <c r="E823" s="146"/>
      <c r="F823" s="147"/>
      <c r="G823" s="147"/>
      <c r="H823" s="148"/>
      <c r="I823" s="143"/>
      <c r="J823" s="143"/>
      <c r="K823" s="149"/>
      <c r="L823" s="150" t="str">
        <f t="shared" si="133"/>
        <v/>
      </c>
      <c r="M823" s="150" t="str">
        <f t="shared" si="134"/>
        <v/>
      </c>
      <c r="N823" s="151" t="str">
        <f t="shared" si="135"/>
        <v/>
      </c>
      <c r="O823" s="151" t="str">
        <f t="shared" si="136"/>
        <v/>
      </c>
      <c r="P823" s="151" t="str">
        <f t="shared" si="137"/>
        <v/>
      </c>
      <c r="Q823" s="151" t="str">
        <f t="shared" si="138"/>
        <v/>
      </c>
      <c r="R823" s="150" t="str">
        <f t="shared" si="139"/>
        <v/>
      </c>
      <c r="S823" s="150" t="str">
        <f t="shared" si="140"/>
        <v/>
      </c>
      <c r="T823" s="150" t="str">
        <f t="shared" si="141"/>
        <v/>
      </c>
      <c r="U823" s="152"/>
      <c r="V823" s="143"/>
      <c r="W823" s="102"/>
      <c r="X823" s="102" t="str">
        <f t="shared" si="142"/>
        <v/>
      </c>
      <c r="Y823" s="102"/>
      <c r="Z823" s="102"/>
      <c r="AA823" s="102"/>
      <c r="AB823" s="102"/>
      <c r="AC823" s="102"/>
      <c r="AD823" s="102"/>
      <c r="AE823" s="102"/>
      <c r="AF823" s="102"/>
      <c r="AG823" s="102"/>
      <c r="AH823" s="102"/>
      <c r="AI823" s="102"/>
      <c r="AJ823" s="102"/>
      <c r="AK823" s="102"/>
      <c r="AL823" s="102"/>
      <c r="AM823" s="102"/>
    </row>
    <row r="824" spans="1:39">
      <c r="A824" s="143"/>
      <c r="B824" s="143"/>
      <c r="C824" s="155"/>
      <c r="D824" s="143"/>
      <c r="E824" s="146"/>
      <c r="F824" s="147"/>
      <c r="G824" s="147"/>
      <c r="H824" s="148"/>
      <c r="I824" s="143"/>
      <c r="J824" s="143"/>
      <c r="K824" s="149"/>
      <c r="L824" s="150" t="str">
        <f t="shared" si="133"/>
        <v/>
      </c>
      <c r="M824" s="150" t="str">
        <f t="shared" si="134"/>
        <v/>
      </c>
      <c r="N824" s="151" t="str">
        <f t="shared" si="135"/>
        <v/>
      </c>
      <c r="O824" s="151" t="str">
        <f t="shared" si="136"/>
        <v/>
      </c>
      <c r="P824" s="151" t="str">
        <f t="shared" si="137"/>
        <v/>
      </c>
      <c r="Q824" s="151" t="str">
        <f t="shared" si="138"/>
        <v/>
      </c>
      <c r="R824" s="150" t="str">
        <f t="shared" si="139"/>
        <v/>
      </c>
      <c r="S824" s="150" t="str">
        <f t="shared" si="140"/>
        <v/>
      </c>
      <c r="T824" s="150" t="str">
        <f t="shared" si="141"/>
        <v/>
      </c>
      <c r="U824" s="152"/>
      <c r="V824" s="143"/>
      <c r="W824" s="102"/>
      <c r="X824" s="102" t="str">
        <f t="shared" si="142"/>
        <v/>
      </c>
      <c r="Y824" s="102"/>
      <c r="Z824" s="102"/>
      <c r="AA824" s="102"/>
      <c r="AB824" s="102"/>
      <c r="AC824" s="102"/>
      <c r="AD824" s="102"/>
      <c r="AE824" s="102"/>
      <c r="AF824" s="102"/>
      <c r="AG824" s="102"/>
      <c r="AH824" s="102"/>
      <c r="AI824" s="102"/>
      <c r="AJ824" s="102"/>
      <c r="AK824" s="102"/>
      <c r="AL824" s="102"/>
      <c r="AM824" s="102"/>
    </row>
    <row r="825" spans="1:39">
      <c r="A825" s="143"/>
      <c r="B825" s="143"/>
      <c r="C825" s="155"/>
      <c r="D825" s="143"/>
      <c r="E825" s="146"/>
      <c r="F825" s="147"/>
      <c r="G825" s="147"/>
      <c r="H825" s="148"/>
      <c r="I825" s="143"/>
      <c r="J825" s="143"/>
      <c r="K825" s="149"/>
      <c r="L825" s="150" t="str">
        <f t="shared" si="133"/>
        <v/>
      </c>
      <c r="M825" s="150" t="str">
        <f t="shared" si="134"/>
        <v/>
      </c>
      <c r="N825" s="151" t="str">
        <f t="shared" si="135"/>
        <v/>
      </c>
      <c r="O825" s="151" t="str">
        <f t="shared" si="136"/>
        <v/>
      </c>
      <c r="P825" s="151" t="str">
        <f t="shared" si="137"/>
        <v/>
      </c>
      <c r="Q825" s="151" t="str">
        <f t="shared" si="138"/>
        <v/>
      </c>
      <c r="R825" s="150" t="str">
        <f t="shared" si="139"/>
        <v/>
      </c>
      <c r="S825" s="150" t="str">
        <f t="shared" si="140"/>
        <v/>
      </c>
      <c r="T825" s="150" t="str">
        <f t="shared" si="141"/>
        <v/>
      </c>
      <c r="U825" s="152"/>
      <c r="V825" s="143"/>
      <c r="W825" s="102"/>
      <c r="X825" s="102" t="str">
        <f t="shared" si="142"/>
        <v/>
      </c>
      <c r="Y825" s="102"/>
      <c r="Z825" s="102"/>
      <c r="AA825" s="102"/>
      <c r="AB825" s="102"/>
      <c r="AC825" s="102"/>
      <c r="AD825" s="102"/>
      <c r="AE825" s="102"/>
      <c r="AF825" s="102"/>
      <c r="AG825" s="102"/>
      <c r="AH825" s="102"/>
      <c r="AI825" s="102"/>
      <c r="AJ825" s="102"/>
      <c r="AK825" s="102"/>
      <c r="AL825" s="102"/>
      <c r="AM825" s="102"/>
    </row>
    <row r="826" spans="1:39">
      <c r="A826" s="143"/>
      <c r="B826" s="143"/>
      <c r="C826" s="155"/>
      <c r="D826" s="143"/>
      <c r="E826" s="146"/>
      <c r="F826" s="147"/>
      <c r="G826" s="147"/>
      <c r="H826" s="148"/>
      <c r="I826" s="143"/>
      <c r="J826" s="143"/>
      <c r="K826" s="149"/>
      <c r="L826" s="150" t="str">
        <f t="shared" si="133"/>
        <v/>
      </c>
      <c r="M826" s="150" t="str">
        <f t="shared" si="134"/>
        <v/>
      </c>
      <c r="N826" s="151" t="str">
        <f t="shared" si="135"/>
        <v/>
      </c>
      <c r="O826" s="151" t="str">
        <f t="shared" si="136"/>
        <v/>
      </c>
      <c r="P826" s="151" t="str">
        <f t="shared" si="137"/>
        <v/>
      </c>
      <c r="Q826" s="151" t="str">
        <f t="shared" si="138"/>
        <v/>
      </c>
      <c r="R826" s="150" t="str">
        <f t="shared" si="139"/>
        <v/>
      </c>
      <c r="S826" s="150" t="str">
        <f t="shared" si="140"/>
        <v/>
      </c>
      <c r="T826" s="150" t="str">
        <f t="shared" si="141"/>
        <v/>
      </c>
      <c r="U826" s="152"/>
      <c r="V826" s="143"/>
      <c r="W826" s="102"/>
      <c r="X826" s="102" t="str">
        <f t="shared" si="142"/>
        <v/>
      </c>
      <c r="Y826" s="102"/>
      <c r="Z826" s="102"/>
      <c r="AA826" s="102"/>
      <c r="AB826" s="102"/>
      <c r="AC826" s="102"/>
      <c r="AD826" s="102"/>
      <c r="AE826" s="102"/>
      <c r="AF826" s="102"/>
      <c r="AG826" s="102"/>
      <c r="AH826" s="102"/>
      <c r="AI826" s="102"/>
      <c r="AJ826" s="102"/>
      <c r="AK826" s="102"/>
      <c r="AL826" s="102"/>
      <c r="AM826" s="102"/>
    </row>
    <row r="827" spans="1:39">
      <c r="A827" s="143"/>
      <c r="B827" s="143"/>
      <c r="C827" s="155"/>
      <c r="D827" s="143"/>
      <c r="E827" s="146"/>
      <c r="F827" s="147"/>
      <c r="G827" s="147"/>
      <c r="H827" s="148"/>
      <c r="I827" s="143"/>
      <c r="J827" s="143"/>
      <c r="K827" s="149"/>
      <c r="L827" s="150" t="str">
        <f t="shared" si="133"/>
        <v/>
      </c>
      <c r="M827" s="150" t="str">
        <f t="shared" si="134"/>
        <v/>
      </c>
      <c r="N827" s="151" t="str">
        <f t="shared" si="135"/>
        <v/>
      </c>
      <c r="O827" s="151" t="str">
        <f t="shared" si="136"/>
        <v/>
      </c>
      <c r="P827" s="151" t="str">
        <f t="shared" si="137"/>
        <v/>
      </c>
      <c r="Q827" s="151" t="str">
        <f t="shared" si="138"/>
        <v/>
      </c>
      <c r="R827" s="150" t="str">
        <f t="shared" si="139"/>
        <v/>
      </c>
      <c r="S827" s="150" t="str">
        <f t="shared" si="140"/>
        <v/>
      </c>
      <c r="T827" s="150" t="str">
        <f t="shared" si="141"/>
        <v/>
      </c>
      <c r="U827" s="152"/>
      <c r="V827" s="143"/>
      <c r="W827" s="102"/>
      <c r="X827" s="102" t="str">
        <f t="shared" si="142"/>
        <v/>
      </c>
      <c r="Y827" s="102"/>
      <c r="Z827" s="102"/>
      <c r="AA827" s="102"/>
      <c r="AB827" s="102"/>
      <c r="AC827" s="102"/>
      <c r="AD827" s="102"/>
      <c r="AE827" s="102"/>
      <c r="AF827" s="102"/>
      <c r="AG827" s="102"/>
      <c r="AH827" s="102"/>
      <c r="AI827" s="102"/>
      <c r="AJ827" s="102"/>
      <c r="AK827" s="102"/>
      <c r="AL827" s="102"/>
      <c r="AM827" s="102"/>
    </row>
    <row r="828" spans="1:39">
      <c r="A828" s="143"/>
      <c r="B828" s="143"/>
      <c r="C828" s="155"/>
      <c r="D828" s="143"/>
      <c r="E828" s="146"/>
      <c r="F828" s="147"/>
      <c r="G828" s="147"/>
      <c r="H828" s="148"/>
      <c r="I828" s="143"/>
      <c r="J828" s="143"/>
      <c r="K828" s="149"/>
      <c r="L828" s="150" t="str">
        <f t="shared" si="133"/>
        <v/>
      </c>
      <c r="M828" s="150" t="str">
        <f t="shared" si="134"/>
        <v/>
      </c>
      <c r="N828" s="151" t="str">
        <f t="shared" si="135"/>
        <v/>
      </c>
      <c r="O828" s="151" t="str">
        <f t="shared" si="136"/>
        <v/>
      </c>
      <c r="P828" s="151" t="str">
        <f t="shared" si="137"/>
        <v/>
      </c>
      <c r="Q828" s="151" t="str">
        <f t="shared" si="138"/>
        <v/>
      </c>
      <c r="R828" s="150" t="str">
        <f t="shared" si="139"/>
        <v/>
      </c>
      <c r="S828" s="150" t="str">
        <f t="shared" si="140"/>
        <v/>
      </c>
      <c r="T828" s="150" t="str">
        <f t="shared" si="141"/>
        <v/>
      </c>
      <c r="U828" s="152"/>
      <c r="V828" s="143"/>
      <c r="W828" s="102"/>
      <c r="X828" s="102" t="str">
        <f t="shared" si="142"/>
        <v/>
      </c>
      <c r="Y828" s="102"/>
      <c r="Z828" s="102"/>
      <c r="AA828" s="102"/>
      <c r="AB828" s="102"/>
      <c r="AC828" s="102"/>
      <c r="AD828" s="102"/>
      <c r="AE828" s="102"/>
      <c r="AF828" s="102"/>
      <c r="AG828" s="102"/>
      <c r="AH828" s="102"/>
      <c r="AI828" s="102"/>
      <c r="AJ828" s="102"/>
      <c r="AK828" s="102"/>
      <c r="AL828" s="102"/>
      <c r="AM828" s="102"/>
    </row>
    <row r="829" spans="1:39">
      <c r="A829" s="143"/>
      <c r="B829" s="143"/>
      <c r="C829" s="155"/>
      <c r="D829" s="143"/>
      <c r="E829" s="146"/>
      <c r="F829" s="147"/>
      <c r="G829" s="147"/>
      <c r="H829" s="148"/>
      <c r="I829" s="143"/>
      <c r="J829" s="143"/>
      <c r="K829" s="149"/>
      <c r="L829" s="150" t="str">
        <f t="shared" si="133"/>
        <v/>
      </c>
      <c r="M829" s="150" t="str">
        <f t="shared" si="134"/>
        <v/>
      </c>
      <c r="N829" s="151" t="str">
        <f t="shared" si="135"/>
        <v/>
      </c>
      <c r="O829" s="151" t="str">
        <f t="shared" si="136"/>
        <v/>
      </c>
      <c r="P829" s="151" t="str">
        <f t="shared" si="137"/>
        <v/>
      </c>
      <c r="Q829" s="151" t="str">
        <f t="shared" si="138"/>
        <v/>
      </c>
      <c r="R829" s="150" t="str">
        <f t="shared" si="139"/>
        <v/>
      </c>
      <c r="S829" s="150" t="str">
        <f t="shared" si="140"/>
        <v/>
      </c>
      <c r="T829" s="150" t="str">
        <f t="shared" si="141"/>
        <v/>
      </c>
      <c r="U829" s="152"/>
      <c r="V829" s="143"/>
      <c r="W829" s="102"/>
      <c r="X829" s="102" t="str">
        <f t="shared" si="142"/>
        <v/>
      </c>
      <c r="Y829" s="102"/>
      <c r="Z829" s="102"/>
      <c r="AA829" s="102"/>
      <c r="AB829" s="102"/>
      <c r="AC829" s="102"/>
      <c r="AD829" s="102"/>
      <c r="AE829" s="102"/>
      <c r="AF829" s="102"/>
      <c r="AG829" s="102"/>
      <c r="AH829" s="102"/>
      <c r="AI829" s="102"/>
      <c r="AJ829" s="102"/>
      <c r="AK829" s="102"/>
      <c r="AL829" s="102"/>
      <c r="AM829" s="102"/>
    </row>
    <row r="830" spans="1:39">
      <c r="A830" s="143"/>
      <c r="B830" s="143"/>
      <c r="C830" s="155"/>
      <c r="D830" s="143"/>
      <c r="E830" s="146"/>
      <c r="F830" s="147"/>
      <c r="G830" s="147"/>
      <c r="H830" s="148"/>
      <c r="I830" s="143"/>
      <c r="J830" s="143"/>
      <c r="K830" s="149"/>
      <c r="L830" s="150" t="str">
        <f t="shared" si="133"/>
        <v/>
      </c>
      <c r="M830" s="150" t="str">
        <f t="shared" si="134"/>
        <v/>
      </c>
      <c r="N830" s="151" t="str">
        <f t="shared" si="135"/>
        <v/>
      </c>
      <c r="O830" s="151" t="str">
        <f t="shared" si="136"/>
        <v/>
      </c>
      <c r="P830" s="151" t="str">
        <f t="shared" si="137"/>
        <v/>
      </c>
      <c r="Q830" s="151" t="str">
        <f t="shared" si="138"/>
        <v/>
      </c>
      <c r="R830" s="150" t="str">
        <f t="shared" si="139"/>
        <v/>
      </c>
      <c r="S830" s="150" t="str">
        <f t="shared" si="140"/>
        <v/>
      </c>
      <c r="T830" s="150" t="str">
        <f t="shared" si="141"/>
        <v/>
      </c>
      <c r="U830" s="152"/>
      <c r="V830" s="143"/>
      <c r="W830" s="102"/>
      <c r="X830" s="102" t="str">
        <f t="shared" si="142"/>
        <v/>
      </c>
      <c r="Y830" s="102"/>
      <c r="Z830" s="102"/>
      <c r="AA830" s="102"/>
      <c r="AB830" s="102"/>
      <c r="AC830" s="102"/>
      <c r="AD830" s="102"/>
      <c r="AE830" s="102"/>
      <c r="AF830" s="102"/>
      <c r="AG830" s="102"/>
      <c r="AH830" s="102"/>
      <c r="AI830" s="102"/>
      <c r="AJ830" s="102"/>
      <c r="AK830" s="102"/>
      <c r="AL830" s="102"/>
      <c r="AM830" s="102"/>
    </row>
    <row r="831" spans="1:39">
      <c r="A831" s="143"/>
      <c r="B831" s="143"/>
      <c r="C831" s="155"/>
      <c r="D831" s="143"/>
      <c r="E831" s="146"/>
      <c r="F831" s="147"/>
      <c r="G831" s="147"/>
      <c r="H831" s="148"/>
      <c r="I831" s="143"/>
      <c r="J831" s="143"/>
      <c r="K831" s="149"/>
      <c r="L831" s="150" t="str">
        <f t="shared" si="133"/>
        <v/>
      </c>
      <c r="M831" s="150" t="str">
        <f t="shared" si="134"/>
        <v/>
      </c>
      <c r="N831" s="151" t="str">
        <f t="shared" si="135"/>
        <v/>
      </c>
      <c r="O831" s="151" t="str">
        <f t="shared" si="136"/>
        <v/>
      </c>
      <c r="P831" s="151" t="str">
        <f t="shared" si="137"/>
        <v/>
      </c>
      <c r="Q831" s="151" t="str">
        <f t="shared" si="138"/>
        <v/>
      </c>
      <c r="R831" s="150" t="str">
        <f t="shared" si="139"/>
        <v/>
      </c>
      <c r="S831" s="150" t="str">
        <f t="shared" si="140"/>
        <v/>
      </c>
      <c r="T831" s="150" t="str">
        <f t="shared" si="141"/>
        <v/>
      </c>
      <c r="U831" s="152"/>
      <c r="V831" s="143"/>
      <c r="W831" s="102"/>
      <c r="X831" s="102" t="str">
        <f t="shared" si="142"/>
        <v/>
      </c>
      <c r="Y831" s="102"/>
      <c r="Z831" s="102"/>
      <c r="AA831" s="102"/>
      <c r="AB831" s="102"/>
      <c r="AC831" s="102"/>
      <c r="AD831" s="102"/>
      <c r="AE831" s="102"/>
      <c r="AF831" s="102"/>
      <c r="AG831" s="102"/>
      <c r="AH831" s="102"/>
      <c r="AI831" s="102"/>
      <c r="AJ831" s="102"/>
      <c r="AK831" s="102"/>
      <c r="AL831" s="102"/>
      <c r="AM831" s="102"/>
    </row>
    <row r="832" spans="1:39">
      <c r="A832" s="143"/>
      <c r="B832" s="143"/>
      <c r="C832" s="155"/>
      <c r="D832" s="143"/>
      <c r="E832" s="146"/>
      <c r="F832" s="147"/>
      <c r="G832" s="147"/>
      <c r="H832" s="148"/>
      <c r="I832" s="143"/>
      <c r="J832" s="143"/>
      <c r="K832" s="149"/>
      <c r="L832" s="150" t="str">
        <f t="shared" si="133"/>
        <v/>
      </c>
      <c r="M832" s="150" t="str">
        <f t="shared" si="134"/>
        <v/>
      </c>
      <c r="N832" s="151" t="str">
        <f t="shared" si="135"/>
        <v/>
      </c>
      <c r="O832" s="151" t="str">
        <f t="shared" si="136"/>
        <v/>
      </c>
      <c r="P832" s="151" t="str">
        <f t="shared" si="137"/>
        <v/>
      </c>
      <c r="Q832" s="151" t="str">
        <f t="shared" si="138"/>
        <v/>
      </c>
      <c r="R832" s="150" t="str">
        <f t="shared" si="139"/>
        <v/>
      </c>
      <c r="S832" s="150" t="str">
        <f t="shared" si="140"/>
        <v/>
      </c>
      <c r="T832" s="150" t="str">
        <f t="shared" si="141"/>
        <v/>
      </c>
      <c r="U832" s="152"/>
      <c r="V832" s="143"/>
      <c r="W832" s="102"/>
      <c r="X832" s="102" t="str">
        <f t="shared" si="142"/>
        <v/>
      </c>
      <c r="Y832" s="102"/>
      <c r="Z832" s="102"/>
      <c r="AA832" s="102"/>
      <c r="AB832" s="102"/>
      <c r="AC832" s="102"/>
      <c r="AD832" s="102"/>
      <c r="AE832" s="102"/>
      <c r="AF832" s="102"/>
      <c r="AG832" s="102"/>
      <c r="AH832" s="102"/>
      <c r="AI832" s="102"/>
      <c r="AJ832" s="102"/>
      <c r="AK832" s="102"/>
      <c r="AL832" s="102"/>
      <c r="AM832" s="102"/>
    </row>
    <row r="833" spans="1:39">
      <c r="A833" s="143"/>
      <c r="B833" s="143"/>
      <c r="C833" s="155"/>
      <c r="D833" s="143"/>
      <c r="E833" s="146"/>
      <c r="F833" s="147"/>
      <c r="G833" s="147"/>
      <c r="H833" s="148"/>
      <c r="I833" s="143"/>
      <c r="J833" s="143"/>
      <c r="K833" s="149"/>
      <c r="L833" s="150" t="str">
        <f t="shared" si="133"/>
        <v/>
      </c>
      <c r="M833" s="150" t="str">
        <f t="shared" si="134"/>
        <v/>
      </c>
      <c r="N833" s="151" t="str">
        <f t="shared" si="135"/>
        <v/>
      </c>
      <c r="O833" s="151" t="str">
        <f t="shared" si="136"/>
        <v/>
      </c>
      <c r="P833" s="151" t="str">
        <f t="shared" si="137"/>
        <v/>
      </c>
      <c r="Q833" s="151" t="str">
        <f t="shared" si="138"/>
        <v/>
      </c>
      <c r="R833" s="150" t="str">
        <f t="shared" si="139"/>
        <v/>
      </c>
      <c r="S833" s="150" t="str">
        <f t="shared" si="140"/>
        <v/>
      </c>
      <c r="T833" s="150" t="str">
        <f t="shared" si="141"/>
        <v/>
      </c>
      <c r="U833" s="152"/>
      <c r="V833" s="143"/>
      <c r="W833" s="102"/>
      <c r="X833" s="102" t="str">
        <f t="shared" si="142"/>
        <v/>
      </c>
      <c r="Y833" s="102"/>
      <c r="Z833" s="102"/>
      <c r="AA833" s="102"/>
      <c r="AB833" s="102"/>
      <c r="AC833" s="102"/>
      <c r="AD833" s="102"/>
      <c r="AE833" s="102"/>
      <c r="AF833" s="102"/>
      <c r="AG833" s="102"/>
      <c r="AH833" s="102"/>
      <c r="AI833" s="102"/>
      <c r="AJ833" s="102"/>
      <c r="AK833" s="102"/>
      <c r="AL833" s="102"/>
      <c r="AM833" s="102"/>
    </row>
    <row r="834" spans="1:39">
      <c r="A834" s="143"/>
      <c r="B834" s="143"/>
      <c r="C834" s="155"/>
      <c r="D834" s="143"/>
      <c r="E834" s="146"/>
      <c r="F834" s="147"/>
      <c r="G834" s="147"/>
      <c r="H834" s="148"/>
      <c r="I834" s="143"/>
      <c r="J834" s="143"/>
      <c r="K834" s="149"/>
      <c r="L834" s="150" t="str">
        <f t="shared" si="133"/>
        <v/>
      </c>
      <c r="M834" s="150" t="str">
        <f t="shared" si="134"/>
        <v/>
      </c>
      <c r="N834" s="151" t="str">
        <f t="shared" si="135"/>
        <v/>
      </c>
      <c r="O834" s="151" t="str">
        <f t="shared" si="136"/>
        <v/>
      </c>
      <c r="P834" s="151" t="str">
        <f t="shared" si="137"/>
        <v/>
      </c>
      <c r="Q834" s="151" t="str">
        <f t="shared" si="138"/>
        <v/>
      </c>
      <c r="R834" s="150" t="str">
        <f t="shared" si="139"/>
        <v/>
      </c>
      <c r="S834" s="150" t="str">
        <f t="shared" si="140"/>
        <v/>
      </c>
      <c r="T834" s="150" t="str">
        <f t="shared" si="141"/>
        <v/>
      </c>
      <c r="U834" s="152"/>
      <c r="V834" s="143"/>
      <c r="W834" s="102"/>
      <c r="X834" s="102" t="str">
        <f t="shared" si="142"/>
        <v/>
      </c>
      <c r="Y834" s="102"/>
      <c r="Z834" s="102"/>
      <c r="AA834" s="102"/>
      <c r="AB834" s="102"/>
      <c r="AC834" s="102"/>
      <c r="AD834" s="102"/>
      <c r="AE834" s="102"/>
      <c r="AF834" s="102"/>
      <c r="AG834" s="102"/>
      <c r="AH834" s="102"/>
      <c r="AI834" s="102"/>
      <c r="AJ834" s="102"/>
      <c r="AK834" s="102"/>
      <c r="AL834" s="102"/>
      <c r="AM834" s="102"/>
    </row>
    <row r="835" spans="1:39">
      <c r="A835" s="143"/>
      <c r="B835" s="143"/>
      <c r="C835" s="155"/>
      <c r="D835" s="143"/>
      <c r="E835" s="146"/>
      <c r="F835" s="147"/>
      <c r="G835" s="147"/>
      <c r="H835" s="148"/>
      <c r="I835" s="143"/>
      <c r="J835" s="143"/>
      <c r="K835" s="149"/>
      <c r="L835" s="150" t="str">
        <f t="shared" si="133"/>
        <v/>
      </c>
      <c r="M835" s="150" t="str">
        <f t="shared" si="134"/>
        <v/>
      </c>
      <c r="N835" s="151" t="str">
        <f t="shared" si="135"/>
        <v/>
      </c>
      <c r="O835" s="151" t="str">
        <f t="shared" si="136"/>
        <v/>
      </c>
      <c r="P835" s="151" t="str">
        <f t="shared" si="137"/>
        <v/>
      </c>
      <c r="Q835" s="151" t="str">
        <f t="shared" si="138"/>
        <v/>
      </c>
      <c r="R835" s="150" t="str">
        <f t="shared" si="139"/>
        <v/>
      </c>
      <c r="S835" s="150" t="str">
        <f t="shared" si="140"/>
        <v/>
      </c>
      <c r="T835" s="150" t="str">
        <f t="shared" si="141"/>
        <v/>
      </c>
      <c r="U835" s="152"/>
      <c r="V835" s="143"/>
      <c r="W835" s="102"/>
      <c r="X835" s="102" t="str">
        <f t="shared" si="142"/>
        <v/>
      </c>
      <c r="Y835" s="102"/>
      <c r="Z835" s="102"/>
      <c r="AA835" s="102"/>
      <c r="AB835" s="102"/>
      <c r="AC835" s="102"/>
      <c r="AD835" s="102"/>
      <c r="AE835" s="102"/>
      <c r="AF835" s="102"/>
      <c r="AG835" s="102"/>
      <c r="AH835" s="102"/>
      <c r="AI835" s="102"/>
      <c r="AJ835" s="102"/>
      <c r="AK835" s="102"/>
      <c r="AL835" s="102"/>
      <c r="AM835" s="102"/>
    </row>
    <row r="836" spans="1:39">
      <c r="A836" s="143"/>
      <c r="B836" s="143"/>
      <c r="C836" s="155"/>
      <c r="D836" s="143"/>
      <c r="E836" s="146"/>
      <c r="F836" s="147"/>
      <c r="G836" s="147"/>
      <c r="H836" s="148"/>
      <c r="I836" s="143"/>
      <c r="J836" s="143"/>
      <c r="K836" s="149"/>
      <c r="L836" s="150" t="str">
        <f t="shared" si="133"/>
        <v/>
      </c>
      <c r="M836" s="150" t="str">
        <f t="shared" si="134"/>
        <v/>
      </c>
      <c r="N836" s="151" t="str">
        <f t="shared" si="135"/>
        <v/>
      </c>
      <c r="O836" s="151" t="str">
        <f t="shared" si="136"/>
        <v/>
      </c>
      <c r="P836" s="151" t="str">
        <f t="shared" si="137"/>
        <v/>
      </c>
      <c r="Q836" s="151" t="str">
        <f t="shared" si="138"/>
        <v/>
      </c>
      <c r="R836" s="150" t="str">
        <f t="shared" si="139"/>
        <v/>
      </c>
      <c r="S836" s="150" t="str">
        <f t="shared" si="140"/>
        <v/>
      </c>
      <c r="T836" s="150" t="str">
        <f t="shared" si="141"/>
        <v/>
      </c>
      <c r="U836" s="152"/>
      <c r="V836" s="143"/>
      <c r="W836" s="102"/>
      <c r="X836" s="102" t="str">
        <f t="shared" si="142"/>
        <v/>
      </c>
      <c r="Y836" s="102"/>
      <c r="Z836" s="102"/>
      <c r="AA836" s="102"/>
      <c r="AB836" s="102"/>
      <c r="AC836" s="102"/>
      <c r="AD836" s="102"/>
      <c r="AE836" s="102"/>
      <c r="AF836" s="102"/>
      <c r="AG836" s="102"/>
      <c r="AH836" s="102"/>
      <c r="AI836" s="102"/>
      <c r="AJ836" s="102"/>
      <c r="AK836" s="102"/>
      <c r="AL836" s="102"/>
      <c r="AM836" s="102"/>
    </row>
    <row r="837" spans="1:39">
      <c r="A837" s="143"/>
      <c r="B837" s="143"/>
      <c r="C837" s="155"/>
      <c r="D837" s="143"/>
      <c r="E837" s="146"/>
      <c r="F837" s="147"/>
      <c r="G837" s="147"/>
      <c r="H837" s="148"/>
      <c r="I837" s="143"/>
      <c r="J837" s="143"/>
      <c r="K837" s="149"/>
      <c r="L837" s="150" t="str">
        <f t="shared" si="133"/>
        <v/>
      </c>
      <c r="M837" s="150" t="str">
        <f t="shared" si="134"/>
        <v/>
      </c>
      <c r="N837" s="151" t="str">
        <f t="shared" si="135"/>
        <v/>
      </c>
      <c r="O837" s="151" t="str">
        <f t="shared" si="136"/>
        <v/>
      </c>
      <c r="P837" s="151" t="str">
        <f t="shared" si="137"/>
        <v/>
      </c>
      <c r="Q837" s="151" t="str">
        <f t="shared" si="138"/>
        <v/>
      </c>
      <c r="R837" s="150" t="str">
        <f t="shared" si="139"/>
        <v/>
      </c>
      <c r="S837" s="150" t="str">
        <f t="shared" si="140"/>
        <v/>
      </c>
      <c r="T837" s="150" t="str">
        <f t="shared" si="141"/>
        <v/>
      </c>
      <c r="U837" s="152"/>
      <c r="V837" s="143"/>
      <c r="W837" s="102"/>
      <c r="X837" s="102" t="str">
        <f t="shared" si="142"/>
        <v/>
      </c>
      <c r="Y837" s="102"/>
      <c r="Z837" s="102"/>
      <c r="AA837" s="102"/>
      <c r="AB837" s="102"/>
      <c r="AC837" s="102"/>
      <c r="AD837" s="102"/>
      <c r="AE837" s="102"/>
      <c r="AF837" s="102"/>
      <c r="AG837" s="102"/>
      <c r="AH837" s="102"/>
      <c r="AI837" s="102"/>
      <c r="AJ837" s="102"/>
      <c r="AK837" s="102"/>
      <c r="AL837" s="102"/>
      <c r="AM837" s="102"/>
    </row>
    <row r="838" spans="1:39">
      <c r="A838" s="143"/>
      <c r="B838" s="143"/>
      <c r="C838" s="155"/>
      <c r="D838" s="143"/>
      <c r="E838" s="146"/>
      <c r="F838" s="147"/>
      <c r="G838" s="147"/>
      <c r="H838" s="148"/>
      <c r="I838" s="143"/>
      <c r="J838" s="143"/>
      <c r="K838" s="149"/>
      <c r="L838" s="150" t="str">
        <f t="shared" si="133"/>
        <v/>
      </c>
      <c r="M838" s="150" t="str">
        <f t="shared" si="134"/>
        <v/>
      </c>
      <c r="N838" s="151" t="str">
        <f t="shared" si="135"/>
        <v/>
      </c>
      <c r="O838" s="151" t="str">
        <f t="shared" si="136"/>
        <v/>
      </c>
      <c r="P838" s="151" t="str">
        <f t="shared" si="137"/>
        <v/>
      </c>
      <c r="Q838" s="151" t="str">
        <f t="shared" si="138"/>
        <v/>
      </c>
      <c r="R838" s="150" t="str">
        <f t="shared" si="139"/>
        <v/>
      </c>
      <c r="S838" s="150" t="str">
        <f t="shared" si="140"/>
        <v/>
      </c>
      <c r="T838" s="150" t="str">
        <f t="shared" si="141"/>
        <v/>
      </c>
      <c r="U838" s="152"/>
      <c r="V838" s="143"/>
      <c r="W838" s="102"/>
      <c r="X838" s="102" t="str">
        <f t="shared" si="142"/>
        <v/>
      </c>
      <c r="Y838" s="102"/>
      <c r="Z838" s="102"/>
      <c r="AA838" s="102"/>
      <c r="AB838" s="102"/>
      <c r="AC838" s="102"/>
      <c r="AD838" s="102"/>
      <c r="AE838" s="102"/>
      <c r="AF838" s="102"/>
      <c r="AG838" s="102"/>
      <c r="AH838" s="102"/>
      <c r="AI838" s="102"/>
      <c r="AJ838" s="102"/>
      <c r="AK838" s="102"/>
      <c r="AL838" s="102"/>
      <c r="AM838" s="102"/>
    </row>
    <row r="839" spans="1:39">
      <c r="A839" s="143"/>
      <c r="B839" s="143"/>
      <c r="C839" s="155"/>
      <c r="D839" s="143"/>
      <c r="E839" s="146"/>
      <c r="F839" s="147"/>
      <c r="G839" s="147"/>
      <c r="H839" s="148"/>
      <c r="I839" s="143"/>
      <c r="J839" s="143"/>
      <c r="K839" s="149"/>
      <c r="L839" s="150" t="str">
        <f t="shared" si="133"/>
        <v/>
      </c>
      <c r="M839" s="150" t="str">
        <f t="shared" si="134"/>
        <v/>
      </c>
      <c r="N839" s="151" t="str">
        <f t="shared" si="135"/>
        <v/>
      </c>
      <c r="O839" s="151" t="str">
        <f t="shared" si="136"/>
        <v/>
      </c>
      <c r="P839" s="151" t="str">
        <f t="shared" si="137"/>
        <v/>
      </c>
      <c r="Q839" s="151" t="str">
        <f t="shared" si="138"/>
        <v/>
      </c>
      <c r="R839" s="150" t="str">
        <f t="shared" si="139"/>
        <v/>
      </c>
      <c r="S839" s="150" t="str">
        <f t="shared" si="140"/>
        <v/>
      </c>
      <c r="T839" s="150" t="str">
        <f t="shared" si="141"/>
        <v/>
      </c>
      <c r="U839" s="152"/>
      <c r="V839" s="143"/>
      <c r="W839" s="102"/>
      <c r="X839" s="102" t="str">
        <f t="shared" si="142"/>
        <v/>
      </c>
      <c r="Y839" s="102"/>
      <c r="Z839" s="102"/>
      <c r="AA839" s="102"/>
      <c r="AB839" s="102"/>
      <c r="AC839" s="102"/>
      <c r="AD839" s="102"/>
      <c r="AE839" s="102"/>
      <c r="AF839" s="102"/>
      <c r="AG839" s="102"/>
      <c r="AH839" s="102"/>
      <c r="AI839" s="102"/>
      <c r="AJ839" s="102"/>
      <c r="AK839" s="102"/>
      <c r="AL839" s="102"/>
      <c r="AM839" s="102"/>
    </row>
    <row r="840" spans="1:39">
      <c r="A840" s="143"/>
      <c r="B840" s="143"/>
      <c r="C840" s="155"/>
      <c r="D840" s="143"/>
      <c r="E840" s="146"/>
      <c r="F840" s="147"/>
      <c r="G840" s="147"/>
      <c r="H840" s="148"/>
      <c r="I840" s="143"/>
      <c r="J840" s="143"/>
      <c r="K840" s="149"/>
      <c r="L840" s="150" t="str">
        <f t="shared" si="133"/>
        <v/>
      </c>
      <c r="M840" s="150" t="str">
        <f t="shared" si="134"/>
        <v/>
      </c>
      <c r="N840" s="151" t="str">
        <f t="shared" si="135"/>
        <v/>
      </c>
      <c r="O840" s="151" t="str">
        <f t="shared" si="136"/>
        <v/>
      </c>
      <c r="P840" s="151" t="str">
        <f t="shared" si="137"/>
        <v/>
      </c>
      <c r="Q840" s="151" t="str">
        <f t="shared" si="138"/>
        <v/>
      </c>
      <c r="R840" s="150" t="str">
        <f t="shared" si="139"/>
        <v/>
      </c>
      <c r="S840" s="150" t="str">
        <f t="shared" si="140"/>
        <v/>
      </c>
      <c r="T840" s="150" t="str">
        <f t="shared" si="141"/>
        <v/>
      </c>
      <c r="U840" s="152"/>
      <c r="V840" s="143"/>
      <c r="W840" s="102"/>
      <c r="X840" s="102" t="str">
        <f t="shared" si="142"/>
        <v/>
      </c>
      <c r="Y840" s="102"/>
      <c r="Z840" s="102"/>
      <c r="AA840" s="102"/>
      <c r="AB840" s="102"/>
      <c r="AC840" s="102"/>
      <c r="AD840" s="102"/>
      <c r="AE840" s="102"/>
      <c r="AF840" s="102"/>
      <c r="AG840" s="102"/>
      <c r="AH840" s="102"/>
      <c r="AI840" s="102"/>
      <c r="AJ840" s="102"/>
      <c r="AK840" s="102"/>
      <c r="AL840" s="102"/>
      <c r="AM840" s="102"/>
    </row>
    <row r="841" spans="1:39">
      <c r="A841" s="143"/>
      <c r="B841" s="143"/>
      <c r="C841" s="155"/>
      <c r="D841" s="143"/>
      <c r="E841" s="146"/>
      <c r="F841" s="147"/>
      <c r="G841" s="147"/>
      <c r="H841" s="148"/>
      <c r="I841" s="143"/>
      <c r="J841" s="143"/>
      <c r="K841" s="149"/>
      <c r="L841" s="150" t="str">
        <f t="shared" si="133"/>
        <v/>
      </c>
      <c r="M841" s="150" t="str">
        <f t="shared" si="134"/>
        <v/>
      </c>
      <c r="N841" s="151" t="str">
        <f t="shared" si="135"/>
        <v/>
      </c>
      <c r="O841" s="151" t="str">
        <f t="shared" si="136"/>
        <v/>
      </c>
      <c r="P841" s="151" t="str">
        <f t="shared" si="137"/>
        <v/>
      </c>
      <c r="Q841" s="151" t="str">
        <f t="shared" si="138"/>
        <v/>
      </c>
      <c r="R841" s="150" t="str">
        <f t="shared" si="139"/>
        <v/>
      </c>
      <c r="S841" s="150" t="str">
        <f t="shared" si="140"/>
        <v/>
      </c>
      <c r="T841" s="150" t="str">
        <f t="shared" si="141"/>
        <v/>
      </c>
      <c r="U841" s="152"/>
      <c r="V841" s="143"/>
      <c r="W841" s="102"/>
      <c r="X841" s="102" t="str">
        <f t="shared" si="142"/>
        <v/>
      </c>
      <c r="Y841" s="102"/>
      <c r="Z841" s="102"/>
      <c r="AA841" s="102"/>
      <c r="AB841" s="102"/>
      <c r="AC841" s="102"/>
      <c r="AD841" s="102"/>
      <c r="AE841" s="102"/>
      <c r="AF841" s="102"/>
      <c r="AG841" s="102"/>
      <c r="AH841" s="102"/>
      <c r="AI841" s="102"/>
      <c r="AJ841" s="102"/>
      <c r="AK841" s="102"/>
      <c r="AL841" s="102"/>
      <c r="AM841" s="102"/>
    </row>
    <row r="842" spans="1:39">
      <c r="A842" s="143"/>
      <c r="B842" s="143"/>
      <c r="C842" s="155"/>
      <c r="D842" s="143"/>
      <c r="E842" s="146"/>
      <c r="F842" s="147"/>
      <c r="G842" s="147"/>
      <c r="H842" s="148"/>
      <c r="I842" s="143"/>
      <c r="J842" s="143"/>
      <c r="K842" s="149"/>
      <c r="L842" s="150" t="str">
        <f t="shared" ref="L842:L905" si="143">IF(K842="","",IF(K842="W",R842*J842-J842,IF(K842="L",-J842,0)))</f>
        <v/>
      </c>
      <c r="M842" s="150" t="str">
        <f t="shared" ref="M842:M905" si="144">IF(K842="","",IF(K842="W",S842*J842-J842,IF(K842="L",-J842,0)))</f>
        <v/>
      </c>
      <c r="N842" s="151" t="str">
        <f t="shared" ref="N842:N905" si="145">IFERROR((1/S842-1/R842)/(1/R842),"")</f>
        <v/>
      </c>
      <c r="O842" s="151" t="str">
        <f t="shared" ref="O842:O905" si="146">IFERROR(IF(Q842="","",P842 - Q842),"")</f>
        <v/>
      </c>
      <c r="P842" s="151" t="str">
        <f t="shared" ref="P842:P905" si="147">IF(F842="","",IF(F842 &lt; 0, -F842 / (-F842 + 100), 100 / (F842 + 100)))</f>
        <v/>
      </c>
      <c r="Q842" s="151" t="str">
        <f t="shared" ref="Q842:Q905" si="148">IFERROR((1/S842) / ((1/S842) + (1/T842)),"")</f>
        <v/>
      </c>
      <c r="R842" s="150" t="str">
        <f t="shared" ref="R842:R905" si="149">IFERROR(IF(G842&gt;0, G842/100 + 1, 100/ABS(G842) + 1),"")</f>
        <v/>
      </c>
      <c r="S842" s="150" t="str">
        <f t="shared" ref="S842:S905" si="150">IFERROR(IF(H842&gt;0, H842/100 + 1, 100/ABS(H842) + 1),"")</f>
        <v/>
      </c>
      <c r="T842" s="150" t="str">
        <f t="shared" ref="T842:T905" si="151">IFERROR(IF(I842&gt;0, I842/100 + 1, 100/ABS(I842) + 1),"")</f>
        <v/>
      </c>
      <c r="U842" s="152"/>
      <c r="V842" s="143"/>
      <c r="W842" s="102"/>
      <c r="X842" s="102" t="str">
        <f t="shared" ref="X842:X905" si="152">IF(B842=$D$3,U842,"")</f>
        <v/>
      </c>
      <c r="Y842" s="102"/>
      <c r="Z842" s="102"/>
      <c r="AA842" s="102"/>
      <c r="AB842" s="102"/>
      <c r="AC842" s="102"/>
      <c r="AD842" s="102"/>
      <c r="AE842" s="102"/>
      <c r="AF842" s="102"/>
      <c r="AG842" s="102"/>
      <c r="AH842" s="102"/>
      <c r="AI842" s="102"/>
      <c r="AJ842" s="102"/>
      <c r="AK842" s="102"/>
      <c r="AL842" s="102"/>
      <c r="AM842" s="102"/>
    </row>
    <row r="843" spans="1:39">
      <c r="A843" s="143"/>
      <c r="B843" s="143"/>
      <c r="C843" s="155"/>
      <c r="D843" s="143"/>
      <c r="E843" s="146"/>
      <c r="F843" s="147"/>
      <c r="G843" s="147"/>
      <c r="H843" s="148"/>
      <c r="I843" s="143"/>
      <c r="J843" s="143"/>
      <c r="K843" s="149"/>
      <c r="L843" s="150" t="str">
        <f t="shared" si="143"/>
        <v/>
      </c>
      <c r="M843" s="150" t="str">
        <f t="shared" si="144"/>
        <v/>
      </c>
      <c r="N843" s="151" t="str">
        <f t="shared" si="145"/>
        <v/>
      </c>
      <c r="O843" s="151" t="str">
        <f t="shared" si="146"/>
        <v/>
      </c>
      <c r="P843" s="151" t="str">
        <f t="shared" si="147"/>
        <v/>
      </c>
      <c r="Q843" s="151" t="str">
        <f t="shared" si="148"/>
        <v/>
      </c>
      <c r="R843" s="150" t="str">
        <f t="shared" si="149"/>
        <v/>
      </c>
      <c r="S843" s="150" t="str">
        <f t="shared" si="150"/>
        <v/>
      </c>
      <c r="T843" s="150" t="str">
        <f t="shared" si="151"/>
        <v/>
      </c>
      <c r="U843" s="152"/>
      <c r="V843" s="143"/>
      <c r="W843" s="102"/>
      <c r="X843" s="102" t="str">
        <f t="shared" si="152"/>
        <v/>
      </c>
      <c r="Y843" s="102"/>
      <c r="Z843" s="102"/>
      <c r="AA843" s="102"/>
      <c r="AB843" s="102"/>
      <c r="AC843" s="102"/>
      <c r="AD843" s="102"/>
      <c r="AE843" s="102"/>
      <c r="AF843" s="102"/>
      <c r="AG843" s="102"/>
      <c r="AH843" s="102"/>
      <c r="AI843" s="102"/>
      <c r="AJ843" s="102"/>
      <c r="AK843" s="102"/>
      <c r="AL843" s="102"/>
      <c r="AM843" s="102"/>
    </row>
    <row r="844" spans="1:39">
      <c r="A844" s="143"/>
      <c r="B844" s="143"/>
      <c r="C844" s="155"/>
      <c r="D844" s="143"/>
      <c r="E844" s="146"/>
      <c r="F844" s="147"/>
      <c r="G844" s="147"/>
      <c r="H844" s="148"/>
      <c r="I844" s="143"/>
      <c r="J844" s="143"/>
      <c r="K844" s="149"/>
      <c r="L844" s="150" t="str">
        <f t="shared" si="143"/>
        <v/>
      </c>
      <c r="M844" s="150" t="str">
        <f t="shared" si="144"/>
        <v/>
      </c>
      <c r="N844" s="151" t="str">
        <f t="shared" si="145"/>
        <v/>
      </c>
      <c r="O844" s="151" t="str">
        <f t="shared" si="146"/>
        <v/>
      </c>
      <c r="P844" s="151" t="str">
        <f t="shared" si="147"/>
        <v/>
      </c>
      <c r="Q844" s="151" t="str">
        <f t="shared" si="148"/>
        <v/>
      </c>
      <c r="R844" s="150" t="str">
        <f t="shared" si="149"/>
        <v/>
      </c>
      <c r="S844" s="150" t="str">
        <f t="shared" si="150"/>
        <v/>
      </c>
      <c r="T844" s="150" t="str">
        <f t="shared" si="151"/>
        <v/>
      </c>
      <c r="U844" s="152"/>
      <c r="V844" s="143"/>
      <c r="W844" s="102"/>
      <c r="X844" s="102" t="str">
        <f t="shared" si="152"/>
        <v/>
      </c>
      <c r="Y844" s="102"/>
      <c r="Z844" s="102"/>
      <c r="AA844" s="102"/>
      <c r="AB844" s="102"/>
      <c r="AC844" s="102"/>
      <c r="AD844" s="102"/>
      <c r="AE844" s="102"/>
      <c r="AF844" s="102"/>
      <c r="AG844" s="102"/>
      <c r="AH844" s="102"/>
      <c r="AI844" s="102"/>
      <c r="AJ844" s="102"/>
      <c r="AK844" s="102"/>
      <c r="AL844" s="102"/>
      <c r="AM844" s="102"/>
    </row>
    <row r="845" spans="1:39">
      <c r="A845" s="143"/>
      <c r="B845" s="143"/>
      <c r="C845" s="155"/>
      <c r="D845" s="143"/>
      <c r="E845" s="146"/>
      <c r="F845" s="147"/>
      <c r="G845" s="147"/>
      <c r="H845" s="148"/>
      <c r="I845" s="143"/>
      <c r="J845" s="143"/>
      <c r="K845" s="149"/>
      <c r="L845" s="150" t="str">
        <f t="shared" si="143"/>
        <v/>
      </c>
      <c r="M845" s="150" t="str">
        <f t="shared" si="144"/>
        <v/>
      </c>
      <c r="N845" s="151" t="str">
        <f t="shared" si="145"/>
        <v/>
      </c>
      <c r="O845" s="151" t="str">
        <f t="shared" si="146"/>
        <v/>
      </c>
      <c r="P845" s="151" t="str">
        <f t="shared" si="147"/>
        <v/>
      </c>
      <c r="Q845" s="151" t="str">
        <f t="shared" si="148"/>
        <v/>
      </c>
      <c r="R845" s="150" t="str">
        <f t="shared" si="149"/>
        <v/>
      </c>
      <c r="S845" s="150" t="str">
        <f t="shared" si="150"/>
        <v/>
      </c>
      <c r="T845" s="150" t="str">
        <f t="shared" si="151"/>
        <v/>
      </c>
      <c r="U845" s="152"/>
      <c r="V845" s="143"/>
      <c r="W845" s="102"/>
      <c r="X845" s="102" t="str">
        <f t="shared" si="152"/>
        <v/>
      </c>
      <c r="Y845" s="102"/>
      <c r="Z845" s="102"/>
      <c r="AA845" s="102"/>
      <c r="AB845" s="102"/>
      <c r="AC845" s="102"/>
      <c r="AD845" s="102"/>
      <c r="AE845" s="102"/>
      <c r="AF845" s="102"/>
      <c r="AG845" s="102"/>
      <c r="AH845" s="102"/>
      <c r="AI845" s="102"/>
      <c r="AJ845" s="102"/>
      <c r="AK845" s="102"/>
      <c r="AL845" s="102"/>
      <c r="AM845" s="102"/>
    </row>
    <row r="846" spans="1:39">
      <c r="A846" s="143"/>
      <c r="B846" s="143"/>
      <c r="C846" s="155"/>
      <c r="D846" s="143"/>
      <c r="E846" s="146"/>
      <c r="F846" s="147"/>
      <c r="G846" s="147"/>
      <c r="H846" s="148"/>
      <c r="I846" s="143"/>
      <c r="J846" s="143"/>
      <c r="K846" s="149"/>
      <c r="L846" s="150" t="str">
        <f t="shared" si="143"/>
        <v/>
      </c>
      <c r="M846" s="150" t="str">
        <f t="shared" si="144"/>
        <v/>
      </c>
      <c r="N846" s="151" t="str">
        <f t="shared" si="145"/>
        <v/>
      </c>
      <c r="O846" s="151" t="str">
        <f t="shared" si="146"/>
        <v/>
      </c>
      <c r="P846" s="151" t="str">
        <f t="shared" si="147"/>
        <v/>
      </c>
      <c r="Q846" s="151" t="str">
        <f t="shared" si="148"/>
        <v/>
      </c>
      <c r="R846" s="150" t="str">
        <f t="shared" si="149"/>
        <v/>
      </c>
      <c r="S846" s="150" t="str">
        <f t="shared" si="150"/>
        <v/>
      </c>
      <c r="T846" s="150" t="str">
        <f t="shared" si="151"/>
        <v/>
      </c>
      <c r="U846" s="152"/>
      <c r="V846" s="143"/>
      <c r="W846" s="102"/>
      <c r="X846" s="102" t="str">
        <f t="shared" si="152"/>
        <v/>
      </c>
      <c r="Y846" s="102"/>
      <c r="Z846" s="102"/>
      <c r="AA846" s="102"/>
      <c r="AB846" s="102"/>
      <c r="AC846" s="102"/>
      <c r="AD846" s="102"/>
      <c r="AE846" s="102"/>
      <c r="AF846" s="102"/>
      <c r="AG846" s="102"/>
      <c r="AH846" s="102"/>
      <c r="AI846" s="102"/>
      <c r="AJ846" s="102"/>
      <c r="AK846" s="102"/>
      <c r="AL846" s="102"/>
      <c r="AM846" s="102"/>
    </row>
    <row r="847" spans="1:39">
      <c r="A847" s="143"/>
      <c r="B847" s="143"/>
      <c r="C847" s="155"/>
      <c r="D847" s="143"/>
      <c r="E847" s="146"/>
      <c r="F847" s="147"/>
      <c r="G847" s="147"/>
      <c r="H847" s="148"/>
      <c r="I847" s="143"/>
      <c r="J847" s="143"/>
      <c r="K847" s="149"/>
      <c r="L847" s="150" t="str">
        <f t="shared" si="143"/>
        <v/>
      </c>
      <c r="M847" s="150" t="str">
        <f t="shared" si="144"/>
        <v/>
      </c>
      <c r="N847" s="151" t="str">
        <f t="shared" si="145"/>
        <v/>
      </c>
      <c r="O847" s="151" t="str">
        <f t="shared" si="146"/>
        <v/>
      </c>
      <c r="P847" s="151" t="str">
        <f t="shared" si="147"/>
        <v/>
      </c>
      <c r="Q847" s="151" t="str">
        <f t="shared" si="148"/>
        <v/>
      </c>
      <c r="R847" s="150" t="str">
        <f t="shared" si="149"/>
        <v/>
      </c>
      <c r="S847" s="150" t="str">
        <f t="shared" si="150"/>
        <v/>
      </c>
      <c r="T847" s="150" t="str">
        <f t="shared" si="151"/>
        <v/>
      </c>
      <c r="U847" s="152"/>
      <c r="V847" s="143"/>
      <c r="W847" s="102"/>
      <c r="X847" s="102" t="str">
        <f t="shared" si="152"/>
        <v/>
      </c>
      <c r="Y847" s="102"/>
      <c r="Z847" s="102"/>
      <c r="AA847" s="102"/>
      <c r="AB847" s="102"/>
      <c r="AC847" s="102"/>
      <c r="AD847" s="102"/>
      <c r="AE847" s="102"/>
      <c r="AF847" s="102"/>
      <c r="AG847" s="102"/>
      <c r="AH847" s="102"/>
      <c r="AI847" s="102"/>
      <c r="AJ847" s="102"/>
      <c r="AK847" s="102"/>
      <c r="AL847" s="102"/>
      <c r="AM847" s="102"/>
    </row>
    <row r="848" spans="1:39">
      <c r="A848" s="143"/>
      <c r="B848" s="143"/>
      <c r="C848" s="155"/>
      <c r="D848" s="143"/>
      <c r="E848" s="146"/>
      <c r="F848" s="147"/>
      <c r="G848" s="147"/>
      <c r="H848" s="148"/>
      <c r="I848" s="143"/>
      <c r="J848" s="143"/>
      <c r="K848" s="149"/>
      <c r="L848" s="150" t="str">
        <f t="shared" si="143"/>
        <v/>
      </c>
      <c r="M848" s="150" t="str">
        <f t="shared" si="144"/>
        <v/>
      </c>
      <c r="N848" s="151" t="str">
        <f t="shared" si="145"/>
        <v/>
      </c>
      <c r="O848" s="151" t="str">
        <f t="shared" si="146"/>
        <v/>
      </c>
      <c r="P848" s="151" t="str">
        <f t="shared" si="147"/>
        <v/>
      </c>
      <c r="Q848" s="151" t="str">
        <f t="shared" si="148"/>
        <v/>
      </c>
      <c r="R848" s="150" t="str">
        <f t="shared" si="149"/>
        <v/>
      </c>
      <c r="S848" s="150" t="str">
        <f t="shared" si="150"/>
        <v/>
      </c>
      <c r="T848" s="150" t="str">
        <f t="shared" si="151"/>
        <v/>
      </c>
      <c r="U848" s="152"/>
      <c r="V848" s="143"/>
      <c r="W848" s="102"/>
      <c r="X848" s="102" t="str">
        <f t="shared" si="152"/>
        <v/>
      </c>
      <c r="Y848" s="102"/>
      <c r="Z848" s="102"/>
      <c r="AA848" s="102"/>
      <c r="AB848" s="102"/>
      <c r="AC848" s="102"/>
      <c r="AD848" s="102"/>
      <c r="AE848" s="102"/>
      <c r="AF848" s="102"/>
      <c r="AG848" s="102"/>
      <c r="AH848" s="102"/>
      <c r="AI848" s="102"/>
      <c r="AJ848" s="102"/>
      <c r="AK848" s="102"/>
      <c r="AL848" s="102"/>
      <c r="AM848" s="102"/>
    </row>
    <row r="849" spans="1:39">
      <c r="A849" s="143"/>
      <c r="B849" s="143"/>
      <c r="C849" s="155"/>
      <c r="D849" s="143"/>
      <c r="E849" s="146"/>
      <c r="F849" s="147"/>
      <c r="G849" s="147"/>
      <c r="H849" s="148"/>
      <c r="I849" s="143"/>
      <c r="J849" s="143"/>
      <c r="K849" s="149"/>
      <c r="L849" s="150" t="str">
        <f t="shared" si="143"/>
        <v/>
      </c>
      <c r="M849" s="150" t="str">
        <f t="shared" si="144"/>
        <v/>
      </c>
      <c r="N849" s="151" t="str">
        <f t="shared" si="145"/>
        <v/>
      </c>
      <c r="O849" s="151" t="str">
        <f t="shared" si="146"/>
        <v/>
      </c>
      <c r="P849" s="151" t="str">
        <f t="shared" si="147"/>
        <v/>
      </c>
      <c r="Q849" s="151" t="str">
        <f t="shared" si="148"/>
        <v/>
      </c>
      <c r="R849" s="150" t="str">
        <f t="shared" si="149"/>
        <v/>
      </c>
      <c r="S849" s="150" t="str">
        <f t="shared" si="150"/>
        <v/>
      </c>
      <c r="T849" s="150" t="str">
        <f t="shared" si="151"/>
        <v/>
      </c>
      <c r="U849" s="152"/>
      <c r="V849" s="143"/>
      <c r="W849" s="102"/>
      <c r="X849" s="102" t="str">
        <f t="shared" si="152"/>
        <v/>
      </c>
      <c r="Y849" s="102"/>
      <c r="Z849" s="102"/>
      <c r="AA849" s="102"/>
      <c r="AB849" s="102"/>
      <c r="AC849" s="102"/>
      <c r="AD849" s="102"/>
      <c r="AE849" s="102"/>
      <c r="AF849" s="102"/>
      <c r="AG849" s="102"/>
      <c r="AH849" s="102"/>
      <c r="AI849" s="102"/>
      <c r="AJ849" s="102"/>
      <c r="AK849" s="102"/>
      <c r="AL849" s="102"/>
      <c r="AM849" s="102"/>
    </row>
    <row r="850" spans="1:39">
      <c r="A850" s="143"/>
      <c r="B850" s="143"/>
      <c r="C850" s="155"/>
      <c r="D850" s="143"/>
      <c r="E850" s="146"/>
      <c r="F850" s="147"/>
      <c r="G850" s="147"/>
      <c r="H850" s="148"/>
      <c r="I850" s="143"/>
      <c r="J850" s="143"/>
      <c r="K850" s="149"/>
      <c r="L850" s="150" t="str">
        <f t="shared" si="143"/>
        <v/>
      </c>
      <c r="M850" s="150" t="str">
        <f t="shared" si="144"/>
        <v/>
      </c>
      <c r="N850" s="151" t="str">
        <f t="shared" si="145"/>
        <v/>
      </c>
      <c r="O850" s="151" t="str">
        <f t="shared" si="146"/>
        <v/>
      </c>
      <c r="P850" s="151" t="str">
        <f t="shared" si="147"/>
        <v/>
      </c>
      <c r="Q850" s="151" t="str">
        <f t="shared" si="148"/>
        <v/>
      </c>
      <c r="R850" s="150" t="str">
        <f t="shared" si="149"/>
        <v/>
      </c>
      <c r="S850" s="150" t="str">
        <f t="shared" si="150"/>
        <v/>
      </c>
      <c r="T850" s="150" t="str">
        <f t="shared" si="151"/>
        <v/>
      </c>
      <c r="U850" s="152"/>
      <c r="V850" s="143"/>
      <c r="W850" s="102"/>
      <c r="X850" s="102" t="str">
        <f t="shared" si="152"/>
        <v/>
      </c>
      <c r="Y850" s="102"/>
      <c r="Z850" s="102"/>
      <c r="AA850" s="102"/>
      <c r="AB850" s="102"/>
      <c r="AC850" s="102"/>
      <c r="AD850" s="102"/>
      <c r="AE850" s="102"/>
      <c r="AF850" s="102"/>
      <c r="AG850" s="102"/>
      <c r="AH850" s="102"/>
      <c r="AI850" s="102"/>
      <c r="AJ850" s="102"/>
      <c r="AK850" s="102"/>
      <c r="AL850" s="102"/>
      <c r="AM850" s="102"/>
    </row>
    <row r="851" spans="1:39">
      <c r="A851" s="143"/>
      <c r="B851" s="143"/>
      <c r="C851" s="155"/>
      <c r="D851" s="143"/>
      <c r="E851" s="146"/>
      <c r="F851" s="147"/>
      <c r="G851" s="147"/>
      <c r="H851" s="148"/>
      <c r="I851" s="143"/>
      <c r="J851" s="143"/>
      <c r="K851" s="149"/>
      <c r="L851" s="150" t="str">
        <f t="shared" si="143"/>
        <v/>
      </c>
      <c r="M851" s="150" t="str">
        <f t="shared" si="144"/>
        <v/>
      </c>
      <c r="N851" s="151" t="str">
        <f t="shared" si="145"/>
        <v/>
      </c>
      <c r="O851" s="151" t="str">
        <f t="shared" si="146"/>
        <v/>
      </c>
      <c r="P851" s="151" t="str">
        <f t="shared" si="147"/>
        <v/>
      </c>
      <c r="Q851" s="151" t="str">
        <f t="shared" si="148"/>
        <v/>
      </c>
      <c r="R851" s="150" t="str">
        <f t="shared" si="149"/>
        <v/>
      </c>
      <c r="S851" s="150" t="str">
        <f t="shared" si="150"/>
        <v/>
      </c>
      <c r="T851" s="150" t="str">
        <f t="shared" si="151"/>
        <v/>
      </c>
      <c r="U851" s="152"/>
      <c r="V851" s="143"/>
      <c r="W851" s="102"/>
      <c r="X851" s="102" t="str">
        <f t="shared" si="152"/>
        <v/>
      </c>
      <c r="Y851" s="102"/>
      <c r="Z851" s="102"/>
      <c r="AA851" s="102"/>
      <c r="AB851" s="102"/>
      <c r="AC851" s="102"/>
      <c r="AD851" s="102"/>
      <c r="AE851" s="102"/>
      <c r="AF851" s="102"/>
      <c r="AG851" s="102"/>
      <c r="AH851" s="102"/>
      <c r="AI851" s="102"/>
      <c r="AJ851" s="102"/>
      <c r="AK851" s="102"/>
      <c r="AL851" s="102"/>
      <c r="AM851" s="102"/>
    </row>
    <row r="852" spans="1:39">
      <c r="A852" s="143"/>
      <c r="B852" s="143"/>
      <c r="C852" s="155"/>
      <c r="D852" s="143"/>
      <c r="E852" s="146"/>
      <c r="F852" s="147"/>
      <c r="G852" s="147"/>
      <c r="H852" s="148"/>
      <c r="I852" s="143"/>
      <c r="J852" s="143"/>
      <c r="K852" s="149"/>
      <c r="L852" s="150" t="str">
        <f t="shared" si="143"/>
        <v/>
      </c>
      <c r="M852" s="150" t="str">
        <f t="shared" si="144"/>
        <v/>
      </c>
      <c r="N852" s="151" t="str">
        <f t="shared" si="145"/>
        <v/>
      </c>
      <c r="O852" s="151" t="str">
        <f t="shared" si="146"/>
        <v/>
      </c>
      <c r="P852" s="151" t="str">
        <f t="shared" si="147"/>
        <v/>
      </c>
      <c r="Q852" s="151" t="str">
        <f t="shared" si="148"/>
        <v/>
      </c>
      <c r="R852" s="150" t="str">
        <f t="shared" si="149"/>
        <v/>
      </c>
      <c r="S852" s="150" t="str">
        <f t="shared" si="150"/>
        <v/>
      </c>
      <c r="T852" s="150" t="str">
        <f t="shared" si="151"/>
        <v/>
      </c>
      <c r="U852" s="152"/>
      <c r="V852" s="143"/>
      <c r="W852" s="102"/>
      <c r="X852" s="102" t="str">
        <f t="shared" si="152"/>
        <v/>
      </c>
      <c r="Y852" s="102"/>
      <c r="Z852" s="102"/>
      <c r="AA852" s="102"/>
      <c r="AB852" s="102"/>
      <c r="AC852" s="102"/>
      <c r="AD852" s="102"/>
      <c r="AE852" s="102"/>
      <c r="AF852" s="102"/>
      <c r="AG852" s="102"/>
      <c r="AH852" s="102"/>
      <c r="AI852" s="102"/>
      <c r="AJ852" s="102"/>
      <c r="AK852" s="102"/>
      <c r="AL852" s="102"/>
      <c r="AM852" s="102"/>
    </row>
    <row r="853" spans="1:39">
      <c r="A853" s="143"/>
      <c r="B853" s="143"/>
      <c r="C853" s="155"/>
      <c r="D853" s="143"/>
      <c r="E853" s="146"/>
      <c r="F853" s="147"/>
      <c r="G853" s="147"/>
      <c r="H853" s="148"/>
      <c r="I853" s="143"/>
      <c r="J853" s="143"/>
      <c r="K853" s="149"/>
      <c r="L853" s="150" t="str">
        <f t="shared" si="143"/>
        <v/>
      </c>
      <c r="M853" s="150" t="str">
        <f t="shared" si="144"/>
        <v/>
      </c>
      <c r="N853" s="151" t="str">
        <f t="shared" si="145"/>
        <v/>
      </c>
      <c r="O853" s="151" t="str">
        <f t="shared" si="146"/>
        <v/>
      </c>
      <c r="P853" s="151" t="str">
        <f t="shared" si="147"/>
        <v/>
      </c>
      <c r="Q853" s="151" t="str">
        <f t="shared" si="148"/>
        <v/>
      </c>
      <c r="R853" s="150" t="str">
        <f t="shared" si="149"/>
        <v/>
      </c>
      <c r="S853" s="150" t="str">
        <f t="shared" si="150"/>
        <v/>
      </c>
      <c r="T853" s="150" t="str">
        <f t="shared" si="151"/>
        <v/>
      </c>
      <c r="U853" s="152"/>
      <c r="V853" s="143"/>
      <c r="W853" s="102"/>
      <c r="X853" s="102" t="str">
        <f t="shared" si="152"/>
        <v/>
      </c>
      <c r="Y853" s="102"/>
      <c r="Z853" s="102"/>
      <c r="AA853" s="102"/>
      <c r="AB853" s="102"/>
      <c r="AC853" s="102"/>
      <c r="AD853" s="102"/>
      <c r="AE853" s="102"/>
      <c r="AF853" s="102"/>
      <c r="AG853" s="102"/>
      <c r="AH853" s="102"/>
      <c r="AI853" s="102"/>
      <c r="AJ853" s="102"/>
      <c r="AK853" s="102"/>
      <c r="AL853" s="102"/>
      <c r="AM853" s="102"/>
    </row>
    <row r="854" spans="1:39">
      <c r="A854" s="143"/>
      <c r="B854" s="143"/>
      <c r="C854" s="155"/>
      <c r="D854" s="143"/>
      <c r="E854" s="146"/>
      <c r="F854" s="147"/>
      <c r="G854" s="147"/>
      <c r="H854" s="148"/>
      <c r="I854" s="143"/>
      <c r="J854" s="143"/>
      <c r="K854" s="149"/>
      <c r="L854" s="150" t="str">
        <f t="shared" si="143"/>
        <v/>
      </c>
      <c r="M854" s="150" t="str">
        <f t="shared" si="144"/>
        <v/>
      </c>
      <c r="N854" s="151" t="str">
        <f t="shared" si="145"/>
        <v/>
      </c>
      <c r="O854" s="151" t="str">
        <f t="shared" si="146"/>
        <v/>
      </c>
      <c r="P854" s="151" t="str">
        <f t="shared" si="147"/>
        <v/>
      </c>
      <c r="Q854" s="151" t="str">
        <f t="shared" si="148"/>
        <v/>
      </c>
      <c r="R854" s="150" t="str">
        <f t="shared" si="149"/>
        <v/>
      </c>
      <c r="S854" s="150" t="str">
        <f t="shared" si="150"/>
        <v/>
      </c>
      <c r="T854" s="150" t="str">
        <f t="shared" si="151"/>
        <v/>
      </c>
      <c r="U854" s="152"/>
      <c r="V854" s="143"/>
      <c r="W854" s="102"/>
      <c r="X854" s="102" t="str">
        <f t="shared" si="152"/>
        <v/>
      </c>
      <c r="Y854" s="102"/>
      <c r="Z854" s="102"/>
      <c r="AA854" s="102"/>
      <c r="AB854" s="102"/>
      <c r="AC854" s="102"/>
      <c r="AD854" s="102"/>
      <c r="AE854" s="102"/>
      <c r="AF854" s="102"/>
      <c r="AG854" s="102"/>
      <c r="AH854" s="102"/>
      <c r="AI854" s="102"/>
      <c r="AJ854" s="102"/>
      <c r="AK854" s="102"/>
      <c r="AL854" s="102"/>
      <c r="AM854" s="102"/>
    </row>
    <row r="855" spans="1:39">
      <c r="A855" s="143"/>
      <c r="B855" s="143"/>
      <c r="C855" s="155"/>
      <c r="D855" s="143"/>
      <c r="E855" s="146"/>
      <c r="F855" s="147"/>
      <c r="G855" s="147"/>
      <c r="H855" s="148"/>
      <c r="I855" s="143"/>
      <c r="J855" s="143"/>
      <c r="K855" s="149"/>
      <c r="L855" s="150" t="str">
        <f t="shared" si="143"/>
        <v/>
      </c>
      <c r="M855" s="150" t="str">
        <f t="shared" si="144"/>
        <v/>
      </c>
      <c r="N855" s="151" t="str">
        <f t="shared" si="145"/>
        <v/>
      </c>
      <c r="O855" s="151" t="str">
        <f t="shared" si="146"/>
        <v/>
      </c>
      <c r="P855" s="151" t="str">
        <f t="shared" si="147"/>
        <v/>
      </c>
      <c r="Q855" s="151" t="str">
        <f t="shared" si="148"/>
        <v/>
      </c>
      <c r="R855" s="150" t="str">
        <f t="shared" si="149"/>
        <v/>
      </c>
      <c r="S855" s="150" t="str">
        <f t="shared" si="150"/>
        <v/>
      </c>
      <c r="T855" s="150" t="str">
        <f t="shared" si="151"/>
        <v/>
      </c>
      <c r="U855" s="152"/>
      <c r="V855" s="143"/>
      <c r="W855" s="102"/>
      <c r="X855" s="102" t="str">
        <f t="shared" si="152"/>
        <v/>
      </c>
      <c r="Y855" s="102"/>
      <c r="Z855" s="102"/>
      <c r="AA855" s="102"/>
      <c r="AB855" s="102"/>
      <c r="AC855" s="102"/>
      <c r="AD855" s="102"/>
      <c r="AE855" s="102"/>
      <c r="AF855" s="102"/>
      <c r="AG855" s="102"/>
      <c r="AH855" s="102"/>
      <c r="AI855" s="102"/>
      <c r="AJ855" s="102"/>
      <c r="AK855" s="102"/>
      <c r="AL855" s="102"/>
      <c r="AM855" s="102"/>
    </row>
    <row r="856" spans="1:39">
      <c r="A856" s="143"/>
      <c r="B856" s="143"/>
      <c r="C856" s="155"/>
      <c r="D856" s="143"/>
      <c r="E856" s="146"/>
      <c r="F856" s="147"/>
      <c r="G856" s="147"/>
      <c r="H856" s="148"/>
      <c r="I856" s="143"/>
      <c r="J856" s="143"/>
      <c r="K856" s="149"/>
      <c r="L856" s="150" t="str">
        <f t="shared" si="143"/>
        <v/>
      </c>
      <c r="M856" s="150" t="str">
        <f t="shared" si="144"/>
        <v/>
      </c>
      <c r="N856" s="151" t="str">
        <f t="shared" si="145"/>
        <v/>
      </c>
      <c r="O856" s="151" t="str">
        <f t="shared" si="146"/>
        <v/>
      </c>
      <c r="P856" s="151" t="str">
        <f t="shared" si="147"/>
        <v/>
      </c>
      <c r="Q856" s="151" t="str">
        <f t="shared" si="148"/>
        <v/>
      </c>
      <c r="R856" s="150" t="str">
        <f t="shared" si="149"/>
        <v/>
      </c>
      <c r="S856" s="150" t="str">
        <f t="shared" si="150"/>
        <v/>
      </c>
      <c r="T856" s="150" t="str">
        <f t="shared" si="151"/>
        <v/>
      </c>
      <c r="U856" s="152"/>
      <c r="V856" s="143"/>
      <c r="W856" s="102"/>
      <c r="X856" s="102" t="str">
        <f t="shared" si="152"/>
        <v/>
      </c>
      <c r="Y856" s="102"/>
      <c r="Z856" s="102"/>
      <c r="AA856" s="102"/>
      <c r="AB856" s="102"/>
      <c r="AC856" s="102"/>
      <c r="AD856" s="102"/>
      <c r="AE856" s="102"/>
      <c r="AF856" s="102"/>
      <c r="AG856" s="102"/>
      <c r="AH856" s="102"/>
      <c r="AI856" s="102"/>
      <c r="AJ856" s="102"/>
      <c r="AK856" s="102"/>
      <c r="AL856" s="102"/>
      <c r="AM856" s="102"/>
    </row>
    <row r="857" spans="1:39">
      <c r="A857" s="143"/>
      <c r="B857" s="143"/>
      <c r="C857" s="155"/>
      <c r="D857" s="143"/>
      <c r="E857" s="146"/>
      <c r="F857" s="147"/>
      <c r="G857" s="147"/>
      <c r="H857" s="148"/>
      <c r="I857" s="143"/>
      <c r="J857" s="143"/>
      <c r="K857" s="149"/>
      <c r="L857" s="150" t="str">
        <f t="shared" si="143"/>
        <v/>
      </c>
      <c r="M857" s="150" t="str">
        <f t="shared" si="144"/>
        <v/>
      </c>
      <c r="N857" s="151" t="str">
        <f t="shared" si="145"/>
        <v/>
      </c>
      <c r="O857" s="151" t="str">
        <f t="shared" si="146"/>
        <v/>
      </c>
      <c r="P857" s="151" t="str">
        <f t="shared" si="147"/>
        <v/>
      </c>
      <c r="Q857" s="151" t="str">
        <f t="shared" si="148"/>
        <v/>
      </c>
      <c r="R857" s="150" t="str">
        <f t="shared" si="149"/>
        <v/>
      </c>
      <c r="S857" s="150" t="str">
        <f t="shared" si="150"/>
        <v/>
      </c>
      <c r="T857" s="150" t="str">
        <f t="shared" si="151"/>
        <v/>
      </c>
      <c r="U857" s="152"/>
      <c r="V857" s="143"/>
      <c r="W857" s="102"/>
      <c r="X857" s="102" t="str">
        <f t="shared" si="152"/>
        <v/>
      </c>
      <c r="Y857" s="102"/>
      <c r="Z857" s="102"/>
      <c r="AA857" s="102"/>
      <c r="AB857" s="102"/>
      <c r="AC857" s="102"/>
      <c r="AD857" s="102"/>
      <c r="AE857" s="102"/>
      <c r="AF857" s="102"/>
      <c r="AG857" s="102"/>
      <c r="AH857" s="102"/>
      <c r="AI857" s="102"/>
      <c r="AJ857" s="102"/>
      <c r="AK857" s="102"/>
      <c r="AL857" s="102"/>
      <c r="AM857" s="102"/>
    </row>
    <row r="858" spans="1:39">
      <c r="A858" s="143"/>
      <c r="B858" s="143"/>
      <c r="C858" s="155"/>
      <c r="D858" s="143"/>
      <c r="E858" s="146"/>
      <c r="F858" s="147"/>
      <c r="G858" s="147"/>
      <c r="H858" s="148"/>
      <c r="I858" s="143"/>
      <c r="J858" s="143"/>
      <c r="K858" s="149"/>
      <c r="L858" s="150" t="str">
        <f t="shared" si="143"/>
        <v/>
      </c>
      <c r="M858" s="150" t="str">
        <f t="shared" si="144"/>
        <v/>
      </c>
      <c r="N858" s="151" t="str">
        <f t="shared" si="145"/>
        <v/>
      </c>
      <c r="O858" s="151" t="str">
        <f t="shared" si="146"/>
        <v/>
      </c>
      <c r="P858" s="151" t="str">
        <f t="shared" si="147"/>
        <v/>
      </c>
      <c r="Q858" s="151" t="str">
        <f t="shared" si="148"/>
        <v/>
      </c>
      <c r="R858" s="150" t="str">
        <f t="shared" si="149"/>
        <v/>
      </c>
      <c r="S858" s="150" t="str">
        <f t="shared" si="150"/>
        <v/>
      </c>
      <c r="T858" s="150" t="str">
        <f t="shared" si="151"/>
        <v/>
      </c>
      <c r="U858" s="152"/>
      <c r="V858" s="143"/>
      <c r="W858" s="102"/>
      <c r="X858" s="102" t="str">
        <f t="shared" si="152"/>
        <v/>
      </c>
      <c r="Y858" s="102"/>
      <c r="Z858" s="102"/>
      <c r="AA858" s="102"/>
      <c r="AB858" s="102"/>
      <c r="AC858" s="102"/>
      <c r="AD858" s="102"/>
      <c r="AE858" s="102"/>
      <c r="AF858" s="102"/>
      <c r="AG858" s="102"/>
      <c r="AH858" s="102"/>
      <c r="AI858" s="102"/>
      <c r="AJ858" s="102"/>
      <c r="AK858" s="102"/>
      <c r="AL858" s="102"/>
      <c r="AM858" s="102"/>
    </row>
    <row r="859" spans="1:39">
      <c r="A859" s="143"/>
      <c r="B859" s="143"/>
      <c r="C859" s="155"/>
      <c r="D859" s="143"/>
      <c r="E859" s="146"/>
      <c r="F859" s="147"/>
      <c r="G859" s="147"/>
      <c r="H859" s="148"/>
      <c r="I859" s="143"/>
      <c r="J859" s="143"/>
      <c r="K859" s="149"/>
      <c r="L859" s="150" t="str">
        <f t="shared" si="143"/>
        <v/>
      </c>
      <c r="M859" s="150" t="str">
        <f t="shared" si="144"/>
        <v/>
      </c>
      <c r="N859" s="151" t="str">
        <f t="shared" si="145"/>
        <v/>
      </c>
      <c r="O859" s="151" t="str">
        <f t="shared" si="146"/>
        <v/>
      </c>
      <c r="P859" s="151" t="str">
        <f t="shared" si="147"/>
        <v/>
      </c>
      <c r="Q859" s="151" t="str">
        <f t="shared" si="148"/>
        <v/>
      </c>
      <c r="R859" s="150" t="str">
        <f t="shared" si="149"/>
        <v/>
      </c>
      <c r="S859" s="150" t="str">
        <f t="shared" si="150"/>
        <v/>
      </c>
      <c r="T859" s="150" t="str">
        <f t="shared" si="151"/>
        <v/>
      </c>
      <c r="U859" s="152"/>
      <c r="V859" s="143"/>
      <c r="W859" s="102"/>
      <c r="X859" s="102" t="str">
        <f t="shared" si="152"/>
        <v/>
      </c>
      <c r="Y859" s="102"/>
      <c r="Z859" s="102"/>
      <c r="AA859" s="102"/>
      <c r="AB859" s="102"/>
      <c r="AC859" s="102"/>
      <c r="AD859" s="102"/>
      <c r="AE859" s="102"/>
      <c r="AF859" s="102"/>
      <c r="AG859" s="102"/>
      <c r="AH859" s="102"/>
      <c r="AI859" s="102"/>
      <c r="AJ859" s="102"/>
      <c r="AK859" s="102"/>
      <c r="AL859" s="102"/>
      <c r="AM859" s="102"/>
    </row>
    <row r="860" spans="1:39">
      <c r="A860" s="143"/>
      <c r="B860" s="143"/>
      <c r="C860" s="155"/>
      <c r="D860" s="143"/>
      <c r="E860" s="146"/>
      <c r="F860" s="147"/>
      <c r="G860" s="147"/>
      <c r="H860" s="148"/>
      <c r="I860" s="143"/>
      <c r="J860" s="143"/>
      <c r="K860" s="149"/>
      <c r="L860" s="150" t="str">
        <f t="shared" si="143"/>
        <v/>
      </c>
      <c r="M860" s="150" t="str">
        <f t="shared" si="144"/>
        <v/>
      </c>
      <c r="N860" s="151" t="str">
        <f t="shared" si="145"/>
        <v/>
      </c>
      <c r="O860" s="151" t="str">
        <f t="shared" si="146"/>
        <v/>
      </c>
      <c r="P860" s="151" t="str">
        <f t="shared" si="147"/>
        <v/>
      </c>
      <c r="Q860" s="151" t="str">
        <f t="shared" si="148"/>
        <v/>
      </c>
      <c r="R860" s="150" t="str">
        <f t="shared" si="149"/>
        <v/>
      </c>
      <c r="S860" s="150" t="str">
        <f t="shared" si="150"/>
        <v/>
      </c>
      <c r="T860" s="150" t="str">
        <f t="shared" si="151"/>
        <v/>
      </c>
      <c r="U860" s="152"/>
      <c r="V860" s="143"/>
      <c r="W860" s="102"/>
      <c r="X860" s="102" t="str">
        <f t="shared" si="152"/>
        <v/>
      </c>
      <c r="Y860" s="102"/>
      <c r="Z860" s="102"/>
      <c r="AA860" s="102"/>
      <c r="AB860" s="102"/>
      <c r="AC860" s="102"/>
      <c r="AD860" s="102"/>
      <c r="AE860" s="102"/>
      <c r="AF860" s="102"/>
      <c r="AG860" s="102"/>
      <c r="AH860" s="102"/>
      <c r="AI860" s="102"/>
      <c r="AJ860" s="102"/>
      <c r="AK860" s="102"/>
      <c r="AL860" s="102"/>
      <c r="AM860" s="102"/>
    </row>
    <row r="861" spans="1:39">
      <c r="A861" s="143"/>
      <c r="B861" s="143"/>
      <c r="C861" s="155"/>
      <c r="D861" s="143"/>
      <c r="E861" s="146"/>
      <c r="F861" s="147"/>
      <c r="G861" s="147"/>
      <c r="H861" s="148"/>
      <c r="I861" s="143"/>
      <c r="J861" s="143"/>
      <c r="K861" s="149"/>
      <c r="L861" s="150" t="str">
        <f t="shared" si="143"/>
        <v/>
      </c>
      <c r="M861" s="150" t="str">
        <f t="shared" si="144"/>
        <v/>
      </c>
      <c r="N861" s="151" t="str">
        <f t="shared" si="145"/>
        <v/>
      </c>
      <c r="O861" s="151" t="str">
        <f t="shared" si="146"/>
        <v/>
      </c>
      <c r="P861" s="151" t="str">
        <f t="shared" si="147"/>
        <v/>
      </c>
      <c r="Q861" s="151" t="str">
        <f t="shared" si="148"/>
        <v/>
      </c>
      <c r="R861" s="150" t="str">
        <f t="shared" si="149"/>
        <v/>
      </c>
      <c r="S861" s="150" t="str">
        <f t="shared" si="150"/>
        <v/>
      </c>
      <c r="T861" s="150" t="str">
        <f t="shared" si="151"/>
        <v/>
      </c>
      <c r="U861" s="152"/>
      <c r="V861" s="143"/>
      <c r="W861" s="102"/>
      <c r="X861" s="102" t="str">
        <f t="shared" si="152"/>
        <v/>
      </c>
      <c r="Y861" s="102"/>
      <c r="Z861" s="102"/>
      <c r="AA861" s="102"/>
      <c r="AB861" s="102"/>
      <c r="AC861" s="102"/>
      <c r="AD861" s="102"/>
      <c r="AE861" s="102"/>
      <c r="AF861" s="102"/>
      <c r="AG861" s="102"/>
      <c r="AH861" s="102"/>
      <c r="AI861" s="102"/>
      <c r="AJ861" s="102"/>
      <c r="AK861" s="102"/>
      <c r="AL861" s="102"/>
      <c r="AM861" s="102"/>
    </row>
    <row r="862" spans="1:39">
      <c r="A862" s="143"/>
      <c r="B862" s="143"/>
      <c r="C862" s="155"/>
      <c r="D862" s="143"/>
      <c r="E862" s="146"/>
      <c r="F862" s="147"/>
      <c r="G862" s="147"/>
      <c r="H862" s="148"/>
      <c r="I862" s="143"/>
      <c r="J862" s="143"/>
      <c r="K862" s="149"/>
      <c r="L862" s="150" t="str">
        <f t="shared" si="143"/>
        <v/>
      </c>
      <c r="M862" s="150" t="str">
        <f t="shared" si="144"/>
        <v/>
      </c>
      <c r="N862" s="151" t="str">
        <f t="shared" si="145"/>
        <v/>
      </c>
      <c r="O862" s="151" t="str">
        <f t="shared" si="146"/>
        <v/>
      </c>
      <c r="P862" s="151" t="str">
        <f t="shared" si="147"/>
        <v/>
      </c>
      <c r="Q862" s="151" t="str">
        <f t="shared" si="148"/>
        <v/>
      </c>
      <c r="R862" s="150" t="str">
        <f t="shared" si="149"/>
        <v/>
      </c>
      <c r="S862" s="150" t="str">
        <f t="shared" si="150"/>
        <v/>
      </c>
      <c r="T862" s="150" t="str">
        <f t="shared" si="151"/>
        <v/>
      </c>
      <c r="U862" s="152"/>
      <c r="V862" s="143"/>
      <c r="W862" s="102"/>
      <c r="X862" s="102" t="str">
        <f t="shared" si="152"/>
        <v/>
      </c>
      <c r="Y862" s="102"/>
      <c r="Z862" s="102"/>
      <c r="AA862" s="102"/>
      <c r="AB862" s="102"/>
      <c r="AC862" s="102"/>
      <c r="AD862" s="102"/>
      <c r="AE862" s="102"/>
      <c r="AF862" s="102"/>
      <c r="AG862" s="102"/>
      <c r="AH862" s="102"/>
      <c r="AI862" s="102"/>
      <c r="AJ862" s="102"/>
      <c r="AK862" s="102"/>
      <c r="AL862" s="102"/>
      <c r="AM862" s="102"/>
    </row>
    <row r="863" spans="1:39">
      <c r="A863" s="143"/>
      <c r="B863" s="143"/>
      <c r="C863" s="155"/>
      <c r="D863" s="143"/>
      <c r="E863" s="146"/>
      <c r="F863" s="147"/>
      <c r="G863" s="147"/>
      <c r="H863" s="148"/>
      <c r="I863" s="143"/>
      <c r="J863" s="143"/>
      <c r="K863" s="149"/>
      <c r="L863" s="150" t="str">
        <f t="shared" si="143"/>
        <v/>
      </c>
      <c r="M863" s="150" t="str">
        <f t="shared" si="144"/>
        <v/>
      </c>
      <c r="N863" s="151" t="str">
        <f t="shared" si="145"/>
        <v/>
      </c>
      <c r="O863" s="151" t="str">
        <f t="shared" si="146"/>
        <v/>
      </c>
      <c r="P863" s="151" t="str">
        <f t="shared" si="147"/>
        <v/>
      </c>
      <c r="Q863" s="151" t="str">
        <f t="shared" si="148"/>
        <v/>
      </c>
      <c r="R863" s="150" t="str">
        <f t="shared" si="149"/>
        <v/>
      </c>
      <c r="S863" s="150" t="str">
        <f t="shared" si="150"/>
        <v/>
      </c>
      <c r="T863" s="150" t="str">
        <f t="shared" si="151"/>
        <v/>
      </c>
      <c r="U863" s="152"/>
      <c r="V863" s="143"/>
      <c r="W863" s="102"/>
      <c r="X863" s="102" t="str">
        <f t="shared" si="152"/>
        <v/>
      </c>
      <c r="Y863" s="102"/>
      <c r="Z863" s="102"/>
      <c r="AA863" s="102"/>
      <c r="AB863" s="102"/>
      <c r="AC863" s="102"/>
      <c r="AD863" s="102"/>
      <c r="AE863" s="102"/>
      <c r="AF863" s="102"/>
      <c r="AG863" s="102"/>
      <c r="AH863" s="102"/>
      <c r="AI863" s="102"/>
      <c r="AJ863" s="102"/>
      <c r="AK863" s="102"/>
      <c r="AL863" s="102"/>
      <c r="AM863" s="102"/>
    </row>
    <row r="864" spans="1:39">
      <c r="A864" s="143"/>
      <c r="B864" s="143"/>
      <c r="C864" s="155"/>
      <c r="D864" s="143"/>
      <c r="E864" s="146"/>
      <c r="F864" s="147"/>
      <c r="G864" s="147"/>
      <c r="H864" s="148"/>
      <c r="I864" s="143"/>
      <c r="J864" s="143"/>
      <c r="K864" s="149"/>
      <c r="L864" s="150" t="str">
        <f t="shared" si="143"/>
        <v/>
      </c>
      <c r="M864" s="150" t="str">
        <f t="shared" si="144"/>
        <v/>
      </c>
      <c r="N864" s="151" t="str">
        <f t="shared" si="145"/>
        <v/>
      </c>
      <c r="O864" s="151" t="str">
        <f t="shared" si="146"/>
        <v/>
      </c>
      <c r="P864" s="151" t="str">
        <f t="shared" si="147"/>
        <v/>
      </c>
      <c r="Q864" s="151" t="str">
        <f t="shared" si="148"/>
        <v/>
      </c>
      <c r="R864" s="150" t="str">
        <f t="shared" si="149"/>
        <v/>
      </c>
      <c r="S864" s="150" t="str">
        <f t="shared" si="150"/>
        <v/>
      </c>
      <c r="T864" s="150" t="str">
        <f t="shared" si="151"/>
        <v/>
      </c>
      <c r="U864" s="152"/>
      <c r="V864" s="143"/>
      <c r="W864" s="102"/>
      <c r="X864" s="102" t="str">
        <f t="shared" si="152"/>
        <v/>
      </c>
      <c r="Y864" s="102"/>
      <c r="Z864" s="102"/>
      <c r="AA864" s="102"/>
      <c r="AB864" s="102"/>
      <c r="AC864" s="102"/>
      <c r="AD864" s="102"/>
      <c r="AE864" s="102"/>
      <c r="AF864" s="102"/>
      <c r="AG864" s="102"/>
      <c r="AH864" s="102"/>
      <c r="AI864" s="102"/>
      <c r="AJ864" s="102"/>
      <c r="AK864" s="102"/>
      <c r="AL864" s="102"/>
      <c r="AM864" s="102"/>
    </row>
    <row r="865" spans="1:39">
      <c r="A865" s="143"/>
      <c r="B865" s="143"/>
      <c r="C865" s="155"/>
      <c r="D865" s="143"/>
      <c r="E865" s="146"/>
      <c r="F865" s="147"/>
      <c r="G865" s="147"/>
      <c r="H865" s="148"/>
      <c r="I865" s="143"/>
      <c r="J865" s="143"/>
      <c r="K865" s="149"/>
      <c r="L865" s="150" t="str">
        <f t="shared" si="143"/>
        <v/>
      </c>
      <c r="M865" s="150" t="str">
        <f t="shared" si="144"/>
        <v/>
      </c>
      <c r="N865" s="151" t="str">
        <f t="shared" si="145"/>
        <v/>
      </c>
      <c r="O865" s="151" t="str">
        <f t="shared" si="146"/>
        <v/>
      </c>
      <c r="P865" s="151" t="str">
        <f t="shared" si="147"/>
        <v/>
      </c>
      <c r="Q865" s="151" t="str">
        <f t="shared" si="148"/>
        <v/>
      </c>
      <c r="R865" s="150" t="str">
        <f t="shared" si="149"/>
        <v/>
      </c>
      <c r="S865" s="150" t="str">
        <f t="shared" si="150"/>
        <v/>
      </c>
      <c r="T865" s="150" t="str">
        <f t="shared" si="151"/>
        <v/>
      </c>
      <c r="U865" s="152"/>
      <c r="V865" s="143"/>
      <c r="W865" s="102"/>
      <c r="X865" s="102" t="str">
        <f t="shared" si="152"/>
        <v/>
      </c>
      <c r="Y865" s="102"/>
      <c r="Z865" s="102"/>
      <c r="AA865" s="102"/>
      <c r="AB865" s="102"/>
      <c r="AC865" s="102"/>
      <c r="AD865" s="102"/>
      <c r="AE865" s="102"/>
      <c r="AF865" s="102"/>
      <c r="AG865" s="102"/>
      <c r="AH865" s="102"/>
      <c r="AI865" s="102"/>
      <c r="AJ865" s="102"/>
      <c r="AK865" s="102"/>
      <c r="AL865" s="102"/>
      <c r="AM865" s="102"/>
    </row>
    <row r="866" spans="1:39">
      <c r="A866" s="143"/>
      <c r="B866" s="143"/>
      <c r="C866" s="155"/>
      <c r="D866" s="143"/>
      <c r="E866" s="146"/>
      <c r="F866" s="147"/>
      <c r="G866" s="147"/>
      <c r="H866" s="148"/>
      <c r="I866" s="143"/>
      <c r="J866" s="143"/>
      <c r="K866" s="149"/>
      <c r="L866" s="150" t="str">
        <f t="shared" si="143"/>
        <v/>
      </c>
      <c r="M866" s="150" t="str">
        <f t="shared" si="144"/>
        <v/>
      </c>
      <c r="N866" s="151" t="str">
        <f t="shared" si="145"/>
        <v/>
      </c>
      <c r="O866" s="151" t="str">
        <f t="shared" si="146"/>
        <v/>
      </c>
      <c r="P866" s="151" t="str">
        <f t="shared" si="147"/>
        <v/>
      </c>
      <c r="Q866" s="151" t="str">
        <f t="shared" si="148"/>
        <v/>
      </c>
      <c r="R866" s="150" t="str">
        <f t="shared" si="149"/>
        <v/>
      </c>
      <c r="S866" s="150" t="str">
        <f t="shared" si="150"/>
        <v/>
      </c>
      <c r="T866" s="150" t="str">
        <f t="shared" si="151"/>
        <v/>
      </c>
      <c r="U866" s="152"/>
      <c r="V866" s="143"/>
      <c r="W866" s="102"/>
      <c r="X866" s="102" t="str">
        <f t="shared" si="152"/>
        <v/>
      </c>
      <c r="Y866" s="102"/>
      <c r="Z866" s="102"/>
      <c r="AA866" s="102"/>
      <c r="AB866" s="102"/>
      <c r="AC866" s="102"/>
      <c r="AD866" s="102"/>
      <c r="AE866" s="102"/>
      <c r="AF866" s="102"/>
      <c r="AG866" s="102"/>
      <c r="AH866" s="102"/>
      <c r="AI866" s="102"/>
      <c r="AJ866" s="102"/>
      <c r="AK866" s="102"/>
      <c r="AL866" s="102"/>
      <c r="AM866" s="102"/>
    </row>
    <row r="867" spans="1:39">
      <c r="A867" s="143"/>
      <c r="B867" s="143"/>
      <c r="C867" s="155"/>
      <c r="D867" s="143"/>
      <c r="E867" s="146"/>
      <c r="F867" s="147"/>
      <c r="G867" s="147"/>
      <c r="H867" s="148"/>
      <c r="I867" s="143"/>
      <c r="J867" s="143"/>
      <c r="K867" s="149"/>
      <c r="L867" s="150" t="str">
        <f t="shared" si="143"/>
        <v/>
      </c>
      <c r="M867" s="150" t="str">
        <f t="shared" si="144"/>
        <v/>
      </c>
      <c r="N867" s="151" t="str">
        <f t="shared" si="145"/>
        <v/>
      </c>
      <c r="O867" s="151" t="str">
        <f t="shared" si="146"/>
        <v/>
      </c>
      <c r="P867" s="151" t="str">
        <f t="shared" si="147"/>
        <v/>
      </c>
      <c r="Q867" s="151" t="str">
        <f t="shared" si="148"/>
        <v/>
      </c>
      <c r="R867" s="150" t="str">
        <f t="shared" si="149"/>
        <v/>
      </c>
      <c r="S867" s="150" t="str">
        <f t="shared" si="150"/>
        <v/>
      </c>
      <c r="T867" s="150" t="str">
        <f t="shared" si="151"/>
        <v/>
      </c>
      <c r="U867" s="152"/>
      <c r="V867" s="143"/>
      <c r="W867" s="102"/>
      <c r="X867" s="102" t="str">
        <f t="shared" si="152"/>
        <v/>
      </c>
      <c r="Y867" s="102"/>
      <c r="Z867" s="102"/>
      <c r="AA867" s="102"/>
      <c r="AB867" s="102"/>
      <c r="AC867" s="102"/>
      <c r="AD867" s="102"/>
      <c r="AE867" s="102"/>
      <c r="AF867" s="102"/>
      <c r="AG867" s="102"/>
      <c r="AH867" s="102"/>
      <c r="AI867" s="102"/>
      <c r="AJ867" s="102"/>
      <c r="AK867" s="102"/>
      <c r="AL867" s="102"/>
      <c r="AM867" s="102"/>
    </row>
    <row r="868" spans="1:39">
      <c r="A868" s="143"/>
      <c r="B868" s="143"/>
      <c r="C868" s="155"/>
      <c r="D868" s="143"/>
      <c r="E868" s="146"/>
      <c r="F868" s="147"/>
      <c r="G868" s="147"/>
      <c r="H868" s="148"/>
      <c r="I868" s="143"/>
      <c r="J868" s="143"/>
      <c r="K868" s="149"/>
      <c r="L868" s="150" t="str">
        <f t="shared" si="143"/>
        <v/>
      </c>
      <c r="M868" s="150" t="str">
        <f t="shared" si="144"/>
        <v/>
      </c>
      <c r="N868" s="151" t="str">
        <f t="shared" si="145"/>
        <v/>
      </c>
      <c r="O868" s="151" t="str">
        <f t="shared" si="146"/>
        <v/>
      </c>
      <c r="P868" s="151" t="str">
        <f t="shared" si="147"/>
        <v/>
      </c>
      <c r="Q868" s="151" t="str">
        <f t="shared" si="148"/>
        <v/>
      </c>
      <c r="R868" s="150" t="str">
        <f t="shared" si="149"/>
        <v/>
      </c>
      <c r="S868" s="150" t="str">
        <f t="shared" si="150"/>
        <v/>
      </c>
      <c r="T868" s="150" t="str">
        <f t="shared" si="151"/>
        <v/>
      </c>
      <c r="U868" s="152"/>
      <c r="V868" s="143"/>
      <c r="W868" s="102"/>
      <c r="X868" s="102" t="str">
        <f t="shared" si="152"/>
        <v/>
      </c>
      <c r="Y868" s="102"/>
      <c r="Z868" s="102"/>
      <c r="AA868" s="102"/>
      <c r="AB868" s="102"/>
      <c r="AC868" s="102"/>
      <c r="AD868" s="102"/>
      <c r="AE868" s="102"/>
      <c r="AF868" s="102"/>
      <c r="AG868" s="102"/>
      <c r="AH868" s="102"/>
      <c r="AI868" s="102"/>
      <c r="AJ868" s="102"/>
      <c r="AK868" s="102"/>
      <c r="AL868" s="102"/>
      <c r="AM868" s="102"/>
    </row>
    <row r="869" spans="1:39">
      <c r="A869" s="143"/>
      <c r="B869" s="143"/>
      <c r="C869" s="155"/>
      <c r="D869" s="143"/>
      <c r="E869" s="146"/>
      <c r="F869" s="147"/>
      <c r="G869" s="147"/>
      <c r="H869" s="148"/>
      <c r="I869" s="143"/>
      <c r="J869" s="143"/>
      <c r="K869" s="149"/>
      <c r="L869" s="150" t="str">
        <f t="shared" si="143"/>
        <v/>
      </c>
      <c r="M869" s="150" t="str">
        <f t="shared" si="144"/>
        <v/>
      </c>
      <c r="N869" s="151" t="str">
        <f t="shared" si="145"/>
        <v/>
      </c>
      <c r="O869" s="151" t="str">
        <f t="shared" si="146"/>
        <v/>
      </c>
      <c r="P869" s="151" t="str">
        <f t="shared" si="147"/>
        <v/>
      </c>
      <c r="Q869" s="151" t="str">
        <f t="shared" si="148"/>
        <v/>
      </c>
      <c r="R869" s="150" t="str">
        <f t="shared" si="149"/>
        <v/>
      </c>
      <c r="S869" s="150" t="str">
        <f t="shared" si="150"/>
        <v/>
      </c>
      <c r="T869" s="150" t="str">
        <f t="shared" si="151"/>
        <v/>
      </c>
      <c r="U869" s="152"/>
      <c r="V869" s="143"/>
      <c r="W869" s="102"/>
      <c r="X869" s="102" t="str">
        <f t="shared" si="152"/>
        <v/>
      </c>
      <c r="Y869" s="102"/>
      <c r="Z869" s="102"/>
      <c r="AA869" s="102"/>
      <c r="AB869" s="102"/>
      <c r="AC869" s="102"/>
      <c r="AD869" s="102"/>
      <c r="AE869" s="102"/>
      <c r="AF869" s="102"/>
      <c r="AG869" s="102"/>
      <c r="AH869" s="102"/>
      <c r="AI869" s="102"/>
      <c r="AJ869" s="102"/>
      <c r="AK869" s="102"/>
      <c r="AL869" s="102"/>
      <c r="AM869" s="102"/>
    </row>
    <row r="870" spans="1:39">
      <c r="A870" s="143"/>
      <c r="B870" s="143"/>
      <c r="C870" s="155"/>
      <c r="D870" s="143"/>
      <c r="E870" s="146"/>
      <c r="F870" s="147"/>
      <c r="G870" s="147"/>
      <c r="H870" s="148"/>
      <c r="I870" s="143"/>
      <c r="J870" s="143"/>
      <c r="K870" s="149"/>
      <c r="L870" s="150" t="str">
        <f t="shared" si="143"/>
        <v/>
      </c>
      <c r="M870" s="150" t="str">
        <f t="shared" si="144"/>
        <v/>
      </c>
      <c r="N870" s="151" t="str">
        <f t="shared" si="145"/>
        <v/>
      </c>
      <c r="O870" s="151" t="str">
        <f t="shared" si="146"/>
        <v/>
      </c>
      <c r="P870" s="151" t="str">
        <f t="shared" si="147"/>
        <v/>
      </c>
      <c r="Q870" s="151" t="str">
        <f t="shared" si="148"/>
        <v/>
      </c>
      <c r="R870" s="150" t="str">
        <f t="shared" si="149"/>
        <v/>
      </c>
      <c r="S870" s="150" t="str">
        <f t="shared" si="150"/>
        <v/>
      </c>
      <c r="T870" s="150" t="str">
        <f t="shared" si="151"/>
        <v/>
      </c>
      <c r="U870" s="152"/>
      <c r="V870" s="143"/>
      <c r="W870" s="102"/>
      <c r="X870" s="102" t="str">
        <f t="shared" si="152"/>
        <v/>
      </c>
      <c r="Y870" s="102"/>
      <c r="Z870" s="102"/>
      <c r="AA870" s="102"/>
      <c r="AB870" s="102"/>
      <c r="AC870" s="102"/>
      <c r="AD870" s="102"/>
      <c r="AE870" s="102"/>
      <c r="AF870" s="102"/>
      <c r="AG870" s="102"/>
      <c r="AH870" s="102"/>
      <c r="AI870" s="102"/>
      <c r="AJ870" s="102"/>
      <c r="AK870" s="102"/>
      <c r="AL870" s="102"/>
      <c r="AM870" s="102"/>
    </row>
    <row r="871" spans="1:39">
      <c r="A871" s="143"/>
      <c r="B871" s="143"/>
      <c r="C871" s="155"/>
      <c r="D871" s="143"/>
      <c r="E871" s="146"/>
      <c r="F871" s="147"/>
      <c r="G871" s="147"/>
      <c r="H871" s="148"/>
      <c r="I871" s="143"/>
      <c r="J871" s="143"/>
      <c r="K871" s="149"/>
      <c r="L871" s="150" t="str">
        <f t="shared" si="143"/>
        <v/>
      </c>
      <c r="M871" s="150" t="str">
        <f t="shared" si="144"/>
        <v/>
      </c>
      <c r="N871" s="151" t="str">
        <f t="shared" si="145"/>
        <v/>
      </c>
      <c r="O871" s="151" t="str">
        <f t="shared" si="146"/>
        <v/>
      </c>
      <c r="P871" s="151" t="str">
        <f t="shared" si="147"/>
        <v/>
      </c>
      <c r="Q871" s="151" t="str">
        <f t="shared" si="148"/>
        <v/>
      </c>
      <c r="R871" s="150" t="str">
        <f t="shared" si="149"/>
        <v/>
      </c>
      <c r="S871" s="150" t="str">
        <f t="shared" si="150"/>
        <v/>
      </c>
      <c r="T871" s="150" t="str">
        <f t="shared" si="151"/>
        <v/>
      </c>
      <c r="U871" s="152"/>
      <c r="V871" s="143"/>
      <c r="W871" s="102"/>
      <c r="X871" s="102" t="str">
        <f t="shared" si="152"/>
        <v/>
      </c>
      <c r="Y871" s="102"/>
      <c r="Z871" s="102"/>
      <c r="AA871" s="102"/>
      <c r="AB871" s="102"/>
      <c r="AC871" s="102"/>
      <c r="AD871" s="102"/>
      <c r="AE871" s="102"/>
      <c r="AF871" s="102"/>
      <c r="AG871" s="102"/>
      <c r="AH871" s="102"/>
      <c r="AI871" s="102"/>
      <c r="AJ871" s="102"/>
      <c r="AK871" s="102"/>
      <c r="AL871" s="102"/>
      <c r="AM871" s="102"/>
    </row>
    <row r="872" spans="1:39">
      <c r="A872" s="143"/>
      <c r="B872" s="143"/>
      <c r="C872" s="155"/>
      <c r="D872" s="143"/>
      <c r="E872" s="146"/>
      <c r="F872" s="147"/>
      <c r="G872" s="147"/>
      <c r="H872" s="148"/>
      <c r="I872" s="143"/>
      <c r="J872" s="143"/>
      <c r="K872" s="149"/>
      <c r="L872" s="150" t="str">
        <f t="shared" si="143"/>
        <v/>
      </c>
      <c r="M872" s="150" t="str">
        <f t="shared" si="144"/>
        <v/>
      </c>
      <c r="N872" s="151" t="str">
        <f t="shared" si="145"/>
        <v/>
      </c>
      <c r="O872" s="151" t="str">
        <f t="shared" si="146"/>
        <v/>
      </c>
      <c r="P872" s="151" t="str">
        <f t="shared" si="147"/>
        <v/>
      </c>
      <c r="Q872" s="151" t="str">
        <f t="shared" si="148"/>
        <v/>
      </c>
      <c r="R872" s="150" t="str">
        <f t="shared" si="149"/>
        <v/>
      </c>
      <c r="S872" s="150" t="str">
        <f t="shared" si="150"/>
        <v/>
      </c>
      <c r="T872" s="150" t="str">
        <f t="shared" si="151"/>
        <v/>
      </c>
      <c r="U872" s="152"/>
      <c r="V872" s="143"/>
      <c r="W872" s="102"/>
      <c r="X872" s="102" t="str">
        <f t="shared" si="152"/>
        <v/>
      </c>
      <c r="Y872" s="102"/>
      <c r="Z872" s="102"/>
      <c r="AA872" s="102"/>
      <c r="AB872" s="102"/>
      <c r="AC872" s="102"/>
      <c r="AD872" s="102"/>
      <c r="AE872" s="102"/>
      <c r="AF872" s="102"/>
      <c r="AG872" s="102"/>
      <c r="AH872" s="102"/>
      <c r="AI872" s="102"/>
      <c r="AJ872" s="102"/>
      <c r="AK872" s="102"/>
      <c r="AL872" s="102"/>
      <c r="AM872" s="102"/>
    </row>
    <row r="873" spans="1:39">
      <c r="A873" s="143"/>
      <c r="B873" s="143"/>
      <c r="C873" s="155"/>
      <c r="D873" s="143"/>
      <c r="E873" s="146"/>
      <c r="F873" s="147"/>
      <c r="G873" s="147"/>
      <c r="H873" s="148"/>
      <c r="I873" s="143"/>
      <c r="J873" s="143"/>
      <c r="K873" s="149"/>
      <c r="L873" s="150" t="str">
        <f t="shared" si="143"/>
        <v/>
      </c>
      <c r="M873" s="150" t="str">
        <f t="shared" si="144"/>
        <v/>
      </c>
      <c r="N873" s="151" t="str">
        <f t="shared" si="145"/>
        <v/>
      </c>
      <c r="O873" s="151" t="str">
        <f t="shared" si="146"/>
        <v/>
      </c>
      <c r="P873" s="151" t="str">
        <f t="shared" si="147"/>
        <v/>
      </c>
      <c r="Q873" s="151" t="str">
        <f t="shared" si="148"/>
        <v/>
      </c>
      <c r="R873" s="150" t="str">
        <f t="shared" si="149"/>
        <v/>
      </c>
      <c r="S873" s="150" t="str">
        <f t="shared" si="150"/>
        <v/>
      </c>
      <c r="T873" s="150" t="str">
        <f t="shared" si="151"/>
        <v/>
      </c>
      <c r="U873" s="152"/>
      <c r="V873" s="143"/>
      <c r="W873" s="102"/>
      <c r="X873" s="102" t="str">
        <f t="shared" si="152"/>
        <v/>
      </c>
      <c r="Y873" s="102"/>
      <c r="Z873" s="102"/>
      <c r="AA873" s="102"/>
      <c r="AB873" s="102"/>
      <c r="AC873" s="102"/>
      <c r="AD873" s="102"/>
      <c r="AE873" s="102"/>
      <c r="AF873" s="102"/>
      <c r="AG873" s="102"/>
      <c r="AH873" s="102"/>
      <c r="AI873" s="102"/>
      <c r="AJ873" s="102"/>
      <c r="AK873" s="102"/>
      <c r="AL873" s="102"/>
      <c r="AM873" s="102"/>
    </row>
    <row r="874" spans="1:39">
      <c r="A874" s="143"/>
      <c r="B874" s="143"/>
      <c r="C874" s="155"/>
      <c r="D874" s="143"/>
      <c r="E874" s="146"/>
      <c r="F874" s="147"/>
      <c r="G874" s="147"/>
      <c r="H874" s="148"/>
      <c r="I874" s="143"/>
      <c r="J874" s="143"/>
      <c r="K874" s="149"/>
      <c r="L874" s="150" t="str">
        <f t="shared" si="143"/>
        <v/>
      </c>
      <c r="M874" s="150" t="str">
        <f t="shared" si="144"/>
        <v/>
      </c>
      <c r="N874" s="151" t="str">
        <f t="shared" si="145"/>
        <v/>
      </c>
      <c r="O874" s="151" t="str">
        <f t="shared" si="146"/>
        <v/>
      </c>
      <c r="P874" s="151" t="str">
        <f t="shared" si="147"/>
        <v/>
      </c>
      <c r="Q874" s="151" t="str">
        <f t="shared" si="148"/>
        <v/>
      </c>
      <c r="R874" s="150" t="str">
        <f t="shared" si="149"/>
        <v/>
      </c>
      <c r="S874" s="150" t="str">
        <f t="shared" si="150"/>
        <v/>
      </c>
      <c r="T874" s="150" t="str">
        <f t="shared" si="151"/>
        <v/>
      </c>
      <c r="U874" s="152"/>
      <c r="V874" s="143"/>
      <c r="W874" s="102"/>
      <c r="X874" s="102" t="str">
        <f t="shared" si="152"/>
        <v/>
      </c>
      <c r="Y874" s="102"/>
      <c r="Z874" s="102"/>
      <c r="AA874" s="102"/>
      <c r="AB874" s="102"/>
      <c r="AC874" s="102"/>
      <c r="AD874" s="102"/>
      <c r="AE874" s="102"/>
      <c r="AF874" s="102"/>
      <c r="AG874" s="102"/>
      <c r="AH874" s="102"/>
      <c r="AI874" s="102"/>
      <c r="AJ874" s="102"/>
      <c r="AK874" s="102"/>
      <c r="AL874" s="102"/>
      <c r="AM874" s="102"/>
    </row>
    <row r="875" spans="1:39">
      <c r="A875" s="143"/>
      <c r="B875" s="143"/>
      <c r="C875" s="155"/>
      <c r="D875" s="143"/>
      <c r="E875" s="146"/>
      <c r="F875" s="147"/>
      <c r="G875" s="147"/>
      <c r="H875" s="148"/>
      <c r="I875" s="143"/>
      <c r="J875" s="143"/>
      <c r="K875" s="149"/>
      <c r="L875" s="150" t="str">
        <f t="shared" si="143"/>
        <v/>
      </c>
      <c r="M875" s="150" t="str">
        <f t="shared" si="144"/>
        <v/>
      </c>
      <c r="N875" s="151" t="str">
        <f t="shared" si="145"/>
        <v/>
      </c>
      <c r="O875" s="151" t="str">
        <f t="shared" si="146"/>
        <v/>
      </c>
      <c r="P875" s="151" t="str">
        <f t="shared" si="147"/>
        <v/>
      </c>
      <c r="Q875" s="151" t="str">
        <f t="shared" si="148"/>
        <v/>
      </c>
      <c r="R875" s="150" t="str">
        <f t="shared" si="149"/>
        <v/>
      </c>
      <c r="S875" s="150" t="str">
        <f t="shared" si="150"/>
        <v/>
      </c>
      <c r="T875" s="150" t="str">
        <f t="shared" si="151"/>
        <v/>
      </c>
      <c r="U875" s="152"/>
      <c r="V875" s="143"/>
      <c r="W875" s="102"/>
      <c r="X875" s="102" t="str">
        <f t="shared" si="152"/>
        <v/>
      </c>
      <c r="Y875" s="102"/>
      <c r="Z875" s="102"/>
      <c r="AA875" s="102"/>
      <c r="AB875" s="102"/>
      <c r="AC875" s="102"/>
      <c r="AD875" s="102"/>
      <c r="AE875" s="102"/>
      <c r="AF875" s="102"/>
      <c r="AG875" s="102"/>
      <c r="AH875" s="102"/>
      <c r="AI875" s="102"/>
      <c r="AJ875" s="102"/>
      <c r="AK875" s="102"/>
      <c r="AL875" s="102"/>
      <c r="AM875" s="102"/>
    </row>
    <row r="876" spans="1:39">
      <c r="A876" s="143"/>
      <c r="B876" s="143"/>
      <c r="C876" s="155"/>
      <c r="D876" s="143"/>
      <c r="E876" s="146"/>
      <c r="F876" s="147"/>
      <c r="G876" s="147"/>
      <c r="H876" s="148"/>
      <c r="I876" s="143"/>
      <c r="J876" s="143"/>
      <c r="K876" s="149"/>
      <c r="L876" s="150" t="str">
        <f t="shared" si="143"/>
        <v/>
      </c>
      <c r="M876" s="150" t="str">
        <f t="shared" si="144"/>
        <v/>
      </c>
      <c r="N876" s="151" t="str">
        <f t="shared" si="145"/>
        <v/>
      </c>
      <c r="O876" s="151" t="str">
        <f t="shared" si="146"/>
        <v/>
      </c>
      <c r="P876" s="151" t="str">
        <f t="shared" si="147"/>
        <v/>
      </c>
      <c r="Q876" s="151" t="str">
        <f t="shared" si="148"/>
        <v/>
      </c>
      <c r="R876" s="150" t="str">
        <f t="shared" si="149"/>
        <v/>
      </c>
      <c r="S876" s="150" t="str">
        <f t="shared" si="150"/>
        <v/>
      </c>
      <c r="T876" s="150" t="str">
        <f t="shared" si="151"/>
        <v/>
      </c>
      <c r="U876" s="152"/>
      <c r="V876" s="143"/>
      <c r="W876" s="102"/>
      <c r="X876" s="102" t="str">
        <f t="shared" si="152"/>
        <v/>
      </c>
      <c r="Y876" s="102"/>
      <c r="Z876" s="102"/>
      <c r="AA876" s="102"/>
      <c r="AB876" s="102"/>
      <c r="AC876" s="102"/>
      <c r="AD876" s="102"/>
      <c r="AE876" s="102"/>
      <c r="AF876" s="102"/>
      <c r="AG876" s="102"/>
      <c r="AH876" s="102"/>
      <c r="AI876" s="102"/>
      <c r="AJ876" s="102"/>
      <c r="AK876" s="102"/>
      <c r="AL876" s="102"/>
      <c r="AM876" s="102"/>
    </row>
    <row r="877" spans="1:39">
      <c r="A877" s="143"/>
      <c r="B877" s="143"/>
      <c r="C877" s="155"/>
      <c r="D877" s="143"/>
      <c r="E877" s="146"/>
      <c r="F877" s="147"/>
      <c r="G877" s="147"/>
      <c r="H877" s="148"/>
      <c r="I877" s="143"/>
      <c r="J877" s="143"/>
      <c r="K877" s="149"/>
      <c r="L877" s="150" t="str">
        <f t="shared" si="143"/>
        <v/>
      </c>
      <c r="M877" s="150" t="str">
        <f t="shared" si="144"/>
        <v/>
      </c>
      <c r="N877" s="151" t="str">
        <f t="shared" si="145"/>
        <v/>
      </c>
      <c r="O877" s="151" t="str">
        <f t="shared" si="146"/>
        <v/>
      </c>
      <c r="P877" s="151" t="str">
        <f t="shared" si="147"/>
        <v/>
      </c>
      <c r="Q877" s="151" t="str">
        <f t="shared" si="148"/>
        <v/>
      </c>
      <c r="R877" s="150" t="str">
        <f t="shared" si="149"/>
        <v/>
      </c>
      <c r="S877" s="150" t="str">
        <f t="shared" si="150"/>
        <v/>
      </c>
      <c r="T877" s="150" t="str">
        <f t="shared" si="151"/>
        <v/>
      </c>
      <c r="U877" s="152"/>
      <c r="V877" s="143"/>
      <c r="W877" s="102"/>
      <c r="X877" s="102" t="str">
        <f t="shared" si="152"/>
        <v/>
      </c>
      <c r="Y877" s="102"/>
      <c r="Z877" s="102"/>
      <c r="AA877" s="102"/>
      <c r="AB877" s="102"/>
      <c r="AC877" s="102"/>
      <c r="AD877" s="102"/>
      <c r="AE877" s="102"/>
      <c r="AF877" s="102"/>
      <c r="AG877" s="102"/>
      <c r="AH877" s="102"/>
      <c r="AI877" s="102"/>
      <c r="AJ877" s="102"/>
      <c r="AK877" s="102"/>
      <c r="AL877" s="102"/>
      <c r="AM877" s="102"/>
    </row>
    <row r="878" spans="1:39">
      <c r="A878" s="143"/>
      <c r="B878" s="143"/>
      <c r="C878" s="155"/>
      <c r="D878" s="143"/>
      <c r="E878" s="146"/>
      <c r="F878" s="147"/>
      <c r="G878" s="147"/>
      <c r="H878" s="148"/>
      <c r="I878" s="143"/>
      <c r="J878" s="143"/>
      <c r="K878" s="149"/>
      <c r="L878" s="150" t="str">
        <f t="shared" si="143"/>
        <v/>
      </c>
      <c r="M878" s="150" t="str">
        <f t="shared" si="144"/>
        <v/>
      </c>
      <c r="N878" s="151" t="str">
        <f t="shared" si="145"/>
        <v/>
      </c>
      <c r="O878" s="151" t="str">
        <f t="shared" si="146"/>
        <v/>
      </c>
      <c r="P878" s="151" t="str">
        <f t="shared" si="147"/>
        <v/>
      </c>
      <c r="Q878" s="151" t="str">
        <f t="shared" si="148"/>
        <v/>
      </c>
      <c r="R878" s="150" t="str">
        <f t="shared" si="149"/>
        <v/>
      </c>
      <c r="S878" s="150" t="str">
        <f t="shared" si="150"/>
        <v/>
      </c>
      <c r="T878" s="150" t="str">
        <f t="shared" si="151"/>
        <v/>
      </c>
      <c r="U878" s="152"/>
      <c r="V878" s="143"/>
      <c r="W878" s="102"/>
      <c r="X878" s="102" t="str">
        <f t="shared" si="152"/>
        <v/>
      </c>
      <c r="Y878" s="102"/>
      <c r="Z878" s="102"/>
      <c r="AA878" s="102"/>
      <c r="AB878" s="102"/>
      <c r="AC878" s="102"/>
      <c r="AD878" s="102"/>
      <c r="AE878" s="102"/>
      <c r="AF878" s="102"/>
      <c r="AG878" s="102"/>
      <c r="AH878" s="102"/>
      <c r="AI878" s="102"/>
      <c r="AJ878" s="102"/>
      <c r="AK878" s="102"/>
      <c r="AL878" s="102"/>
      <c r="AM878" s="102"/>
    </row>
    <row r="879" spans="1:39">
      <c r="A879" s="143"/>
      <c r="B879" s="143"/>
      <c r="C879" s="155"/>
      <c r="D879" s="143"/>
      <c r="E879" s="146"/>
      <c r="F879" s="147"/>
      <c r="G879" s="147"/>
      <c r="H879" s="148"/>
      <c r="I879" s="143"/>
      <c r="J879" s="143"/>
      <c r="K879" s="143"/>
      <c r="L879" s="150" t="str">
        <f t="shared" si="143"/>
        <v/>
      </c>
      <c r="M879" s="150" t="str">
        <f t="shared" si="144"/>
        <v/>
      </c>
      <c r="N879" s="151" t="str">
        <f t="shared" si="145"/>
        <v/>
      </c>
      <c r="O879" s="151" t="str">
        <f t="shared" si="146"/>
        <v/>
      </c>
      <c r="P879" s="151" t="str">
        <f t="shared" si="147"/>
        <v/>
      </c>
      <c r="Q879" s="151" t="str">
        <f t="shared" si="148"/>
        <v/>
      </c>
      <c r="R879" s="150" t="str">
        <f t="shared" si="149"/>
        <v/>
      </c>
      <c r="S879" s="150" t="str">
        <f t="shared" si="150"/>
        <v/>
      </c>
      <c r="T879" s="150" t="str">
        <f t="shared" si="151"/>
        <v/>
      </c>
      <c r="U879" s="152"/>
      <c r="V879" s="143"/>
      <c r="W879" s="102"/>
      <c r="X879" s="102" t="str">
        <f t="shared" si="152"/>
        <v/>
      </c>
      <c r="Y879" s="102"/>
      <c r="Z879" s="102"/>
      <c r="AA879" s="102"/>
      <c r="AB879" s="102"/>
      <c r="AC879" s="102"/>
      <c r="AD879" s="102"/>
      <c r="AE879" s="102"/>
      <c r="AF879" s="102"/>
      <c r="AG879" s="102"/>
      <c r="AH879" s="102"/>
      <c r="AI879" s="102"/>
      <c r="AJ879" s="102"/>
      <c r="AK879" s="102"/>
      <c r="AL879" s="102"/>
      <c r="AM879" s="102"/>
    </row>
    <row r="880" spans="1:39">
      <c r="A880" s="143"/>
      <c r="B880" s="143"/>
      <c r="C880" s="155"/>
      <c r="D880" s="143"/>
      <c r="E880" s="146"/>
      <c r="F880" s="147"/>
      <c r="G880" s="147"/>
      <c r="H880" s="148"/>
      <c r="I880" s="143"/>
      <c r="J880" s="143"/>
      <c r="K880" s="143"/>
      <c r="L880" s="150" t="str">
        <f t="shared" si="143"/>
        <v/>
      </c>
      <c r="M880" s="150" t="str">
        <f t="shared" si="144"/>
        <v/>
      </c>
      <c r="N880" s="151" t="str">
        <f t="shared" si="145"/>
        <v/>
      </c>
      <c r="O880" s="151" t="str">
        <f t="shared" si="146"/>
        <v/>
      </c>
      <c r="P880" s="151" t="str">
        <f t="shared" si="147"/>
        <v/>
      </c>
      <c r="Q880" s="151" t="str">
        <f t="shared" si="148"/>
        <v/>
      </c>
      <c r="R880" s="150" t="str">
        <f t="shared" si="149"/>
        <v/>
      </c>
      <c r="S880" s="150" t="str">
        <f t="shared" si="150"/>
        <v/>
      </c>
      <c r="T880" s="150" t="str">
        <f t="shared" si="151"/>
        <v/>
      </c>
      <c r="U880" s="152"/>
      <c r="V880" s="143"/>
      <c r="W880" s="102"/>
      <c r="X880" s="102" t="str">
        <f t="shared" si="152"/>
        <v/>
      </c>
      <c r="Y880" s="102"/>
      <c r="Z880" s="102"/>
      <c r="AA880" s="102"/>
      <c r="AB880" s="102"/>
      <c r="AC880" s="102"/>
      <c r="AD880" s="102"/>
      <c r="AE880" s="102"/>
      <c r="AF880" s="102"/>
      <c r="AG880" s="102"/>
      <c r="AH880" s="102"/>
      <c r="AI880" s="102"/>
      <c r="AJ880" s="102"/>
      <c r="AK880" s="102"/>
      <c r="AL880" s="102"/>
      <c r="AM880" s="102"/>
    </row>
    <row r="881" spans="1:39">
      <c r="A881" s="143"/>
      <c r="B881" s="143"/>
      <c r="C881" s="155"/>
      <c r="D881" s="143"/>
      <c r="E881" s="146"/>
      <c r="F881" s="147"/>
      <c r="G881" s="147"/>
      <c r="H881" s="148"/>
      <c r="I881" s="143"/>
      <c r="J881" s="143"/>
      <c r="K881" s="143"/>
      <c r="L881" s="150" t="str">
        <f t="shared" si="143"/>
        <v/>
      </c>
      <c r="M881" s="150" t="str">
        <f t="shared" si="144"/>
        <v/>
      </c>
      <c r="N881" s="151" t="str">
        <f t="shared" si="145"/>
        <v/>
      </c>
      <c r="O881" s="151" t="str">
        <f t="shared" si="146"/>
        <v/>
      </c>
      <c r="P881" s="151" t="str">
        <f t="shared" si="147"/>
        <v/>
      </c>
      <c r="Q881" s="151" t="str">
        <f t="shared" si="148"/>
        <v/>
      </c>
      <c r="R881" s="150" t="str">
        <f t="shared" si="149"/>
        <v/>
      </c>
      <c r="S881" s="150" t="str">
        <f t="shared" si="150"/>
        <v/>
      </c>
      <c r="T881" s="150" t="str">
        <f t="shared" si="151"/>
        <v/>
      </c>
      <c r="U881" s="152"/>
      <c r="V881" s="143"/>
      <c r="W881" s="102"/>
      <c r="X881" s="102" t="str">
        <f t="shared" si="152"/>
        <v/>
      </c>
      <c r="Y881" s="102"/>
      <c r="Z881" s="102"/>
      <c r="AA881" s="102"/>
      <c r="AB881" s="102"/>
      <c r="AC881" s="102"/>
      <c r="AD881" s="102"/>
      <c r="AE881" s="102"/>
      <c r="AF881" s="102"/>
      <c r="AG881" s="102"/>
      <c r="AH881" s="102"/>
      <c r="AI881" s="102"/>
      <c r="AJ881" s="102"/>
      <c r="AK881" s="102"/>
      <c r="AL881" s="102"/>
      <c r="AM881" s="102"/>
    </row>
    <row r="882" spans="1:39">
      <c r="A882" s="143"/>
      <c r="B882" s="143"/>
      <c r="C882" s="155"/>
      <c r="D882" s="143"/>
      <c r="E882" s="146"/>
      <c r="F882" s="147"/>
      <c r="G882" s="147"/>
      <c r="H882" s="148"/>
      <c r="I882" s="143"/>
      <c r="J882" s="143"/>
      <c r="K882" s="143"/>
      <c r="L882" s="150" t="str">
        <f t="shared" si="143"/>
        <v/>
      </c>
      <c r="M882" s="150" t="str">
        <f t="shared" si="144"/>
        <v/>
      </c>
      <c r="N882" s="151" t="str">
        <f t="shared" si="145"/>
        <v/>
      </c>
      <c r="O882" s="151" t="str">
        <f t="shared" si="146"/>
        <v/>
      </c>
      <c r="P882" s="151" t="str">
        <f t="shared" si="147"/>
        <v/>
      </c>
      <c r="Q882" s="151" t="str">
        <f t="shared" si="148"/>
        <v/>
      </c>
      <c r="R882" s="150" t="str">
        <f t="shared" si="149"/>
        <v/>
      </c>
      <c r="S882" s="150" t="str">
        <f t="shared" si="150"/>
        <v/>
      </c>
      <c r="T882" s="150" t="str">
        <f t="shared" si="151"/>
        <v/>
      </c>
      <c r="U882" s="152"/>
      <c r="V882" s="143"/>
      <c r="W882" s="102"/>
      <c r="X882" s="102" t="str">
        <f t="shared" si="152"/>
        <v/>
      </c>
      <c r="Y882" s="102"/>
      <c r="Z882" s="102"/>
      <c r="AA882" s="102"/>
      <c r="AB882" s="102"/>
      <c r="AC882" s="102"/>
      <c r="AD882" s="102"/>
      <c r="AE882" s="102"/>
      <c r="AF882" s="102"/>
      <c r="AG882" s="102"/>
      <c r="AH882" s="102"/>
      <c r="AI882" s="102"/>
      <c r="AJ882" s="102"/>
      <c r="AK882" s="102"/>
      <c r="AL882" s="102"/>
      <c r="AM882" s="102"/>
    </row>
    <row r="883" spans="1:39">
      <c r="A883" s="143"/>
      <c r="B883" s="143"/>
      <c r="C883" s="155"/>
      <c r="D883" s="143"/>
      <c r="E883" s="146"/>
      <c r="F883" s="147"/>
      <c r="G883" s="147"/>
      <c r="H883" s="148"/>
      <c r="I883" s="143"/>
      <c r="J883" s="143"/>
      <c r="K883" s="143"/>
      <c r="L883" s="150" t="str">
        <f t="shared" si="143"/>
        <v/>
      </c>
      <c r="M883" s="150" t="str">
        <f t="shared" si="144"/>
        <v/>
      </c>
      <c r="N883" s="151" t="str">
        <f t="shared" si="145"/>
        <v/>
      </c>
      <c r="O883" s="151" t="str">
        <f t="shared" si="146"/>
        <v/>
      </c>
      <c r="P883" s="151" t="str">
        <f t="shared" si="147"/>
        <v/>
      </c>
      <c r="Q883" s="151" t="str">
        <f t="shared" si="148"/>
        <v/>
      </c>
      <c r="R883" s="150" t="str">
        <f t="shared" si="149"/>
        <v/>
      </c>
      <c r="S883" s="150" t="str">
        <f t="shared" si="150"/>
        <v/>
      </c>
      <c r="T883" s="150" t="str">
        <f t="shared" si="151"/>
        <v/>
      </c>
      <c r="U883" s="152"/>
      <c r="V883" s="143"/>
      <c r="W883" s="102"/>
      <c r="X883" s="102" t="str">
        <f t="shared" si="152"/>
        <v/>
      </c>
      <c r="Y883" s="102"/>
      <c r="Z883" s="102"/>
      <c r="AA883" s="102"/>
      <c r="AB883" s="102"/>
      <c r="AC883" s="102"/>
      <c r="AD883" s="102"/>
      <c r="AE883" s="102"/>
      <c r="AF883" s="102"/>
      <c r="AG883" s="102"/>
      <c r="AH883" s="102"/>
      <c r="AI883" s="102"/>
      <c r="AJ883" s="102"/>
      <c r="AK883" s="102"/>
      <c r="AL883" s="102"/>
      <c r="AM883" s="102"/>
    </row>
    <row r="884" spans="1:39">
      <c r="A884" s="143"/>
      <c r="B884" s="143"/>
      <c r="C884" s="155"/>
      <c r="D884" s="143"/>
      <c r="E884" s="146"/>
      <c r="F884" s="147"/>
      <c r="G884" s="147"/>
      <c r="H884" s="148"/>
      <c r="I884" s="143"/>
      <c r="J884" s="143"/>
      <c r="K884" s="143"/>
      <c r="L884" s="150" t="str">
        <f t="shared" si="143"/>
        <v/>
      </c>
      <c r="M884" s="150" t="str">
        <f t="shared" si="144"/>
        <v/>
      </c>
      <c r="N884" s="151" t="str">
        <f t="shared" si="145"/>
        <v/>
      </c>
      <c r="O884" s="151" t="str">
        <f t="shared" si="146"/>
        <v/>
      </c>
      <c r="P884" s="151" t="str">
        <f t="shared" si="147"/>
        <v/>
      </c>
      <c r="Q884" s="151" t="str">
        <f t="shared" si="148"/>
        <v/>
      </c>
      <c r="R884" s="150" t="str">
        <f t="shared" si="149"/>
        <v/>
      </c>
      <c r="S884" s="150" t="str">
        <f t="shared" si="150"/>
        <v/>
      </c>
      <c r="T884" s="150" t="str">
        <f t="shared" si="151"/>
        <v/>
      </c>
      <c r="U884" s="152"/>
      <c r="V884" s="143"/>
      <c r="W884" s="102"/>
      <c r="X884" s="102" t="str">
        <f t="shared" si="152"/>
        <v/>
      </c>
      <c r="Y884" s="102"/>
      <c r="Z884" s="102"/>
      <c r="AA884" s="102"/>
      <c r="AB884" s="102"/>
      <c r="AC884" s="102"/>
      <c r="AD884" s="102"/>
      <c r="AE884" s="102"/>
      <c r="AF884" s="102"/>
      <c r="AG884" s="102"/>
      <c r="AH884" s="102"/>
      <c r="AI884" s="102"/>
      <c r="AJ884" s="102"/>
      <c r="AK884" s="102"/>
      <c r="AL884" s="102"/>
      <c r="AM884" s="102"/>
    </row>
    <row r="885" spans="1:39">
      <c r="A885" s="143"/>
      <c r="B885" s="143"/>
      <c r="C885" s="155"/>
      <c r="D885" s="143"/>
      <c r="E885" s="146"/>
      <c r="F885" s="147"/>
      <c r="G885" s="147"/>
      <c r="H885" s="148"/>
      <c r="I885" s="143"/>
      <c r="J885" s="143"/>
      <c r="K885" s="143"/>
      <c r="L885" s="150" t="str">
        <f t="shared" si="143"/>
        <v/>
      </c>
      <c r="M885" s="150" t="str">
        <f t="shared" si="144"/>
        <v/>
      </c>
      <c r="N885" s="151" t="str">
        <f t="shared" si="145"/>
        <v/>
      </c>
      <c r="O885" s="151" t="str">
        <f t="shared" si="146"/>
        <v/>
      </c>
      <c r="P885" s="151" t="str">
        <f t="shared" si="147"/>
        <v/>
      </c>
      <c r="Q885" s="151" t="str">
        <f t="shared" si="148"/>
        <v/>
      </c>
      <c r="R885" s="150" t="str">
        <f t="shared" si="149"/>
        <v/>
      </c>
      <c r="S885" s="150" t="str">
        <f t="shared" si="150"/>
        <v/>
      </c>
      <c r="T885" s="150" t="str">
        <f t="shared" si="151"/>
        <v/>
      </c>
      <c r="U885" s="152"/>
      <c r="V885" s="143"/>
      <c r="W885" s="102"/>
      <c r="X885" s="102" t="str">
        <f t="shared" si="152"/>
        <v/>
      </c>
      <c r="Y885" s="102"/>
      <c r="Z885" s="102"/>
      <c r="AA885" s="102"/>
      <c r="AB885" s="102"/>
      <c r="AC885" s="102"/>
      <c r="AD885" s="102"/>
      <c r="AE885" s="102"/>
      <c r="AF885" s="102"/>
      <c r="AG885" s="102"/>
      <c r="AH885" s="102"/>
      <c r="AI885" s="102"/>
      <c r="AJ885" s="102"/>
      <c r="AK885" s="102"/>
      <c r="AL885" s="102"/>
      <c r="AM885" s="102"/>
    </row>
    <row r="886" spans="1:39">
      <c r="A886" s="143"/>
      <c r="B886" s="143"/>
      <c r="C886" s="155"/>
      <c r="D886" s="143"/>
      <c r="E886" s="146"/>
      <c r="F886" s="147"/>
      <c r="G886" s="147"/>
      <c r="H886" s="148"/>
      <c r="I886" s="143"/>
      <c r="J886" s="143"/>
      <c r="K886" s="143"/>
      <c r="L886" s="150" t="str">
        <f t="shared" si="143"/>
        <v/>
      </c>
      <c r="M886" s="150" t="str">
        <f t="shared" si="144"/>
        <v/>
      </c>
      <c r="N886" s="151" t="str">
        <f t="shared" si="145"/>
        <v/>
      </c>
      <c r="O886" s="151" t="str">
        <f t="shared" si="146"/>
        <v/>
      </c>
      <c r="P886" s="151" t="str">
        <f t="shared" si="147"/>
        <v/>
      </c>
      <c r="Q886" s="151" t="str">
        <f t="shared" si="148"/>
        <v/>
      </c>
      <c r="R886" s="150" t="str">
        <f t="shared" si="149"/>
        <v/>
      </c>
      <c r="S886" s="150" t="str">
        <f t="shared" si="150"/>
        <v/>
      </c>
      <c r="T886" s="150" t="str">
        <f t="shared" si="151"/>
        <v/>
      </c>
      <c r="U886" s="152"/>
      <c r="V886" s="143"/>
      <c r="W886" s="102"/>
      <c r="X886" s="102" t="str">
        <f t="shared" si="152"/>
        <v/>
      </c>
      <c r="Y886" s="102"/>
      <c r="Z886" s="102"/>
      <c r="AA886" s="102"/>
      <c r="AB886" s="102"/>
      <c r="AC886" s="102"/>
      <c r="AD886" s="102"/>
      <c r="AE886" s="102"/>
      <c r="AF886" s="102"/>
      <c r="AG886" s="102"/>
      <c r="AH886" s="102"/>
      <c r="AI886" s="102"/>
      <c r="AJ886" s="102"/>
      <c r="AK886" s="102"/>
      <c r="AL886" s="102"/>
      <c r="AM886" s="102"/>
    </row>
    <row r="887" spans="1:39">
      <c r="A887" s="143"/>
      <c r="B887" s="143"/>
      <c r="C887" s="155"/>
      <c r="D887" s="143"/>
      <c r="E887" s="146"/>
      <c r="F887" s="147"/>
      <c r="G887" s="147"/>
      <c r="H887" s="148"/>
      <c r="I887" s="143"/>
      <c r="J887" s="143"/>
      <c r="K887" s="143"/>
      <c r="L887" s="150" t="str">
        <f t="shared" si="143"/>
        <v/>
      </c>
      <c r="M887" s="150" t="str">
        <f t="shared" si="144"/>
        <v/>
      </c>
      <c r="N887" s="151" t="str">
        <f t="shared" si="145"/>
        <v/>
      </c>
      <c r="O887" s="151" t="str">
        <f t="shared" si="146"/>
        <v/>
      </c>
      <c r="P887" s="151" t="str">
        <f t="shared" si="147"/>
        <v/>
      </c>
      <c r="Q887" s="151" t="str">
        <f t="shared" si="148"/>
        <v/>
      </c>
      <c r="R887" s="150" t="str">
        <f t="shared" si="149"/>
        <v/>
      </c>
      <c r="S887" s="150" t="str">
        <f t="shared" si="150"/>
        <v/>
      </c>
      <c r="T887" s="150" t="str">
        <f t="shared" si="151"/>
        <v/>
      </c>
      <c r="U887" s="152"/>
      <c r="V887" s="143"/>
      <c r="W887" s="102"/>
      <c r="X887" s="102" t="str">
        <f t="shared" si="152"/>
        <v/>
      </c>
      <c r="Y887" s="102"/>
      <c r="Z887" s="102"/>
      <c r="AA887" s="102"/>
      <c r="AB887" s="102"/>
      <c r="AC887" s="102"/>
      <c r="AD887" s="102"/>
      <c r="AE887" s="102"/>
      <c r="AF887" s="102"/>
      <c r="AG887" s="102"/>
      <c r="AH887" s="102"/>
      <c r="AI887" s="102"/>
      <c r="AJ887" s="102"/>
      <c r="AK887" s="102"/>
      <c r="AL887" s="102"/>
      <c r="AM887" s="102"/>
    </row>
    <row r="888" spans="1:39">
      <c r="A888" s="143"/>
      <c r="B888" s="143"/>
      <c r="C888" s="155"/>
      <c r="D888" s="143"/>
      <c r="E888" s="146"/>
      <c r="F888" s="147"/>
      <c r="G888" s="147"/>
      <c r="H888" s="148"/>
      <c r="I888" s="143"/>
      <c r="J888" s="143"/>
      <c r="K888" s="143"/>
      <c r="L888" s="150" t="str">
        <f t="shared" si="143"/>
        <v/>
      </c>
      <c r="M888" s="150" t="str">
        <f t="shared" si="144"/>
        <v/>
      </c>
      <c r="N888" s="151" t="str">
        <f t="shared" si="145"/>
        <v/>
      </c>
      <c r="O888" s="151" t="str">
        <f t="shared" si="146"/>
        <v/>
      </c>
      <c r="P888" s="151" t="str">
        <f t="shared" si="147"/>
        <v/>
      </c>
      <c r="Q888" s="151" t="str">
        <f t="shared" si="148"/>
        <v/>
      </c>
      <c r="R888" s="150" t="str">
        <f t="shared" si="149"/>
        <v/>
      </c>
      <c r="S888" s="150" t="str">
        <f t="shared" si="150"/>
        <v/>
      </c>
      <c r="T888" s="150" t="str">
        <f t="shared" si="151"/>
        <v/>
      </c>
      <c r="U888" s="152"/>
      <c r="V888" s="143"/>
      <c r="W888" s="102"/>
      <c r="X888" s="102" t="str">
        <f t="shared" si="152"/>
        <v/>
      </c>
      <c r="Y888" s="102"/>
      <c r="Z888" s="102"/>
      <c r="AA888" s="102"/>
      <c r="AB888" s="102"/>
      <c r="AC888" s="102"/>
      <c r="AD888" s="102"/>
      <c r="AE888" s="102"/>
      <c r="AF888" s="102"/>
      <c r="AG888" s="102"/>
      <c r="AH888" s="102"/>
      <c r="AI888" s="102"/>
      <c r="AJ888" s="102"/>
      <c r="AK888" s="102"/>
      <c r="AL888" s="102"/>
      <c r="AM888" s="102"/>
    </row>
    <row r="889" spans="1:39">
      <c r="A889" s="143"/>
      <c r="B889" s="143"/>
      <c r="C889" s="155"/>
      <c r="D889" s="143"/>
      <c r="E889" s="146"/>
      <c r="F889" s="147"/>
      <c r="G889" s="147"/>
      <c r="H889" s="148"/>
      <c r="I889" s="143"/>
      <c r="J889" s="143"/>
      <c r="K889" s="143"/>
      <c r="L889" s="150" t="str">
        <f t="shared" si="143"/>
        <v/>
      </c>
      <c r="M889" s="150" t="str">
        <f t="shared" si="144"/>
        <v/>
      </c>
      <c r="N889" s="151" t="str">
        <f t="shared" si="145"/>
        <v/>
      </c>
      <c r="O889" s="151" t="str">
        <f t="shared" si="146"/>
        <v/>
      </c>
      <c r="P889" s="151" t="str">
        <f t="shared" si="147"/>
        <v/>
      </c>
      <c r="Q889" s="151" t="str">
        <f t="shared" si="148"/>
        <v/>
      </c>
      <c r="R889" s="150" t="str">
        <f t="shared" si="149"/>
        <v/>
      </c>
      <c r="S889" s="150" t="str">
        <f t="shared" si="150"/>
        <v/>
      </c>
      <c r="T889" s="150" t="str">
        <f t="shared" si="151"/>
        <v/>
      </c>
      <c r="U889" s="152"/>
      <c r="V889" s="143"/>
      <c r="W889" s="102"/>
      <c r="X889" s="102" t="str">
        <f t="shared" si="152"/>
        <v/>
      </c>
      <c r="Y889" s="102"/>
      <c r="Z889" s="102"/>
      <c r="AA889" s="102"/>
      <c r="AB889" s="102"/>
      <c r="AC889" s="102"/>
      <c r="AD889" s="102"/>
      <c r="AE889" s="102"/>
      <c r="AF889" s="102"/>
      <c r="AG889" s="102"/>
      <c r="AH889" s="102"/>
      <c r="AI889" s="102"/>
      <c r="AJ889" s="102"/>
      <c r="AK889" s="102"/>
      <c r="AL889" s="102"/>
      <c r="AM889" s="102"/>
    </row>
    <row r="890" spans="1:39">
      <c r="A890" s="143"/>
      <c r="B890" s="143"/>
      <c r="C890" s="155"/>
      <c r="D890" s="143"/>
      <c r="E890" s="146"/>
      <c r="F890" s="147"/>
      <c r="G890" s="147"/>
      <c r="H890" s="148"/>
      <c r="I890" s="143"/>
      <c r="J890" s="143"/>
      <c r="K890" s="143"/>
      <c r="L890" s="150" t="str">
        <f t="shared" si="143"/>
        <v/>
      </c>
      <c r="M890" s="150" t="str">
        <f t="shared" si="144"/>
        <v/>
      </c>
      <c r="N890" s="151" t="str">
        <f t="shared" si="145"/>
        <v/>
      </c>
      <c r="O890" s="151" t="str">
        <f t="shared" si="146"/>
        <v/>
      </c>
      <c r="P890" s="151" t="str">
        <f t="shared" si="147"/>
        <v/>
      </c>
      <c r="Q890" s="151" t="str">
        <f t="shared" si="148"/>
        <v/>
      </c>
      <c r="R890" s="150" t="str">
        <f t="shared" si="149"/>
        <v/>
      </c>
      <c r="S890" s="150" t="str">
        <f t="shared" si="150"/>
        <v/>
      </c>
      <c r="T890" s="150" t="str">
        <f t="shared" si="151"/>
        <v/>
      </c>
      <c r="U890" s="152"/>
      <c r="V890" s="143"/>
      <c r="W890" s="102"/>
      <c r="X890" s="102" t="str">
        <f t="shared" si="152"/>
        <v/>
      </c>
      <c r="Y890" s="102"/>
      <c r="Z890" s="102"/>
      <c r="AA890" s="102"/>
      <c r="AB890" s="102"/>
      <c r="AC890" s="102"/>
      <c r="AD890" s="102"/>
      <c r="AE890" s="102"/>
      <c r="AF890" s="102"/>
      <c r="AG890" s="102"/>
      <c r="AH890" s="102"/>
      <c r="AI890" s="102"/>
      <c r="AJ890" s="102"/>
      <c r="AK890" s="102"/>
      <c r="AL890" s="102"/>
      <c r="AM890" s="102"/>
    </row>
    <row r="891" spans="1:39">
      <c r="A891" s="143"/>
      <c r="B891" s="143"/>
      <c r="C891" s="155"/>
      <c r="D891" s="143"/>
      <c r="E891" s="146"/>
      <c r="F891" s="147"/>
      <c r="G891" s="147"/>
      <c r="H891" s="148"/>
      <c r="I891" s="143"/>
      <c r="J891" s="143"/>
      <c r="K891" s="143"/>
      <c r="L891" s="150" t="str">
        <f t="shared" si="143"/>
        <v/>
      </c>
      <c r="M891" s="150" t="str">
        <f t="shared" si="144"/>
        <v/>
      </c>
      <c r="N891" s="151" t="str">
        <f t="shared" si="145"/>
        <v/>
      </c>
      <c r="O891" s="151" t="str">
        <f t="shared" si="146"/>
        <v/>
      </c>
      <c r="P891" s="151" t="str">
        <f t="shared" si="147"/>
        <v/>
      </c>
      <c r="Q891" s="151" t="str">
        <f t="shared" si="148"/>
        <v/>
      </c>
      <c r="R891" s="150" t="str">
        <f t="shared" si="149"/>
        <v/>
      </c>
      <c r="S891" s="150" t="str">
        <f t="shared" si="150"/>
        <v/>
      </c>
      <c r="T891" s="150" t="str">
        <f t="shared" si="151"/>
        <v/>
      </c>
      <c r="U891" s="152"/>
      <c r="V891" s="143"/>
      <c r="W891" s="102"/>
      <c r="X891" s="102" t="str">
        <f t="shared" si="152"/>
        <v/>
      </c>
      <c r="Y891" s="102"/>
      <c r="Z891" s="102"/>
      <c r="AA891" s="102"/>
      <c r="AB891" s="102"/>
      <c r="AC891" s="102"/>
      <c r="AD891" s="102"/>
      <c r="AE891" s="102"/>
      <c r="AF891" s="102"/>
      <c r="AG891" s="102"/>
      <c r="AH891" s="102"/>
      <c r="AI891" s="102"/>
      <c r="AJ891" s="102"/>
      <c r="AK891" s="102"/>
      <c r="AL891" s="102"/>
      <c r="AM891" s="102"/>
    </row>
    <row r="892" spans="1:39">
      <c r="A892" s="143"/>
      <c r="B892" s="143"/>
      <c r="C892" s="155"/>
      <c r="D892" s="143"/>
      <c r="E892" s="146"/>
      <c r="F892" s="147"/>
      <c r="G892" s="147"/>
      <c r="H892" s="148"/>
      <c r="I892" s="143"/>
      <c r="J892" s="143"/>
      <c r="K892" s="143"/>
      <c r="L892" s="150" t="str">
        <f t="shared" si="143"/>
        <v/>
      </c>
      <c r="M892" s="150" t="str">
        <f t="shared" si="144"/>
        <v/>
      </c>
      <c r="N892" s="151" t="str">
        <f t="shared" si="145"/>
        <v/>
      </c>
      <c r="O892" s="151" t="str">
        <f t="shared" si="146"/>
        <v/>
      </c>
      <c r="P892" s="151" t="str">
        <f t="shared" si="147"/>
        <v/>
      </c>
      <c r="Q892" s="151" t="str">
        <f t="shared" si="148"/>
        <v/>
      </c>
      <c r="R892" s="150" t="str">
        <f t="shared" si="149"/>
        <v/>
      </c>
      <c r="S892" s="150" t="str">
        <f t="shared" si="150"/>
        <v/>
      </c>
      <c r="T892" s="150" t="str">
        <f t="shared" si="151"/>
        <v/>
      </c>
      <c r="U892" s="152"/>
      <c r="V892" s="143"/>
      <c r="W892" s="102"/>
      <c r="X892" s="102" t="str">
        <f t="shared" si="152"/>
        <v/>
      </c>
      <c r="Y892" s="102"/>
      <c r="Z892" s="102"/>
      <c r="AA892" s="102"/>
      <c r="AB892" s="102"/>
      <c r="AC892" s="102"/>
      <c r="AD892" s="102"/>
      <c r="AE892" s="102"/>
      <c r="AF892" s="102"/>
      <c r="AG892" s="102"/>
      <c r="AH892" s="102"/>
      <c r="AI892" s="102"/>
      <c r="AJ892" s="102"/>
      <c r="AK892" s="102"/>
      <c r="AL892" s="102"/>
      <c r="AM892" s="102"/>
    </row>
    <row r="893" spans="1:39">
      <c r="A893" s="143"/>
      <c r="B893" s="143"/>
      <c r="C893" s="155"/>
      <c r="D893" s="143"/>
      <c r="E893" s="146"/>
      <c r="F893" s="147"/>
      <c r="G893" s="147"/>
      <c r="H893" s="148"/>
      <c r="I893" s="143"/>
      <c r="J893" s="143"/>
      <c r="K893" s="143"/>
      <c r="L893" s="150" t="str">
        <f t="shared" si="143"/>
        <v/>
      </c>
      <c r="M893" s="150" t="str">
        <f t="shared" si="144"/>
        <v/>
      </c>
      <c r="N893" s="151" t="str">
        <f t="shared" si="145"/>
        <v/>
      </c>
      <c r="O893" s="151" t="str">
        <f t="shared" si="146"/>
        <v/>
      </c>
      <c r="P893" s="151" t="str">
        <f t="shared" si="147"/>
        <v/>
      </c>
      <c r="Q893" s="151" t="str">
        <f t="shared" si="148"/>
        <v/>
      </c>
      <c r="R893" s="150" t="str">
        <f t="shared" si="149"/>
        <v/>
      </c>
      <c r="S893" s="150" t="str">
        <f t="shared" si="150"/>
        <v/>
      </c>
      <c r="T893" s="150" t="str">
        <f t="shared" si="151"/>
        <v/>
      </c>
      <c r="U893" s="152"/>
      <c r="V893" s="143"/>
      <c r="W893" s="102"/>
      <c r="X893" s="102" t="str">
        <f t="shared" si="152"/>
        <v/>
      </c>
      <c r="Y893" s="102"/>
      <c r="Z893" s="102"/>
      <c r="AA893" s="102"/>
      <c r="AB893" s="102"/>
      <c r="AC893" s="102"/>
      <c r="AD893" s="102"/>
      <c r="AE893" s="102"/>
      <c r="AF893" s="102"/>
      <c r="AG893" s="102"/>
      <c r="AH893" s="102"/>
      <c r="AI893" s="102"/>
      <c r="AJ893" s="102"/>
      <c r="AK893" s="102"/>
      <c r="AL893" s="102"/>
      <c r="AM893" s="102"/>
    </row>
    <row r="894" spans="1:39">
      <c r="A894" s="143"/>
      <c r="B894" s="143"/>
      <c r="C894" s="155"/>
      <c r="D894" s="143"/>
      <c r="E894" s="146"/>
      <c r="F894" s="147"/>
      <c r="G894" s="147"/>
      <c r="H894" s="148"/>
      <c r="I894" s="143"/>
      <c r="J894" s="143"/>
      <c r="K894" s="143"/>
      <c r="L894" s="150" t="str">
        <f t="shared" si="143"/>
        <v/>
      </c>
      <c r="M894" s="150" t="str">
        <f t="shared" si="144"/>
        <v/>
      </c>
      <c r="N894" s="151" t="str">
        <f t="shared" si="145"/>
        <v/>
      </c>
      <c r="O894" s="151" t="str">
        <f t="shared" si="146"/>
        <v/>
      </c>
      <c r="P894" s="151" t="str">
        <f t="shared" si="147"/>
        <v/>
      </c>
      <c r="Q894" s="151" t="str">
        <f t="shared" si="148"/>
        <v/>
      </c>
      <c r="R894" s="150" t="str">
        <f t="shared" si="149"/>
        <v/>
      </c>
      <c r="S894" s="150" t="str">
        <f t="shared" si="150"/>
        <v/>
      </c>
      <c r="T894" s="150" t="str">
        <f t="shared" si="151"/>
        <v/>
      </c>
      <c r="U894" s="152"/>
      <c r="V894" s="143"/>
      <c r="W894" s="102"/>
      <c r="X894" s="102" t="str">
        <f t="shared" si="152"/>
        <v/>
      </c>
      <c r="Y894" s="102"/>
      <c r="Z894" s="102"/>
      <c r="AA894" s="102"/>
      <c r="AB894" s="102"/>
      <c r="AC894" s="102"/>
      <c r="AD894" s="102"/>
      <c r="AE894" s="102"/>
      <c r="AF894" s="102"/>
      <c r="AG894" s="102"/>
      <c r="AH894" s="102"/>
      <c r="AI894" s="102"/>
      <c r="AJ894" s="102"/>
      <c r="AK894" s="102"/>
      <c r="AL894" s="102"/>
      <c r="AM894" s="102"/>
    </row>
    <row r="895" spans="1:39">
      <c r="A895" s="143"/>
      <c r="B895" s="143"/>
      <c r="C895" s="155"/>
      <c r="D895" s="143"/>
      <c r="E895" s="146"/>
      <c r="F895" s="147"/>
      <c r="G895" s="147"/>
      <c r="H895" s="148"/>
      <c r="I895" s="143"/>
      <c r="J895" s="143"/>
      <c r="K895" s="143"/>
      <c r="L895" s="150" t="str">
        <f t="shared" si="143"/>
        <v/>
      </c>
      <c r="M895" s="150" t="str">
        <f t="shared" si="144"/>
        <v/>
      </c>
      <c r="N895" s="151" t="str">
        <f t="shared" si="145"/>
        <v/>
      </c>
      <c r="O895" s="151" t="str">
        <f t="shared" si="146"/>
        <v/>
      </c>
      <c r="P895" s="151" t="str">
        <f t="shared" si="147"/>
        <v/>
      </c>
      <c r="Q895" s="151" t="str">
        <f t="shared" si="148"/>
        <v/>
      </c>
      <c r="R895" s="150" t="str">
        <f t="shared" si="149"/>
        <v/>
      </c>
      <c r="S895" s="150" t="str">
        <f t="shared" si="150"/>
        <v/>
      </c>
      <c r="T895" s="150" t="str">
        <f t="shared" si="151"/>
        <v/>
      </c>
      <c r="U895" s="152"/>
      <c r="V895" s="143"/>
      <c r="W895" s="102"/>
      <c r="X895" s="102" t="str">
        <f t="shared" si="152"/>
        <v/>
      </c>
      <c r="Y895" s="102"/>
      <c r="Z895" s="102"/>
      <c r="AA895" s="102"/>
      <c r="AB895" s="102"/>
      <c r="AC895" s="102"/>
      <c r="AD895" s="102"/>
      <c r="AE895" s="102"/>
      <c r="AF895" s="102"/>
      <c r="AG895" s="102"/>
      <c r="AH895" s="102"/>
      <c r="AI895" s="102"/>
      <c r="AJ895" s="102"/>
      <c r="AK895" s="102"/>
      <c r="AL895" s="102"/>
      <c r="AM895" s="102"/>
    </row>
    <row r="896" spans="1:39">
      <c r="A896" s="143"/>
      <c r="B896" s="143"/>
      <c r="C896" s="155"/>
      <c r="D896" s="143"/>
      <c r="E896" s="146"/>
      <c r="F896" s="147"/>
      <c r="G896" s="147"/>
      <c r="H896" s="148"/>
      <c r="I896" s="143"/>
      <c r="J896" s="143"/>
      <c r="K896" s="143"/>
      <c r="L896" s="150" t="str">
        <f t="shared" si="143"/>
        <v/>
      </c>
      <c r="M896" s="150" t="str">
        <f t="shared" si="144"/>
        <v/>
      </c>
      <c r="N896" s="151" t="str">
        <f t="shared" si="145"/>
        <v/>
      </c>
      <c r="O896" s="151" t="str">
        <f t="shared" si="146"/>
        <v/>
      </c>
      <c r="P896" s="151" t="str">
        <f t="shared" si="147"/>
        <v/>
      </c>
      <c r="Q896" s="151" t="str">
        <f t="shared" si="148"/>
        <v/>
      </c>
      <c r="R896" s="150" t="str">
        <f t="shared" si="149"/>
        <v/>
      </c>
      <c r="S896" s="150" t="str">
        <f t="shared" si="150"/>
        <v/>
      </c>
      <c r="T896" s="150" t="str">
        <f t="shared" si="151"/>
        <v/>
      </c>
      <c r="U896" s="152"/>
      <c r="V896" s="143"/>
      <c r="W896" s="102"/>
      <c r="X896" s="102" t="str">
        <f t="shared" si="152"/>
        <v/>
      </c>
      <c r="Y896" s="102"/>
      <c r="Z896" s="102"/>
      <c r="AA896" s="102"/>
      <c r="AB896" s="102"/>
      <c r="AC896" s="102"/>
      <c r="AD896" s="102"/>
      <c r="AE896" s="102"/>
      <c r="AF896" s="102"/>
      <c r="AG896" s="102"/>
      <c r="AH896" s="102"/>
      <c r="AI896" s="102"/>
      <c r="AJ896" s="102"/>
      <c r="AK896" s="102"/>
      <c r="AL896" s="102"/>
      <c r="AM896" s="102"/>
    </row>
    <row r="897" spans="1:39">
      <c r="A897" s="143"/>
      <c r="B897" s="143"/>
      <c r="C897" s="155"/>
      <c r="D897" s="143"/>
      <c r="E897" s="146"/>
      <c r="F897" s="147"/>
      <c r="G897" s="147"/>
      <c r="H897" s="148"/>
      <c r="I897" s="143"/>
      <c r="J897" s="143"/>
      <c r="K897" s="143"/>
      <c r="L897" s="150" t="str">
        <f t="shared" si="143"/>
        <v/>
      </c>
      <c r="M897" s="150" t="str">
        <f t="shared" si="144"/>
        <v/>
      </c>
      <c r="N897" s="151" t="str">
        <f t="shared" si="145"/>
        <v/>
      </c>
      <c r="O897" s="151" t="str">
        <f t="shared" si="146"/>
        <v/>
      </c>
      <c r="P897" s="151" t="str">
        <f t="shared" si="147"/>
        <v/>
      </c>
      <c r="Q897" s="151" t="str">
        <f t="shared" si="148"/>
        <v/>
      </c>
      <c r="R897" s="150" t="str">
        <f t="shared" si="149"/>
        <v/>
      </c>
      <c r="S897" s="150" t="str">
        <f t="shared" si="150"/>
        <v/>
      </c>
      <c r="T897" s="150" t="str">
        <f t="shared" si="151"/>
        <v/>
      </c>
      <c r="U897" s="152"/>
      <c r="V897" s="143"/>
      <c r="W897" s="102"/>
      <c r="X897" s="102" t="str">
        <f t="shared" si="152"/>
        <v/>
      </c>
      <c r="Y897" s="102"/>
      <c r="Z897" s="102"/>
      <c r="AA897" s="102"/>
      <c r="AB897" s="102"/>
      <c r="AC897" s="102"/>
      <c r="AD897" s="102"/>
      <c r="AE897" s="102"/>
      <c r="AF897" s="102"/>
      <c r="AG897" s="102"/>
      <c r="AH897" s="102"/>
      <c r="AI897" s="102"/>
      <c r="AJ897" s="102"/>
      <c r="AK897" s="102"/>
      <c r="AL897" s="102"/>
      <c r="AM897" s="102"/>
    </row>
    <row r="898" spans="1:39">
      <c r="A898" s="143"/>
      <c r="B898" s="143"/>
      <c r="C898" s="155"/>
      <c r="D898" s="143"/>
      <c r="E898" s="146"/>
      <c r="F898" s="147"/>
      <c r="G898" s="147"/>
      <c r="H898" s="148"/>
      <c r="I898" s="143"/>
      <c r="J898" s="143"/>
      <c r="K898" s="143"/>
      <c r="L898" s="150" t="str">
        <f t="shared" si="143"/>
        <v/>
      </c>
      <c r="M898" s="150" t="str">
        <f t="shared" si="144"/>
        <v/>
      </c>
      <c r="N898" s="151" t="str">
        <f t="shared" si="145"/>
        <v/>
      </c>
      <c r="O898" s="151" t="str">
        <f t="shared" si="146"/>
        <v/>
      </c>
      <c r="P898" s="151" t="str">
        <f t="shared" si="147"/>
        <v/>
      </c>
      <c r="Q898" s="151" t="str">
        <f t="shared" si="148"/>
        <v/>
      </c>
      <c r="R898" s="150" t="str">
        <f t="shared" si="149"/>
        <v/>
      </c>
      <c r="S898" s="150" t="str">
        <f t="shared" si="150"/>
        <v/>
      </c>
      <c r="T898" s="150" t="str">
        <f t="shared" si="151"/>
        <v/>
      </c>
      <c r="U898" s="152"/>
      <c r="V898" s="143"/>
      <c r="W898" s="102"/>
      <c r="X898" s="102" t="str">
        <f t="shared" si="152"/>
        <v/>
      </c>
      <c r="Y898" s="102"/>
      <c r="Z898" s="102"/>
      <c r="AA898" s="102"/>
      <c r="AB898" s="102"/>
      <c r="AC898" s="102"/>
      <c r="AD898" s="102"/>
      <c r="AE898" s="102"/>
      <c r="AF898" s="102"/>
      <c r="AG898" s="102"/>
      <c r="AH898" s="102"/>
      <c r="AI898" s="102"/>
      <c r="AJ898" s="102"/>
      <c r="AK898" s="102"/>
      <c r="AL898" s="102"/>
      <c r="AM898" s="102"/>
    </row>
    <row r="899" spans="1:39">
      <c r="A899" s="143"/>
      <c r="B899" s="143"/>
      <c r="C899" s="155"/>
      <c r="D899" s="143"/>
      <c r="E899" s="146"/>
      <c r="F899" s="147"/>
      <c r="G899" s="147"/>
      <c r="H899" s="148"/>
      <c r="I899" s="143"/>
      <c r="J899" s="143"/>
      <c r="K899" s="143"/>
      <c r="L899" s="150" t="str">
        <f t="shared" si="143"/>
        <v/>
      </c>
      <c r="M899" s="150" t="str">
        <f t="shared" si="144"/>
        <v/>
      </c>
      <c r="N899" s="151" t="str">
        <f t="shared" si="145"/>
        <v/>
      </c>
      <c r="O899" s="151" t="str">
        <f t="shared" si="146"/>
        <v/>
      </c>
      <c r="P899" s="151" t="str">
        <f t="shared" si="147"/>
        <v/>
      </c>
      <c r="Q899" s="151" t="str">
        <f t="shared" si="148"/>
        <v/>
      </c>
      <c r="R899" s="150" t="str">
        <f t="shared" si="149"/>
        <v/>
      </c>
      <c r="S899" s="150" t="str">
        <f t="shared" si="150"/>
        <v/>
      </c>
      <c r="T899" s="150" t="str">
        <f t="shared" si="151"/>
        <v/>
      </c>
      <c r="U899" s="152"/>
      <c r="V899" s="143"/>
      <c r="W899" s="102"/>
      <c r="X899" s="102" t="str">
        <f t="shared" si="152"/>
        <v/>
      </c>
      <c r="Y899" s="102"/>
      <c r="Z899" s="102"/>
      <c r="AA899" s="102"/>
      <c r="AB899" s="102"/>
      <c r="AC899" s="102"/>
      <c r="AD899" s="102"/>
      <c r="AE899" s="102"/>
      <c r="AF899" s="102"/>
      <c r="AG899" s="102"/>
      <c r="AH899" s="102"/>
      <c r="AI899" s="102"/>
      <c r="AJ899" s="102"/>
      <c r="AK899" s="102"/>
      <c r="AL899" s="102"/>
      <c r="AM899" s="102"/>
    </row>
    <row r="900" spans="1:39">
      <c r="A900" s="143"/>
      <c r="B900" s="143"/>
      <c r="C900" s="155"/>
      <c r="D900" s="143"/>
      <c r="E900" s="146"/>
      <c r="F900" s="147"/>
      <c r="G900" s="147"/>
      <c r="H900" s="148"/>
      <c r="I900" s="143"/>
      <c r="J900" s="143"/>
      <c r="K900" s="143"/>
      <c r="L900" s="150" t="str">
        <f t="shared" si="143"/>
        <v/>
      </c>
      <c r="M900" s="150" t="str">
        <f t="shared" si="144"/>
        <v/>
      </c>
      <c r="N900" s="151" t="str">
        <f t="shared" si="145"/>
        <v/>
      </c>
      <c r="O900" s="151" t="str">
        <f t="shared" si="146"/>
        <v/>
      </c>
      <c r="P900" s="151" t="str">
        <f t="shared" si="147"/>
        <v/>
      </c>
      <c r="Q900" s="151" t="str">
        <f t="shared" si="148"/>
        <v/>
      </c>
      <c r="R900" s="150" t="str">
        <f t="shared" si="149"/>
        <v/>
      </c>
      <c r="S900" s="150" t="str">
        <f t="shared" si="150"/>
        <v/>
      </c>
      <c r="T900" s="150" t="str">
        <f t="shared" si="151"/>
        <v/>
      </c>
      <c r="U900" s="152"/>
      <c r="V900" s="143"/>
      <c r="W900" s="102"/>
      <c r="X900" s="102" t="str">
        <f t="shared" si="152"/>
        <v/>
      </c>
      <c r="Y900" s="102"/>
      <c r="Z900" s="102"/>
      <c r="AA900" s="102"/>
      <c r="AB900" s="102"/>
      <c r="AC900" s="102"/>
      <c r="AD900" s="102"/>
      <c r="AE900" s="102"/>
      <c r="AF900" s="102"/>
      <c r="AG900" s="102"/>
      <c r="AH900" s="102"/>
      <c r="AI900" s="102"/>
      <c r="AJ900" s="102"/>
      <c r="AK900" s="102"/>
      <c r="AL900" s="102"/>
      <c r="AM900" s="102"/>
    </row>
    <row r="901" spans="1:39">
      <c r="A901" s="143"/>
      <c r="B901" s="143"/>
      <c r="C901" s="155"/>
      <c r="D901" s="143"/>
      <c r="E901" s="146"/>
      <c r="F901" s="147"/>
      <c r="G901" s="147"/>
      <c r="H901" s="148"/>
      <c r="I901" s="143"/>
      <c r="J901" s="143"/>
      <c r="K901" s="143"/>
      <c r="L901" s="150" t="str">
        <f t="shared" si="143"/>
        <v/>
      </c>
      <c r="M901" s="150" t="str">
        <f t="shared" si="144"/>
        <v/>
      </c>
      <c r="N901" s="151" t="str">
        <f t="shared" si="145"/>
        <v/>
      </c>
      <c r="O901" s="151" t="str">
        <f t="shared" si="146"/>
        <v/>
      </c>
      <c r="P901" s="151" t="str">
        <f t="shared" si="147"/>
        <v/>
      </c>
      <c r="Q901" s="151" t="str">
        <f t="shared" si="148"/>
        <v/>
      </c>
      <c r="R901" s="150" t="str">
        <f t="shared" si="149"/>
        <v/>
      </c>
      <c r="S901" s="150" t="str">
        <f t="shared" si="150"/>
        <v/>
      </c>
      <c r="T901" s="150" t="str">
        <f t="shared" si="151"/>
        <v/>
      </c>
      <c r="U901" s="152"/>
      <c r="V901" s="143"/>
      <c r="W901" s="102"/>
      <c r="X901" s="102" t="str">
        <f t="shared" si="152"/>
        <v/>
      </c>
      <c r="Y901" s="102"/>
      <c r="Z901" s="102"/>
      <c r="AA901" s="102"/>
      <c r="AB901" s="102"/>
      <c r="AC901" s="102"/>
      <c r="AD901" s="102"/>
      <c r="AE901" s="102"/>
      <c r="AF901" s="102"/>
      <c r="AG901" s="102"/>
      <c r="AH901" s="102"/>
      <c r="AI901" s="102"/>
      <c r="AJ901" s="102"/>
      <c r="AK901" s="102"/>
      <c r="AL901" s="102"/>
      <c r="AM901" s="102"/>
    </row>
    <row r="902" spans="1:39">
      <c r="A902" s="143"/>
      <c r="B902" s="143"/>
      <c r="C902" s="155"/>
      <c r="D902" s="143"/>
      <c r="E902" s="146"/>
      <c r="F902" s="147"/>
      <c r="G902" s="147"/>
      <c r="H902" s="148"/>
      <c r="I902" s="143"/>
      <c r="J902" s="143"/>
      <c r="K902" s="143"/>
      <c r="L902" s="150" t="str">
        <f t="shared" si="143"/>
        <v/>
      </c>
      <c r="M902" s="150" t="str">
        <f t="shared" si="144"/>
        <v/>
      </c>
      <c r="N902" s="151" t="str">
        <f t="shared" si="145"/>
        <v/>
      </c>
      <c r="O902" s="151" t="str">
        <f t="shared" si="146"/>
        <v/>
      </c>
      <c r="P902" s="151" t="str">
        <f t="shared" si="147"/>
        <v/>
      </c>
      <c r="Q902" s="151" t="str">
        <f t="shared" si="148"/>
        <v/>
      </c>
      <c r="R902" s="150" t="str">
        <f t="shared" si="149"/>
        <v/>
      </c>
      <c r="S902" s="150" t="str">
        <f t="shared" si="150"/>
        <v/>
      </c>
      <c r="T902" s="150" t="str">
        <f t="shared" si="151"/>
        <v/>
      </c>
      <c r="U902" s="152"/>
      <c r="V902" s="143"/>
      <c r="W902" s="102"/>
      <c r="X902" s="102" t="str">
        <f t="shared" si="152"/>
        <v/>
      </c>
      <c r="Y902" s="102"/>
      <c r="Z902" s="102"/>
      <c r="AA902" s="102"/>
      <c r="AB902" s="102"/>
      <c r="AC902" s="102"/>
      <c r="AD902" s="102"/>
      <c r="AE902" s="102"/>
      <c r="AF902" s="102"/>
      <c r="AG902" s="102"/>
      <c r="AH902" s="102"/>
      <c r="AI902" s="102"/>
      <c r="AJ902" s="102"/>
      <c r="AK902" s="102"/>
      <c r="AL902" s="102"/>
      <c r="AM902" s="102"/>
    </row>
    <row r="903" spans="1:39">
      <c r="A903" s="143"/>
      <c r="B903" s="143"/>
      <c r="C903" s="155"/>
      <c r="D903" s="143"/>
      <c r="E903" s="146"/>
      <c r="F903" s="147"/>
      <c r="G903" s="147"/>
      <c r="H903" s="148"/>
      <c r="I903" s="143"/>
      <c r="J903" s="143"/>
      <c r="K903" s="143"/>
      <c r="L903" s="150" t="str">
        <f t="shared" si="143"/>
        <v/>
      </c>
      <c r="M903" s="150" t="str">
        <f t="shared" si="144"/>
        <v/>
      </c>
      <c r="N903" s="151" t="str">
        <f t="shared" si="145"/>
        <v/>
      </c>
      <c r="O903" s="151" t="str">
        <f t="shared" si="146"/>
        <v/>
      </c>
      <c r="P903" s="151" t="str">
        <f t="shared" si="147"/>
        <v/>
      </c>
      <c r="Q903" s="151" t="str">
        <f t="shared" si="148"/>
        <v/>
      </c>
      <c r="R903" s="150" t="str">
        <f t="shared" si="149"/>
        <v/>
      </c>
      <c r="S903" s="150" t="str">
        <f t="shared" si="150"/>
        <v/>
      </c>
      <c r="T903" s="150" t="str">
        <f t="shared" si="151"/>
        <v/>
      </c>
      <c r="U903" s="152"/>
      <c r="V903" s="143"/>
      <c r="W903" s="102"/>
      <c r="X903" s="102" t="str">
        <f t="shared" si="152"/>
        <v/>
      </c>
      <c r="Y903" s="102"/>
      <c r="Z903" s="102"/>
      <c r="AA903" s="102"/>
      <c r="AB903" s="102"/>
      <c r="AC903" s="102"/>
      <c r="AD903" s="102"/>
      <c r="AE903" s="102"/>
      <c r="AF903" s="102"/>
      <c r="AG903" s="102"/>
      <c r="AH903" s="102"/>
      <c r="AI903" s="102"/>
      <c r="AJ903" s="102"/>
      <c r="AK903" s="102"/>
      <c r="AL903" s="102"/>
      <c r="AM903" s="102"/>
    </row>
    <row r="904" spans="1:39">
      <c r="A904" s="143"/>
      <c r="B904" s="143"/>
      <c r="C904" s="155"/>
      <c r="D904" s="143"/>
      <c r="E904" s="146"/>
      <c r="F904" s="147"/>
      <c r="G904" s="147"/>
      <c r="H904" s="148"/>
      <c r="I904" s="143"/>
      <c r="J904" s="143"/>
      <c r="K904" s="143"/>
      <c r="L904" s="150" t="str">
        <f t="shared" si="143"/>
        <v/>
      </c>
      <c r="M904" s="150" t="str">
        <f t="shared" si="144"/>
        <v/>
      </c>
      <c r="N904" s="151" t="str">
        <f t="shared" si="145"/>
        <v/>
      </c>
      <c r="O904" s="151" t="str">
        <f t="shared" si="146"/>
        <v/>
      </c>
      <c r="P904" s="151" t="str">
        <f t="shared" si="147"/>
        <v/>
      </c>
      <c r="Q904" s="151" t="str">
        <f t="shared" si="148"/>
        <v/>
      </c>
      <c r="R904" s="150" t="str">
        <f t="shared" si="149"/>
        <v/>
      </c>
      <c r="S904" s="150" t="str">
        <f t="shared" si="150"/>
        <v/>
      </c>
      <c r="T904" s="150" t="str">
        <f t="shared" si="151"/>
        <v/>
      </c>
      <c r="U904" s="152"/>
      <c r="V904" s="143"/>
      <c r="W904" s="102"/>
      <c r="X904" s="102" t="str">
        <f t="shared" si="152"/>
        <v/>
      </c>
      <c r="Y904" s="102"/>
      <c r="Z904" s="102"/>
      <c r="AA904" s="102"/>
      <c r="AB904" s="102"/>
      <c r="AC904" s="102"/>
      <c r="AD904" s="102"/>
      <c r="AE904" s="102"/>
      <c r="AF904" s="102"/>
      <c r="AG904" s="102"/>
      <c r="AH904" s="102"/>
      <c r="AI904" s="102"/>
      <c r="AJ904" s="102"/>
      <c r="AK904" s="102"/>
      <c r="AL904" s="102"/>
      <c r="AM904" s="102"/>
    </row>
    <row r="905" spans="1:39">
      <c r="A905" s="143"/>
      <c r="B905" s="143"/>
      <c r="C905" s="155"/>
      <c r="D905" s="143"/>
      <c r="E905" s="146"/>
      <c r="F905" s="147"/>
      <c r="G905" s="147"/>
      <c r="H905" s="148"/>
      <c r="I905" s="143"/>
      <c r="J905" s="143"/>
      <c r="K905" s="143"/>
      <c r="L905" s="150" t="str">
        <f t="shared" si="143"/>
        <v/>
      </c>
      <c r="M905" s="150" t="str">
        <f t="shared" si="144"/>
        <v/>
      </c>
      <c r="N905" s="151" t="str">
        <f t="shared" si="145"/>
        <v/>
      </c>
      <c r="O905" s="151" t="str">
        <f t="shared" si="146"/>
        <v/>
      </c>
      <c r="P905" s="151" t="str">
        <f t="shared" si="147"/>
        <v/>
      </c>
      <c r="Q905" s="151" t="str">
        <f t="shared" si="148"/>
        <v/>
      </c>
      <c r="R905" s="150" t="str">
        <f t="shared" si="149"/>
        <v/>
      </c>
      <c r="S905" s="150" t="str">
        <f t="shared" si="150"/>
        <v/>
      </c>
      <c r="T905" s="150" t="str">
        <f t="shared" si="151"/>
        <v/>
      </c>
      <c r="U905" s="152"/>
      <c r="V905" s="143"/>
      <c r="W905" s="102"/>
      <c r="X905" s="102" t="str">
        <f t="shared" si="152"/>
        <v/>
      </c>
      <c r="Y905" s="102"/>
      <c r="Z905" s="102"/>
      <c r="AA905" s="102"/>
      <c r="AB905" s="102"/>
      <c r="AC905" s="102"/>
      <c r="AD905" s="102"/>
      <c r="AE905" s="102"/>
      <c r="AF905" s="102"/>
      <c r="AG905" s="102"/>
      <c r="AH905" s="102"/>
      <c r="AI905" s="102"/>
      <c r="AJ905" s="102"/>
      <c r="AK905" s="102"/>
      <c r="AL905" s="102"/>
      <c r="AM905" s="102"/>
    </row>
    <row r="906" spans="1:39">
      <c r="A906" s="143"/>
      <c r="B906" s="143"/>
      <c r="C906" s="155"/>
      <c r="D906" s="143"/>
      <c r="E906" s="146"/>
      <c r="F906" s="147"/>
      <c r="G906" s="147"/>
      <c r="H906" s="148"/>
      <c r="I906" s="143"/>
      <c r="J906" s="143"/>
      <c r="K906" s="143"/>
      <c r="L906" s="150" t="str">
        <f t="shared" ref="L906:L969" si="153">IF(K906="","",IF(K906="W",R906*J906-J906,IF(K906="L",-J906,0)))</f>
        <v/>
      </c>
      <c r="M906" s="150" t="str">
        <f t="shared" ref="M906:M969" si="154">IF(K906="","",IF(K906="W",S906*J906-J906,IF(K906="L",-J906,0)))</f>
        <v/>
      </c>
      <c r="N906" s="151" t="str">
        <f t="shared" ref="N906:N969" si="155">IFERROR((1/S906-1/R906)/(1/R906),"")</f>
        <v/>
      </c>
      <c r="O906" s="151" t="str">
        <f t="shared" ref="O906:O969" si="156">IFERROR(IF(Q906="","",P906 - Q906),"")</f>
        <v/>
      </c>
      <c r="P906" s="151" t="str">
        <f t="shared" ref="P906:P969" si="157">IF(F906="","",IF(F906 &lt; 0, -F906 / (-F906 + 100), 100 / (F906 + 100)))</f>
        <v/>
      </c>
      <c r="Q906" s="151" t="str">
        <f t="shared" ref="Q906:Q969" si="158">IFERROR((1/S906) / ((1/S906) + (1/T906)),"")</f>
        <v/>
      </c>
      <c r="R906" s="150" t="str">
        <f t="shared" ref="R906:R969" si="159">IFERROR(IF(G906&gt;0, G906/100 + 1, 100/ABS(G906) + 1),"")</f>
        <v/>
      </c>
      <c r="S906" s="150" t="str">
        <f t="shared" ref="S906:S969" si="160">IFERROR(IF(H906&gt;0, H906/100 + 1, 100/ABS(H906) + 1),"")</f>
        <v/>
      </c>
      <c r="T906" s="150" t="str">
        <f t="shared" ref="T906:T969" si="161">IFERROR(IF(I906&gt;0, I906/100 + 1, 100/ABS(I906) + 1),"")</f>
        <v/>
      </c>
      <c r="U906" s="152"/>
      <c r="V906" s="143"/>
      <c r="W906" s="102"/>
      <c r="X906" s="102" t="str">
        <f t="shared" ref="X906:X969" si="162">IF(B906=$D$3,U906,"")</f>
        <v/>
      </c>
      <c r="Y906" s="102"/>
      <c r="Z906" s="102"/>
      <c r="AA906" s="102"/>
      <c r="AB906" s="102"/>
      <c r="AC906" s="102"/>
      <c r="AD906" s="102"/>
      <c r="AE906" s="102"/>
      <c r="AF906" s="102"/>
      <c r="AG906" s="102"/>
      <c r="AH906" s="102"/>
      <c r="AI906" s="102"/>
      <c r="AJ906" s="102"/>
      <c r="AK906" s="102"/>
      <c r="AL906" s="102"/>
      <c r="AM906" s="102"/>
    </row>
    <row r="907" spans="1:39">
      <c r="A907" s="143"/>
      <c r="B907" s="143"/>
      <c r="C907" s="155"/>
      <c r="D907" s="143"/>
      <c r="E907" s="146"/>
      <c r="F907" s="147"/>
      <c r="G907" s="147"/>
      <c r="H907" s="148"/>
      <c r="I907" s="143"/>
      <c r="J907" s="143"/>
      <c r="K907" s="143"/>
      <c r="L907" s="150" t="str">
        <f t="shared" si="153"/>
        <v/>
      </c>
      <c r="M907" s="150" t="str">
        <f t="shared" si="154"/>
        <v/>
      </c>
      <c r="N907" s="151" t="str">
        <f t="shared" si="155"/>
        <v/>
      </c>
      <c r="O907" s="151" t="str">
        <f t="shared" si="156"/>
        <v/>
      </c>
      <c r="P907" s="151" t="str">
        <f t="shared" si="157"/>
        <v/>
      </c>
      <c r="Q907" s="151" t="str">
        <f t="shared" si="158"/>
        <v/>
      </c>
      <c r="R907" s="150" t="str">
        <f t="shared" si="159"/>
        <v/>
      </c>
      <c r="S907" s="150" t="str">
        <f t="shared" si="160"/>
        <v/>
      </c>
      <c r="T907" s="150" t="str">
        <f t="shared" si="161"/>
        <v/>
      </c>
      <c r="U907" s="152"/>
      <c r="V907" s="143"/>
      <c r="W907" s="102"/>
      <c r="X907" s="102" t="str">
        <f t="shared" si="162"/>
        <v/>
      </c>
      <c r="Y907" s="102"/>
      <c r="Z907" s="102"/>
      <c r="AA907" s="102"/>
      <c r="AB907" s="102"/>
      <c r="AC907" s="102"/>
      <c r="AD907" s="102"/>
      <c r="AE907" s="102"/>
      <c r="AF907" s="102"/>
      <c r="AG907" s="102"/>
      <c r="AH907" s="102"/>
      <c r="AI907" s="102"/>
      <c r="AJ907" s="102"/>
      <c r="AK907" s="102"/>
      <c r="AL907" s="102"/>
      <c r="AM907" s="102"/>
    </row>
    <row r="908" spans="1:39">
      <c r="A908" s="143"/>
      <c r="B908" s="143"/>
      <c r="C908" s="155"/>
      <c r="D908" s="143"/>
      <c r="E908" s="146"/>
      <c r="F908" s="147"/>
      <c r="G908" s="147"/>
      <c r="H908" s="148"/>
      <c r="I908" s="143"/>
      <c r="J908" s="143"/>
      <c r="K908" s="143"/>
      <c r="L908" s="150" t="str">
        <f t="shared" si="153"/>
        <v/>
      </c>
      <c r="M908" s="150" t="str">
        <f t="shared" si="154"/>
        <v/>
      </c>
      <c r="N908" s="151" t="str">
        <f t="shared" si="155"/>
        <v/>
      </c>
      <c r="O908" s="151" t="str">
        <f t="shared" si="156"/>
        <v/>
      </c>
      <c r="P908" s="151" t="str">
        <f t="shared" si="157"/>
        <v/>
      </c>
      <c r="Q908" s="151" t="str">
        <f t="shared" si="158"/>
        <v/>
      </c>
      <c r="R908" s="150" t="str">
        <f t="shared" si="159"/>
        <v/>
      </c>
      <c r="S908" s="150" t="str">
        <f t="shared" si="160"/>
        <v/>
      </c>
      <c r="T908" s="150" t="str">
        <f t="shared" si="161"/>
        <v/>
      </c>
      <c r="U908" s="152"/>
      <c r="V908" s="143"/>
      <c r="W908" s="102"/>
      <c r="X908" s="102" t="str">
        <f t="shared" si="162"/>
        <v/>
      </c>
      <c r="Y908" s="102"/>
      <c r="Z908" s="102"/>
      <c r="AA908" s="102"/>
      <c r="AB908" s="102"/>
      <c r="AC908" s="102"/>
      <c r="AD908" s="102"/>
      <c r="AE908" s="102"/>
      <c r="AF908" s="102"/>
      <c r="AG908" s="102"/>
      <c r="AH908" s="102"/>
      <c r="AI908" s="102"/>
      <c r="AJ908" s="102"/>
      <c r="AK908" s="102"/>
      <c r="AL908" s="102"/>
      <c r="AM908" s="102"/>
    </row>
    <row r="909" spans="1:39">
      <c r="A909" s="143"/>
      <c r="B909" s="143"/>
      <c r="C909" s="155"/>
      <c r="D909" s="143"/>
      <c r="E909" s="146"/>
      <c r="F909" s="147"/>
      <c r="G909" s="147"/>
      <c r="H909" s="148"/>
      <c r="I909" s="143"/>
      <c r="J909" s="143"/>
      <c r="K909" s="143"/>
      <c r="L909" s="150" t="str">
        <f t="shared" si="153"/>
        <v/>
      </c>
      <c r="M909" s="150" t="str">
        <f t="shared" si="154"/>
        <v/>
      </c>
      <c r="N909" s="151" t="str">
        <f t="shared" si="155"/>
        <v/>
      </c>
      <c r="O909" s="151" t="str">
        <f t="shared" si="156"/>
        <v/>
      </c>
      <c r="P909" s="151" t="str">
        <f t="shared" si="157"/>
        <v/>
      </c>
      <c r="Q909" s="151" t="str">
        <f t="shared" si="158"/>
        <v/>
      </c>
      <c r="R909" s="150" t="str">
        <f t="shared" si="159"/>
        <v/>
      </c>
      <c r="S909" s="150" t="str">
        <f t="shared" si="160"/>
        <v/>
      </c>
      <c r="T909" s="150" t="str">
        <f t="shared" si="161"/>
        <v/>
      </c>
      <c r="U909" s="152"/>
      <c r="V909" s="143"/>
      <c r="W909" s="102"/>
      <c r="X909" s="102" t="str">
        <f t="shared" si="162"/>
        <v/>
      </c>
      <c r="Y909" s="102"/>
      <c r="Z909" s="102"/>
      <c r="AA909" s="102"/>
      <c r="AB909" s="102"/>
      <c r="AC909" s="102"/>
      <c r="AD909" s="102"/>
      <c r="AE909" s="102"/>
      <c r="AF909" s="102"/>
      <c r="AG909" s="102"/>
      <c r="AH909" s="102"/>
      <c r="AI909" s="102"/>
      <c r="AJ909" s="102"/>
      <c r="AK909" s="102"/>
      <c r="AL909" s="102"/>
      <c r="AM909" s="102"/>
    </row>
    <row r="910" spans="1:39">
      <c r="A910" s="143"/>
      <c r="B910" s="143"/>
      <c r="C910" s="155"/>
      <c r="D910" s="143"/>
      <c r="E910" s="146"/>
      <c r="F910" s="147"/>
      <c r="G910" s="147"/>
      <c r="H910" s="148"/>
      <c r="I910" s="143"/>
      <c r="J910" s="143"/>
      <c r="K910" s="143"/>
      <c r="L910" s="150" t="str">
        <f t="shared" si="153"/>
        <v/>
      </c>
      <c r="M910" s="150" t="str">
        <f t="shared" si="154"/>
        <v/>
      </c>
      <c r="N910" s="151" t="str">
        <f t="shared" si="155"/>
        <v/>
      </c>
      <c r="O910" s="151" t="str">
        <f t="shared" si="156"/>
        <v/>
      </c>
      <c r="P910" s="151" t="str">
        <f t="shared" si="157"/>
        <v/>
      </c>
      <c r="Q910" s="151" t="str">
        <f t="shared" si="158"/>
        <v/>
      </c>
      <c r="R910" s="150" t="str">
        <f t="shared" si="159"/>
        <v/>
      </c>
      <c r="S910" s="150" t="str">
        <f t="shared" si="160"/>
        <v/>
      </c>
      <c r="T910" s="150" t="str">
        <f t="shared" si="161"/>
        <v/>
      </c>
      <c r="U910" s="152"/>
      <c r="V910" s="143"/>
      <c r="W910" s="102"/>
      <c r="X910" s="102" t="str">
        <f t="shared" si="162"/>
        <v/>
      </c>
      <c r="Y910" s="102"/>
      <c r="Z910" s="102"/>
      <c r="AA910" s="102"/>
      <c r="AB910" s="102"/>
      <c r="AC910" s="102"/>
      <c r="AD910" s="102"/>
      <c r="AE910" s="102"/>
      <c r="AF910" s="102"/>
      <c r="AG910" s="102"/>
      <c r="AH910" s="102"/>
      <c r="AI910" s="102"/>
      <c r="AJ910" s="102"/>
      <c r="AK910" s="102"/>
      <c r="AL910" s="102"/>
      <c r="AM910" s="102"/>
    </row>
    <row r="911" spans="1:39">
      <c r="A911" s="143"/>
      <c r="B911" s="143"/>
      <c r="C911" s="155"/>
      <c r="D911" s="143"/>
      <c r="E911" s="146"/>
      <c r="F911" s="147"/>
      <c r="G911" s="147"/>
      <c r="H911" s="148"/>
      <c r="I911" s="143"/>
      <c r="J911" s="143"/>
      <c r="K911" s="143"/>
      <c r="L911" s="150" t="str">
        <f t="shared" si="153"/>
        <v/>
      </c>
      <c r="M911" s="150" t="str">
        <f t="shared" si="154"/>
        <v/>
      </c>
      <c r="N911" s="151" t="str">
        <f t="shared" si="155"/>
        <v/>
      </c>
      <c r="O911" s="151" t="str">
        <f t="shared" si="156"/>
        <v/>
      </c>
      <c r="P911" s="151" t="str">
        <f t="shared" si="157"/>
        <v/>
      </c>
      <c r="Q911" s="151" t="str">
        <f t="shared" si="158"/>
        <v/>
      </c>
      <c r="R911" s="150" t="str">
        <f t="shared" si="159"/>
        <v/>
      </c>
      <c r="S911" s="150" t="str">
        <f t="shared" si="160"/>
        <v/>
      </c>
      <c r="T911" s="150" t="str">
        <f t="shared" si="161"/>
        <v/>
      </c>
      <c r="U911" s="152"/>
      <c r="V911" s="143"/>
      <c r="W911" s="102"/>
      <c r="X911" s="102" t="str">
        <f t="shared" si="162"/>
        <v/>
      </c>
      <c r="Y911" s="102"/>
      <c r="Z911" s="102"/>
      <c r="AA911" s="102"/>
      <c r="AB911" s="102"/>
      <c r="AC911" s="102"/>
      <c r="AD911" s="102"/>
      <c r="AE911" s="102"/>
      <c r="AF911" s="102"/>
      <c r="AG911" s="102"/>
      <c r="AH911" s="102"/>
      <c r="AI911" s="102"/>
      <c r="AJ911" s="102"/>
      <c r="AK911" s="102"/>
      <c r="AL911" s="102"/>
      <c r="AM911" s="102"/>
    </row>
    <row r="912" spans="1:39">
      <c r="A912" s="143"/>
      <c r="B912" s="143"/>
      <c r="C912" s="155"/>
      <c r="D912" s="143"/>
      <c r="E912" s="146"/>
      <c r="F912" s="147"/>
      <c r="G912" s="147"/>
      <c r="H912" s="148"/>
      <c r="I912" s="143"/>
      <c r="J912" s="143"/>
      <c r="K912" s="143"/>
      <c r="L912" s="150" t="str">
        <f t="shared" si="153"/>
        <v/>
      </c>
      <c r="M912" s="150" t="str">
        <f t="shared" si="154"/>
        <v/>
      </c>
      <c r="N912" s="151" t="str">
        <f t="shared" si="155"/>
        <v/>
      </c>
      <c r="O912" s="151" t="str">
        <f t="shared" si="156"/>
        <v/>
      </c>
      <c r="P912" s="151" t="str">
        <f t="shared" si="157"/>
        <v/>
      </c>
      <c r="Q912" s="151" t="str">
        <f t="shared" si="158"/>
        <v/>
      </c>
      <c r="R912" s="150" t="str">
        <f t="shared" si="159"/>
        <v/>
      </c>
      <c r="S912" s="150" t="str">
        <f t="shared" si="160"/>
        <v/>
      </c>
      <c r="T912" s="150" t="str">
        <f t="shared" si="161"/>
        <v/>
      </c>
      <c r="U912" s="152"/>
      <c r="V912" s="143"/>
      <c r="W912" s="102"/>
      <c r="X912" s="102" t="str">
        <f t="shared" si="162"/>
        <v/>
      </c>
      <c r="Y912" s="102"/>
      <c r="Z912" s="102"/>
      <c r="AA912" s="102"/>
      <c r="AB912" s="102"/>
      <c r="AC912" s="102"/>
      <c r="AD912" s="102"/>
      <c r="AE912" s="102"/>
      <c r="AF912" s="102"/>
      <c r="AG912" s="102"/>
      <c r="AH912" s="102"/>
      <c r="AI912" s="102"/>
      <c r="AJ912" s="102"/>
      <c r="AK912" s="102"/>
      <c r="AL912" s="102"/>
      <c r="AM912" s="102"/>
    </row>
    <row r="913" spans="1:39">
      <c r="A913" s="143"/>
      <c r="B913" s="143"/>
      <c r="C913" s="155"/>
      <c r="D913" s="143"/>
      <c r="E913" s="146"/>
      <c r="F913" s="147"/>
      <c r="G913" s="147"/>
      <c r="H913" s="148"/>
      <c r="I913" s="143"/>
      <c r="J913" s="143"/>
      <c r="K913" s="143"/>
      <c r="L913" s="150" t="str">
        <f t="shared" si="153"/>
        <v/>
      </c>
      <c r="M913" s="150" t="str">
        <f t="shared" si="154"/>
        <v/>
      </c>
      <c r="N913" s="151" t="str">
        <f t="shared" si="155"/>
        <v/>
      </c>
      <c r="O913" s="151" t="str">
        <f t="shared" si="156"/>
        <v/>
      </c>
      <c r="P913" s="151" t="str">
        <f t="shared" si="157"/>
        <v/>
      </c>
      <c r="Q913" s="151" t="str">
        <f t="shared" si="158"/>
        <v/>
      </c>
      <c r="R913" s="150" t="str">
        <f t="shared" si="159"/>
        <v/>
      </c>
      <c r="S913" s="150" t="str">
        <f t="shared" si="160"/>
        <v/>
      </c>
      <c r="T913" s="150" t="str">
        <f t="shared" si="161"/>
        <v/>
      </c>
      <c r="U913" s="152"/>
      <c r="V913" s="143"/>
      <c r="W913" s="102"/>
      <c r="X913" s="102" t="str">
        <f t="shared" si="162"/>
        <v/>
      </c>
      <c r="Y913" s="102"/>
      <c r="Z913" s="102"/>
      <c r="AA913" s="102"/>
      <c r="AB913" s="102"/>
      <c r="AC913" s="102"/>
      <c r="AD913" s="102"/>
      <c r="AE913" s="102"/>
      <c r="AF913" s="102"/>
      <c r="AG913" s="102"/>
      <c r="AH913" s="102"/>
      <c r="AI913" s="102"/>
      <c r="AJ913" s="102"/>
      <c r="AK913" s="102"/>
      <c r="AL913" s="102"/>
      <c r="AM913" s="102"/>
    </row>
    <row r="914" spans="1:39">
      <c r="A914" s="143"/>
      <c r="B914" s="143"/>
      <c r="C914" s="155"/>
      <c r="D914" s="143"/>
      <c r="E914" s="146"/>
      <c r="F914" s="147"/>
      <c r="G914" s="147"/>
      <c r="H914" s="148"/>
      <c r="I914" s="143"/>
      <c r="J914" s="143"/>
      <c r="K914" s="143"/>
      <c r="L914" s="150" t="str">
        <f t="shared" si="153"/>
        <v/>
      </c>
      <c r="M914" s="150" t="str">
        <f t="shared" si="154"/>
        <v/>
      </c>
      <c r="N914" s="151" t="str">
        <f t="shared" si="155"/>
        <v/>
      </c>
      <c r="O914" s="151" t="str">
        <f t="shared" si="156"/>
        <v/>
      </c>
      <c r="P914" s="151" t="str">
        <f t="shared" si="157"/>
        <v/>
      </c>
      <c r="Q914" s="151" t="str">
        <f t="shared" si="158"/>
        <v/>
      </c>
      <c r="R914" s="150" t="str">
        <f t="shared" si="159"/>
        <v/>
      </c>
      <c r="S914" s="150" t="str">
        <f t="shared" si="160"/>
        <v/>
      </c>
      <c r="T914" s="150" t="str">
        <f t="shared" si="161"/>
        <v/>
      </c>
      <c r="U914" s="152"/>
      <c r="V914" s="143"/>
      <c r="W914" s="102"/>
      <c r="X914" s="102" t="str">
        <f t="shared" si="162"/>
        <v/>
      </c>
      <c r="Y914" s="102"/>
      <c r="Z914" s="102"/>
      <c r="AA914" s="102"/>
      <c r="AB914" s="102"/>
      <c r="AC914" s="102"/>
      <c r="AD914" s="102"/>
      <c r="AE914" s="102"/>
      <c r="AF914" s="102"/>
      <c r="AG914" s="102"/>
      <c r="AH914" s="102"/>
      <c r="AI914" s="102"/>
      <c r="AJ914" s="102"/>
      <c r="AK914" s="102"/>
      <c r="AL914" s="102"/>
      <c r="AM914" s="102"/>
    </row>
    <row r="915" spans="1:39">
      <c r="A915" s="143"/>
      <c r="B915" s="143"/>
      <c r="C915" s="155"/>
      <c r="D915" s="143"/>
      <c r="E915" s="146"/>
      <c r="F915" s="147"/>
      <c r="G915" s="147"/>
      <c r="H915" s="148"/>
      <c r="I915" s="143"/>
      <c r="J915" s="143"/>
      <c r="K915" s="143"/>
      <c r="L915" s="150" t="str">
        <f t="shared" si="153"/>
        <v/>
      </c>
      <c r="M915" s="150" t="str">
        <f t="shared" si="154"/>
        <v/>
      </c>
      <c r="N915" s="151" t="str">
        <f t="shared" si="155"/>
        <v/>
      </c>
      <c r="O915" s="151" t="str">
        <f t="shared" si="156"/>
        <v/>
      </c>
      <c r="P915" s="151" t="str">
        <f t="shared" si="157"/>
        <v/>
      </c>
      <c r="Q915" s="151" t="str">
        <f t="shared" si="158"/>
        <v/>
      </c>
      <c r="R915" s="150" t="str">
        <f t="shared" si="159"/>
        <v/>
      </c>
      <c r="S915" s="150" t="str">
        <f t="shared" si="160"/>
        <v/>
      </c>
      <c r="T915" s="150" t="str">
        <f t="shared" si="161"/>
        <v/>
      </c>
      <c r="U915" s="152"/>
      <c r="V915" s="143"/>
      <c r="W915" s="102"/>
      <c r="X915" s="102" t="str">
        <f t="shared" si="162"/>
        <v/>
      </c>
      <c r="Y915" s="102"/>
      <c r="Z915" s="102"/>
      <c r="AA915" s="102"/>
      <c r="AB915" s="102"/>
      <c r="AC915" s="102"/>
      <c r="AD915" s="102"/>
      <c r="AE915" s="102"/>
      <c r="AF915" s="102"/>
      <c r="AG915" s="102"/>
      <c r="AH915" s="102"/>
      <c r="AI915" s="102"/>
      <c r="AJ915" s="102"/>
      <c r="AK915" s="102"/>
      <c r="AL915" s="102"/>
      <c r="AM915" s="102"/>
    </row>
    <row r="916" spans="1:39">
      <c r="A916" s="143"/>
      <c r="B916" s="143"/>
      <c r="C916" s="155"/>
      <c r="D916" s="143"/>
      <c r="E916" s="146"/>
      <c r="F916" s="147"/>
      <c r="G916" s="147"/>
      <c r="H916" s="148"/>
      <c r="I916" s="143"/>
      <c r="J916" s="143"/>
      <c r="K916" s="143"/>
      <c r="L916" s="150" t="str">
        <f t="shared" si="153"/>
        <v/>
      </c>
      <c r="M916" s="150" t="str">
        <f t="shared" si="154"/>
        <v/>
      </c>
      <c r="N916" s="151" t="str">
        <f t="shared" si="155"/>
        <v/>
      </c>
      <c r="O916" s="151" t="str">
        <f t="shared" si="156"/>
        <v/>
      </c>
      <c r="P916" s="151" t="str">
        <f t="shared" si="157"/>
        <v/>
      </c>
      <c r="Q916" s="151" t="str">
        <f t="shared" si="158"/>
        <v/>
      </c>
      <c r="R916" s="150" t="str">
        <f t="shared" si="159"/>
        <v/>
      </c>
      <c r="S916" s="150" t="str">
        <f t="shared" si="160"/>
        <v/>
      </c>
      <c r="T916" s="150" t="str">
        <f t="shared" si="161"/>
        <v/>
      </c>
      <c r="U916" s="152"/>
      <c r="V916" s="143"/>
      <c r="W916" s="102"/>
      <c r="X916" s="102" t="str">
        <f t="shared" si="162"/>
        <v/>
      </c>
      <c r="Y916" s="102"/>
      <c r="Z916" s="102"/>
      <c r="AA916" s="102"/>
      <c r="AB916" s="102"/>
      <c r="AC916" s="102"/>
      <c r="AD916" s="102"/>
      <c r="AE916" s="102"/>
      <c r="AF916" s="102"/>
      <c r="AG916" s="102"/>
      <c r="AH916" s="102"/>
      <c r="AI916" s="102"/>
      <c r="AJ916" s="102"/>
      <c r="AK916" s="102"/>
      <c r="AL916" s="102"/>
      <c r="AM916" s="102"/>
    </row>
    <row r="917" spans="1:39">
      <c r="A917" s="143"/>
      <c r="B917" s="143"/>
      <c r="C917" s="155"/>
      <c r="D917" s="143"/>
      <c r="E917" s="146"/>
      <c r="F917" s="147"/>
      <c r="G917" s="147"/>
      <c r="H917" s="148"/>
      <c r="I917" s="143"/>
      <c r="J917" s="143"/>
      <c r="K917" s="143"/>
      <c r="L917" s="150" t="str">
        <f t="shared" si="153"/>
        <v/>
      </c>
      <c r="M917" s="150" t="str">
        <f t="shared" si="154"/>
        <v/>
      </c>
      <c r="N917" s="151" t="str">
        <f t="shared" si="155"/>
        <v/>
      </c>
      <c r="O917" s="151" t="str">
        <f t="shared" si="156"/>
        <v/>
      </c>
      <c r="P917" s="151" t="str">
        <f t="shared" si="157"/>
        <v/>
      </c>
      <c r="Q917" s="151" t="str">
        <f t="shared" si="158"/>
        <v/>
      </c>
      <c r="R917" s="150" t="str">
        <f t="shared" si="159"/>
        <v/>
      </c>
      <c r="S917" s="150" t="str">
        <f t="shared" si="160"/>
        <v/>
      </c>
      <c r="T917" s="150" t="str">
        <f t="shared" si="161"/>
        <v/>
      </c>
      <c r="U917" s="152"/>
      <c r="V917" s="143"/>
      <c r="W917" s="102"/>
      <c r="X917" s="102" t="str">
        <f t="shared" si="162"/>
        <v/>
      </c>
      <c r="Y917" s="102"/>
      <c r="Z917" s="102"/>
      <c r="AA917" s="102"/>
      <c r="AB917" s="102"/>
      <c r="AC917" s="102"/>
      <c r="AD917" s="102"/>
      <c r="AE917" s="102"/>
      <c r="AF917" s="102"/>
      <c r="AG917" s="102"/>
      <c r="AH917" s="102"/>
      <c r="AI917" s="102"/>
      <c r="AJ917" s="102"/>
      <c r="AK917" s="102"/>
      <c r="AL917" s="102"/>
      <c r="AM917" s="102"/>
    </row>
    <row r="918" spans="1:39">
      <c r="A918" s="143"/>
      <c r="B918" s="143"/>
      <c r="C918" s="155"/>
      <c r="D918" s="143"/>
      <c r="E918" s="146"/>
      <c r="F918" s="147"/>
      <c r="G918" s="147"/>
      <c r="H918" s="148"/>
      <c r="I918" s="143"/>
      <c r="J918" s="143"/>
      <c r="K918" s="143"/>
      <c r="L918" s="150" t="str">
        <f t="shared" si="153"/>
        <v/>
      </c>
      <c r="M918" s="150" t="str">
        <f t="shared" si="154"/>
        <v/>
      </c>
      <c r="N918" s="151" t="str">
        <f t="shared" si="155"/>
        <v/>
      </c>
      <c r="O918" s="151" t="str">
        <f t="shared" si="156"/>
        <v/>
      </c>
      <c r="P918" s="151" t="str">
        <f t="shared" si="157"/>
        <v/>
      </c>
      <c r="Q918" s="151" t="str">
        <f t="shared" si="158"/>
        <v/>
      </c>
      <c r="R918" s="150" t="str">
        <f t="shared" si="159"/>
        <v/>
      </c>
      <c r="S918" s="150" t="str">
        <f t="shared" si="160"/>
        <v/>
      </c>
      <c r="T918" s="150" t="str">
        <f t="shared" si="161"/>
        <v/>
      </c>
      <c r="U918" s="152"/>
      <c r="V918" s="143"/>
      <c r="W918" s="102"/>
      <c r="X918" s="102" t="str">
        <f t="shared" si="162"/>
        <v/>
      </c>
      <c r="Y918" s="102"/>
      <c r="Z918" s="102"/>
      <c r="AA918" s="102"/>
      <c r="AB918" s="102"/>
      <c r="AC918" s="102"/>
      <c r="AD918" s="102"/>
      <c r="AE918" s="102"/>
      <c r="AF918" s="102"/>
      <c r="AG918" s="102"/>
      <c r="AH918" s="102"/>
      <c r="AI918" s="102"/>
      <c r="AJ918" s="102"/>
      <c r="AK918" s="102"/>
      <c r="AL918" s="102"/>
      <c r="AM918" s="102"/>
    </row>
    <row r="919" spans="1:39">
      <c r="A919" s="143"/>
      <c r="B919" s="143"/>
      <c r="C919" s="155"/>
      <c r="D919" s="143"/>
      <c r="E919" s="146"/>
      <c r="F919" s="147"/>
      <c r="G919" s="147"/>
      <c r="H919" s="148"/>
      <c r="I919" s="143"/>
      <c r="J919" s="143"/>
      <c r="K919" s="143"/>
      <c r="L919" s="150" t="str">
        <f t="shared" si="153"/>
        <v/>
      </c>
      <c r="M919" s="150" t="str">
        <f t="shared" si="154"/>
        <v/>
      </c>
      <c r="N919" s="151" t="str">
        <f t="shared" si="155"/>
        <v/>
      </c>
      <c r="O919" s="151" t="str">
        <f t="shared" si="156"/>
        <v/>
      </c>
      <c r="P919" s="151" t="str">
        <f t="shared" si="157"/>
        <v/>
      </c>
      <c r="Q919" s="151" t="str">
        <f t="shared" si="158"/>
        <v/>
      </c>
      <c r="R919" s="150" t="str">
        <f t="shared" si="159"/>
        <v/>
      </c>
      <c r="S919" s="150" t="str">
        <f t="shared" si="160"/>
        <v/>
      </c>
      <c r="T919" s="150" t="str">
        <f t="shared" si="161"/>
        <v/>
      </c>
      <c r="U919" s="152"/>
      <c r="V919" s="143"/>
      <c r="W919" s="102"/>
      <c r="X919" s="102" t="str">
        <f t="shared" si="162"/>
        <v/>
      </c>
      <c r="Y919" s="102"/>
      <c r="Z919" s="102"/>
      <c r="AA919" s="102"/>
      <c r="AB919" s="102"/>
      <c r="AC919" s="102"/>
      <c r="AD919" s="102"/>
      <c r="AE919" s="102"/>
      <c r="AF919" s="102"/>
      <c r="AG919" s="102"/>
      <c r="AH919" s="102"/>
      <c r="AI919" s="102"/>
      <c r="AJ919" s="102"/>
      <c r="AK919" s="102"/>
      <c r="AL919" s="102"/>
      <c r="AM919" s="102"/>
    </row>
    <row r="920" spans="1:39">
      <c r="A920" s="143"/>
      <c r="B920" s="143"/>
      <c r="C920" s="155"/>
      <c r="D920" s="143"/>
      <c r="E920" s="146"/>
      <c r="F920" s="147"/>
      <c r="G920" s="147"/>
      <c r="H920" s="148"/>
      <c r="I920" s="143"/>
      <c r="J920" s="143"/>
      <c r="K920" s="143"/>
      <c r="L920" s="150" t="str">
        <f t="shared" si="153"/>
        <v/>
      </c>
      <c r="M920" s="150" t="str">
        <f t="shared" si="154"/>
        <v/>
      </c>
      <c r="N920" s="151" t="str">
        <f t="shared" si="155"/>
        <v/>
      </c>
      <c r="O920" s="151" t="str">
        <f t="shared" si="156"/>
        <v/>
      </c>
      <c r="P920" s="151" t="str">
        <f t="shared" si="157"/>
        <v/>
      </c>
      <c r="Q920" s="151" t="str">
        <f t="shared" si="158"/>
        <v/>
      </c>
      <c r="R920" s="150" t="str">
        <f t="shared" si="159"/>
        <v/>
      </c>
      <c r="S920" s="150" t="str">
        <f t="shared" si="160"/>
        <v/>
      </c>
      <c r="T920" s="150" t="str">
        <f t="shared" si="161"/>
        <v/>
      </c>
      <c r="U920" s="152"/>
      <c r="V920" s="143"/>
      <c r="W920" s="102"/>
      <c r="X920" s="102" t="str">
        <f t="shared" si="162"/>
        <v/>
      </c>
      <c r="Y920" s="102"/>
      <c r="Z920" s="102"/>
      <c r="AA920" s="102"/>
      <c r="AB920" s="102"/>
      <c r="AC920" s="102"/>
      <c r="AD920" s="102"/>
      <c r="AE920" s="102"/>
      <c r="AF920" s="102"/>
      <c r="AG920" s="102"/>
      <c r="AH920" s="102"/>
      <c r="AI920" s="102"/>
      <c r="AJ920" s="102"/>
      <c r="AK920" s="102"/>
      <c r="AL920" s="102"/>
      <c r="AM920" s="102"/>
    </row>
    <row r="921" spans="1:39">
      <c r="A921" s="143"/>
      <c r="B921" s="143"/>
      <c r="C921" s="155"/>
      <c r="D921" s="143"/>
      <c r="E921" s="146"/>
      <c r="F921" s="147"/>
      <c r="G921" s="147"/>
      <c r="H921" s="148"/>
      <c r="I921" s="143"/>
      <c r="J921" s="143"/>
      <c r="K921" s="143"/>
      <c r="L921" s="150" t="str">
        <f t="shared" si="153"/>
        <v/>
      </c>
      <c r="M921" s="150" t="str">
        <f t="shared" si="154"/>
        <v/>
      </c>
      <c r="N921" s="151" t="str">
        <f t="shared" si="155"/>
        <v/>
      </c>
      <c r="O921" s="151" t="str">
        <f t="shared" si="156"/>
        <v/>
      </c>
      <c r="P921" s="151" t="str">
        <f t="shared" si="157"/>
        <v/>
      </c>
      <c r="Q921" s="151" t="str">
        <f t="shared" si="158"/>
        <v/>
      </c>
      <c r="R921" s="150" t="str">
        <f t="shared" si="159"/>
        <v/>
      </c>
      <c r="S921" s="150" t="str">
        <f t="shared" si="160"/>
        <v/>
      </c>
      <c r="T921" s="150" t="str">
        <f t="shared" si="161"/>
        <v/>
      </c>
      <c r="U921" s="152"/>
      <c r="V921" s="143"/>
      <c r="W921" s="102"/>
      <c r="X921" s="102" t="str">
        <f t="shared" si="162"/>
        <v/>
      </c>
      <c r="Y921" s="102"/>
      <c r="Z921" s="102"/>
      <c r="AA921" s="102"/>
      <c r="AB921" s="102"/>
      <c r="AC921" s="102"/>
      <c r="AD921" s="102"/>
      <c r="AE921" s="102"/>
      <c r="AF921" s="102"/>
      <c r="AG921" s="102"/>
      <c r="AH921" s="102"/>
      <c r="AI921" s="102"/>
      <c r="AJ921" s="102"/>
      <c r="AK921" s="102"/>
      <c r="AL921" s="102"/>
      <c r="AM921" s="102"/>
    </row>
    <row r="922" spans="1:39">
      <c r="A922" s="143"/>
      <c r="B922" s="143"/>
      <c r="C922" s="155"/>
      <c r="D922" s="143"/>
      <c r="E922" s="146"/>
      <c r="F922" s="147"/>
      <c r="G922" s="147"/>
      <c r="H922" s="148"/>
      <c r="I922" s="143"/>
      <c r="J922" s="143"/>
      <c r="K922" s="143"/>
      <c r="L922" s="150" t="str">
        <f t="shared" si="153"/>
        <v/>
      </c>
      <c r="M922" s="150" t="str">
        <f t="shared" si="154"/>
        <v/>
      </c>
      <c r="N922" s="151" t="str">
        <f t="shared" si="155"/>
        <v/>
      </c>
      <c r="O922" s="151" t="str">
        <f t="shared" si="156"/>
        <v/>
      </c>
      <c r="P922" s="151" t="str">
        <f t="shared" si="157"/>
        <v/>
      </c>
      <c r="Q922" s="151" t="str">
        <f t="shared" si="158"/>
        <v/>
      </c>
      <c r="R922" s="150" t="str">
        <f t="shared" si="159"/>
        <v/>
      </c>
      <c r="S922" s="150" t="str">
        <f t="shared" si="160"/>
        <v/>
      </c>
      <c r="T922" s="150" t="str">
        <f t="shared" si="161"/>
        <v/>
      </c>
      <c r="U922" s="152"/>
      <c r="V922" s="143"/>
      <c r="W922" s="102"/>
      <c r="X922" s="102" t="str">
        <f t="shared" si="162"/>
        <v/>
      </c>
      <c r="Y922" s="102"/>
      <c r="Z922" s="102"/>
      <c r="AA922" s="102"/>
      <c r="AB922" s="102"/>
      <c r="AC922" s="102"/>
      <c r="AD922" s="102"/>
      <c r="AE922" s="102"/>
      <c r="AF922" s="102"/>
      <c r="AG922" s="102"/>
      <c r="AH922" s="102"/>
      <c r="AI922" s="102"/>
      <c r="AJ922" s="102"/>
      <c r="AK922" s="102"/>
      <c r="AL922" s="102"/>
      <c r="AM922" s="102"/>
    </row>
    <row r="923" spans="1:39">
      <c r="A923" s="143"/>
      <c r="B923" s="143"/>
      <c r="C923" s="155"/>
      <c r="D923" s="143"/>
      <c r="E923" s="146"/>
      <c r="F923" s="147"/>
      <c r="G923" s="147"/>
      <c r="H923" s="148"/>
      <c r="I923" s="143"/>
      <c r="J923" s="143"/>
      <c r="K923" s="143"/>
      <c r="L923" s="150" t="str">
        <f t="shared" si="153"/>
        <v/>
      </c>
      <c r="M923" s="150" t="str">
        <f t="shared" si="154"/>
        <v/>
      </c>
      <c r="N923" s="151" t="str">
        <f t="shared" si="155"/>
        <v/>
      </c>
      <c r="O923" s="151" t="str">
        <f t="shared" si="156"/>
        <v/>
      </c>
      <c r="P923" s="151" t="str">
        <f t="shared" si="157"/>
        <v/>
      </c>
      <c r="Q923" s="151" t="str">
        <f t="shared" si="158"/>
        <v/>
      </c>
      <c r="R923" s="150" t="str">
        <f t="shared" si="159"/>
        <v/>
      </c>
      <c r="S923" s="150" t="str">
        <f t="shared" si="160"/>
        <v/>
      </c>
      <c r="T923" s="150" t="str">
        <f t="shared" si="161"/>
        <v/>
      </c>
      <c r="U923" s="152"/>
      <c r="V923" s="143"/>
      <c r="W923" s="102"/>
      <c r="X923" s="102" t="str">
        <f t="shared" si="162"/>
        <v/>
      </c>
      <c r="Y923" s="102"/>
      <c r="Z923" s="102"/>
      <c r="AA923" s="102"/>
      <c r="AB923" s="102"/>
      <c r="AC923" s="102"/>
      <c r="AD923" s="102"/>
      <c r="AE923" s="102"/>
      <c r="AF923" s="102"/>
      <c r="AG923" s="102"/>
      <c r="AH923" s="102"/>
      <c r="AI923" s="102"/>
      <c r="AJ923" s="102"/>
      <c r="AK923" s="102"/>
      <c r="AL923" s="102"/>
      <c r="AM923" s="102"/>
    </row>
    <row r="924" spans="1:39">
      <c r="A924" s="143"/>
      <c r="B924" s="143"/>
      <c r="C924" s="155"/>
      <c r="D924" s="143"/>
      <c r="E924" s="146"/>
      <c r="F924" s="147"/>
      <c r="G924" s="147"/>
      <c r="H924" s="148"/>
      <c r="I924" s="143"/>
      <c r="J924" s="143"/>
      <c r="K924" s="143"/>
      <c r="L924" s="150" t="str">
        <f t="shared" si="153"/>
        <v/>
      </c>
      <c r="M924" s="150" t="str">
        <f t="shared" si="154"/>
        <v/>
      </c>
      <c r="N924" s="151" t="str">
        <f t="shared" si="155"/>
        <v/>
      </c>
      <c r="O924" s="151" t="str">
        <f t="shared" si="156"/>
        <v/>
      </c>
      <c r="P924" s="151" t="str">
        <f t="shared" si="157"/>
        <v/>
      </c>
      <c r="Q924" s="151" t="str">
        <f t="shared" si="158"/>
        <v/>
      </c>
      <c r="R924" s="150" t="str">
        <f t="shared" si="159"/>
        <v/>
      </c>
      <c r="S924" s="150" t="str">
        <f t="shared" si="160"/>
        <v/>
      </c>
      <c r="T924" s="150" t="str">
        <f t="shared" si="161"/>
        <v/>
      </c>
      <c r="U924" s="152"/>
      <c r="V924" s="143"/>
      <c r="W924" s="102"/>
      <c r="X924" s="102" t="str">
        <f t="shared" si="162"/>
        <v/>
      </c>
      <c r="Y924" s="102"/>
      <c r="Z924" s="102"/>
      <c r="AA924" s="102"/>
      <c r="AB924" s="102"/>
      <c r="AC924" s="102"/>
      <c r="AD924" s="102"/>
      <c r="AE924" s="102"/>
      <c r="AF924" s="102"/>
      <c r="AG924" s="102"/>
      <c r="AH924" s="102"/>
      <c r="AI924" s="102"/>
      <c r="AJ924" s="102"/>
      <c r="AK924" s="102"/>
      <c r="AL924" s="102"/>
      <c r="AM924" s="102"/>
    </row>
    <row r="925" spans="1:39">
      <c r="A925" s="143"/>
      <c r="B925" s="143"/>
      <c r="C925" s="155"/>
      <c r="D925" s="143"/>
      <c r="E925" s="146"/>
      <c r="F925" s="147"/>
      <c r="G925" s="147"/>
      <c r="H925" s="148"/>
      <c r="I925" s="143"/>
      <c r="J925" s="143"/>
      <c r="K925" s="143"/>
      <c r="L925" s="150" t="str">
        <f t="shared" si="153"/>
        <v/>
      </c>
      <c r="M925" s="150" t="str">
        <f t="shared" si="154"/>
        <v/>
      </c>
      <c r="N925" s="151" t="str">
        <f t="shared" si="155"/>
        <v/>
      </c>
      <c r="O925" s="151" t="str">
        <f t="shared" si="156"/>
        <v/>
      </c>
      <c r="P925" s="151" t="str">
        <f t="shared" si="157"/>
        <v/>
      </c>
      <c r="Q925" s="151" t="str">
        <f t="shared" si="158"/>
        <v/>
      </c>
      <c r="R925" s="150" t="str">
        <f t="shared" si="159"/>
        <v/>
      </c>
      <c r="S925" s="150" t="str">
        <f t="shared" si="160"/>
        <v/>
      </c>
      <c r="T925" s="150" t="str">
        <f t="shared" si="161"/>
        <v/>
      </c>
      <c r="U925" s="152"/>
      <c r="V925" s="143"/>
      <c r="W925" s="102"/>
      <c r="X925" s="102" t="str">
        <f t="shared" si="162"/>
        <v/>
      </c>
      <c r="Y925" s="102"/>
      <c r="Z925" s="102"/>
      <c r="AA925" s="102"/>
      <c r="AB925" s="102"/>
      <c r="AC925" s="102"/>
      <c r="AD925" s="102"/>
      <c r="AE925" s="102"/>
      <c r="AF925" s="102"/>
      <c r="AG925" s="102"/>
      <c r="AH925" s="102"/>
      <c r="AI925" s="102"/>
      <c r="AJ925" s="102"/>
      <c r="AK925" s="102"/>
      <c r="AL925" s="102"/>
      <c r="AM925" s="102"/>
    </row>
    <row r="926" spans="1:39">
      <c r="A926" s="143"/>
      <c r="B926" s="143"/>
      <c r="C926" s="155"/>
      <c r="D926" s="143"/>
      <c r="E926" s="146"/>
      <c r="F926" s="147"/>
      <c r="G926" s="147"/>
      <c r="H926" s="148"/>
      <c r="I926" s="143"/>
      <c r="J926" s="143"/>
      <c r="K926" s="143"/>
      <c r="L926" s="150" t="str">
        <f t="shared" si="153"/>
        <v/>
      </c>
      <c r="M926" s="150" t="str">
        <f t="shared" si="154"/>
        <v/>
      </c>
      <c r="N926" s="151" t="str">
        <f t="shared" si="155"/>
        <v/>
      </c>
      <c r="O926" s="151" t="str">
        <f t="shared" si="156"/>
        <v/>
      </c>
      <c r="P926" s="151" t="str">
        <f t="shared" si="157"/>
        <v/>
      </c>
      <c r="Q926" s="151" t="str">
        <f t="shared" si="158"/>
        <v/>
      </c>
      <c r="R926" s="150" t="str">
        <f t="shared" si="159"/>
        <v/>
      </c>
      <c r="S926" s="150" t="str">
        <f t="shared" si="160"/>
        <v/>
      </c>
      <c r="T926" s="150" t="str">
        <f t="shared" si="161"/>
        <v/>
      </c>
      <c r="U926" s="152"/>
      <c r="V926" s="143"/>
      <c r="W926" s="102"/>
      <c r="X926" s="102" t="str">
        <f t="shared" si="162"/>
        <v/>
      </c>
      <c r="Y926" s="102"/>
      <c r="Z926" s="102"/>
      <c r="AA926" s="102"/>
      <c r="AB926" s="102"/>
      <c r="AC926" s="102"/>
      <c r="AD926" s="102"/>
      <c r="AE926" s="102"/>
      <c r="AF926" s="102"/>
      <c r="AG926" s="102"/>
      <c r="AH926" s="102"/>
      <c r="AI926" s="102"/>
      <c r="AJ926" s="102"/>
      <c r="AK926" s="102"/>
      <c r="AL926" s="102"/>
      <c r="AM926" s="102"/>
    </row>
    <row r="927" spans="1:39">
      <c r="A927" s="143"/>
      <c r="B927" s="143"/>
      <c r="C927" s="155"/>
      <c r="D927" s="143"/>
      <c r="E927" s="146"/>
      <c r="F927" s="147"/>
      <c r="G927" s="147"/>
      <c r="H927" s="148"/>
      <c r="I927" s="143"/>
      <c r="J927" s="143"/>
      <c r="K927" s="143"/>
      <c r="L927" s="150" t="str">
        <f t="shared" si="153"/>
        <v/>
      </c>
      <c r="M927" s="150" t="str">
        <f t="shared" si="154"/>
        <v/>
      </c>
      <c r="N927" s="151" t="str">
        <f t="shared" si="155"/>
        <v/>
      </c>
      <c r="O927" s="151" t="str">
        <f t="shared" si="156"/>
        <v/>
      </c>
      <c r="P927" s="151" t="str">
        <f t="shared" si="157"/>
        <v/>
      </c>
      <c r="Q927" s="151" t="str">
        <f t="shared" si="158"/>
        <v/>
      </c>
      <c r="R927" s="150" t="str">
        <f t="shared" si="159"/>
        <v/>
      </c>
      <c r="S927" s="150" t="str">
        <f t="shared" si="160"/>
        <v/>
      </c>
      <c r="T927" s="150" t="str">
        <f t="shared" si="161"/>
        <v/>
      </c>
      <c r="U927" s="152"/>
      <c r="V927" s="143"/>
      <c r="W927" s="102"/>
      <c r="X927" s="102" t="str">
        <f t="shared" si="162"/>
        <v/>
      </c>
      <c r="Y927" s="102"/>
      <c r="Z927" s="102"/>
      <c r="AA927" s="102"/>
      <c r="AB927" s="102"/>
      <c r="AC927" s="102"/>
      <c r="AD927" s="102"/>
      <c r="AE927" s="102"/>
      <c r="AF927" s="102"/>
      <c r="AG927" s="102"/>
      <c r="AH927" s="102"/>
      <c r="AI927" s="102"/>
      <c r="AJ927" s="102"/>
      <c r="AK927" s="102"/>
      <c r="AL927" s="102"/>
      <c r="AM927" s="102"/>
    </row>
    <row r="928" spans="1:39">
      <c r="A928" s="143"/>
      <c r="B928" s="143"/>
      <c r="C928" s="155"/>
      <c r="D928" s="143"/>
      <c r="E928" s="146"/>
      <c r="F928" s="147"/>
      <c r="G928" s="147"/>
      <c r="H928" s="148"/>
      <c r="I928" s="143"/>
      <c r="J928" s="143"/>
      <c r="K928" s="143"/>
      <c r="L928" s="150" t="str">
        <f t="shared" si="153"/>
        <v/>
      </c>
      <c r="M928" s="150" t="str">
        <f t="shared" si="154"/>
        <v/>
      </c>
      <c r="N928" s="151" t="str">
        <f t="shared" si="155"/>
        <v/>
      </c>
      <c r="O928" s="151" t="str">
        <f t="shared" si="156"/>
        <v/>
      </c>
      <c r="P928" s="151" t="str">
        <f t="shared" si="157"/>
        <v/>
      </c>
      <c r="Q928" s="151" t="str">
        <f t="shared" si="158"/>
        <v/>
      </c>
      <c r="R928" s="150" t="str">
        <f t="shared" si="159"/>
        <v/>
      </c>
      <c r="S928" s="150" t="str">
        <f t="shared" si="160"/>
        <v/>
      </c>
      <c r="T928" s="150" t="str">
        <f t="shared" si="161"/>
        <v/>
      </c>
      <c r="U928" s="152"/>
      <c r="V928" s="143"/>
      <c r="W928" s="102"/>
      <c r="X928" s="102" t="str">
        <f t="shared" si="162"/>
        <v/>
      </c>
      <c r="Y928" s="102"/>
      <c r="Z928" s="102"/>
      <c r="AA928" s="102"/>
      <c r="AB928" s="102"/>
      <c r="AC928" s="102"/>
      <c r="AD928" s="102"/>
      <c r="AE928" s="102"/>
      <c r="AF928" s="102"/>
      <c r="AG928" s="102"/>
      <c r="AH928" s="102"/>
      <c r="AI928" s="102"/>
      <c r="AJ928" s="102"/>
      <c r="AK928" s="102"/>
      <c r="AL928" s="102"/>
      <c r="AM928" s="102"/>
    </row>
    <row r="929" spans="1:39">
      <c r="A929" s="143"/>
      <c r="B929" s="143"/>
      <c r="C929" s="155"/>
      <c r="D929" s="143"/>
      <c r="E929" s="146"/>
      <c r="F929" s="147"/>
      <c r="G929" s="147"/>
      <c r="H929" s="148"/>
      <c r="I929" s="143"/>
      <c r="J929" s="143"/>
      <c r="K929" s="143"/>
      <c r="L929" s="150" t="str">
        <f t="shared" si="153"/>
        <v/>
      </c>
      <c r="M929" s="150" t="str">
        <f t="shared" si="154"/>
        <v/>
      </c>
      <c r="N929" s="151" t="str">
        <f t="shared" si="155"/>
        <v/>
      </c>
      <c r="O929" s="151" t="str">
        <f t="shared" si="156"/>
        <v/>
      </c>
      <c r="P929" s="151" t="str">
        <f t="shared" si="157"/>
        <v/>
      </c>
      <c r="Q929" s="151" t="str">
        <f t="shared" si="158"/>
        <v/>
      </c>
      <c r="R929" s="150" t="str">
        <f t="shared" si="159"/>
        <v/>
      </c>
      <c r="S929" s="150" t="str">
        <f t="shared" si="160"/>
        <v/>
      </c>
      <c r="T929" s="150" t="str">
        <f t="shared" si="161"/>
        <v/>
      </c>
      <c r="U929" s="152"/>
      <c r="V929" s="143"/>
      <c r="W929" s="102"/>
      <c r="X929" s="102" t="str">
        <f t="shared" si="162"/>
        <v/>
      </c>
      <c r="Y929" s="102"/>
      <c r="Z929" s="102"/>
      <c r="AA929" s="102"/>
      <c r="AB929" s="102"/>
      <c r="AC929" s="102"/>
      <c r="AD929" s="102"/>
      <c r="AE929" s="102"/>
      <c r="AF929" s="102"/>
      <c r="AG929" s="102"/>
      <c r="AH929" s="102"/>
      <c r="AI929" s="102"/>
      <c r="AJ929" s="102"/>
      <c r="AK929" s="102"/>
      <c r="AL929" s="102"/>
      <c r="AM929" s="102"/>
    </row>
    <row r="930" spans="1:39">
      <c r="A930" s="143"/>
      <c r="B930" s="143"/>
      <c r="C930" s="155"/>
      <c r="D930" s="143"/>
      <c r="E930" s="146"/>
      <c r="F930" s="147"/>
      <c r="G930" s="147"/>
      <c r="H930" s="148"/>
      <c r="I930" s="143"/>
      <c r="J930" s="143"/>
      <c r="K930" s="143"/>
      <c r="L930" s="150" t="str">
        <f t="shared" si="153"/>
        <v/>
      </c>
      <c r="M930" s="150" t="str">
        <f t="shared" si="154"/>
        <v/>
      </c>
      <c r="N930" s="151" t="str">
        <f t="shared" si="155"/>
        <v/>
      </c>
      <c r="O930" s="151" t="str">
        <f t="shared" si="156"/>
        <v/>
      </c>
      <c r="P930" s="151" t="str">
        <f t="shared" si="157"/>
        <v/>
      </c>
      <c r="Q930" s="151" t="str">
        <f t="shared" si="158"/>
        <v/>
      </c>
      <c r="R930" s="150" t="str">
        <f t="shared" si="159"/>
        <v/>
      </c>
      <c r="S930" s="150" t="str">
        <f t="shared" si="160"/>
        <v/>
      </c>
      <c r="T930" s="150" t="str">
        <f t="shared" si="161"/>
        <v/>
      </c>
      <c r="U930" s="152"/>
      <c r="V930" s="143"/>
      <c r="W930" s="102"/>
      <c r="X930" s="102" t="str">
        <f t="shared" si="162"/>
        <v/>
      </c>
      <c r="Y930" s="102"/>
      <c r="Z930" s="102"/>
      <c r="AA930" s="102"/>
      <c r="AB930" s="102"/>
      <c r="AC930" s="102"/>
      <c r="AD930" s="102"/>
      <c r="AE930" s="102"/>
      <c r="AF930" s="102"/>
      <c r="AG930" s="102"/>
      <c r="AH930" s="102"/>
      <c r="AI930" s="102"/>
      <c r="AJ930" s="102"/>
      <c r="AK930" s="102"/>
      <c r="AL930" s="102"/>
      <c r="AM930" s="102"/>
    </row>
    <row r="931" spans="1:39">
      <c r="A931" s="143"/>
      <c r="B931" s="143"/>
      <c r="C931" s="155"/>
      <c r="D931" s="143"/>
      <c r="E931" s="146"/>
      <c r="F931" s="147"/>
      <c r="G931" s="147"/>
      <c r="H931" s="148"/>
      <c r="I931" s="143"/>
      <c r="J931" s="143"/>
      <c r="K931" s="143"/>
      <c r="L931" s="150" t="str">
        <f t="shared" si="153"/>
        <v/>
      </c>
      <c r="M931" s="150" t="str">
        <f t="shared" si="154"/>
        <v/>
      </c>
      <c r="N931" s="151" t="str">
        <f t="shared" si="155"/>
        <v/>
      </c>
      <c r="O931" s="151" t="str">
        <f t="shared" si="156"/>
        <v/>
      </c>
      <c r="P931" s="151" t="str">
        <f t="shared" si="157"/>
        <v/>
      </c>
      <c r="Q931" s="151" t="str">
        <f t="shared" si="158"/>
        <v/>
      </c>
      <c r="R931" s="150" t="str">
        <f t="shared" si="159"/>
        <v/>
      </c>
      <c r="S931" s="150" t="str">
        <f t="shared" si="160"/>
        <v/>
      </c>
      <c r="T931" s="150" t="str">
        <f t="shared" si="161"/>
        <v/>
      </c>
      <c r="U931" s="152"/>
      <c r="V931" s="143"/>
      <c r="W931" s="102"/>
      <c r="X931" s="102" t="str">
        <f t="shared" si="162"/>
        <v/>
      </c>
      <c r="Y931" s="102"/>
      <c r="Z931" s="102"/>
      <c r="AA931" s="102"/>
      <c r="AB931" s="102"/>
      <c r="AC931" s="102"/>
      <c r="AD931" s="102"/>
      <c r="AE931" s="102"/>
      <c r="AF931" s="102"/>
      <c r="AG931" s="102"/>
      <c r="AH931" s="102"/>
      <c r="AI931" s="102"/>
      <c r="AJ931" s="102"/>
      <c r="AK931" s="102"/>
      <c r="AL931" s="102"/>
      <c r="AM931" s="102"/>
    </row>
    <row r="932" spans="1:39">
      <c r="A932" s="143"/>
      <c r="B932" s="143"/>
      <c r="C932" s="155"/>
      <c r="D932" s="143"/>
      <c r="E932" s="146"/>
      <c r="F932" s="147"/>
      <c r="G932" s="147"/>
      <c r="H932" s="148"/>
      <c r="I932" s="143"/>
      <c r="J932" s="143"/>
      <c r="K932" s="143"/>
      <c r="L932" s="150" t="str">
        <f t="shared" si="153"/>
        <v/>
      </c>
      <c r="M932" s="150" t="str">
        <f t="shared" si="154"/>
        <v/>
      </c>
      <c r="N932" s="151" t="str">
        <f t="shared" si="155"/>
        <v/>
      </c>
      <c r="O932" s="151" t="str">
        <f t="shared" si="156"/>
        <v/>
      </c>
      <c r="P932" s="151" t="str">
        <f t="shared" si="157"/>
        <v/>
      </c>
      <c r="Q932" s="151" t="str">
        <f t="shared" si="158"/>
        <v/>
      </c>
      <c r="R932" s="150" t="str">
        <f t="shared" si="159"/>
        <v/>
      </c>
      <c r="S932" s="150" t="str">
        <f t="shared" si="160"/>
        <v/>
      </c>
      <c r="T932" s="150" t="str">
        <f t="shared" si="161"/>
        <v/>
      </c>
      <c r="U932" s="152"/>
      <c r="V932" s="143"/>
      <c r="W932" s="102"/>
      <c r="X932" s="102" t="str">
        <f t="shared" si="162"/>
        <v/>
      </c>
      <c r="Y932" s="102"/>
      <c r="Z932" s="102"/>
      <c r="AA932" s="102"/>
      <c r="AB932" s="102"/>
      <c r="AC932" s="102"/>
      <c r="AD932" s="102"/>
      <c r="AE932" s="102"/>
      <c r="AF932" s="102"/>
      <c r="AG932" s="102"/>
      <c r="AH932" s="102"/>
      <c r="AI932" s="102"/>
      <c r="AJ932" s="102"/>
      <c r="AK932" s="102"/>
      <c r="AL932" s="102"/>
      <c r="AM932" s="102"/>
    </row>
    <row r="933" spans="1:39">
      <c r="A933" s="143"/>
      <c r="B933" s="143"/>
      <c r="C933" s="155"/>
      <c r="D933" s="143"/>
      <c r="E933" s="146"/>
      <c r="F933" s="147"/>
      <c r="G933" s="147"/>
      <c r="H933" s="148"/>
      <c r="I933" s="143"/>
      <c r="J933" s="143"/>
      <c r="K933" s="143"/>
      <c r="L933" s="150" t="str">
        <f t="shared" si="153"/>
        <v/>
      </c>
      <c r="M933" s="150" t="str">
        <f t="shared" si="154"/>
        <v/>
      </c>
      <c r="N933" s="151" t="str">
        <f t="shared" si="155"/>
        <v/>
      </c>
      <c r="O933" s="151" t="str">
        <f t="shared" si="156"/>
        <v/>
      </c>
      <c r="P933" s="151" t="str">
        <f t="shared" si="157"/>
        <v/>
      </c>
      <c r="Q933" s="151" t="str">
        <f t="shared" si="158"/>
        <v/>
      </c>
      <c r="R933" s="150" t="str">
        <f t="shared" si="159"/>
        <v/>
      </c>
      <c r="S933" s="150" t="str">
        <f t="shared" si="160"/>
        <v/>
      </c>
      <c r="T933" s="150" t="str">
        <f t="shared" si="161"/>
        <v/>
      </c>
      <c r="U933" s="152"/>
      <c r="V933" s="143"/>
      <c r="W933" s="102"/>
      <c r="X933" s="102" t="str">
        <f t="shared" si="162"/>
        <v/>
      </c>
      <c r="Y933" s="102"/>
      <c r="Z933" s="102"/>
      <c r="AA933" s="102"/>
      <c r="AB933" s="102"/>
      <c r="AC933" s="102"/>
      <c r="AD933" s="102"/>
      <c r="AE933" s="102"/>
      <c r="AF933" s="102"/>
      <c r="AG933" s="102"/>
      <c r="AH933" s="102"/>
      <c r="AI933" s="102"/>
      <c r="AJ933" s="102"/>
      <c r="AK933" s="102"/>
      <c r="AL933" s="102"/>
      <c r="AM933" s="102"/>
    </row>
    <row r="934" spans="1:39">
      <c r="A934" s="143"/>
      <c r="B934" s="143"/>
      <c r="C934" s="155"/>
      <c r="D934" s="143"/>
      <c r="E934" s="146"/>
      <c r="F934" s="147"/>
      <c r="G934" s="147"/>
      <c r="H934" s="148"/>
      <c r="I934" s="143"/>
      <c r="J934" s="143"/>
      <c r="K934" s="143"/>
      <c r="L934" s="150" t="str">
        <f t="shared" si="153"/>
        <v/>
      </c>
      <c r="M934" s="150" t="str">
        <f t="shared" si="154"/>
        <v/>
      </c>
      <c r="N934" s="151" t="str">
        <f t="shared" si="155"/>
        <v/>
      </c>
      <c r="O934" s="151" t="str">
        <f t="shared" si="156"/>
        <v/>
      </c>
      <c r="P934" s="151" t="str">
        <f t="shared" si="157"/>
        <v/>
      </c>
      <c r="Q934" s="151" t="str">
        <f t="shared" si="158"/>
        <v/>
      </c>
      <c r="R934" s="150" t="str">
        <f t="shared" si="159"/>
        <v/>
      </c>
      <c r="S934" s="150" t="str">
        <f t="shared" si="160"/>
        <v/>
      </c>
      <c r="T934" s="150" t="str">
        <f t="shared" si="161"/>
        <v/>
      </c>
      <c r="U934" s="152"/>
      <c r="V934" s="143"/>
      <c r="W934" s="102"/>
      <c r="X934" s="102" t="str">
        <f t="shared" si="162"/>
        <v/>
      </c>
      <c r="Y934" s="102"/>
      <c r="Z934" s="102"/>
      <c r="AA934" s="102"/>
      <c r="AB934" s="102"/>
      <c r="AC934" s="102"/>
      <c r="AD934" s="102"/>
      <c r="AE934" s="102"/>
      <c r="AF934" s="102"/>
      <c r="AG934" s="102"/>
      <c r="AH934" s="102"/>
      <c r="AI934" s="102"/>
      <c r="AJ934" s="102"/>
      <c r="AK934" s="102"/>
      <c r="AL934" s="102"/>
      <c r="AM934" s="102"/>
    </row>
    <row r="935" spans="1:39">
      <c r="A935" s="143"/>
      <c r="B935" s="143"/>
      <c r="C935" s="155"/>
      <c r="D935" s="143"/>
      <c r="E935" s="146"/>
      <c r="F935" s="147"/>
      <c r="G935" s="147"/>
      <c r="H935" s="148"/>
      <c r="I935" s="143"/>
      <c r="J935" s="143"/>
      <c r="K935" s="143"/>
      <c r="L935" s="150" t="str">
        <f t="shared" si="153"/>
        <v/>
      </c>
      <c r="M935" s="150" t="str">
        <f t="shared" si="154"/>
        <v/>
      </c>
      <c r="N935" s="151" t="str">
        <f t="shared" si="155"/>
        <v/>
      </c>
      <c r="O935" s="151" t="str">
        <f t="shared" si="156"/>
        <v/>
      </c>
      <c r="P935" s="151" t="str">
        <f t="shared" si="157"/>
        <v/>
      </c>
      <c r="Q935" s="151" t="str">
        <f t="shared" si="158"/>
        <v/>
      </c>
      <c r="R935" s="150" t="str">
        <f t="shared" si="159"/>
        <v/>
      </c>
      <c r="S935" s="150" t="str">
        <f t="shared" si="160"/>
        <v/>
      </c>
      <c r="T935" s="150" t="str">
        <f t="shared" si="161"/>
        <v/>
      </c>
      <c r="U935" s="152"/>
      <c r="V935" s="143"/>
      <c r="W935" s="102"/>
      <c r="X935" s="102" t="str">
        <f t="shared" si="162"/>
        <v/>
      </c>
      <c r="Y935" s="102"/>
      <c r="Z935" s="102"/>
      <c r="AA935" s="102"/>
      <c r="AB935" s="102"/>
      <c r="AC935" s="102"/>
      <c r="AD935" s="102"/>
      <c r="AE935" s="102"/>
      <c r="AF935" s="102"/>
      <c r="AG935" s="102"/>
      <c r="AH935" s="102"/>
      <c r="AI935" s="102"/>
      <c r="AJ935" s="102"/>
      <c r="AK935" s="102"/>
      <c r="AL935" s="102"/>
      <c r="AM935" s="102"/>
    </row>
    <row r="936" spans="1:39">
      <c r="A936" s="143"/>
      <c r="B936" s="143"/>
      <c r="C936" s="155"/>
      <c r="D936" s="143"/>
      <c r="E936" s="146"/>
      <c r="F936" s="147"/>
      <c r="G936" s="147"/>
      <c r="H936" s="148"/>
      <c r="I936" s="143"/>
      <c r="J936" s="143"/>
      <c r="K936" s="143"/>
      <c r="L936" s="150" t="str">
        <f t="shared" si="153"/>
        <v/>
      </c>
      <c r="M936" s="150" t="str">
        <f t="shared" si="154"/>
        <v/>
      </c>
      <c r="N936" s="151" t="str">
        <f t="shared" si="155"/>
        <v/>
      </c>
      <c r="O936" s="151" t="str">
        <f t="shared" si="156"/>
        <v/>
      </c>
      <c r="P936" s="151" t="str">
        <f t="shared" si="157"/>
        <v/>
      </c>
      <c r="Q936" s="151" t="str">
        <f t="shared" si="158"/>
        <v/>
      </c>
      <c r="R936" s="150" t="str">
        <f t="shared" si="159"/>
        <v/>
      </c>
      <c r="S936" s="150" t="str">
        <f t="shared" si="160"/>
        <v/>
      </c>
      <c r="T936" s="150" t="str">
        <f t="shared" si="161"/>
        <v/>
      </c>
      <c r="U936" s="152"/>
      <c r="V936" s="143"/>
      <c r="W936" s="102"/>
      <c r="X936" s="102" t="str">
        <f t="shared" si="162"/>
        <v/>
      </c>
      <c r="Y936" s="102"/>
      <c r="Z936" s="102"/>
      <c r="AA936" s="102"/>
      <c r="AB936" s="102"/>
      <c r="AC936" s="102"/>
      <c r="AD936" s="102"/>
      <c r="AE936" s="102"/>
      <c r="AF936" s="102"/>
      <c r="AG936" s="102"/>
      <c r="AH936" s="102"/>
      <c r="AI936" s="102"/>
      <c r="AJ936" s="102"/>
      <c r="AK936" s="102"/>
      <c r="AL936" s="102"/>
      <c r="AM936" s="102"/>
    </row>
    <row r="937" spans="1:39">
      <c r="A937" s="143"/>
      <c r="B937" s="143"/>
      <c r="C937" s="155"/>
      <c r="D937" s="143"/>
      <c r="E937" s="146"/>
      <c r="F937" s="147"/>
      <c r="G937" s="147"/>
      <c r="H937" s="148"/>
      <c r="I937" s="143"/>
      <c r="J937" s="143"/>
      <c r="K937" s="143"/>
      <c r="L937" s="150" t="str">
        <f t="shared" si="153"/>
        <v/>
      </c>
      <c r="M937" s="150" t="str">
        <f t="shared" si="154"/>
        <v/>
      </c>
      <c r="N937" s="151" t="str">
        <f t="shared" si="155"/>
        <v/>
      </c>
      <c r="O937" s="151" t="str">
        <f t="shared" si="156"/>
        <v/>
      </c>
      <c r="P937" s="151" t="str">
        <f t="shared" si="157"/>
        <v/>
      </c>
      <c r="Q937" s="151" t="str">
        <f t="shared" si="158"/>
        <v/>
      </c>
      <c r="R937" s="150" t="str">
        <f t="shared" si="159"/>
        <v/>
      </c>
      <c r="S937" s="150" t="str">
        <f t="shared" si="160"/>
        <v/>
      </c>
      <c r="T937" s="150" t="str">
        <f t="shared" si="161"/>
        <v/>
      </c>
      <c r="U937" s="152"/>
      <c r="V937" s="143"/>
      <c r="W937" s="102"/>
      <c r="X937" s="102" t="str">
        <f t="shared" si="162"/>
        <v/>
      </c>
      <c r="Y937" s="102"/>
      <c r="Z937" s="102"/>
      <c r="AA937" s="102"/>
      <c r="AB937" s="102"/>
      <c r="AC937" s="102"/>
      <c r="AD937" s="102"/>
      <c r="AE937" s="102"/>
      <c r="AF937" s="102"/>
      <c r="AG937" s="102"/>
      <c r="AH937" s="102"/>
      <c r="AI937" s="102"/>
      <c r="AJ937" s="102"/>
      <c r="AK937" s="102"/>
      <c r="AL937" s="102"/>
      <c r="AM937" s="102"/>
    </row>
    <row r="938" spans="1:39">
      <c r="A938" s="143"/>
      <c r="B938" s="143"/>
      <c r="C938" s="155"/>
      <c r="D938" s="143"/>
      <c r="E938" s="146"/>
      <c r="F938" s="147"/>
      <c r="G938" s="147"/>
      <c r="H938" s="148"/>
      <c r="I938" s="143"/>
      <c r="J938" s="143"/>
      <c r="K938" s="143"/>
      <c r="L938" s="150" t="str">
        <f t="shared" si="153"/>
        <v/>
      </c>
      <c r="M938" s="150" t="str">
        <f t="shared" si="154"/>
        <v/>
      </c>
      <c r="N938" s="151" t="str">
        <f t="shared" si="155"/>
        <v/>
      </c>
      <c r="O938" s="151" t="str">
        <f t="shared" si="156"/>
        <v/>
      </c>
      <c r="P938" s="151" t="str">
        <f t="shared" si="157"/>
        <v/>
      </c>
      <c r="Q938" s="151" t="str">
        <f t="shared" si="158"/>
        <v/>
      </c>
      <c r="R938" s="150" t="str">
        <f t="shared" si="159"/>
        <v/>
      </c>
      <c r="S938" s="150" t="str">
        <f t="shared" si="160"/>
        <v/>
      </c>
      <c r="T938" s="150" t="str">
        <f t="shared" si="161"/>
        <v/>
      </c>
      <c r="U938" s="152"/>
      <c r="V938" s="143"/>
      <c r="W938" s="102"/>
      <c r="X938" s="102" t="str">
        <f t="shared" si="162"/>
        <v/>
      </c>
      <c r="Y938" s="102"/>
      <c r="Z938" s="102"/>
      <c r="AA938" s="102"/>
      <c r="AB938" s="102"/>
      <c r="AC938" s="102"/>
      <c r="AD938" s="102"/>
      <c r="AE938" s="102"/>
      <c r="AF938" s="102"/>
      <c r="AG938" s="102"/>
      <c r="AH938" s="102"/>
      <c r="AI938" s="102"/>
      <c r="AJ938" s="102"/>
      <c r="AK938" s="102"/>
      <c r="AL938" s="102"/>
      <c r="AM938" s="102"/>
    </row>
    <row r="939" spans="1:39">
      <c r="A939" s="143"/>
      <c r="B939" s="143"/>
      <c r="C939" s="155"/>
      <c r="D939" s="143"/>
      <c r="E939" s="146"/>
      <c r="F939" s="147"/>
      <c r="G939" s="147"/>
      <c r="H939" s="148"/>
      <c r="I939" s="143"/>
      <c r="J939" s="143"/>
      <c r="K939" s="143"/>
      <c r="L939" s="150" t="str">
        <f t="shared" si="153"/>
        <v/>
      </c>
      <c r="M939" s="150" t="str">
        <f t="shared" si="154"/>
        <v/>
      </c>
      <c r="N939" s="151" t="str">
        <f t="shared" si="155"/>
        <v/>
      </c>
      <c r="O939" s="151" t="str">
        <f t="shared" si="156"/>
        <v/>
      </c>
      <c r="P939" s="151" t="str">
        <f t="shared" si="157"/>
        <v/>
      </c>
      <c r="Q939" s="151" t="str">
        <f t="shared" si="158"/>
        <v/>
      </c>
      <c r="R939" s="150" t="str">
        <f t="shared" si="159"/>
        <v/>
      </c>
      <c r="S939" s="150" t="str">
        <f t="shared" si="160"/>
        <v/>
      </c>
      <c r="T939" s="150" t="str">
        <f t="shared" si="161"/>
        <v/>
      </c>
      <c r="U939" s="152"/>
      <c r="V939" s="143"/>
      <c r="W939" s="102"/>
      <c r="X939" s="102" t="str">
        <f t="shared" si="162"/>
        <v/>
      </c>
      <c r="Y939" s="102"/>
      <c r="Z939" s="102"/>
      <c r="AA939" s="102"/>
      <c r="AB939" s="102"/>
      <c r="AC939" s="102"/>
      <c r="AD939" s="102"/>
      <c r="AE939" s="102"/>
      <c r="AF939" s="102"/>
      <c r="AG939" s="102"/>
      <c r="AH939" s="102"/>
      <c r="AI939" s="102"/>
      <c r="AJ939" s="102"/>
      <c r="AK939" s="102"/>
      <c r="AL939" s="102"/>
      <c r="AM939" s="102"/>
    </row>
    <row r="940" spans="1:39">
      <c r="A940" s="143"/>
      <c r="B940" s="143"/>
      <c r="C940" s="155"/>
      <c r="D940" s="143"/>
      <c r="E940" s="146"/>
      <c r="F940" s="147"/>
      <c r="G940" s="147"/>
      <c r="H940" s="148"/>
      <c r="I940" s="143"/>
      <c r="J940" s="143"/>
      <c r="K940" s="143"/>
      <c r="L940" s="150" t="str">
        <f t="shared" si="153"/>
        <v/>
      </c>
      <c r="M940" s="150" t="str">
        <f t="shared" si="154"/>
        <v/>
      </c>
      <c r="N940" s="151" t="str">
        <f t="shared" si="155"/>
        <v/>
      </c>
      <c r="O940" s="151" t="str">
        <f t="shared" si="156"/>
        <v/>
      </c>
      <c r="P940" s="151" t="str">
        <f t="shared" si="157"/>
        <v/>
      </c>
      <c r="Q940" s="151" t="str">
        <f t="shared" si="158"/>
        <v/>
      </c>
      <c r="R940" s="150" t="str">
        <f t="shared" si="159"/>
        <v/>
      </c>
      <c r="S940" s="150" t="str">
        <f t="shared" si="160"/>
        <v/>
      </c>
      <c r="T940" s="150" t="str">
        <f t="shared" si="161"/>
        <v/>
      </c>
      <c r="U940" s="152"/>
      <c r="V940" s="143"/>
      <c r="W940" s="102"/>
      <c r="X940" s="102" t="str">
        <f t="shared" si="162"/>
        <v/>
      </c>
      <c r="Y940" s="102"/>
      <c r="Z940" s="102"/>
      <c r="AA940" s="102"/>
      <c r="AB940" s="102"/>
      <c r="AC940" s="102"/>
      <c r="AD940" s="102"/>
      <c r="AE940" s="102"/>
      <c r="AF940" s="102"/>
      <c r="AG940" s="102"/>
      <c r="AH940" s="102"/>
      <c r="AI940" s="102"/>
      <c r="AJ940" s="102"/>
      <c r="AK940" s="102"/>
      <c r="AL940" s="102"/>
      <c r="AM940" s="102"/>
    </row>
    <row r="941" spans="1:39">
      <c r="A941" s="143"/>
      <c r="B941" s="143"/>
      <c r="C941" s="155"/>
      <c r="D941" s="143"/>
      <c r="E941" s="146"/>
      <c r="F941" s="147"/>
      <c r="G941" s="147"/>
      <c r="H941" s="148"/>
      <c r="I941" s="143"/>
      <c r="J941" s="143"/>
      <c r="K941" s="143"/>
      <c r="L941" s="150" t="str">
        <f t="shared" si="153"/>
        <v/>
      </c>
      <c r="M941" s="150" t="str">
        <f t="shared" si="154"/>
        <v/>
      </c>
      <c r="N941" s="151" t="str">
        <f t="shared" si="155"/>
        <v/>
      </c>
      <c r="O941" s="151" t="str">
        <f t="shared" si="156"/>
        <v/>
      </c>
      <c r="P941" s="151" t="str">
        <f t="shared" si="157"/>
        <v/>
      </c>
      <c r="Q941" s="151" t="str">
        <f t="shared" si="158"/>
        <v/>
      </c>
      <c r="R941" s="150" t="str">
        <f t="shared" si="159"/>
        <v/>
      </c>
      <c r="S941" s="150" t="str">
        <f t="shared" si="160"/>
        <v/>
      </c>
      <c r="T941" s="150" t="str">
        <f t="shared" si="161"/>
        <v/>
      </c>
      <c r="U941" s="152"/>
      <c r="V941" s="143"/>
      <c r="W941" s="102"/>
      <c r="X941" s="102" t="str">
        <f t="shared" si="162"/>
        <v/>
      </c>
      <c r="Y941" s="102"/>
      <c r="Z941" s="102"/>
      <c r="AA941" s="102"/>
      <c r="AB941" s="102"/>
      <c r="AC941" s="102"/>
      <c r="AD941" s="102"/>
      <c r="AE941" s="102"/>
      <c r="AF941" s="102"/>
      <c r="AG941" s="102"/>
      <c r="AH941" s="102"/>
      <c r="AI941" s="102"/>
      <c r="AJ941" s="102"/>
      <c r="AK941" s="102"/>
      <c r="AL941" s="102"/>
      <c r="AM941" s="102"/>
    </row>
    <row r="942" spans="1:39">
      <c r="A942" s="143"/>
      <c r="B942" s="143"/>
      <c r="C942" s="155"/>
      <c r="D942" s="143"/>
      <c r="E942" s="146"/>
      <c r="F942" s="147"/>
      <c r="G942" s="147"/>
      <c r="H942" s="148"/>
      <c r="I942" s="143"/>
      <c r="J942" s="143"/>
      <c r="K942" s="143"/>
      <c r="L942" s="150" t="str">
        <f t="shared" si="153"/>
        <v/>
      </c>
      <c r="M942" s="150" t="str">
        <f t="shared" si="154"/>
        <v/>
      </c>
      <c r="N942" s="151" t="str">
        <f t="shared" si="155"/>
        <v/>
      </c>
      <c r="O942" s="151" t="str">
        <f t="shared" si="156"/>
        <v/>
      </c>
      <c r="P942" s="151" t="str">
        <f t="shared" si="157"/>
        <v/>
      </c>
      <c r="Q942" s="151" t="str">
        <f t="shared" si="158"/>
        <v/>
      </c>
      <c r="R942" s="150" t="str">
        <f t="shared" si="159"/>
        <v/>
      </c>
      <c r="S942" s="150" t="str">
        <f t="shared" si="160"/>
        <v/>
      </c>
      <c r="T942" s="150" t="str">
        <f t="shared" si="161"/>
        <v/>
      </c>
      <c r="U942" s="152"/>
      <c r="V942" s="143"/>
      <c r="W942" s="102"/>
      <c r="X942" s="102" t="str">
        <f t="shared" si="162"/>
        <v/>
      </c>
      <c r="Y942" s="102"/>
      <c r="Z942" s="102"/>
      <c r="AA942" s="102"/>
      <c r="AB942" s="102"/>
      <c r="AC942" s="102"/>
      <c r="AD942" s="102"/>
      <c r="AE942" s="102"/>
      <c r="AF942" s="102"/>
      <c r="AG942" s="102"/>
      <c r="AH942" s="102"/>
      <c r="AI942" s="102"/>
      <c r="AJ942" s="102"/>
      <c r="AK942" s="102"/>
      <c r="AL942" s="102"/>
      <c r="AM942" s="102"/>
    </row>
    <row r="943" spans="1:39">
      <c r="A943" s="143"/>
      <c r="B943" s="143"/>
      <c r="C943" s="155"/>
      <c r="D943" s="143"/>
      <c r="E943" s="146"/>
      <c r="F943" s="147"/>
      <c r="G943" s="147"/>
      <c r="H943" s="148"/>
      <c r="I943" s="143"/>
      <c r="J943" s="143"/>
      <c r="K943" s="143"/>
      <c r="L943" s="150" t="str">
        <f t="shared" si="153"/>
        <v/>
      </c>
      <c r="M943" s="150" t="str">
        <f t="shared" si="154"/>
        <v/>
      </c>
      <c r="N943" s="151" t="str">
        <f t="shared" si="155"/>
        <v/>
      </c>
      <c r="O943" s="151" t="str">
        <f t="shared" si="156"/>
        <v/>
      </c>
      <c r="P943" s="151" t="str">
        <f t="shared" si="157"/>
        <v/>
      </c>
      <c r="Q943" s="151" t="str">
        <f t="shared" si="158"/>
        <v/>
      </c>
      <c r="R943" s="150" t="str">
        <f t="shared" si="159"/>
        <v/>
      </c>
      <c r="S943" s="150" t="str">
        <f t="shared" si="160"/>
        <v/>
      </c>
      <c r="T943" s="150" t="str">
        <f t="shared" si="161"/>
        <v/>
      </c>
      <c r="U943" s="152"/>
      <c r="V943" s="143"/>
      <c r="W943" s="102"/>
      <c r="X943" s="102" t="str">
        <f t="shared" si="162"/>
        <v/>
      </c>
      <c r="Y943" s="102"/>
      <c r="Z943" s="102"/>
      <c r="AA943" s="102"/>
      <c r="AB943" s="102"/>
      <c r="AC943" s="102"/>
      <c r="AD943" s="102"/>
      <c r="AE943" s="102"/>
      <c r="AF943" s="102"/>
      <c r="AG943" s="102"/>
      <c r="AH943" s="102"/>
      <c r="AI943" s="102"/>
      <c r="AJ943" s="102"/>
      <c r="AK943" s="102"/>
      <c r="AL943" s="102"/>
      <c r="AM943" s="102"/>
    </row>
    <row r="944" spans="1:39">
      <c r="A944" s="143"/>
      <c r="B944" s="143"/>
      <c r="C944" s="155"/>
      <c r="D944" s="143"/>
      <c r="E944" s="146"/>
      <c r="F944" s="147"/>
      <c r="G944" s="147"/>
      <c r="H944" s="148"/>
      <c r="I944" s="143"/>
      <c r="J944" s="143"/>
      <c r="K944" s="143"/>
      <c r="L944" s="150" t="str">
        <f t="shared" si="153"/>
        <v/>
      </c>
      <c r="M944" s="150" t="str">
        <f t="shared" si="154"/>
        <v/>
      </c>
      <c r="N944" s="151" t="str">
        <f t="shared" si="155"/>
        <v/>
      </c>
      <c r="O944" s="151" t="str">
        <f t="shared" si="156"/>
        <v/>
      </c>
      <c r="P944" s="151" t="str">
        <f t="shared" si="157"/>
        <v/>
      </c>
      <c r="Q944" s="151" t="str">
        <f t="shared" si="158"/>
        <v/>
      </c>
      <c r="R944" s="150" t="str">
        <f t="shared" si="159"/>
        <v/>
      </c>
      <c r="S944" s="150" t="str">
        <f t="shared" si="160"/>
        <v/>
      </c>
      <c r="T944" s="150" t="str">
        <f t="shared" si="161"/>
        <v/>
      </c>
      <c r="U944" s="152"/>
      <c r="V944" s="143"/>
      <c r="W944" s="102"/>
      <c r="X944" s="102" t="str">
        <f t="shared" si="162"/>
        <v/>
      </c>
      <c r="Y944" s="102"/>
      <c r="Z944" s="102"/>
      <c r="AA944" s="102"/>
      <c r="AB944" s="102"/>
      <c r="AC944" s="102"/>
      <c r="AD944" s="102"/>
      <c r="AE944" s="102"/>
      <c r="AF944" s="102"/>
      <c r="AG944" s="102"/>
      <c r="AH944" s="102"/>
      <c r="AI944" s="102"/>
      <c r="AJ944" s="102"/>
      <c r="AK944" s="102"/>
      <c r="AL944" s="102"/>
      <c r="AM944" s="102"/>
    </row>
    <row r="945" spans="1:39">
      <c r="A945" s="143"/>
      <c r="B945" s="143"/>
      <c r="C945" s="155"/>
      <c r="D945" s="143"/>
      <c r="E945" s="146"/>
      <c r="F945" s="147"/>
      <c r="G945" s="147"/>
      <c r="H945" s="148"/>
      <c r="I945" s="143"/>
      <c r="J945" s="143"/>
      <c r="K945" s="143"/>
      <c r="L945" s="150" t="str">
        <f t="shared" si="153"/>
        <v/>
      </c>
      <c r="M945" s="150" t="str">
        <f t="shared" si="154"/>
        <v/>
      </c>
      <c r="N945" s="151" t="str">
        <f t="shared" si="155"/>
        <v/>
      </c>
      <c r="O945" s="151" t="str">
        <f t="shared" si="156"/>
        <v/>
      </c>
      <c r="P945" s="151" t="str">
        <f t="shared" si="157"/>
        <v/>
      </c>
      <c r="Q945" s="151" t="str">
        <f t="shared" si="158"/>
        <v/>
      </c>
      <c r="R945" s="150" t="str">
        <f t="shared" si="159"/>
        <v/>
      </c>
      <c r="S945" s="150" t="str">
        <f t="shared" si="160"/>
        <v/>
      </c>
      <c r="T945" s="150" t="str">
        <f t="shared" si="161"/>
        <v/>
      </c>
      <c r="U945" s="152"/>
      <c r="V945" s="143"/>
      <c r="W945" s="102"/>
      <c r="X945" s="102" t="str">
        <f t="shared" si="162"/>
        <v/>
      </c>
      <c r="Y945" s="102"/>
      <c r="Z945" s="102"/>
      <c r="AA945" s="102"/>
      <c r="AB945" s="102"/>
      <c r="AC945" s="102"/>
      <c r="AD945" s="102"/>
      <c r="AE945" s="102"/>
      <c r="AF945" s="102"/>
      <c r="AG945" s="102"/>
      <c r="AH945" s="102"/>
      <c r="AI945" s="102"/>
      <c r="AJ945" s="102"/>
      <c r="AK945" s="102"/>
      <c r="AL945" s="102"/>
      <c r="AM945" s="102"/>
    </row>
    <row r="946" spans="1:39">
      <c r="A946" s="143"/>
      <c r="B946" s="143"/>
      <c r="C946" s="155"/>
      <c r="D946" s="143"/>
      <c r="E946" s="146"/>
      <c r="F946" s="147"/>
      <c r="G946" s="147"/>
      <c r="H946" s="148"/>
      <c r="I946" s="143"/>
      <c r="J946" s="143"/>
      <c r="K946" s="143"/>
      <c r="L946" s="150" t="str">
        <f t="shared" si="153"/>
        <v/>
      </c>
      <c r="M946" s="150" t="str">
        <f t="shared" si="154"/>
        <v/>
      </c>
      <c r="N946" s="151" t="str">
        <f t="shared" si="155"/>
        <v/>
      </c>
      <c r="O946" s="151" t="str">
        <f t="shared" si="156"/>
        <v/>
      </c>
      <c r="P946" s="151" t="str">
        <f t="shared" si="157"/>
        <v/>
      </c>
      <c r="Q946" s="151" t="str">
        <f t="shared" si="158"/>
        <v/>
      </c>
      <c r="R946" s="150" t="str">
        <f t="shared" si="159"/>
        <v/>
      </c>
      <c r="S946" s="150" t="str">
        <f t="shared" si="160"/>
        <v/>
      </c>
      <c r="T946" s="150" t="str">
        <f t="shared" si="161"/>
        <v/>
      </c>
      <c r="U946" s="152"/>
      <c r="V946" s="143"/>
      <c r="W946" s="102"/>
      <c r="X946" s="102" t="str">
        <f t="shared" si="162"/>
        <v/>
      </c>
      <c r="Y946" s="102"/>
      <c r="Z946" s="102"/>
      <c r="AA946" s="102"/>
      <c r="AB946" s="102"/>
      <c r="AC946" s="102"/>
      <c r="AD946" s="102"/>
      <c r="AE946" s="102"/>
      <c r="AF946" s="102"/>
      <c r="AG946" s="102"/>
      <c r="AH946" s="102"/>
      <c r="AI946" s="102"/>
      <c r="AJ946" s="102"/>
      <c r="AK946" s="102"/>
      <c r="AL946" s="102"/>
      <c r="AM946" s="102"/>
    </row>
    <row r="947" spans="1:39">
      <c r="A947" s="143"/>
      <c r="B947" s="143"/>
      <c r="C947" s="155"/>
      <c r="D947" s="143"/>
      <c r="E947" s="146"/>
      <c r="F947" s="147"/>
      <c r="G947" s="147"/>
      <c r="H947" s="148"/>
      <c r="I947" s="143"/>
      <c r="J947" s="143"/>
      <c r="K947" s="143"/>
      <c r="L947" s="150" t="str">
        <f t="shared" si="153"/>
        <v/>
      </c>
      <c r="M947" s="150" t="str">
        <f t="shared" si="154"/>
        <v/>
      </c>
      <c r="N947" s="151" t="str">
        <f t="shared" si="155"/>
        <v/>
      </c>
      <c r="O947" s="151" t="str">
        <f t="shared" si="156"/>
        <v/>
      </c>
      <c r="P947" s="151" t="str">
        <f t="shared" si="157"/>
        <v/>
      </c>
      <c r="Q947" s="151" t="str">
        <f t="shared" si="158"/>
        <v/>
      </c>
      <c r="R947" s="150" t="str">
        <f t="shared" si="159"/>
        <v/>
      </c>
      <c r="S947" s="150" t="str">
        <f t="shared" si="160"/>
        <v/>
      </c>
      <c r="T947" s="150" t="str">
        <f t="shared" si="161"/>
        <v/>
      </c>
      <c r="U947" s="152"/>
      <c r="V947" s="143"/>
      <c r="W947" s="102"/>
      <c r="X947" s="102" t="str">
        <f t="shared" si="162"/>
        <v/>
      </c>
      <c r="Y947" s="102"/>
      <c r="Z947" s="102"/>
      <c r="AA947" s="102"/>
      <c r="AB947" s="102"/>
      <c r="AC947" s="102"/>
      <c r="AD947" s="102"/>
      <c r="AE947" s="102"/>
      <c r="AF947" s="102"/>
      <c r="AG947" s="102"/>
      <c r="AH947" s="102"/>
      <c r="AI947" s="102"/>
      <c r="AJ947" s="102"/>
      <c r="AK947" s="102"/>
      <c r="AL947" s="102"/>
      <c r="AM947" s="102"/>
    </row>
    <row r="948" spans="1:39">
      <c r="A948" s="143"/>
      <c r="B948" s="143"/>
      <c r="C948" s="155"/>
      <c r="D948" s="143"/>
      <c r="E948" s="146"/>
      <c r="F948" s="147"/>
      <c r="G948" s="147"/>
      <c r="H948" s="148"/>
      <c r="I948" s="143"/>
      <c r="J948" s="143"/>
      <c r="K948" s="143"/>
      <c r="L948" s="150" t="str">
        <f t="shared" si="153"/>
        <v/>
      </c>
      <c r="M948" s="150" t="str">
        <f t="shared" si="154"/>
        <v/>
      </c>
      <c r="N948" s="151" t="str">
        <f t="shared" si="155"/>
        <v/>
      </c>
      <c r="O948" s="151" t="str">
        <f t="shared" si="156"/>
        <v/>
      </c>
      <c r="P948" s="151" t="str">
        <f t="shared" si="157"/>
        <v/>
      </c>
      <c r="Q948" s="151" t="str">
        <f t="shared" si="158"/>
        <v/>
      </c>
      <c r="R948" s="150" t="str">
        <f t="shared" si="159"/>
        <v/>
      </c>
      <c r="S948" s="150" t="str">
        <f t="shared" si="160"/>
        <v/>
      </c>
      <c r="T948" s="150" t="str">
        <f t="shared" si="161"/>
        <v/>
      </c>
      <c r="U948" s="152"/>
      <c r="V948" s="143"/>
      <c r="W948" s="102"/>
      <c r="X948" s="102" t="str">
        <f t="shared" si="162"/>
        <v/>
      </c>
      <c r="Y948" s="102"/>
      <c r="Z948" s="102"/>
      <c r="AA948" s="102"/>
      <c r="AB948" s="102"/>
      <c r="AC948" s="102"/>
      <c r="AD948" s="102"/>
      <c r="AE948" s="102"/>
      <c r="AF948" s="102"/>
      <c r="AG948" s="102"/>
      <c r="AH948" s="102"/>
      <c r="AI948" s="102"/>
      <c r="AJ948" s="102"/>
      <c r="AK948" s="102"/>
      <c r="AL948" s="102"/>
      <c r="AM948" s="102"/>
    </row>
    <row r="949" spans="1:39">
      <c r="A949" s="143"/>
      <c r="B949" s="143"/>
      <c r="C949" s="155"/>
      <c r="D949" s="143"/>
      <c r="E949" s="146"/>
      <c r="F949" s="147"/>
      <c r="G949" s="147"/>
      <c r="H949" s="148"/>
      <c r="I949" s="143"/>
      <c r="J949" s="143"/>
      <c r="K949" s="143"/>
      <c r="L949" s="150" t="str">
        <f t="shared" si="153"/>
        <v/>
      </c>
      <c r="M949" s="150" t="str">
        <f t="shared" si="154"/>
        <v/>
      </c>
      <c r="N949" s="151" t="str">
        <f t="shared" si="155"/>
        <v/>
      </c>
      <c r="O949" s="151" t="str">
        <f t="shared" si="156"/>
        <v/>
      </c>
      <c r="P949" s="151" t="str">
        <f t="shared" si="157"/>
        <v/>
      </c>
      <c r="Q949" s="151" t="str">
        <f t="shared" si="158"/>
        <v/>
      </c>
      <c r="R949" s="150" t="str">
        <f t="shared" si="159"/>
        <v/>
      </c>
      <c r="S949" s="150" t="str">
        <f t="shared" si="160"/>
        <v/>
      </c>
      <c r="T949" s="150" t="str">
        <f t="shared" si="161"/>
        <v/>
      </c>
      <c r="U949" s="152"/>
      <c r="V949" s="143"/>
      <c r="W949" s="102"/>
      <c r="X949" s="102" t="str">
        <f t="shared" si="162"/>
        <v/>
      </c>
      <c r="Y949" s="102"/>
      <c r="Z949" s="102"/>
      <c r="AA949" s="102"/>
      <c r="AB949" s="102"/>
      <c r="AC949" s="102"/>
      <c r="AD949" s="102"/>
      <c r="AE949" s="102"/>
      <c r="AF949" s="102"/>
      <c r="AG949" s="102"/>
      <c r="AH949" s="102"/>
      <c r="AI949" s="102"/>
      <c r="AJ949" s="102"/>
      <c r="AK949" s="102"/>
      <c r="AL949" s="102"/>
      <c r="AM949" s="102"/>
    </row>
    <row r="950" spans="1:39">
      <c r="A950" s="143"/>
      <c r="B950" s="143"/>
      <c r="C950" s="155"/>
      <c r="D950" s="143"/>
      <c r="E950" s="146"/>
      <c r="F950" s="147"/>
      <c r="G950" s="147"/>
      <c r="H950" s="148"/>
      <c r="I950" s="143"/>
      <c r="J950" s="143"/>
      <c r="K950" s="143"/>
      <c r="L950" s="150" t="str">
        <f t="shared" si="153"/>
        <v/>
      </c>
      <c r="M950" s="150" t="str">
        <f t="shared" si="154"/>
        <v/>
      </c>
      <c r="N950" s="151" t="str">
        <f t="shared" si="155"/>
        <v/>
      </c>
      <c r="O950" s="151" t="str">
        <f t="shared" si="156"/>
        <v/>
      </c>
      <c r="P950" s="151" t="str">
        <f t="shared" si="157"/>
        <v/>
      </c>
      <c r="Q950" s="151" t="str">
        <f t="shared" si="158"/>
        <v/>
      </c>
      <c r="R950" s="150" t="str">
        <f t="shared" si="159"/>
        <v/>
      </c>
      <c r="S950" s="150" t="str">
        <f t="shared" si="160"/>
        <v/>
      </c>
      <c r="T950" s="150" t="str">
        <f t="shared" si="161"/>
        <v/>
      </c>
      <c r="U950" s="152"/>
      <c r="V950" s="143"/>
      <c r="W950" s="102"/>
      <c r="X950" s="102" t="str">
        <f t="shared" si="162"/>
        <v/>
      </c>
      <c r="Y950" s="102"/>
      <c r="Z950" s="102"/>
      <c r="AA950" s="102"/>
      <c r="AB950" s="102"/>
      <c r="AC950" s="102"/>
      <c r="AD950" s="102"/>
      <c r="AE950" s="102"/>
      <c r="AF950" s="102"/>
      <c r="AG950" s="102"/>
      <c r="AH950" s="102"/>
      <c r="AI950" s="102"/>
      <c r="AJ950" s="102"/>
      <c r="AK950" s="102"/>
      <c r="AL950" s="102"/>
      <c r="AM950" s="102"/>
    </row>
    <row r="951" spans="1:39">
      <c r="A951" s="143"/>
      <c r="B951" s="143"/>
      <c r="C951" s="155"/>
      <c r="D951" s="143"/>
      <c r="E951" s="146"/>
      <c r="F951" s="147"/>
      <c r="G951" s="147"/>
      <c r="H951" s="148"/>
      <c r="I951" s="143"/>
      <c r="J951" s="143"/>
      <c r="K951" s="143"/>
      <c r="L951" s="150" t="str">
        <f t="shared" si="153"/>
        <v/>
      </c>
      <c r="M951" s="150" t="str">
        <f t="shared" si="154"/>
        <v/>
      </c>
      <c r="N951" s="151" t="str">
        <f t="shared" si="155"/>
        <v/>
      </c>
      <c r="O951" s="151" t="str">
        <f t="shared" si="156"/>
        <v/>
      </c>
      <c r="P951" s="151" t="str">
        <f t="shared" si="157"/>
        <v/>
      </c>
      <c r="Q951" s="151" t="str">
        <f t="shared" si="158"/>
        <v/>
      </c>
      <c r="R951" s="150" t="str">
        <f t="shared" si="159"/>
        <v/>
      </c>
      <c r="S951" s="150" t="str">
        <f t="shared" si="160"/>
        <v/>
      </c>
      <c r="T951" s="150" t="str">
        <f t="shared" si="161"/>
        <v/>
      </c>
      <c r="U951" s="152"/>
      <c r="V951" s="143"/>
      <c r="W951" s="102"/>
      <c r="X951" s="102" t="str">
        <f t="shared" si="162"/>
        <v/>
      </c>
      <c r="Y951" s="102"/>
      <c r="Z951" s="102"/>
      <c r="AA951" s="102"/>
      <c r="AB951" s="102"/>
      <c r="AC951" s="102"/>
      <c r="AD951" s="102"/>
      <c r="AE951" s="102"/>
      <c r="AF951" s="102"/>
      <c r="AG951" s="102"/>
      <c r="AH951" s="102"/>
      <c r="AI951" s="102"/>
      <c r="AJ951" s="102"/>
      <c r="AK951" s="102"/>
      <c r="AL951" s="102"/>
      <c r="AM951" s="102"/>
    </row>
    <row r="952" spans="1:39">
      <c r="A952" s="143"/>
      <c r="B952" s="143"/>
      <c r="C952" s="155"/>
      <c r="D952" s="143"/>
      <c r="E952" s="146"/>
      <c r="F952" s="147"/>
      <c r="G952" s="147"/>
      <c r="H952" s="148"/>
      <c r="I952" s="143"/>
      <c r="J952" s="143"/>
      <c r="K952" s="143"/>
      <c r="L952" s="150" t="str">
        <f t="shared" si="153"/>
        <v/>
      </c>
      <c r="M952" s="150" t="str">
        <f t="shared" si="154"/>
        <v/>
      </c>
      <c r="N952" s="151" t="str">
        <f t="shared" si="155"/>
        <v/>
      </c>
      <c r="O952" s="151" t="str">
        <f t="shared" si="156"/>
        <v/>
      </c>
      <c r="P952" s="151" t="str">
        <f t="shared" si="157"/>
        <v/>
      </c>
      <c r="Q952" s="151" t="str">
        <f t="shared" si="158"/>
        <v/>
      </c>
      <c r="R952" s="150" t="str">
        <f t="shared" si="159"/>
        <v/>
      </c>
      <c r="S952" s="150" t="str">
        <f t="shared" si="160"/>
        <v/>
      </c>
      <c r="T952" s="150" t="str">
        <f t="shared" si="161"/>
        <v/>
      </c>
      <c r="U952" s="152"/>
      <c r="V952" s="143"/>
      <c r="W952" s="102"/>
      <c r="X952" s="102" t="str">
        <f t="shared" si="162"/>
        <v/>
      </c>
      <c r="Y952" s="102"/>
      <c r="Z952" s="102"/>
      <c r="AA952" s="102"/>
      <c r="AB952" s="102"/>
      <c r="AC952" s="102"/>
      <c r="AD952" s="102"/>
      <c r="AE952" s="102"/>
      <c r="AF952" s="102"/>
      <c r="AG952" s="102"/>
      <c r="AH952" s="102"/>
      <c r="AI952" s="102"/>
      <c r="AJ952" s="102"/>
      <c r="AK952" s="102"/>
      <c r="AL952" s="102"/>
      <c r="AM952" s="102"/>
    </row>
    <row r="953" spans="1:39">
      <c r="A953" s="143"/>
      <c r="B953" s="143"/>
      <c r="C953" s="155"/>
      <c r="D953" s="143"/>
      <c r="E953" s="146"/>
      <c r="F953" s="147"/>
      <c r="G953" s="147"/>
      <c r="H953" s="148"/>
      <c r="I953" s="143"/>
      <c r="J953" s="143"/>
      <c r="K953" s="143"/>
      <c r="L953" s="150" t="str">
        <f t="shared" si="153"/>
        <v/>
      </c>
      <c r="M953" s="150" t="str">
        <f t="shared" si="154"/>
        <v/>
      </c>
      <c r="N953" s="151" t="str">
        <f t="shared" si="155"/>
        <v/>
      </c>
      <c r="O953" s="151" t="str">
        <f t="shared" si="156"/>
        <v/>
      </c>
      <c r="P953" s="151" t="str">
        <f t="shared" si="157"/>
        <v/>
      </c>
      <c r="Q953" s="151" t="str">
        <f t="shared" si="158"/>
        <v/>
      </c>
      <c r="R953" s="150" t="str">
        <f t="shared" si="159"/>
        <v/>
      </c>
      <c r="S953" s="150" t="str">
        <f t="shared" si="160"/>
        <v/>
      </c>
      <c r="T953" s="150" t="str">
        <f t="shared" si="161"/>
        <v/>
      </c>
      <c r="U953" s="152"/>
      <c r="V953" s="143"/>
      <c r="W953" s="102"/>
      <c r="X953" s="102" t="str">
        <f t="shared" si="162"/>
        <v/>
      </c>
      <c r="Y953" s="102"/>
      <c r="Z953" s="102"/>
      <c r="AA953" s="102"/>
      <c r="AB953" s="102"/>
      <c r="AC953" s="102"/>
      <c r="AD953" s="102"/>
      <c r="AE953" s="102"/>
      <c r="AF953" s="102"/>
      <c r="AG953" s="102"/>
      <c r="AH953" s="102"/>
      <c r="AI953" s="102"/>
      <c r="AJ953" s="102"/>
      <c r="AK953" s="102"/>
      <c r="AL953" s="102"/>
      <c r="AM953" s="102"/>
    </row>
    <row r="954" spans="1:39">
      <c r="A954" s="143"/>
      <c r="B954" s="143"/>
      <c r="C954" s="155"/>
      <c r="D954" s="143"/>
      <c r="E954" s="146"/>
      <c r="F954" s="147"/>
      <c r="G954" s="147"/>
      <c r="H954" s="148"/>
      <c r="I954" s="143"/>
      <c r="J954" s="143"/>
      <c r="K954" s="143"/>
      <c r="L954" s="150" t="str">
        <f t="shared" si="153"/>
        <v/>
      </c>
      <c r="M954" s="150" t="str">
        <f t="shared" si="154"/>
        <v/>
      </c>
      <c r="N954" s="151" t="str">
        <f t="shared" si="155"/>
        <v/>
      </c>
      <c r="O954" s="151" t="str">
        <f t="shared" si="156"/>
        <v/>
      </c>
      <c r="P954" s="151" t="str">
        <f t="shared" si="157"/>
        <v/>
      </c>
      <c r="Q954" s="151" t="str">
        <f t="shared" si="158"/>
        <v/>
      </c>
      <c r="R954" s="150" t="str">
        <f t="shared" si="159"/>
        <v/>
      </c>
      <c r="S954" s="150" t="str">
        <f t="shared" si="160"/>
        <v/>
      </c>
      <c r="T954" s="150" t="str">
        <f t="shared" si="161"/>
        <v/>
      </c>
      <c r="U954" s="152"/>
      <c r="V954" s="143"/>
      <c r="W954" s="102"/>
      <c r="X954" s="102" t="str">
        <f t="shared" si="162"/>
        <v/>
      </c>
      <c r="Y954" s="102"/>
      <c r="Z954" s="102"/>
      <c r="AA954" s="102"/>
      <c r="AB954" s="102"/>
      <c r="AC954" s="102"/>
      <c r="AD954" s="102"/>
      <c r="AE954" s="102"/>
      <c r="AF954" s="102"/>
      <c r="AG954" s="102"/>
      <c r="AH954" s="102"/>
      <c r="AI954" s="102"/>
      <c r="AJ954" s="102"/>
      <c r="AK954" s="102"/>
      <c r="AL954" s="102"/>
      <c r="AM954" s="102"/>
    </row>
    <row r="955" spans="1:39">
      <c r="A955" s="143"/>
      <c r="B955" s="143"/>
      <c r="C955" s="155"/>
      <c r="D955" s="143"/>
      <c r="E955" s="146"/>
      <c r="F955" s="147"/>
      <c r="G955" s="147"/>
      <c r="H955" s="148"/>
      <c r="I955" s="143"/>
      <c r="J955" s="143"/>
      <c r="K955" s="143"/>
      <c r="L955" s="150" t="str">
        <f t="shared" si="153"/>
        <v/>
      </c>
      <c r="M955" s="150" t="str">
        <f t="shared" si="154"/>
        <v/>
      </c>
      <c r="N955" s="151" t="str">
        <f t="shared" si="155"/>
        <v/>
      </c>
      <c r="O955" s="151" t="str">
        <f t="shared" si="156"/>
        <v/>
      </c>
      <c r="P955" s="151" t="str">
        <f t="shared" si="157"/>
        <v/>
      </c>
      <c r="Q955" s="151" t="str">
        <f t="shared" si="158"/>
        <v/>
      </c>
      <c r="R955" s="150" t="str">
        <f t="shared" si="159"/>
        <v/>
      </c>
      <c r="S955" s="150" t="str">
        <f t="shared" si="160"/>
        <v/>
      </c>
      <c r="T955" s="150" t="str">
        <f t="shared" si="161"/>
        <v/>
      </c>
      <c r="U955" s="152"/>
      <c r="V955" s="143"/>
      <c r="W955" s="102"/>
      <c r="X955" s="102" t="str">
        <f t="shared" si="162"/>
        <v/>
      </c>
      <c r="Y955" s="102"/>
      <c r="Z955" s="102"/>
      <c r="AA955" s="102"/>
      <c r="AB955" s="102"/>
      <c r="AC955" s="102"/>
      <c r="AD955" s="102"/>
      <c r="AE955" s="102"/>
      <c r="AF955" s="102"/>
      <c r="AG955" s="102"/>
      <c r="AH955" s="102"/>
      <c r="AI955" s="102"/>
      <c r="AJ955" s="102"/>
      <c r="AK955" s="102"/>
      <c r="AL955" s="102"/>
      <c r="AM955" s="102"/>
    </row>
    <row r="956" spans="1:39">
      <c r="A956" s="143"/>
      <c r="B956" s="143"/>
      <c r="C956" s="155"/>
      <c r="D956" s="143"/>
      <c r="E956" s="146"/>
      <c r="F956" s="147"/>
      <c r="G956" s="147"/>
      <c r="H956" s="148"/>
      <c r="I956" s="143"/>
      <c r="J956" s="143"/>
      <c r="K956" s="143"/>
      <c r="L956" s="150" t="str">
        <f t="shared" si="153"/>
        <v/>
      </c>
      <c r="M956" s="150" t="str">
        <f t="shared" si="154"/>
        <v/>
      </c>
      <c r="N956" s="151" t="str">
        <f t="shared" si="155"/>
        <v/>
      </c>
      <c r="O956" s="151" t="str">
        <f t="shared" si="156"/>
        <v/>
      </c>
      <c r="P956" s="151" t="str">
        <f t="shared" si="157"/>
        <v/>
      </c>
      <c r="Q956" s="151" t="str">
        <f t="shared" si="158"/>
        <v/>
      </c>
      <c r="R956" s="150" t="str">
        <f t="shared" si="159"/>
        <v/>
      </c>
      <c r="S956" s="150" t="str">
        <f t="shared" si="160"/>
        <v/>
      </c>
      <c r="T956" s="150" t="str">
        <f t="shared" si="161"/>
        <v/>
      </c>
      <c r="U956" s="152"/>
      <c r="V956" s="143"/>
      <c r="W956" s="102"/>
      <c r="X956" s="102" t="str">
        <f t="shared" si="162"/>
        <v/>
      </c>
      <c r="Y956" s="102"/>
      <c r="Z956" s="102"/>
      <c r="AA956" s="102"/>
      <c r="AB956" s="102"/>
      <c r="AC956" s="102"/>
      <c r="AD956" s="102"/>
      <c r="AE956" s="102"/>
      <c r="AF956" s="102"/>
      <c r="AG956" s="102"/>
      <c r="AH956" s="102"/>
      <c r="AI956" s="102"/>
      <c r="AJ956" s="102"/>
      <c r="AK956" s="102"/>
      <c r="AL956" s="102"/>
      <c r="AM956" s="102"/>
    </row>
    <row r="957" spans="1:39">
      <c r="A957" s="143"/>
      <c r="B957" s="143"/>
      <c r="C957" s="155"/>
      <c r="D957" s="143"/>
      <c r="E957" s="146"/>
      <c r="F957" s="147"/>
      <c r="G957" s="147"/>
      <c r="H957" s="148"/>
      <c r="I957" s="143"/>
      <c r="J957" s="143"/>
      <c r="K957" s="143"/>
      <c r="L957" s="150" t="str">
        <f t="shared" si="153"/>
        <v/>
      </c>
      <c r="M957" s="150" t="str">
        <f t="shared" si="154"/>
        <v/>
      </c>
      <c r="N957" s="151" t="str">
        <f t="shared" si="155"/>
        <v/>
      </c>
      <c r="O957" s="151" t="str">
        <f t="shared" si="156"/>
        <v/>
      </c>
      <c r="P957" s="151" t="str">
        <f t="shared" si="157"/>
        <v/>
      </c>
      <c r="Q957" s="151" t="str">
        <f t="shared" si="158"/>
        <v/>
      </c>
      <c r="R957" s="150" t="str">
        <f t="shared" si="159"/>
        <v/>
      </c>
      <c r="S957" s="150" t="str">
        <f t="shared" si="160"/>
        <v/>
      </c>
      <c r="T957" s="150" t="str">
        <f t="shared" si="161"/>
        <v/>
      </c>
      <c r="U957" s="152"/>
      <c r="V957" s="143"/>
      <c r="W957" s="102"/>
      <c r="X957" s="102" t="str">
        <f t="shared" si="162"/>
        <v/>
      </c>
      <c r="Y957" s="102"/>
      <c r="Z957" s="102"/>
      <c r="AA957" s="102"/>
      <c r="AB957" s="102"/>
      <c r="AC957" s="102"/>
      <c r="AD957" s="102"/>
      <c r="AE957" s="102"/>
      <c r="AF957" s="102"/>
      <c r="AG957" s="102"/>
      <c r="AH957" s="102"/>
      <c r="AI957" s="102"/>
      <c r="AJ957" s="102"/>
      <c r="AK957" s="102"/>
      <c r="AL957" s="102"/>
      <c r="AM957" s="102"/>
    </row>
    <row r="958" spans="1:39">
      <c r="A958" s="143"/>
      <c r="B958" s="143"/>
      <c r="C958" s="155"/>
      <c r="D958" s="143"/>
      <c r="E958" s="146"/>
      <c r="F958" s="147"/>
      <c r="G958" s="147"/>
      <c r="H958" s="148"/>
      <c r="I958" s="143"/>
      <c r="J958" s="143"/>
      <c r="K958" s="143"/>
      <c r="L958" s="150" t="str">
        <f t="shared" si="153"/>
        <v/>
      </c>
      <c r="M958" s="150" t="str">
        <f t="shared" si="154"/>
        <v/>
      </c>
      <c r="N958" s="151" t="str">
        <f t="shared" si="155"/>
        <v/>
      </c>
      <c r="O958" s="151" t="str">
        <f t="shared" si="156"/>
        <v/>
      </c>
      <c r="P958" s="151" t="str">
        <f t="shared" si="157"/>
        <v/>
      </c>
      <c r="Q958" s="151" t="str">
        <f t="shared" si="158"/>
        <v/>
      </c>
      <c r="R958" s="150" t="str">
        <f t="shared" si="159"/>
        <v/>
      </c>
      <c r="S958" s="150" t="str">
        <f t="shared" si="160"/>
        <v/>
      </c>
      <c r="T958" s="150" t="str">
        <f t="shared" si="161"/>
        <v/>
      </c>
      <c r="U958" s="152"/>
      <c r="V958" s="143"/>
      <c r="W958" s="102"/>
      <c r="X958" s="102" t="str">
        <f t="shared" si="162"/>
        <v/>
      </c>
      <c r="Y958" s="102"/>
      <c r="Z958" s="102"/>
      <c r="AA958" s="102"/>
      <c r="AB958" s="102"/>
      <c r="AC958" s="102"/>
      <c r="AD958" s="102"/>
      <c r="AE958" s="102"/>
      <c r="AF958" s="102"/>
      <c r="AG958" s="102"/>
      <c r="AH958" s="102"/>
      <c r="AI958" s="102"/>
      <c r="AJ958" s="102"/>
      <c r="AK958" s="102"/>
      <c r="AL958" s="102"/>
      <c r="AM958" s="102"/>
    </row>
    <row r="959" spans="1:39">
      <c r="A959" s="143"/>
      <c r="B959" s="143"/>
      <c r="C959" s="155"/>
      <c r="D959" s="143"/>
      <c r="E959" s="146"/>
      <c r="F959" s="147"/>
      <c r="G959" s="147"/>
      <c r="H959" s="148"/>
      <c r="I959" s="143"/>
      <c r="J959" s="143"/>
      <c r="K959" s="143"/>
      <c r="L959" s="150" t="str">
        <f t="shared" si="153"/>
        <v/>
      </c>
      <c r="M959" s="150" t="str">
        <f t="shared" si="154"/>
        <v/>
      </c>
      <c r="N959" s="151" t="str">
        <f t="shared" si="155"/>
        <v/>
      </c>
      <c r="O959" s="151" t="str">
        <f t="shared" si="156"/>
        <v/>
      </c>
      <c r="P959" s="151" t="str">
        <f t="shared" si="157"/>
        <v/>
      </c>
      <c r="Q959" s="151" t="str">
        <f t="shared" si="158"/>
        <v/>
      </c>
      <c r="R959" s="150" t="str">
        <f t="shared" si="159"/>
        <v/>
      </c>
      <c r="S959" s="150" t="str">
        <f t="shared" si="160"/>
        <v/>
      </c>
      <c r="T959" s="150" t="str">
        <f t="shared" si="161"/>
        <v/>
      </c>
      <c r="U959" s="152"/>
      <c r="V959" s="143"/>
      <c r="W959" s="102"/>
      <c r="X959" s="102" t="str">
        <f t="shared" si="162"/>
        <v/>
      </c>
      <c r="Y959" s="102"/>
      <c r="Z959" s="102"/>
      <c r="AA959" s="102"/>
      <c r="AB959" s="102"/>
      <c r="AC959" s="102"/>
      <c r="AD959" s="102"/>
      <c r="AE959" s="102"/>
      <c r="AF959" s="102"/>
      <c r="AG959" s="102"/>
      <c r="AH959" s="102"/>
      <c r="AI959" s="102"/>
      <c r="AJ959" s="102"/>
      <c r="AK959" s="102"/>
      <c r="AL959" s="102"/>
      <c r="AM959" s="102"/>
    </row>
    <row r="960" spans="1:39">
      <c r="A960" s="143"/>
      <c r="B960" s="143"/>
      <c r="C960" s="155"/>
      <c r="D960" s="143"/>
      <c r="E960" s="146"/>
      <c r="F960" s="147"/>
      <c r="G960" s="147"/>
      <c r="H960" s="148"/>
      <c r="I960" s="143"/>
      <c r="J960" s="143"/>
      <c r="K960" s="143"/>
      <c r="L960" s="150" t="str">
        <f t="shared" si="153"/>
        <v/>
      </c>
      <c r="M960" s="150" t="str">
        <f t="shared" si="154"/>
        <v/>
      </c>
      <c r="N960" s="151" t="str">
        <f t="shared" si="155"/>
        <v/>
      </c>
      <c r="O960" s="151" t="str">
        <f t="shared" si="156"/>
        <v/>
      </c>
      <c r="P960" s="151" t="str">
        <f t="shared" si="157"/>
        <v/>
      </c>
      <c r="Q960" s="151" t="str">
        <f t="shared" si="158"/>
        <v/>
      </c>
      <c r="R960" s="150" t="str">
        <f t="shared" si="159"/>
        <v/>
      </c>
      <c r="S960" s="150" t="str">
        <f t="shared" si="160"/>
        <v/>
      </c>
      <c r="T960" s="150" t="str">
        <f t="shared" si="161"/>
        <v/>
      </c>
      <c r="U960" s="152"/>
      <c r="V960" s="143"/>
      <c r="W960" s="102"/>
      <c r="X960" s="102" t="str">
        <f t="shared" si="162"/>
        <v/>
      </c>
      <c r="Y960" s="102"/>
      <c r="Z960" s="102"/>
      <c r="AA960" s="102"/>
      <c r="AB960" s="102"/>
      <c r="AC960" s="102"/>
      <c r="AD960" s="102"/>
      <c r="AE960" s="102"/>
      <c r="AF960" s="102"/>
      <c r="AG960" s="102"/>
      <c r="AH960" s="102"/>
      <c r="AI960" s="102"/>
      <c r="AJ960" s="102"/>
      <c r="AK960" s="102"/>
      <c r="AL960" s="102"/>
      <c r="AM960" s="102"/>
    </row>
    <row r="961" spans="1:39">
      <c r="A961" s="143"/>
      <c r="B961" s="143"/>
      <c r="C961" s="155"/>
      <c r="D961" s="143"/>
      <c r="E961" s="146"/>
      <c r="F961" s="147"/>
      <c r="G961" s="147"/>
      <c r="H961" s="148"/>
      <c r="I961" s="143"/>
      <c r="J961" s="143"/>
      <c r="K961" s="143"/>
      <c r="L961" s="150" t="str">
        <f t="shared" si="153"/>
        <v/>
      </c>
      <c r="M961" s="150" t="str">
        <f t="shared" si="154"/>
        <v/>
      </c>
      <c r="N961" s="151" t="str">
        <f t="shared" si="155"/>
        <v/>
      </c>
      <c r="O961" s="151" t="str">
        <f t="shared" si="156"/>
        <v/>
      </c>
      <c r="P961" s="151" t="str">
        <f t="shared" si="157"/>
        <v/>
      </c>
      <c r="Q961" s="151" t="str">
        <f t="shared" si="158"/>
        <v/>
      </c>
      <c r="R961" s="150" t="str">
        <f t="shared" si="159"/>
        <v/>
      </c>
      <c r="S961" s="150" t="str">
        <f t="shared" si="160"/>
        <v/>
      </c>
      <c r="T961" s="150" t="str">
        <f t="shared" si="161"/>
        <v/>
      </c>
      <c r="U961" s="152"/>
      <c r="V961" s="143"/>
      <c r="W961" s="102"/>
      <c r="X961" s="102" t="str">
        <f t="shared" si="162"/>
        <v/>
      </c>
      <c r="Y961" s="102"/>
      <c r="Z961" s="102"/>
      <c r="AA961" s="102"/>
      <c r="AB961" s="102"/>
      <c r="AC961" s="102"/>
      <c r="AD961" s="102"/>
      <c r="AE961" s="102"/>
      <c r="AF961" s="102"/>
      <c r="AG961" s="102"/>
      <c r="AH961" s="102"/>
      <c r="AI961" s="102"/>
      <c r="AJ961" s="102"/>
      <c r="AK961" s="102"/>
      <c r="AL961" s="102"/>
      <c r="AM961" s="102"/>
    </row>
    <row r="962" spans="1:39">
      <c r="A962" s="143"/>
      <c r="B962" s="143"/>
      <c r="C962" s="155"/>
      <c r="D962" s="143"/>
      <c r="E962" s="146"/>
      <c r="F962" s="147"/>
      <c r="G962" s="147"/>
      <c r="H962" s="148"/>
      <c r="I962" s="143"/>
      <c r="J962" s="143"/>
      <c r="K962" s="143"/>
      <c r="L962" s="150" t="str">
        <f t="shared" si="153"/>
        <v/>
      </c>
      <c r="M962" s="150" t="str">
        <f t="shared" si="154"/>
        <v/>
      </c>
      <c r="N962" s="151" t="str">
        <f t="shared" si="155"/>
        <v/>
      </c>
      <c r="O962" s="151" t="str">
        <f t="shared" si="156"/>
        <v/>
      </c>
      <c r="P962" s="151" t="str">
        <f t="shared" si="157"/>
        <v/>
      </c>
      <c r="Q962" s="151" t="str">
        <f t="shared" si="158"/>
        <v/>
      </c>
      <c r="R962" s="150" t="str">
        <f t="shared" si="159"/>
        <v/>
      </c>
      <c r="S962" s="150" t="str">
        <f t="shared" si="160"/>
        <v/>
      </c>
      <c r="T962" s="150" t="str">
        <f t="shared" si="161"/>
        <v/>
      </c>
      <c r="U962" s="152"/>
      <c r="V962" s="143"/>
      <c r="W962" s="102"/>
      <c r="X962" s="102" t="str">
        <f t="shared" si="162"/>
        <v/>
      </c>
      <c r="Y962" s="102"/>
      <c r="Z962" s="102"/>
      <c r="AA962" s="102"/>
      <c r="AB962" s="102"/>
      <c r="AC962" s="102"/>
      <c r="AD962" s="102"/>
      <c r="AE962" s="102"/>
      <c r="AF962" s="102"/>
      <c r="AG962" s="102"/>
      <c r="AH962" s="102"/>
      <c r="AI962" s="102"/>
      <c r="AJ962" s="102"/>
      <c r="AK962" s="102"/>
      <c r="AL962" s="102"/>
      <c r="AM962" s="102"/>
    </row>
    <row r="963" spans="1:39">
      <c r="A963" s="143"/>
      <c r="B963" s="143"/>
      <c r="C963" s="155"/>
      <c r="D963" s="143"/>
      <c r="E963" s="146"/>
      <c r="F963" s="147"/>
      <c r="G963" s="147"/>
      <c r="H963" s="148"/>
      <c r="I963" s="143"/>
      <c r="J963" s="143"/>
      <c r="K963" s="143"/>
      <c r="L963" s="150" t="str">
        <f t="shared" si="153"/>
        <v/>
      </c>
      <c r="M963" s="150" t="str">
        <f t="shared" si="154"/>
        <v/>
      </c>
      <c r="N963" s="151" t="str">
        <f t="shared" si="155"/>
        <v/>
      </c>
      <c r="O963" s="151" t="str">
        <f t="shared" si="156"/>
        <v/>
      </c>
      <c r="P963" s="151" t="str">
        <f t="shared" si="157"/>
        <v/>
      </c>
      <c r="Q963" s="151" t="str">
        <f t="shared" si="158"/>
        <v/>
      </c>
      <c r="R963" s="150" t="str">
        <f t="shared" si="159"/>
        <v/>
      </c>
      <c r="S963" s="150" t="str">
        <f t="shared" si="160"/>
        <v/>
      </c>
      <c r="T963" s="150" t="str">
        <f t="shared" si="161"/>
        <v/>
      </c>
      <c r="U963" s="152"/>
      <c r="V963" s="143"/>
      <c r="W963" s="102"/>
      <c r="X963" s="102" t="str">
        <f t="shared" si="162"/>
        <v/>
      </c>
      <c r="Y963" s="102"/>
      <c r="Z963" s="102"/>
      <c r="AA963" s="102"/>
      <c r="AB963" s="102"/>
      <c r="AC963" s="102"/>
      <c r="AD963" s="102"/>
      <c r="AE963" s="102"/>
      <c r="AF963" s="102"/>
      <c r="AG963" s="102"/>
      <c r="AH963" s="102"/>
      <c r="AI963" s="102"/>
      <c r="AJ963" s="102"/>
      <c r="AK963" s="102"/>
      <c r="AL963" s="102"/>
      <c r="AM963" s="102"/>
    </row>
    <row r="964" spans="1:39">
      <c r="A964" s="143"/>
      <c r="B964" s="143"/>
      <c r="C964" s="155"/>
      <c r="D964" s="143"/>
      <c r="E964" s="146"/>
      <c r="F964" s="147"/>
      <c r="G964" s="147"/>
      <c r="H964" s="148"/>
      <c r="I964" s="143"/>
      <c r="J964" s="143"/>
      <c r="K964" s="143"/>
      <c r="L964" s="150" t="str">
        <f t="shared" si="153"/>
        <v/>
      </c>
      <c r="M964" s="150" t="str">
        <f t="shared" si="154"/>
        <v/>
      </c>
      <c r="N964" s="151" t="str">
        <f t="shared" si="155"/>
        <v/>
      </c>
      <c r="O964" s="151" t="str">
        <f t="shared" si="156"/>
        <v/>
      </c>
      <c r="P964" s="151" t="str">
        <f t="shared" si="157"/>
        <v/>
      </c>
      <c r="Q964" s="151" t="str">
        <f t="shared" si="158"/>
        <v/>
      </c>
      <c r="R964" s="150" t="str">
        <f t="shared" si="159"/>
        <v/>
      </c>
      <c r="S964" s="150" t="str">
        <f t="shared" si="160"/>
        <v/>
      </c>
      <c r="T964" s="150" t="str">
        <f t="shared" si="161"/>
        <v/>
      </c>
      <c r="U964" s="152"/>
      <c r="V964" s="143"/>
      <c r="W964" s="102"/>
      <c r="X964" s="102" t="str">
        <f t="shared" si="162"/>
        <v/>
      </c>
      <c r="Y964" s="102"/>
      <c r="Z964" s="102"/>
      <c r="AA964" s="102"/>
      <c r="AB964" s="102"/>
      <c r="AC964" s="102"/>
      <c r="AD964" s="102"/>
      <c r="AE964" s="102"/>
      <c r="AF964" s="102"/>
      <c r="AG964" s="102"/>
      <c r="AH964" s="102"/>
      <c r="AI964" s="102"/>
      <c r="AJ964" s="102"/>
      <c r="AK964" s="102"/>
      <c r="AL964" s="102"/>
      <c r="AM964" s="102"/>
    </row>
    <row r="965" spans="1:39">
      <c r="A965" s="143"/>
      <c r="B965" s="143"/>
      <c r="C965" s="155"/>
      <c r="D965" s="143"/>
      <c r="E965" s="146"/>
      <c r="F965" s="147"/>
      <c r="G965" s="147"/>
      <c r="H965" s="148"/>
      <c r="I965" s="143"/>
      <c r="J965" s="143"/>
      <c r="K965" s="143"/>
      <c r="L965" s="150" t="str">
        <f t="shared" si="153"/>
        <v/>
      </c>
      <c r="M965" s="150" t="str">
        <f t="shared" si="154"/>
        <v/>
      </c>
      <c r="N965" s="151" t="str">
        <f t="shared" si="155"/>
        <v/>
      </c>
      <c r="O965" s="151" t="str">
        <f t="shared" si="156"/>
        <v/>
      </c>
      <c r="P965" s="151" t="str">
        <f t="shared" si="157"/>
        <v/>
      </c>
      <c r="Q965" s="151" t="str">
        <f t="shared" si="158"/>
        <v/>
      </c>
      <c r="R965" s="150" t="str">
        <f t="shared" si="159"/>
        <v/>
      </c>
      <c r="S965" s="150" t="str">
        <f t="shared" si="160"/>
        <v/>
      </c>
      <c r="T965" s="150" t="str">
        <f t="shared" si="161"/>
        <v/>
      </c>
      <c r="U965" s="152"/>
      <c r="V965" s="143"/>
      <c r="W965" s="102"/>
      <c r="X965" s="102" t="str">
        <f t="shared" si="162"/>
        <v/>
      </c>
      <c r="Y965" s="102"/>
      <c r="Z965" s="102"/>
      <c r="AA965" s="102"/>
      <c r="AB965" s="102"/>
      <c r="AC965" s="102"/>
      <c r="AD965" s="102"/>
      <c r="AE965" s="102"/>
      <c r="AF965" s="102"/>
      <c r="AG965" s="102"/>
      <c r="AH965" s="102"/>
      <c r="AI965" s="102"/>
      <c r="AJ965" s="102"/>
      <c r="AK965" s="102"/>
      <c r="AL965" s="102"/>
      <c r="AM965" s="102"/>
    </row>
    <row r="966" spans="1:39">
      <c r="A966" s="143"/>
      <c r="B966" s="143"/>
      <c r="C966" s="155"/>
      <c r="D966" s="143"/>
      <c r="E966" s="146"/>
      <c r="F966" s="147"/>
      <c r="G966" s="147"/>
      <c r="H966" s="148"/>
      <c r="I966" s="143"/>
      <c r="J966" s="143"/>
      <c r="K966" s="143"/>
      <c r="L966" s="150" t="str">
        <f t="shared" si="153"/>
        <v/>
      </c>
      <c r="M966" s="150" t="str">
        <f t="shared" si="154"/>
        <v/>
      </c>
      <c r="N966" s="151" t="str">
        <f t="shared" si="155"/>
        <v/>
      </c>
      <c r="O966" s="151" t="str">
        <f t="shared" si="156"/>
        <v/>
      </c>
      <c r="P966" s="151" t="str">
        <f t="shared" si="157"/>
        <v/>
      </c>
      <c r="Q966" s="151" t="str">
        <f t="shared" si="158"/>
        <v/>
      </c>
      <c r="R966" s="150" t="str">
        <f t="shared" si="159"/>
        <v/>
      </c>
      <c r="S966" s="150" t="str">
        <f t="shared" si="160"/>
        <v/>
      </c>
      <c r="T966" s="150" t="str">
        <f t="shared" si="161"/>
        <v/>
      </c>
      <c r="U966" s="152"/>
      <c r="V966" s="143"/>
      <c r="W966" s="102"/>
      <c r="X966" s="102" t="str">
        <f t="shared" si="162"/>
        <v/>
      </c>
      <c r="Y966" s="102"/>
      <c r="Z966" s="102"/>
      <c r="AA966" s="102"/>
      <c r="AB966" s="102"/>
      <c r="AC966" s="102"/>
      <c r="AD966" s="102"/>
      <c r="AE966" s="102"/>
      <c r="AF966" s="102"/>
      <c r="AG966" s="102"/>
      <c r="AH966" s="102"/>
      <c r="AI966" s="102"/>
      <c r="AJ966" s="102"/>
      <c r="AK966" s="102"/>
      <c r="AL966" s="102"/>
      <c r="AM966" s="102"/>
    </row>
    <row r="967" spans="1:39">
      <c r="A967" s="143"/>
      <c r="B967" s="143"/>
      <c r="C967" s="155"/>
      <c r="D967" s="143"/>
      <c r="E967" s="146"/>
      <c r="F967" s="147"/>
      <c r="G967" s="147"/>
      <c r="H967" s="148"/>
      <c r="I967" s="143"/>
      <c r="J967" s="143"/>
      <c r="K967" s="143"/>
      <c r="L967" s="150" t="str">
        <f t="shared" si="153"/>
        <v/>
      </c>
      <c r="M967" s="150" t="str">
        <f t="shared" si="154"/>
        <v/>
      </c>
      <c r="N967" s="151" t="str">
        <f t="shared" si="155"/>
        <v/>
      </c>
      <c r="O967" s="151" t="str">
        <f t="shared" si="156"/>
        <v/>
      </c>
      <c r="P967" s="151" t="str">
        <f t="shared" si="157"/>
        <v/>
      </c>
      <c r="Q967" s="151" t="str">
        <f t="shared" si="158"/>
        <v/>
      </c>
      <c r="R967" s="150" t="str">
        <f t="shared" si="159"/>
        <v/>
      </c>
      <c r="S967" s="150" t="str">
        <f t="shared" si="160"/>
        <v/>
      </c>
      <c r="T967" s="150" t="str">
        <f t="shared" si="161"/>
        <v/>
      </c>
      <c r="U967" s="152"/>
      <c r="V967" s="143"/>
      <c r="W967" s="102"/>
      <c r="X967" s="102" t="str">
        <f t="shared" si="162"/>
        <v/>
      </c>
      <c r="Y967" s="102"/>
      <c r="Z967" s="102"/>
      <c r="AA967" s="102"/>
      <c r="AB967" s="102"/>
      <c r="AC967" s="102"/>
      <c r="AD967" s="102"/>
      <c r="AE967" s="102"/>
      <c r="AF967" s="102"/>
      <c r="AG967" s="102"/>
      <c r="AH967" s="102"/>
      <c r="AI967" s="102"/>
      <c r="AJ967" s="102"/>
      <c r="AK967" s="102"/>
      <c r="AL967" s="102"/>
      <c r="AM967" s="102"/>
    </row>
    <row r="968" spans="1:39">
      <c r="A968" s="143"/>
      <c r="B968" s="143"/>
      <c r="C968" s="155"/>
      <c r="D968" s="143"/>
      <c r="E968" s="146"/>
      <c r="F968" s="147"/>
      <c r="G968" s="147"/>
      <c r="H968" s="148"/>
      <c r="I968" s="143"/>
      <c r="J968" s="143"/>
      <c r="K968" s="143"/>
      <c r="L968" s="150" t="str">
        <f t="shared" si="153"/>
        <v/>
      </c>
      <c r="M968" s="150" t="str">
        <f t="shared" si="154"/>
        <v/>
      </c>
      <c r="N968" s="151" t="str">
        <f t="shared" si="155"/>
        <v/>
      </c>
      <c r="O968" s="151" t="str">
        <f t="shared" si="156"/>
        <v/>
      </c>
      <c r="P968" s="151" t="str">
        <f t="shared" si="157"/>
        <v/>
      </c>
      <c r="Q968" s="151" t="str">
        <f t="shared" si="158"/>
        <v/>
      </c>
      <c r="R968" s="150" t="str">
        <f t="shared" si="159"/>
        <v/>
      </c>
      <c r="S968" s="150" t="str">
        <f t="shared" si="160"/>
        <v/>
      </c>
      <c r="T968" s="150" t="str">
        <f t="shared" si="161"/>
        <v/>
      </c>
      <c r="U968" s="152"/>
      <c r="V968" s="143"/>
      <c r="W968" s="102"/>
      <c r="X968" s="102" t="str">
        <f t="shared" si="162"/>
        <v/>
      </c>
      <c r="Y968" s="102"/>
      <c r="Z968" s="102"/>
      <c r="AA968" s="102"/>
      <c r="AB968" s="102"/>
      <c r="AC968" s="102"/>
      <c r="AD968" s="102"/>
      <c r="AE968" s="102"/>
      <c r="AF968" s="102"/>
      <c r="AG968" s="102"/>
      <c r="AH968" s="102"/>
      <c r="AI968" s="102"/>
      <c r="AJ968" s="102"/>
      <c r="AK968" s="102"/>
      <c r="AL968" s="102"/>
      <c r="AM968" s="102"/>
    </row>
    <row r="969" spans="1:39">
      <c r="A969" s="143"/>
      <c r="B969" s="143"/>
      <c r="C969" s="155"/>
      <c r="D969" s="143"/>
      <c r="E969" s="146"/>
      <c r="F969" s="147"/>
      <c r="G969" s="147"/>
      <c r="H969" s="148"/>
      <c r="I969" s="143"/>
      <c r="J969" s="143"/>
      <c r="K969" s="143"/>
      <c r="L969" s="150" t="str">
        <f t="shared" si="153"/>
        <v/>
      </c>
      <c r="M969" s="150" t="str">
        <f t="shared" si="154"/>
        <v/>
      </c>
      <c r="N969" s="151" t="str">
        <f t="shared" si="155"/>
        <v/>
      </c>
      <c r="O969" s="151" t="str">
        <f t="shared" si="156"/>
        <v/>
      </c>
      <c r="P969" s="151" t="str">
        <f t="shared" si="157"/>
        <v/>
      </c>
      <c r="Q969" s="151" t="str">
        <f t="shared" si="158"/>
        <v/>
      </c>
      <c r="R969" s="150" t="str">
        <f t="shared" si="159"/>
        <v/>
      </c>
      <c r="S969" s="150" t="str">
        <f t="shared" si="160"/>
        <v/>
      </c>
      <c r="T969" s="150" t="str">
        <f t="shared" si="161"/>
        <v/>
      </c>
      <c r="U969" s="152"/>
      <c r="V969" s="143"/>
      <c r="W969" s="102"/>
      <c r="X969" s="102" t="str">
        <f t="shared" si="162"/>
        <v/>
      </c>
      <c r="Y969" s="102"/>
      <c r="Z969" s="102"/>
      <c r="AA969" s="102"/>
      <c r="AB969" s="102"/>
      <c r="AC969" s="102"/>
      <c r="AD969" s="102"/>
      <c r="AE969" s="102"/>
      <c r="AF969" s="102"/>
      <c r="AG969" s="102"/>
      <c r="AH969" s="102"/>
      <c r="AI969" s="102"/>
      <c r="AJ969" s="102"/>
      <c r="AK969" s="102"/>
      <c r="AL969" s="102"/>
      <c r="AM969" s="102"/>
    </row>
    <row r="970" spans="1:39">
      <c r="A970" s="143"/>
      <c r="B970" s="143"/>
      <c r="C970" s="155"/>
      <c r="D970" s="143"/>
      <c r="E970" s="146"/>
      <c r="F970" s="147"/>
      <c r="G970" s="147"/>
      <c r="H970" s="148"/>
      <c r="I970" s="143"/>
      <c r="J970" s="143"/>
      <c r="K970" s="143"/>
      <c r="L970" s="150" t="str">
        <f t="shared" ref="L970:L979" si="163">IF(K970="","",IF(K970="W",R970*J970-J970,IF(K970="L",-J970,0)))</f>
        <v/>
      </c>
      <c r="M970" s="150" t="str">
        <f t="shared" ref="M970:M979" si="164">IF(K970="","",IF(K970="W",S970*J970-J970,IF(K970="L",-J970,0)))</f>
        <v/>
      </c>
      <c r="N970" s="151" t="str">
        <f t="shared" ref="N970:N979" si="165">IFERROR((1/S970-1/R970)/(1/R970),"")</f>
        <v/>
      </c>
      <c r="O970" s="151" t="str">
        <f t="shared" ref="O970:O979" si="166">IFERROR(IF(Q970="","",P970 - Q970),"")</f>
        <v/>
      </c>
      <c r="P970" s="151" t="str">
        <f t="shared" ref="P970:P979" si="167">IF(F970="","",IF(F970 &lt; 0, -F970 / (-F970 + 100), 100 / (F970 + 100)))</f>
        <v/>
      </c>
      <c r="Q970" s="151" t="str">
        <f t="shared" ref="Q970:Q979" si="168">IFERROR((1/S970) / ((1/S970) + (1/T970)),"")</f>
        <v/>
      </c>
      <c r="R970" s="150" t="str">
        <f t="shared" ref="R970:R979" si="169">IFERROR(IF(G970&gt;0, G970/100 + 1, 100/ABS(G970) + 1),"")</f>
        <v/>
      </c>
      <c r="S970" s="150" t="str">
        <f t="shared" ref="S970:S979" si="170">IFERROR(IF(H970&gt;0, H970/100 + 1, 100/ABS(H970) + 1),"")</f>
        <v/>
      </c>
      <c r="T970" s="150" t="str">
        <f t="shared" ref="T970:T979" si="171">IFERROR(IF(I970&gt;0, I970/100 + 1, 100/ABS(I970) + 1),"")</f>
        <v/>
      </c>
      <c r="U970" s="152"/>
      <c r="V970" s="143"/>
      <c r="W970" s="102"/>
      <c r="X970" s="102" t="str">
        <f t="shared" ref="X970:X979" si="172">IF(B970=$D$3,U970,"")</f>
        <v/>
      </c>
      <c r="Y970" s="102"/>
      <c r="Z970" s="102"/>
      <c r="AA970" s="102"/>
      <c r="AB970" s="102"/>
      <c r="AC970" s="102"/>
      <c r="AD970" s="102"/>
      <c r="AE970" s="102"/>
      <c r="AF970" s="102"/>
      <c r="AG970" s="102"/>
      <c r="AH970" s="102"/>
      <c r="AI970" s="102"/>
      <c r="AJ970" s="102"/>
      <c r="AK970" s="102"/>
      <c r="AL970" s="102"/>
      <c r="AM970" s="102"/>
    </row>
    <row r="971" spans="1:39">
      <c r="A971" s="143"/>
      <c r="B971" s="143"/>
      <c r="C971" s="155"/>
      <c r="D971" s="143"/>
      <c r="E971" s="146"/>
      <c r="F971" s="147"/>
      <c r="G971" s="147"/>
      <c r="H971" s="148"/>
      <c r="I971" s="143"/>
      <c r="J971" s="143"/>
      <c r="K971" s="143"/>
      <c r="L971" s="150" t="str">
        <f t="shared" si="163"/>
        <v/>
      </c>
      <c r="M971" s="150" t="str">
        <f t="shared" si="164"/>
        <v/>
      </c>
      <c r="N971" s="151" t="str">
        <f t="shared" si="165"/>
        <v/>
      </c>
      <c r="O971" s="151" t="str">
        <f t="shared" si="166"/>
        <v/>
      </c>
      <c r="P971" s="151" t="str">
        <f t="shared" si="167"/>
        <v/>
      </c>
      <c r="Q971" s="151" t="str">
        <f t="shared" si="168"/>
        <v/>
      </c>
      <c r="R971" s="150" t="str">
        <f t="shared" si="169"/>
        <v/>
      </c>
      <c r="S971" s="150" t="str">
        <f t="shared" si="170"/>
        <v/>
      </c>
      <c r="T971" s="150" t="str">
        <f t="shared" si="171"/>
        <v/>
      </c>
      <c r="U971" s="152"/>
      <c r="V971" s="143"/>
      <c r="W971" s="102"/>
      <c r="X971" s="102" t="str">
        <f t="shared" si="172"/>
        <v/>
      </c>
      <c r="Y971" s="102"/>
      <c r="Z971" s="102"/>
      <c r="AA971" s="102"/>
      <c r="AB971" s="102"/>
      <c r="AC971" s="102"/>
      <c r="AD971" s="102"/>
      <c r="AE971" s="102"/>
      <c r="AF971" s="102"/>
      <c r="AG971" s="102"/>
      <c r="AH971" s="102"/>
      <c r="AI971" s="102"/>
      <c r="AJ971" s="102"/>
      <c r="AK971" s="102"/>
      <c r="AL971" s="102"/>
      <c r="AM971" s="102"/>
    </row>
    <row r="972" spans="1:39">
      <c r="A972" s="143"/>
      <c r="B972" s="143"/>
      <c r="C972" s="155"/>
      <c r="D972" s="143"/>
      <c r="E972" s="146"/>
      <c r="F972" s="147"/>
      <c r="G972" s="147"/>
      <c r="H972" s="148"/>
      <c r="I972" s="143"/>
      <c r="J972" s="143"/>
      <c r="K972" s="143"/>
      <c r="L972" s="150" t="str">
        <f t="shared" si="163"/>
        <v/>
      </c>
      <c r="M972" s="150" t="str">
        <f t="shared" si="164"/>
        <v/>
      </c>
      <c r="N972" s="151" t="str">
        <f t="shared" si="165"/>
        <v/>
      </c>
      <c r="O972" s="151" t="str">
        <f t="shared" si="166"/>
        <v/>
      </c>
      <c r="P972" s="151" t="str">
        <f t="shared" si="167"/>
        <v/>
      </c>
      <c r="Q972" s="151" t="str">
        <f t="shared" si="168"/>
        <v/>
      </c>
      <c r="R972" s="150" t="str">
        <f t="shared" si="169"/>
        <v/>
      </c>
      <c r="S972" s="150" t="str">
        <f t="shared" si="170"/>
        <v/>
      </c>
      <c r="T972" s="150" t="str">
        <f t="shared" si="171"/>
        <v/>
      </c>
      <c r="U972" s="152"/>
      <c r="V972" s="143"/>
      <c r="W972" s="102"/>
      <c r="X972" s="102" t="str">
        <f t="shared" si="172"/>
        <v/>
      </c>
      <c r="Y972" s="102"/>
      <c r="Z972" s="102"/>
      <c r="AA972" s="102"/>
      <c r="AB972" s="102"/>
      <c r="AC972" s="102"/>
      <c r="AD972" s="102"/>
      <c r="AE972" s="102"/>
      <c r="AF972" s="102"/>
      <c r="AG972" s="102"/>
      <c r="AH972" s="102"/>
      <c r="AI972" s="102"/>
      <c r="AJ972" s="102"/>
      <c r="AK972" s="102"/>
      <c r="AL972" s="102"/>
      <c r="AM972" s="102"/>
    </row>
    <row r="973" spans="1:39">
      <c r="A973" s="143"/>
      <c r="B973" s="143"/>
      <c r="C973" s="155"/>
      <c r="D973" s="143"/>
      <c r="E973" s="146"/>
      <c r="F973" s="147"/>
      <c r="G973" s="147"/>
      <c r="H973" s="148"/>
      <c r="I973" s="143"/>
      <c r="J973" s="143"/>
      <c r="K973" s="143"/>
      <c r="L973" s="150" t="str">
        <f t="shared" si="163"/>
        <v/>
      </c>
      <c r="M973" s="150" t="str">
        <f t="shared" si="164"/>
        <v/>
      </c>
      <c r="N973" s="151" t="str">
        <f t="shared" si="165"/>
        <v/>
      </c>
      <c r="O973" s="151" t="str">
        <f t="shared" si="166"/>
        <v/>
      </c>
      <c r="P973" s="151" t="str">
        <f t="shared" si="167"/>
        <v/>
      </c>
      <c r="Q973" s="151" t="str">
        <f t="shared" si="168"/>
        <v/>
      </c>
      <c r="R973" s="150" t="str">
        <f t="shared" si="169"/>
        <v/>
      </c>
      <c r="S973" s="150" t="str">
        <f t="shared" si="170"/>
        <v/>
      </c>
      <c r="T973" s="150" t="str">
        <f t="shared" si="171"/>
        <v/>
      </c>
      <c r="U973" s="152"/>
      <c r="V973" s="143"/>
      <c r="W973" s="102"/>
      <c r="X973" s="102" t="str">
        <f t="shared" si="172"/>
        <v/>
      </c>
      <c r="Y973" s="102"/>
      <c r="Z973" s="102"/>
      <c r="AA973" s="102"/>
      <c r="AB973" s="102"/>
      <c r="AC973" s="102"/>
      <c r="AD973" s="102"/>
      <c r="AE973" s="102"/>
      <c r="AF973" s="102"/>
      <c r="AG973" s="102"/>
      <c r="AH973" s="102"/>
      <c r="AI973" s="102"/>
      <c r="AJ973" s="102"/>
      <c r="AK973" s="102"/>
      <c r="AL973" s="102"/>
      <c r="AM973" s="102"/>
    </row>
    <row r="974" spans="1:39">
      <c r="A974" s="143"/>
      <c r="B974" s="143"/>
      <c r="C974" s="155"/>
      <c r="D974" s="143"/>
      <c r="E974" s="146"/>
      <c r="F974" s="147"/>
      <c r="G974" s="147"/>
      <c r="H974" s="148"/>
      <c r="I974" s="143"/>
      <c r="J974" s="143"/>
      <c r="K974" s="143"/>
      <c r="L974" s="150" t="str">
        <f t="shared" si="163"/>
        <v/>
      </c>
      <c r="M974" s="150" t="str">
        <f t="shared" si="164"/>
        <v/>
      </c>
      <c r="N974" s="151" t="str">
        <f t="shared" si="165"/>
        <v/>
      </c>
      <c r="O974" s="151" t="str">
        <f t="shared" si="166"/>
        <v/>
      </c>
      <c r="P974" s="151" t="str">
        <f t="shared" si="167"/>
        <v/>
      </c>
      <c r="Q974" s="151" t="str">
        <f t="shared" si="168"/>
        <v/>
      </c>
      <c r="R974" s="150" t="str">
        <f t="shared" si="169"/>
        <v/>
      </c>
      <c r="S974" s="150" t="str">
        <f t="shared" si="170"/>
        <v/>
      </c>
      <c r="T974" s="150" t="str">
        <f t="shared" si="171"/>
        <v/>
      </c>
      <c r="U974" s="152"/>
      <c r="V974" s="143"/>
      <c r="W974" s="102"/>
      <c r="X974" s="102" t="str">
        <f t="shared" si="172"/>
        <v/>
      </c>
      <c r="Y974" s="102"/>
      <c r="Z974" s="102"/>
      <c r="AA974" s="102"/>
      <c r="AB974" s="102"/>
      <c r="AC974" s="102"/>
      <c r="AD974" s="102"/>
      <c r="AE974" s="102"/>
      <c r="AF974" s="102"/>
      <c r="AG974" s="102"/>
      <c r="AH974" s="102"/>
      <c r="AI974" s="102"/>
      <c r="AJ974" s="102"/>
      <c r="AK974" s="102"/>
      <c r="AL974" s="102"/>
      <c r="AM974" s="102"/>
    </row>
    <row r="975" spans="1:39">
      <c r="A975" s="143"/>
      <c r="B975" s="143"/>
      <c r="C975" s="155"/>
      <c r="D975" s="143"/>
      <c r="E975" s="146"/>
      <c r="F975" s="147"/>
      <c r="G975" s="147"/>
      <c r="H975" s="148"/>
      <c r="I975" s="143"/>
      <c r="J975" s="143"/>
      <c r="K975" s="143"/>
      <c r="L975" s="150" t="str">
        <f t="shared" si="163"/>
        <v/>
      </c>
      <c r="M975" s="150" t="str">
        <f t="shared" si="164"/>
        <v/>
      </c>
      <c r="N975" s="151" t="str">
        <f t="shared" si="165"/>
        <v/>
      </c>
      <c r="O975" s="151" t="str">
        <f t="shared" si="166"/>
        <v/>
      </c>
      <c r="P975" s="151" t="str">
        <f t="shared" si="167"/>
        <v/>
      </c>
      <c r="Q975" s="151" t="str">
        <f t="shared" si="168"/>
        <v/>
      </c>
      <c r="R975" s="150" t="str">
        <f t="shared" si="169"/>
        <v/>
      </c>
      <c r="S975" s="150" t="str">
        <f t="shared" si="170"/>
        <v/>
      </c>
      <c r="T975" s="150" t="str">
        <f t="shared" si="171"/>
        <v/>
      </c>
      <c r="U975" s="152"/>
      <c r="V975" s="143"/>
      <c r="W975" s="102"/>
      <c r="X975" s="102" t="str">
        <f t="shared" si="172"/>
        <v/>
      </c>
      <c r="Y975" s="102"/>
      <c r="Z975" s="102"/>
      <c r="AA975" s="102"/>
      <c r="AB975" s="102"/>
      <c r="AC975" s="102"/>
      <c r="AD975" s="102"/>
      <c r="AE975" s="102"/>
      <c r="AF975" s="102"/>
      <c r="AG975" s="102"/>
      <c r="AH975" s="102"/>
      <c r="AI975" s="102"/>
      <c r="AJ975" s="102"/>
      <c r="AK975" s="102"/>
      <c r="AL975" s="102"/>
      <c r="AM975" s="102"/>
    </row>
    <row r="976" spans="1:39">
      <c r="A976" s="143"/>
      <c r="B976" s="143"/>
      <c r="C976" s="155"/>
      <c r="D976" s="143"/>
      <c r="E976" s="146"/>
      <c r="F976" s="147"/>
      <c r="G976" s="147"/>
      <c r="H976" s="148"/>
      <c r="I976" s="143"/>
      <c r="J976" s="143"/>
      <c r="K976" s="143"/>
      <c r="L976" s="150" t="str">
        <f t="shared" si="163"/>
        <v/>
      </c>
      <c r="M976" s="150" t="str">
        <f t="shared" si="164"/>
        <v/>
      </c>
      <c r="N976" s="151" t="str">
        <f t="shared" si="165"/>
        <v/>
      </c>
      <c r="O976" s="151" t="str">
        <f t="shared" si="166"/>
        <v/>
      </c>
      <c r="P976" s="151" t="str">
        <f t="shared" si="167"/>
        <v/>
      </c>
      <c r="Q976" s="151" t="str">
        <f t="shared" si="168"/>
        <v/>
      </c>
      <c r="R976" s="150" t="str">
        <f t="shared" si="169"/>
        <v/>
      </c>
      <c r="S976" s="150" t="str">
        <f t="shared" si="170"/>
        <v/>
      </c>
      <c r="T976" s="150" t="str">
        <f t="shared" si="171"/>
        <v/>
      </c>
      <c r="U976" s="152"/>
      <c r="V976" s="143"/>
      <c r="W976" s="102"/>
      <c r="X976" s="102" t="str">
        <f t="shared" si="172"/>
        <v/>
      </c>
      <c r="Y976" s="102"/>
      <c r="Z976" s="102"/>
      <c r="AA976" s="102"/>
      <c r="AB976" s="102"/>
      <c r="AC976" s="102"/>
      <c r="AD976" s="102"/>
      <c r="AE976" s="102"/>
      <c r="AF976" s="102"/>
      <c r="AG976" s="102"/>
      <c r="AH976" s="102"/>
      <c r="AI976" s="102"/>
      <c r="AJ976" s="102"/>
      <c r="AK976" s="102"/>
      <c r="AL976" s="102"/>
      <c r="AM976" s="102"/>
    </row>
    <row r="977" spans="1:39">
      <c r="A977" s="143"/>
      <c r="B977" s="143"/>
      <c r="C977" s="155"/>
      <c r="D977" s="143"/>
      <c r="E977" s="146"/>
      <c r="F977" s="147"/>
      <c r="G977" s="147"/>
      <c r="H977" s="148"/>
      <c r="I977" s="143"/>
      <c r="J977" s="143"/>
      <c r="K977" s="143"/>
      <c r="L977" s="150" t="str">
        <f t="shared" si="163"/>
        <v/>
      </c>
      <c r="M977" s="150" t="str">
        <f t="shared" si="164"/>
        <v/>
      </c>
      <c r="N977" s="151" t="str">
        <f t="shared" si="165"/>
        <v/>
      </c>
      <c r="O977" s="151" t="str">
        <f t="shared" si="166"/>
        <v/>
      </c>
      <c r="P977" s="151" t="str">
        <f t="shared" si="167"/>
        <v/>
      </c>
      <c r="Q977" s="151" t="str">
        <f t="shared" si="168"/>
        <v/>
      </c>
      <c r="R977" s="150" t="str">
        <f t="shared" si="169"/>
        <v/>
      </c>
      <c r="S977" s="150" t="str">
        <f t="shared" si="170"/>
        <v/>
      </c>
      <c r="T977" s="150" t="str">
        <f t="shared" si="171"/>
        <v/>
      </c>
      <c r="U977" s="152"/>
      <c r="V977" s="143"/>
      <c r="W977" s="102"/>
      <c r="X977" s="102" t="str">
        <f t="shared" si="172"/>
        <v/>
      </c>
      <c r="Y977" s="102"/>
      <c r="Z977" s="102"/>
      <c r="AA977" s="102"/>
      <c r="AB977" s="102"/>
      <c r="AC977" s="102"/>
      <c r="AD977" s="102"/>
      <c r="AE977" s="102"/>
      <c r="AF977" s="102"/>
      <c r="AG977" s="102"/>
      <c r="AH977" s="102"/>
      <c r="AI977" s="102"/>
      <c r="AJ977" s="102"/>
      <c r="AK977" s="102"/>
      <c r="AL977" s="102"/>
      <c r="AM977" s="102"/>
    </row>
    <row r="978" spans="1:39">
      <c r="A978" s="143"/>
      <c r="B978" s="143"/>
      <c r="C978" s="155"/>
      <c r="D978" s="143"/>
      <c r="E978" s="146"/>
      <c r="F978" s="147"/>
      <c r="G978" s="147"/>
      <c r="H978" s="148"/>
      <c r="I978" s="143"/>
      <c r="J978" s="143"/>
      <c r="K978" s="143"/>
      <c r="L978" s="150" t="str">
        <f t="shared" si="163"/>
        <v/>
      </c>
      <c r="M978" s="150" t="str">
        <f t="shared" si="164"/>
        <v/>
      </c>
      <c r="N978" s="151" t="str">
        <f t="shared" si="165"/>
        <v/>
      </c>
      <c r="O978" s="151" t="str">
        <f t="shared" si="166"/>
        <v/>
      </c>
      <c r="P978" s="151" t="str">
        <f t="shared" si="167"/>
        <v/>
      </c>
      <c r="Q978" s="151" t="str">
        <f t="shared" si="168"/>
        <v/>
      </c>
      <c r="R978" s="150" t="str">
        <f t="shared" si="169"/>
        <v/>
      </c>
      <c r="S978" s="150" t="str">
        <f t="shared" si="170"/>
        <v/>
      </c>
      <c r="T978" s="150" t="str">
        <f t="shared" si="171"/>
        <v/>
      </c>
      <c r="U978" s="152"/>
      <c r="V978" s="143"/>
      <c r="W978" s="102"/>
      <c r="X978" s="102" t="str">
        <f t="shared" si="172"/>
        <v/>
      </c>
      <c r="Y978" s="102"/>
      <c r="Z978" s="102"/>
      <c r="AA978" s="102"/>
      <c r="AB978" s="102"/>
      <c r="AC978" s="102"/>
      <c r="AD978" s="102"/>
      <c r="AE978" s="102"/>
      <c r="AF978" s="102"/>
      <c r="AG978" s="102"/>
      <c r="AH978" s="102"/>
      <c r="AI978" s="102"/>
      <c r="AJ978" s="102"/>
      <c r="AK978" s="102"/>
      <c r="AL978" s="102"/>
      <c r="AM978" s="102"/>
    </row>
    <row r="979" spans="1:39">
      <c r="A979" s="143"/>
      <c r="B979" s="143"/>
      <c r="C979" s="155"/>
      <c r="D979" s="143"/>
      <c r="E979" s="146"/>
      <c r="F979" s="147"/>
      <c r="G979" s="147"/>
      <c r="H979" s="148"/>
      <c r="I979" s="143"/>
      <c r="J979" s="143"/>
      <c r="K979" s="143"/>
      <c r="L979" s="150" t="str">
        <f t="shared" si="163"/>
        <v/>
      </c>
      <c r="M979" s="150" t="str">
        <f t="shared" si="164"/>
        <v/>
      </c>
      <c r="N979" s="151" t="str">
        <f t="shared" si="165"/>
        <v/>
      </c>
      <c r="O979" s="151" t="str">
        <f t="shared" si="166"/>
        <v/>
      </c>
      <c r="P979" s="151" t="str">
        <f t="shared" si="167"/>
        <v/>
      </c>
      <c r="Q979" s="151" t="str">
        <f t="shared" si="168"/>
        <v/>
      </c>
      <c r="R979" s="150" t="str">
        <f t="shared" si="169"/>
        <v/>
      </c>
      <c r="S979" s="150" t="str">
        <f t="shared" si="170"/>
        <v/>
      </c>
      <c r="T979" s="150" t="str">
        <f t="shared" si="171"/>
        <v/>
      </c>
      <c r="U979" s="152"/>
      <c r="V979" s="64"/>
      <c r="W979" s="102"/>
      <c r="X979" s="102" t="str">
        <f t="shared" si="172"/>
        <v/>
      </c>
      <c r="Y979" s="102"/>
      <c r="Z979" s="102"/>
      <c r="AA979" s="102"/>
      <c r="AB979" s="102"/>
      <c r="AC979" s="102"/>
      <c r="AD979" s="102"/>
      <c r="AE979" s="102"/>
      <c r="AF979" s="102"/>
      <c r="AG979" s="102"/>
      <c r="AH979" s="102"/>
      <c r="AI979" s="102"/>
      <c r="AJ979" s="102"/>
      <c r="AK979" s="102"/>
      <c r="AL979" s="102"/>
      <c r="AM979" s="102"/>
    </row>
  </sheetData>
  <mergeCells count="1">
    <mergeCell ref="C8:E8"/>
  </mergeCells>
  <conditionalFormatting sqref="H2:H5">
    <cfRule type="cellIs" dxfId="11" priority="6" operator="greaterThanOrEqual">
      <formula>0</formula>
    </cfRule>
    <cfRule type="cellIs" dxfId="10" priority="7" operator="lessThan">
      <formula>0</formula>
    </cfRule>
  </conditionalFormatting>
  <conditionalFormatting sqref="K10:K878">
    <cfRule type="cellIs" dxfId="9" priority="1" operator="equal">
      <formula>"W"</formula>
    </cfRule>
    <cfRule type="cellIs" dxfId="8" priority="2" operator="equal">
      <formula>"L"</formula>
    </cfRule>
    <cfRule type="cellIs" dxfId="7" priority="3" operator="equal">
      <formula>"P"</formula>
    </cfRule>
    <cfRule type="cellIs" dxfId="6" priority="4" operator="equal">
      <formula>"Half W"</formula>
    </cfRule>
    <cfRule type="cellIs" dxfId="5" priority="5" operator="equal">
      <formula>"Half L"</formula>
    </cfRule>
  </conditionalFormatting>
  <dataValidations count="3">
    <dataValidation type="list" allowBlank="1" showErrorMessage="1" sqref="B10:B979" xr:uid="{00000000-0002-0000-1400-000000000000}">
      <formula1>$D$3:$D$5</formula1>
    </dataValidation>
    <dataValidation type="list" allowBlank="1" showErrorMessage="1" sqref="K10:K878" xr:uid="{00000000-0002-0000-1400-000001000000}">
      <formula1>$S$2:$S$4</formula1>
    </dataValidation>
    <dataValidation type="list" allowBlank="1" showErrorMessage="1" sqref="A10:A979" xr:uid="{00000000-0002-0000-1400-000002000000}">
      <formula1>$T$1:$T$8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str">
        <f>'First 5 Innings'!D5</f>
        <v>TBR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str">
        <f>'First 5 Innings'!D6</f>
        <v>STL</v>
      </c>
      <c r="D5" s="1">
        <v>0</v>
      </c>
      <c r="E5" s="1">
        <f>_xlfn.POISSON.DIST($D5,'First 5 Innings'!$G$6, FALSE) * _xlfn.POISSON.DIST(E$4, 'First 5 Innings'!$G$5, FALSE)</f>
        <v>9.6598838021148981E-3</v>
      </c>
      <c r="F5" s="1">
        <f>_xlfn.POISSON.DIST($D5,'First 5 Innings'!$G$6, FALSE) * _xlfn.POISSON.DIST(F$4, 'First 5 Innings'!$G$5, FALSE)</f>
        <v>1.9892161705046991E-2</v>
      </c>
      <c r="G5" s="1">
        <f>_xlfn.POISSON.DIST($D5,'First 5 Innings'!$G$6, FALSE) * _xlfn.POISSON.DIST(G$4, 'First 5 Innings'!$G$5, FALSE)</f>
        <v>2.0481514343532032E-2</v>
      </c>
      <c r="H5" s="1">
        <f>_xlfn.POISSON.DIST($D5,'First 5 Innings'!$G$6, FALSE) * _xlfn.POISSON.DIST(H$4, 'First 5 Innings'!$G$5, FALSE)</f>
        <v>1.4058885304485725E-2</v>
      </c>
      <c r="I5" s="1">
        <f>_xlfn.POISSON.DIST($D5,'First 5 Innings'!$G$6, FALSE) * _xlfn.POISSON.DIST(I$4, 'First 5 Innings'!$G$5, FALSE)</f>
        <v>7.2377066225245597E-3</v>
      </c>
      <c r="J5" s="1">
        <f>_xlfn.POISSON.DIST($D5,'First 5 Innings'!$G$6, FALSE) * _xlfn.POISSON.DIST(J$4, 'First 5 Innings'!$G$5, FALSE)</f>
        <v>2.9808563634570215E-3</v>
      </c>
      <c r="K5" s="1">
        <f>_xlfn.POISSON.DIST($D5,'First 5 Innings'!$G$6, FALSE) * _xlfn.POISSON.DIST(K$4, 'First 5 Innings'!$G$5, FALSE)</f>
        <v>1.0230571094520377E-3</v>
      </c>
      <c r="L5" s="1">
        <f>_xlfn.POISSON.DIST($D5,'First 5 Innings'!$G$6, FALSE) * _xlfn.POISSON.DIST(L$4, 'First 5 Innings'!$G$5, FALSE)</f>
        <v>3.0096217469528639E-4</v>
      </c>
      <c r="M5" s="1">
        <f>_xlfn.POISSON.DIST($D5,'First 5 Innings'!$G$6, FALSE) * _xlfn.POISSON.DIST(M$4, 'First 5 Innings'!$G$5, FALSE)</f>
        <v>7.7469723870158177E-5</v>
      </c>
      <c r="N5" s="1">
        <f>_xlfn.POISSON.DIST($D5,'First 5 Innings'!$G$6, FALSE) * _xlfn.POISSON.DIST(N$4, 'First 5 Innings'!$G$5, FALSE)</f>
        <v>1.7725544185728588E-5</v>
      </c>
      <c r="O5" s="1">
        <f>_xlfn.POISSON.DIST($D5,'First 5 Innings'!$G$6, FALSE) * _xlfn.POISSON.DIST(O$4, 'First 5 Innings'!$G$5, FALSE)</f>
        <v>3.6501411246300046E-6</v>
      </c>
      <c r="P5" s="1">
        <f>_xlfn.POISSON.DIST($D5,'First 5 Innings'!$G$6, FALSE) * _xlfn.POISSON.DIST(P$4, 'First 5 Innings'!$G$5, FALSE)</f>
        <v>6.8332458975132757E-7</v>
      </c>
      <c r="Q5" s="1">
        <f>_xlfn.POISSON.DIST($D5,'First 5 Innings'!$G$6, FALSE) * _xlfn.POISSON.DIST(Q$4, 'First 5 Innings'!$G$5, FALSE)</f>
        <v>1.1726161786570281E-7</v>
      </c>
      <c r="R5" s="1">
        <f>_xlfn.POISSON.DIST($D5,'First 5 Innings'!$G$6, FALSE) * _xlfn.POISSON.DIST(R$4, 'First 5 Innings'!$G$5, FALSE)</f>
        <v>1.8574734216139578E-8</v>
      </c>
      <c r="S5" s="1">
        <f>_xlfn.POISSON.DIST($D5,'First 5 Innings'!$G$6, FALSE) * _xlfn.POISSON.DIST(S$4, 'First 5 Innings'!$G$5, FALSE)</f>
        <v>2.7321507042116833E-9</v>
      </c>
      <c r="T5" s="1">
        <f>_xlfn.POISSON.DIST($D5,'First 5 Innings'!$G$6, FALSE) * _xlfn.POISSON.DIST(T$4, 'First 5 Innings'!$G$5, FALSE)</f>
        <v>3.7507962293043965E-10</v>
      </c>
    </row>
    <row r="6" spans="2:20">
      <c r="B6" s="377"/>
      <c r="C6" s="377"/>
      <c r="D6" s="1">
        <v>1</v>
      </c>
      <c r="E6" s="1">
        <f>_xlfn.POISSON.DIST($D6,'First 5 Innings'!$G$6, FALSE) * _xlfn.POISSON.DIST(E$4, 'First 5 Innings'!$G$5, FALSE)</f>
        <v>2.4927512714769864E-2</v>
      </c>
      <c r="F6" s="1">
        <f>_xlfn.POISSON.DIST($D6,'First 5 Innings'!$G$6, FALSE) * _xlfn.POISSON.DIST(F$4, 'First 5 Innings'!$G$5, FALSE)</f>
        <v>5.1332099224449763E-2</v>
      </c>
      <c r="G6" s="1">
        <f>_xlfn.POISSON.DIST($D6,'First 5 Innings'!$G$6, FALSE) * _xlfn.POISSON.DIST(G$4, 'First 5 Innings'!$G$5, FALSE)</f>
        <v>5.2852934846313315E-2</v>
      </c>
      <c r="H6" s="1">
        <f>_xlfn.POISSON.DIST($D6,'First 5 Innings'!$G$6, FALSE) * _xlfn.POISSON.DIST(H$4, 'First 5 Innings'!$G$5, FALSE)</f>
        <v>3.6279219228944788E-2</v>
      </c>
      <c r="I6" s="1">
        <f>_xlfn.POISSON.DIST($D6,'First 5 Innings'!$G$6, FALSE) * _xlfn.POISSON.DIST(I$4, 'First 5 Innings'!$G$5, FALSE)</f>
        <v>1.8677038725792433E-2</v>
      </c>
      <c r="J6" s="1">
        <f>_xlfn.POISSON.DIST($D6,'First 5 Innings'!$G$6, FALSE) * _xlfn.POISSON.DIST(J$4, 'First 5 Innings'!$G$5, FALSE)</f>
        <v>7.6921561814966592E-3</v>
      </c>
      <c r="K6" s="1">
        <f>_xlfn.POISSON.DIST($D6,'First 5 Innings'!$G$6, FALSE) * _xlfn.POISSON.DIST(K$4, 'First 5 Innings'!$G$5, FALSE)</f>
        <v>2.6400182058316274E-3</v>
      </c>
      <c r="L6" s="1">
        <f>_xlfn.POISSON.DIST($D6,'First 5 Innings'!$G$6, FALSE) * _xlfn.POISSON.DIST(L$4, 'First 5 Innings'!$G$5, FALSE)</f>
        <v>7.7663857972484404E-4</v>
      </c>
      <c r="M6" s="1">
        <f>_xlfn.POISSON.DIST($D6,'First 5 Innings'!$G$6, FALSE) * _xlfn.POISSON.DIST(M$4, 'First 5 Innings'!$G$5, FALSE)</f>
        <v>1.9991208655742679E-4</v>
      </c>
      <c r="N6" s="1">
        <f>_xlfn.POISSON.DIST($D6,'First 5 Innings'!$G$6, FALSE) * _xlfn.POISSON.DIST(N$4, 'First 5 Innings'!$G$5, FALSE)</f>
        <v>4.5741101768659642E-5</v>
      </c>
      <c r="O6" s="1">
        <f>_xlfn.POISSON.DIST($D6,'First 5 Innings'!$G$6, FALSE) * _xlfn.POISSON.DIST(O$4, 'First 5 Innings'!$G$5, FALSE)</f>
        <v>9.4192581566041234E-6</v>
      </c>
      <c r="P6" s="1">
        <f>_xlfn.POISSON.DIST($D6,'First 5 Innings'!$G$6, FALSE) * _xlfn.POISSON.DIST(P$4, 'First 5 Innings'!$G$5, FALSE)</f>
        <v>1.7633320180944465E-6</v>
      </c>
      <c r="Q6" s="1">
        <f>_xlfn.POISSON.DIST($D6,'First 5 Innings'!$G$6, FALSE) * _xlfn.POISSON.DIST(Q$4, 'First 5 Innings'!$G$5, FALSE)</f>
        <v>3.025958210451592E-7</v>
      </c>
      <c r="R6" s="1">
        <f>_xlfn.POISSON.DIST($D6,'First 5 Innings'!$G$6, FALSE) * _xlfn.POISSON.DIST(R$4, 'First 5 Innings'!$G$5, FALSE)</f>
        <v>4.7932452691089087E-8</v>
      </c>
      <c r="S6" s="1">
        <f>_xlfn.POISSON.DIST($D6,'First 5 Innings'!$G$6, FALSE) * _xlfn.POISSON.DIST(S$4, 'First 5 Innings'!$G$5, FALSE)</f>
        <v>7.050366527493153E-9</v>
      </c>
      <c r="T6" s="1">
        <f>_xlfn.POISSON.DIST($D6,'First 5 Innings'!$G$6, FALSE) * _xlfn.POISSON.DIST(T$4, 'First 5 Innings'!$G$5, FALSE)</f>
        <v>9.6790005565104312E-10</v>
      </c>
    </row>
    <row r="7" spans="2:20">
      <c r="B7" s="377"/>
      <c r="C7" s="377"/>
      <c r="D7" s="1">
        <v>2</v>
      </c>
      <c r="E7" s="1">
        <f>_xlfn.POISSON.DIST($D7,'First 5 Innings'!$G$6, FALSE) * _xlfn.POISSON.DIST(E$4, 'First 5 Innings'!$G$5, FALSE)</f>
        <v>3.216295883439977E-2</v>
      </c>
      <c r="F7" s="1">
        <f>_xlfn.POISSON.DIST($D7,'First 5 Innings'!$G$6, FALSE) * _xlfn.POISSON.DIST(F$4, 'First 5 Innings'!$G$5, FALSE)</f>
        <v>6.6231726090388021E-2</v>
      </c>
      <c r="G7" s="1">
        <f>_xlfn.POISSON.DIST($D7,'First 5 Innings'!$G$6, FALSE) * _xlfn.POISSON.DIST(G$4, 'First 5 Innings'!$G$5, FALSE)</f>
        <v>6.8193998622733509E-2</v>
      </c>
      <c r="H7" s="1">
        <f>_xlfn.POISSON.DIST($D7,'First 5 Innings'!$G$6, FALSE) * _xlfn.POISSON.DIST(H$4, 'First 5 Innings'!$G$5, FALSE)</f>
        <v>4.6809605433009938E-2</v>
      </c>
      <c r="I7" s="1">
        <f>_xlfn.POISSON.DIST($D7,'First 5 Innings'!$G$6, FALSE) * _xlfn.POISSON.DIST(I$4, 'First 5 Innings'!$G$5, FALSE)</f>
        <v>2.4098225705857325E-2</v>
      </c>
      <c r="J7" s="1">
        <f>_xlfn.POISSON.DIST($D7,'First 5 Innings'!$G$6, FALSE) * _xlfn.POISSON.DIST(J$4, 'First 5 Innings'!$G$5, FALSE)</f>
        <v>9.9248772007109118E-3</v>
      </c>
      <c r="K7" s="1">
        <f>_xlfn.POISSON.DIST($D7,'First 5 Innings'!$G$6, FALSE) * _xlfn.POISSON.DIST(K$4, 'First 5 Innings'!$G$5, FALSE)</f>
        <v>3.4063084370996172E-3</v>
      </c>
      <c r="L7" s="1">
        <f>_xlfn.POISSON.DIST($D7,'First 5 Innings'!$G$6, FALSE) * _xlfn.POISSON.DIST(L$4, 'First 5 Innings'!$G$5, FALSE)</f>
        <v>1.0020652663872275E-3</v>
      </c>
      <c r="M7" s="1">
        <f>_xlfn.POISSON.DIST($D7,'First 5 Innings'!$G$6, FALSE) * _xlfn.POISSON.DIST(M$4, 'First 5 Innings'!$G$5, FALSE)</f>
        <v>2.5793845876310659E-4</v>
      </c>
      <c r="N7" s="1">
        <f>_xlfn.POISSON.DIST($D7,'First 5 Innings'!$G$6, FALSE) * _xlfn.POISSON.DIST(N$4, 'First 5 Innings'!$G$5, FALSE)</f>
        <v>5.9017888790557286E-5</v>
      </c>
      <c r="O7" s="1">
        <f>_xlfn.POISSON.DIST($D7,'First 5 Innings'!$G$6, FALSE) * _xlfn.POISSON.DIST(O$4, 'First 5 Innings'!$G$5, FALSE)</f>
        <v>1.215328684445682E-5</v>
      </c>
      <c r="P7" s="1">
        <f>_xlfn.POISSON.DIST($D7,'First 5 Innings'!$G$6, FALSE) * _xlfn.POISSON.DIST(P$4, 'First 5 Innings'!$G$5, FALSE)</f>
        <v>2.2751557990680321E-6</v>
      </c>
      <c r="Q7" s="1">
        <f>_xlfn.POISSON.DIST($D7,'First 5 Innings'!$G$6, FALSE) * _xlfn.POISSON.DIST(Q$4, 'First 5 Innings'!$G$5, FALSE)</f>
        <v>3.9042711750259384E-7</v>
      </c>
      <c r="R7" s="1">
        <f>_xlfn.POISSON.DIST($D7,'First 5 Innings'!$G$6, FALSE) * _xlfn.POISSON.DIST(R$4, 'First 5 Innings'!$G$5, FALSE)</f>
        <v>6.1845300025536295E-8</v>
      </c>
      <c r="S7" s="1">
        <f>_xlfn.POISSON.DIST($D7,'First 5 Innings'!$G$6, FALSE) * _xlfn.POISSON.DIST(S$4, 'First 5 Innings'!$G$5, FALSE)</f>
        <v>9.096802034999418E-9</v>
      </c>
      <c r="T7" s="1">
        <f>_xlfn.POISSON.DIST($D7,'First 5 Innings'!$G$6, FALSE) * _xlfn.POISSON.DIST(T$4, 'First 5 Innings'!$G$5, FALSE)</f>
        <v>1.2488421930388794E-9</v>
      </c>
    </row>
    <row r="8" spans="2:20">
      <c r="B8" s="377"/>
      <c r="C8" s="377"/>
      <c r="D8" s="1">
        <v>3</v>
      </c>
      <c r="E8" s="1">
        <f>_xlfn.POISSON.DIST($D8,'First 5 Innings'!$G$6, FALSE) * _xlfn.POISSON.DIST(E$4, 'First 5 Innings'!$G$5, FALSE)</f>
        <v>2.7665707708050262E-2</v>
      </c>
      <c r="F8" s="1">
        <f>_xlfn.POISSON.DIST($D8,'First 5 Innings'!$G$6, FALSE) * _xlfn.POISSON.DIST(F$4, 'First 5 Innings'!$G$5, FALSE)</f>
        <v>5.6970740299444746E-2</v>
      </c>
      <c r="G8" s="1">
        <f>_xlfn.POISSON.DIST($D8,'First 5 Innings'!$G$6, FALSE) * _xlfn.POISSON.DIST(G$4, 'First 5 Innings'!$G$5, FALSE)</f>
        <v>5.8658634084432677E-2</v>
      </c>
      <c r="H8" s="1">
        <f>_xlfn.POISSON.DIST($D8,'First 5 Innings'!$G$6, FALSE) * _xlfn.POISSON.DIST(H$4, 'First 5 Innings'!$G$5, FALSE)</f>
        <v>4.0264357160253859E-2</v>
      </c>
      <c r="I8" s="1">
        <f>_xlfn.POISSON.DIST($D8,'First 5 Innings'!$G$6, FALSE) * _xlfn.POISSON.DIST(I$4, 'First 5 Innings'!$G$5, FALSE)</f>
        <v>2.0728642289832223E-2</v>
      </c>
      <c r="J8" s="1">
        <f>_xlfn.POISSON.DIST($D8,'First 5 Innings'!$G$6, FALSE) * _xlfn.POISSON.DIST(J$4, 'First 5 Innings'!$G$5, FALSE)</f>
        <v>8.5371110626639712E-3</v>
      </c>
      <c r="K8" s="1">
        <f>_xlfn.POISSON.DIST($D8,'First 5 Innings'!$G$6, FALSE) * _xlfn.POISSON.DIST(K$4, 'First 5 Innings'!$G$5, FALSE)</f>
        <v>2.9300144327353271E-3</v>
      </c>
      <c r="L8" s="1">
        <f>_xlfn.POISSON.DIST($D8,'First 5 Innings'!$G$6, FALSE) * _xlfn.POISSON.DIST(L$4, 'First 5 Innings'!$G$5, FALSE)</f>
        <v>8.619494526917621E-4</v>
      </c>
      <c r="M8" s="1">
        <f>_xlfn.POISSON.DIST($D8,'First 5 Innings'!$G$6, FALSE) * _xlfn.POISSON.DIST(M$4, 'First 5 Innings'!$G$5, FALSE)</f>
        <v>2.2187168921699912E-4</v>
      </c>
      <c r="N8" s="1">
        <f>_xlfn.POISSON.DIST($D8,'First 5 Innings'!$G$6, FALSE) * _xlfn.POISSON.DIST(N$4, 'First 5 Innings'!$G$5, FALSE)</f>
        <v>5.0765592470287565E-5</v>
      </c>
      <c r="O8" s="1">
        <f>_xlfn.POISSON.DIST($D8,'First 5 Innings'!$G$6, FALSE) * _xlfn.POISSON.DIST(O$4, 'First 5 Innings'!$G$5, FALSE)</f>
        <v>1.0453928796228229E-5</v>
      </c>
      <c r="P8" s="1">
        <f>_xlfn.POISSON.DIST($D8,'First 5 Innings'!$G$6, FALSE) * _xlfn.POISSON.DIST(P$4, 'First 5 Innings'!$G$5, FALSE)</f>
        <v>1.9570275126544142E-6</v>
      </c>
      <c r="Q8" s="1">
        <f>_xlfn.POISSON.DIST($D8,'First 5 Innings'!$G$6, FALSE) * _xlfn.POISSON.DIST(Q$4, 'First 5 Innings'!$G$5, FALSE)</f>
        <v>3.3583485181626737E-7</v>
      </c>
      <c r="R8" s="1">
        <f>_xlfn.POISSON.DIST($D8,'First 5 Innings'!$G$6, FALSE) * _xlfn.POISSON.DIST(R$4, 'First 5 Innings'!$G$5, FALSE)</f>
        <v>5.3197655179447401E-8</v>
      </c>
      <c r="S8" s="1">
        <f>_xlfn.POISSON.DIST($D8,'First 5 Innings'!$G$6, FALSE) * _xlfn.POISSON.DIST(S$4, 'First 5 Innings'!$G$5, FALSE)</f>
        <v>7.8248231909907049E-9</v>
      </c>
      <c r="T8" s="1">
        <f>_xlfn.POISSON.DIST($D8,'First 5 Innings'!$G$6, FALSE) * _xlfn.POISSON.DIST(T$4, 'First 5 Innings'!$G$5, FALSE)</f>
        <v>1.0742202937231382E-9</v>
      </c>
    </row>
    <row r="9" spans="2:20">
      <c r="B9" s="377"/>
      <c r="C9" s="377"/>
      <c r="D9" s="1">
        <v>4</v>
      </c>
      <c r="E9" s="1">
        <f>_xlfn.POISSON.DIST($D9,'First 5 Innings'!$G$6, FALSE) * _xlfn.POISSON.DIST(E$4, 'First 5 Innings'!$G$5, FALSE)</f>
        <v>1.7847970399616588E-2</v>
      </c>
      <c r="F9" s="1">
        <f>_xlfn.POISSON.DIST($D9,'First 5 Innings'!$G$6, FALSE) * _xlfn.POISSON.DIST(F$4, 'First 5 Innings'!$G$5, FALSE)</f>
        <v>3.6753518010054671E-2</v>
      </c>
      <c r="G9" s="1">
        <f>_xlfn.POISSON.DIST($D9,'First 5 Innings'!$G$6, FALSE) * _xlfn.POISSON.DIST(G$4, 'First 5 Innings'!$G$5, FALSE)</f>
        <v>3.784242846302658E-2</v>
      </c>
      <c r="H9" s="1">
        <f>_xlfn.POISSON.DIST($D9,'First 5 Innings'!$G$6, FALSE) * _xlfn.POISSON.DIST(H$4, 'First 5 Innings'!$G$5, FALSE)</f>
        <v>2.5975733653352002E-2</v>
      </c>
      <c r="I9" s="1">
        <f>_xlfn.POISSON.DIST($D9,'First 5 Innings'!$G$6, FALSE) * _xlfn.POISSON.DIST(I$4, 'First 5 Innings'!$G$5, FALSE)</f>
        <v>1.3372663295561119E-2</v>
      </c>
      <c r="J9" s="1">
        <f>_xlfn.POISSON.DIST($D9,'First 5 Innings'!$G$6, FALSE) * _xlfn.POISSON.DIST(J$4, 'First 5 Innings'!$G$5, FALSE)</f>
        <v>5.5075441102968312E-3</v>
      </c>
      <c r="K9" s="1">
        <f>_xlfn.POISSON.DIST($D9,'First 5 Innings'!$G$6, FALSE) * _xlfn.POISSON.DIST(K$4, 'First 5 Innings'!$G$5, FALSE)</f>
        <v>1.890239404600251E-3</v>
      </c>
      <c r="L9" s="1">
        <f>_xlfn.POISSON.DIST($D9,'First 5 Innings'!$G$6, FALSE) * _xlfn.POISSON.DIST(L$4, 'First 5 Innings'!$G$5, FALSE)</f>
        <v>5.5606921319174439E-4</v>
      </c>
      <c r="M9" s="1">
        <f>_xlfn.POISSON.DIST($D9,'First 5 Innings'!$G$6, FALSE) * _xlfn.POISSON.DIST(M$4, 'First 5 Innings'!$G$5, FALSE)</f>
        <v>1.4313602180166345E-4</v>
      </c>
      <c r="N9" s="1">
        <f>_xlfn.POISSON.DIST($D9,'First 5 Innings'!$G$6, FALSE) * _xlfn.POISSON.DIST(N$4, 'First 5 Innings'!$G$5, FALSE)</f>
        <v>3.2750392698793747E-5</v>
      </c>
      <c r="O9" s="1">
        <f>_xlfn.POISSON.DIST($D9,'First 5 Innings'!$G$6, FALSE) * _xlfn.POISSON.DIST(O$4, 'First 5 Innings'!$G$5, FALSE)</f>
        <v>6.7441402072099822E-6</v>
      </c>
      <c r="P9" s="1">
        <f>_xlfn.POISSON.DIST($D9,'First 5 Innings'!$G$6, FALSE) * _xlfn.POISSON.DIST(P$4, 'First 5 Innings'!$G$5, FALSE)</f>
        <v>1.2625366206311618E-6</v>
      </c>
      <c r="Q9" s="1">
        <f>_xlfn.POISSON.DIST($D9,'First 5 Innings'!$G$6, FALSE) * _xlfn.POISSON.DIST(Q$4, 'First 5 Innings'!$G$5, FALSE)</f>
        <v>2.166570455247099E-7</v>
      </c>
      <c r="R9" s="1">
        <f>_xlfn.POISSON.DIST($D9,'First 5 Innings'!$G$6, FALSE) * _xlfn.POISSON.DIST(R$4, 'First 5 Innings'!$G$5, FALSE)</f>
        <v>3.4319388645008604E-8</v>
      </c>
      <c r="S9" s="1">
        <f>_xlfn.POISSON.DIST($D9,'First 5 Innings'!$G$6, FALSE) * _xlfn.POISSON.DIST(S$4, 'First 5 Innings'!$G$5, FALSE)</f>
        <v>5.0480260316781115E-9</v>
      </c>
      <c r="T9" s="1">
        <f>_xlfn.POISSON.DIST($D9,'First 5 Innings'!$G$6, FALSE) * _xlfn.POISSON.DIST(T$4, 'First 5 Innings'!$G$5, FALSE)</f>
        <v>6.9301144244573513E-10</v>
      </c>
    </row>
    <row r="10" spans="2:20">
      <c r="B10" s="377"/>
      <c r="C10" s="377"/>
      <c r="D10" s="1">
        <v>5</v>
      </c>
      <c r="E10" s="1">
        <f>_xlfn.POISSON.DIST($D10,'First 5 Innings'!$G$6, FALSE) * _xlfn.POISSON.DIST(E$4, 'First 5 Innings'!$G$5, FALSE)</f>
        <v>9.211404985469334E-3</v>
      </c>
      <c r="F10" s="1">
        <f>_xlfn.POISSON.DIST($D10,'First 5 Innings'!$G$6, FALSE) * _xlfn.POISSON.DIST(F$4, 'First 5 Innings'!$G$5, FALSE)</f>
        <v>1.8968629566901759E-2</v>
      </c>
      <c r="G10" s="1">
        <f>_xlfn.POISSON.DIST($D10,'First 5 Innings'!$G$6, FALSE) * _xlfn.POISSON.DIST(G$4, 'First 5 Innings'!$G$5, FALSE)</f>
        <v>1.9530620367572887E-2</v>
      </c>
      <c r="H10" s="1">
        <f>_xlfn.POISSON.DIST($D10,'First 5 Innings'!$G$6, FALSE) * _xlfn.POISSON.DIST(H$4, 'First 5 Innings'!$G$5, FALSE)</f>
        <v>1.3406174322255169E-2</v>
      </c>
      <c r="I10" s="1">
        <f>_xlfn.POISSON.DIST($D10,'First 5 Innings'!$G$6, FALSE) * _xlfn.POISSON.DIST(I$4, 'First 5 Innings'!$G$5, FALSE)</f>
        <v>6.9016820731829919E-3</v>
      </c>
      <c r="J10" s="1">
        <f>_xlfn.POISSON.DIST($D10,'First 5 Innings'!$G$6, FALSE) * _xlfn.POISSON.DIST(J$4, 'First 5 Innings'!$G$5, FALSE)</f>
        <v>2.8424643328840539E-3</v>
      </c>
      <c r="K10" s="1">
        <f>_xlfn.POISSON.DIST($D10,'First 5 Innings'!$G$6, FALSE) * _xlfn.POISSON.DIST(K$4, 'First 5 Innings'!$G$5, FALSE)</f>
        <v>9.7555970149072985E-4</v>
      </c>
      <c r="L10" s="1">
        <f>_xlfn.POISSON.DIST($D10,'First 5 Innings'!$G$6, FALSE) * _xlfn.POISSON.DIST(L$4, 'First 5 Innings'!$G$5, FALSE)</f>
        <v>2.8698942277327399E-4</v>
      </c>
      <c r="M10" s="1">
        <f>_xlfn.POISSON.DIST($D10,'First 5 Innings'!$G$6, FALSE) * _xlfn.POISSON.DIST(M$4, 'First 5 Innings'!$G$5, FALSE)</f>
        <v>7.3873041881132543E-5</v>
      </c>
      <c r="N10" s="1">
        <f>_xlfn.POISSON.DIST($D10,'First 5 Innings'!$G$6, FALSE) * _xlfn.POISSON.DIST(N$4, 'First 5 Innings'!$G$5, FALSE)</f>
        <v>1.6902601462641819E-5</v>
      </c>
      <c r="O10" s="1">
        <f>_xlfn.POISSON.DIST($D10,'First 5 Innings'!$G$6, FALSE) * _xlfn.POISSON.DIST(O$4, 'First 5 Innings'!$G$5, FALSE)</f>
        <v>3.4806762526193321E-6</v>
      </c>
      <c r="P10" s="1">
        <f>_xlfn.POISSON.DIST($D10,'First 5 Innings'!$G$6, FALSE) * _xlfn.POISSON.DIST(P$4, 'First 5 Innings'!$G$5, FALSE)</f>
        <v>6.5159992207681622E-7</v>
      </c>
      <c r="Q10" s="1">
        <f>_xlfn.POISSON.DIST($D10,'First 5 Innings'!$G$6, FALSE) * _xlfn.POISSON.DIST(Q$4, 'First 5 Innings'!$G$5, FALSE)</f>
        <v>1.1181752012129298E-7</v>
      </c>
      <c r="R10" s="1">
        <f>_xlfn.POISSON.DIST($D10,'First 5 Innings'!$G$6, FALSE) * _xlfn.POISSON.DIST(R$4, 'First 5 Innings'!$G$5, FALSE)</f>
        <v>1.7712366201015388E-8</v>
      </c>
      <c r="S10" s="1">
        <f>_xlfn.POISSON.DIST($D10,'First 5 Innings'!$G$6, FALSE) * _xlfn.POISSON.DIST(S$4, 'First 5 Innings'!$G$5, FALSE)</f>
        <v>2.6053053156104319E-9</v>
      </c>
      <c r="T10" s="1">
        <f>_xlfn.POISSON.DIST($D10,'First 5 Innings'!$G$6, FALSE) * _xlfn.POISSON.DIST(T$4, 'First 5 Innings'!$G$5, FALSE)</f>
        <v>3.5766582490909293E-10</v>
      </c>
    </row>
    <row r="11" spans="2:20">
      <c r="B11" s="377"/>
      <c r="C11" s="377"/>
      <c r="D11" s="1">
        <v>6</v>
      </c>
      <c r="E11" s="1">
        <f>_xlfn.POISSON.DIST($D11,'First 5 Innings'!$G$6, FALSE) * _xlfn.POISSON.DIST(E$4, 'First 5 Innings'!$G$5, FALSE)</f>
        <v>3.9617007754259928E-3</v>
      </c>
      <c r="F11" s="1">
        <f>_xlfn.POISSON.DIST($D11,'First 5 Innings'!$G$6, FALSE) * _xlfn.POISSON.DIST(F$4, 'First 5 Innings'!$G$5, FALSE)</f>
        <v>8.1581511813351472E-3</v>
      </c>
      <c r="G11" s="1">
        <f>_xlfn.POISSON.DIST($D11,'First 5 Innings'!$G$6, FALSE) * _xlfn.POISSON.DIST(G$4, 'First 5 Innings'!$G$5, FALSE)</f>
        <v>8.3998558283801105E-3</v>
      </c>
      <c r="H11" s="1">
        <f>_xlfn.POISSON.DIST($D11,'First 5 Innings'!$G$6, FALSE) * _xlfn.POISSON.DIST(H$4, 'First 5 Innings'!$G$5, FALSE)</f>
        <v>5.7658143672713828E-3</v>
      </c>
      <c r="I11" s="1">
        <f>_xlfn.POISSON.DIST($D11,'First 5 Innings'!$G$6, FALSE) * _xlfn.POISSON.DIST(I$4, 'First 5 Innings'!$G$5, FALSE)</f>
        <v>2.9683201709407416E-3</v>
      </c>
      <c r="J11" s="1">
        <f>_xlfn.POISSON.DIST($D11,'First 5 Innings'!$G$6, FALSE) * _xlfn.POISSON.DIST(J$4, 'First 5 Innings'!$G$5, FALSE)</f>
        <v>1.2225054885189937E-3</v>
      </c>
      <c r="K11" s="1">
        <f>_xlfn.POISSON.DIST($D11,'First 5 Innings'!$G$6, FALSE) * _xlfn.POISSON.DIST(K$4, 'First 5 Innings'!$G$5, FALSE)</f>
        <v>4.1957504115462072E-4</v>
      </c>
      <c r="L11" s="1">
        <f>_xlfn.POISSON.DIST($D11,'First 5 Innings'!$G$6, FALSE) * _xlfn.POISSON.DIST(L$4, 'First 5 Innings'!$G$5, FALSE)</f>
        <v>1.2343027155286971E-4</v>
      </c>
      <c r="M11" s="1">
        <f>_xlfn.POISSON.DIST($D11,'First 5 Innings'!$G$6, FALSE) * _xlfn.POISSON.DIST(M$4, 'First 5 Innings'!$G$5, FALSE)</f>
        <v>3.177179678509685E-5</v>
      </c>
      <c r="N11" s="1">
        <f>_xlfn.POISSON.DIST($D11,'First 5 Innings'!$G$6, FALSE) * _xlfn.POISSON.DIST(N$4, 'First 5 Innings'!$G$5, FALSE)</f>
        <v>7.2695804198052802E-6</v>
      </c>
      <c r="O11" s="1">
        <f>_xlfn.POISSON.DIST($D11,'First 5 Innings'!$G$6, FALSE) * _xlfn.POISSON.DIST(O$4, 'First 5 Innings'!$G$5, FALSE)</f>
        <v>1.4969918086069535E-6</v>
      </c>
      <c r="P11" s="1">
        <f>_xlfn.POISSON.DIST($D11,'First 5 Innings'!$G$6, FALSE) * _xlfn.POISSON.DIST(P$4, 'First 5 Innings'!$G$5, FALSE)</f>
        <v>2.8024431893195183E-7</v>
      </c>
      <c r="Q11" s="1">
        <f>_xlfn.POISSON.DIST($D11,'First 5 Innings'!$G$6, FALSE) * _xlfn.POISSON.DIST(Q$4, 'First 5 Innings'!$G$5, FALSE)</f>
        <v>4.8091203987831957E-8</v>
      </c>
      <c r="R11" s="1">
        <f>_xlfn.POISSON.DIST($D11,'First 5 Innings'!$G$6, FALSE) * _xlfn.POISSON.DIST(R$4, 'First 5 Innings'!$G$5, FALSE)</f>
        <v>7.6178492883424666E-9</v>
      </c>
      <c r="S11" s="1">
        <f>_xlfn.POISSON.DIST($D11,'First 5 Innings'!$G$6, FALSE) * _xlfn.POISSON.DIST(S$4, 'First 5 Innings'!$G$5, FALSE)</f>
        <v>1.1205066008233289E-9</v>
      </c>
      <c r="T11" s="1">
        <f>_xlfn.POISSON.DIST($D11,'First 5 Innings'!$G$6, FALSE) * _xlfn.POISSON.DIST(T$4, 'First 5 Innings'!$G$5, FALSE)</f>
        <v>1.5382723679188387E-10</v>
      </c>
    </row>
    <row r="12" spans="2:20">
      <c r="B12" s="377"/>
      <c r="C12" s="377"/>
      <c r="D12" s="1">
        <v>7</v>
      </c>
      <c r="E12" s="1">
        <f>_xlfn.POISSON.DIST($D12,'First 5 Innings'!$G$6, FALSE) * _xlfn.POISSON.DIST(E$4, 'First 5 Innings'!$G$5, FALSE)</f>
        <v>1.4604633890985597E-3</v>
      </c>
      <c r="F12" s="1">
        <f>_xlfn.POISSON.DIST($D12,'First 5 Innings'!$G$6, FALSE) * _xlfn.POISSON.DIST(F$4, 'First 5 Innings'!$G$5, FALSE)</f>
        <v>3.0074661864865323E-3</v>
      </c>
      <c r="G12" s="1">
        <f>_xlfn.POISSON.DIST($D12,'First 5 Innings'!$G$6, FALSE) * _xlfn.POISSON.DIST(G$4, 'First 5 Innings'!$G$5, FALSE)</f>
        <v>3.0965695307304448E-3</v>
      </c>
      <c r="H12" s="1">
        <f>_xlfn.POISSON.DIST($D12,'First 5 Innings'!$G$6, FALSE) * _xlfn.POISSON.DIST(H$4, 'First 5 Innings'!$G$5, FALSE)</f>
        <v>2.1255418490895156E-3</v>
      </c>
      <c r="I12" s="1">
        <f>_xlfn.POISSON.DIST($D12,'First 5 Innings'!$G$6, FALSE) * _xlfn.POISSON.DIST(I$4, 'First 5 Innings'!$G$5, FALSE)</f>
        <v>1.094258042826464E-3</v>
      </c>
      <c r="J12" s="1">
        <f>_xlfn.POISSON.DIST($D12,'First 5 Innings'!$G$6, FALSE) * _xlfn.POISSON.DIST(J$4, 'First 5 Innings'!$G$5, FALSE)</f>
        <v>4.5067121677357303E-4</v>
      </c>
      <c r="K12" s="1">
        <f>_xlfn.POISSON.DIST($D12,'First 5 Innings'!$G$6, FALSE) * _xlfn.POISSON.DIST(K$4, 'First 5 Innings'!$G$5, FALSE)</f>
        <v>1.5467447475761337E-4</v>
      </c>
      <c r="L12" s="1">
        <f>_xlfn.POISSON.DIST($D12,'First 5 Innings'!$G$6, FALSE) * _xlfn.POISSON.DIST(L$4, 'First 5 Innings'!$G$5, FALSE)</f>
        <v>4.5502021209584184E-5</v>
      </c>
      <c r="M12" s="1">
        <f>_xlfn.POISSON.DIST($D12,'First 5 Innings'!$G$6, FALSE) * _xlfn.POISSON.DIST(M$4, 'First 5 Innings'!$G$5, FALSE)</f>
        <v>1.1712531723328805E-5</v>
      </c>
      <c r="N12" s="1">
        <f>_xlfn.POISSON.DIST($D12,'First 5 Innings'!$G$6, FALSE) * _xlfn.POISSON.DIST(N$4, 'First 5 Innings'!$G$5, FALSE)</f>
        <v>2.6798985231517728E-6</v>
      </c>
      <c r="O12" s="1">
        <f>_xlfn.POISSON.DIST($D12,'First 5 Innings'!$G$6, FALSE) * _xlfn.POISSON.DIST(O$4, 'First 5 Innings'!$G$5, FALSE)</f>
        <v>5.5185937913642799E-7</v>
      </c>
      <c r="P12" s="1">
        <f>_xlfn.POISSON.DIST($D12,'First 5 Innings'!$G$6, FALSE) * _xlfn.POISSON.DIST(P$4, 'First 5 Innings'!$G$5, FALSE)</f>
        <v>1.0331082305401179E-7</v>
      </c>
      <c r="Q12" s="1">
        <f>_xlfn.POISSON.DIST($D12,'First 5 Innings'!$G$6, FALSE) * _xlfn.POISSON.DIST(Q$4, 'First 5 Innings'!$G$5, FALSE)</f>
        <v>1.7728608681797016E-8</v>
      </c>
      <c r="R12" s="1">
        <f>_xlfn.POISSON.DIST($D12,'First 5 Innings'!$G$6, FALSE) * _xlfn.POISSON.DIST(R$4, 'First 5 Innings'!$G$5, FALSE)</f>
        <v>2.808286294185956E-9</v>
      </c>
      <c r="S12" s="1">
        <f>_xlfn.POISSON.DIST($D12,'First 5 Innings'!$G$6, FALSE) * _xlfn.POISSON.DIST(S$4, 'First 5 Innings'!$G$5, FALSE)</f>
        <v>4.1306978000371094E-10</v>
      </c>
      <c r="T12" s="1">
        <f>_xlfn.POISSON.DIST($D12,'First 5 Innings'!$G$6, FALSE) * _xlfn.POISSON.DIST(T$4, 'First 5 Innings'!$G$5, FALSE)</f>
        <v>5.6707727391800376E-11</v>
      </c>
    </row>
    <row r="13" spans="2:20">
      <c r="B13" s="377"/>
      <c r="C13" s="377"/>
      <c r="D13" s="1">
        <v>8</v>
      </c>
      <c r="E13" s="1">
        <f>_xlfn.POISSON.DIST($D13,'First 5 Innings'!$G$6, FALSE) * _xlfn.POISSON.DIST(E$4, 'First 5 Innings'!$G$5, FALSE)</f>
        <v>4.7109417213227455E-4</v>
      </c>
      <c r="F13" s="1">
        <f>_xlfn.POISSON.DIST($D13,'First 5 Innings'!$G$6, FALSE) * _xlfn.POISSON.DIST(F$4, 'First 5 Innings'!$G$5, FALSE)</f>
        <v>9.7010291659085782E-4</v>
      </c>
      <c r="G13" s="1">
        <f>_xlfn.POISSON.DIST($D13,'First 5 Innings'!$G$6, FALSE) * _xlfn.POISSON.DIST(G$4, 'First 5 Innings'!$G$5, FALSE)</f>
        <v>9.988445245655102E-4</v>
      </c>
      <c r="H13" s="1">
        <f>_xlfn.POISSON.DIST($D13,'First 5 Innings'!$G$6, FALSE) * _xlfn.POISSON.DIST(H$4, 'First 5 Innings'!$G$5, FALSE)</f>
        <v>6.8562511405875044E-4</v>
      </c>
      <c r="I13" s="1">
        <f>_xlfn.POISSON.DIST($D13,'First 5 Innings'!$G$6, FALSE) * _xlfn.POISSON.DIST(I$4, 'First 5 Innings'!$G$5, FALSE)</f>
        <v>3.5296919500501595E-4</v>
      </c>
      <c r="J13" s="1">
        <f>_xlfn.POISSON.DIST($D13,'First 5 Innings'!$G$6, FALSE) * _xlfn.POISSON.DIST(J$4, 'First 5 Innings'!$G$5, FALSE)</f>
        <v>1.4537069902233855E-4</v>
      </c>
      <c r="K13" s="1">
        <f>_xlfn.POISSON.DIST($D13,'First 5 Innings'!$G$6, FALSE) * _xlfn.POISSON.DIST(K$4, 'First 5 Innings'!$G$5, FALSE)</f>
        <v>4.9892550665653744E-5</v>
      </c>
      <c r="L13" s="1">
        <f>_xlfn.POISSON.DIST($D13,'First 5 Innings'!$G$6, FALSE) * _xlfn.POISSON.DIST(L$4, 'First 5 Innings'!$G$5, FALSE)</f>
        <v>1.4677353210000707E-5</v>
      </c>
      <c r="M13" s="1">
        <f>_xlfn.POISSON.DIST($D13,'First 5 Innings'!$G$6, FALSE) * _xlfn.POISSON.DIST(M$4, 'First 5 Innings'!$G$5, FALSE)</f>
        <v>3.7780511835906229E-6</v>
      </c>
      <c r="N13" s="1">
        <f>_xlfn.POISSON.DIST($D13,'First 5 Innings'!$G$6, FALSE) * _xlfn.POISSON.DIST(N$4, 'First 5 Innings'!$G$5, FALSE)</f>
        <v>8.6444109834340414E-7</v>
      </c>
      <c r="O13" s="1">
        <f>_xlfn.POISSON.DIST($D13,'First 5 Innings'!$G$6, FALSE) * _xlfn.POISSON.DIST(O$4, 'First 5 Innings'!$G$5, FALSE)</f>
        <v>1.7801044469055286E-7</v>
      </c>
      <c r="P13" s="1">
        <f>_xlfn.POISSON.DIST($D13,'First 5 Innings'!$G$6, FALSE) * _xlfn.POISSON.DIST(P$4, 'First 5 Innings'!$G$5, FALSE)</f>
        <v>3.3324441421960996E-8</v>
      </c>
      <c r="Q13" s="1">
        <f>_xlfn.POISSON.DIST($D13,'First 5 Innings'!$G$6, FALSE) * _xlfn.POISSON.DIST(Q$4, 'First 5 Innings'!$G$5, FALSE)</f>
        <v>5.7186262198350762E-9</v>
      </c>
      <c r="R13" s="1">
        <f>_xlfn.POISSON.DIST($D13,'First 5 Innings'!$G$6, FALSE) * _xlfn.POISSON.DIST(R$4, 'First 5 Innings'!$G$5, FALSE)</f>
        <v>9.0585448203978586E-10</v>
      </c>
      <c r="S13" s="1">
        <f>_xlfn.POISSON.DIST($D13,'First 5 Innings'!$G$6, FALSE) * _xlfn.POISSON.DIST(S$4, 'First 5 Innings'!$G$5, FALSE)</f>
        <v>1.3324179674494852E-10</v>
      </c>
      <c r="T13" s="1">
        <f>_xlfn.POISSON.DIST($D13,'First 5 Innings'!$G$6, FALSE) * _xlfn.POISSON.DIST(T$4, 'First 5 Innings'!$G$5, FALSE)</f>
        <v>1.8291920282665887E-11</v>
      </c>
    </row>
    <row r="14" spans="2:20">
      <c r="B14" s="377"/>
      <c r="C14" s="377"/>
      <c r="D14" s="1">
        <v>9</v>
      </c>
      <c r="E14" s="1">
        <f>_xlfn.POISSON.DIST($D14,'First 5 Innings'!$G$6, FALSE) * _xlfn.POISSON.DIST(E$4, 'First 5 Innings'!$G$5, FALSE)</f>
        <v>1.3507415716199433E-4</v>
      </c>
      <c r="F14" s="1">
        <f>_xlfn.POISSON.DIST($D14,'First 5 Innings'!$G$6, FALSE) * _xlfn.POISSON.DIST(F$4, 'First 5 Innings'!$G$5, FALSE)</f>
        <v>2.7815210115167833E-4</v>
      </c>
      <c r="G14" s="1">
        <f>_xlfn.POISSON.DIST($D14,'First 5 Innings'!$G$6, FALSE) * _xlfn.POISSON.DIST(G$4, 'First 5 Innings'!$G$5, FALSE)</f>
        <v>2.8639301921501317E-4</v>
      </c>
      <c r="H14" s="1">
        <f>_xlfn.POISSON.DIST($D14,'First 5 Innings'!$G$6, FALSE) * _xlfn.POISSON.DIST(H$4, 'First 5 Innings'!$G$5, FALSE)</f>
        <v>1.965853960608511E-4</v>
      </c>
      <c r="I14" s="1">
        <f>_xlfn.POISSON.DIST($D14,'First 5 Innings'!$G$6, FALSE) * _xlfn.POISSON.DIST(I$4, 'First 5 Innings'!$G$5, FALSE)</f>
        <v>1.0120485316906728E-4</v>
      </c>
      <c r="J14" s="1">
        <f>_xlfn.POISSON.DIST($D14,'First 5 Innings'!$G$6, FALSE) * _xlfn.POISSON.DIST(J$4, 'First 5 Innings'!$G$5, FALSE)</f>
        <v>4.1681315134119202E-5</v>
      </c>
      <c r="K14" s="1">
        <f>_xlfn.POISSON.DIST($D14,'First 5 Innings'!$G$6, FALSE) * _xlfn.POISSON.DIST(K$4, 'First 5 Innings'!$G$5, FALSE)</f>
        <v>1.430540776873172E-5</v>
      </c>
      <c r="L14" s="1">
        <f>_xlfn.POISSON.DIST($D14,'First 5 Innings'!$G$6, FALSE) * _xlfn.POISSON.DIST(L$4, 'First 5 Innings'!$G$5, FALSE)</f>
        <v>4.2083541497369227E-6</v>
      </c>
      <c r="M14" s="1">
        <f>_xlfn.POISSON.DIST($D14,'First 5 Innings'!$G$6, FALSE) * _xlfn.POISSON.DIST(M$4, 'First 5 Innings'!$G$5, FALSE)</f>
        <v>1.0832591645712206E-6</v>
      </c>
      <c r="N14" s="1">
        <f>_xlfn.POISSON.DIST($D14,'First 5 Innings'!$G$6, FALSE) * _xlfn.POISSON.DIST(N$4, 'First 5 Innings'!$G$5, FALSE)</f>
        <v>2.4785628794010829E-7</v>
      </c>
      <c r="O14" s="1">
        <f>_xlfn.POISSON.DIST($D14,'First 5 Innings'!$G$6, FALSE) * _xlfn.POISSON.DIST(O$4, 'First 5 Innings'!$G$5, FALSE)</f>
        <v>5.1039924085193212E-8</v>
      </c>
      <c r="P14" s="1">
        <f>_xlfn.POISSON.DIST($D14,'First 5 Innings'!$G$6, FALSE) * _xlfn.POISSON.DIST(P$4, 'First 5 Innings'!$G$5, FALSE)</f>
        <v>9.5549278769293706E-9</v>
      </c>
      <c r="Q14" s="1">
        <f>_xlfn.POISSON.DIST($D14,'First 5 Innings'!$G$6, FALSE) * _xlfn.POISSON.DIST(Q$4, 'First 5 Innings'!$G$5, FALSE)</f>
        <v>1.6396692263724673E-9</v>
      </c>
      <c r="R14" s="1">
        <f>_xlfn.POISSON.DIST($D14,'First 5 Innings'!$G$6, FALSE) * _xlfn.POISSON.DIST(R$4, 'First 5 Innings'!$G$5, FALSE)</f>
        <v>2.5973051230738484E-10</v>
      </c>
      <c r="S14" s="1">
        <f>_xlfn.POISSON.DIST($D14,'First 5 Innings'!$G$6, FALSE) * _xlfn.POISSON.DIST(S$4, 'First 5 Innings'!$G$5, FALSE)</f>
        <v>3.8203663850505693E-11</v>
      </c>
      <c r="T14" s="1">
        <f>_xlfn.POISSON.DIST($D14,'First 5 Innings'!$G$6, FALSE) * _xlfn.POISSON.DIST(T$4, 'First 5 Innings'!$G$5, FALSE)</f>
        <v>5.2447384434247224E-12</v>
      </c>
    </row>
    <row r="15" spans="2:20">
      <c r="B15" s="377"/>
      <c r="C15" s="377"/>
      <c r="D15" s="1">
        <v>10</v>
      </c>
      <c r="E15" s="1">
        <f>_xlfn.POISSON.DIST($D15,'First 5 Innings'!$G$6, FALSE) * _xlfn.POISSON.DIST(E$4, 'First 5 Innings'!$G$5, FALSE)</f>
        <v>3.4856141534075814E-5</v>
      </c>
      <c r="F15" s="1">
        <f>_xlfn.POISSON.DIST($D15,'First 5 Innings'!$G$6, FALSE) * _xlfn.POISSON.DIST(F$4, 'First 5 Innings'!$G$5, FALSE)</f>
        <v>7.1777675385498776E-5</v>
      </c>
      <c r="G15" s="1">
        <f>_xlfn.POISSON.DIST($D15,'First 5 Innings'!$G$6, FALSE) * _xlfn.POISSON.DIST(G$4, 'First 5 Innings'!$G$5, FALSE)</f>
        <v>7.3904259866361586E-5</v>
      </c>
      <c r="H15" s="1">
        <f>_xlfn.POISSON.DIST($D15,'First 5 Innings'!$G$6, FALSE) * _xlfn.POISSON.DIST(H$4, 'First 5 Innings'!$G$5, FALSE)</f>
        <v>5.0729232982823858E-5</v>
      </c>
      <c r="I15" s="1">
        <f>_xlfn.POISSON.DIST($D15,'First 5 Innings'!$G$6, FALSE) * _xlfn.POISSON.DIST(I$4, 'First 5 Innings'!$G$5, FALSE)</f>
        <v>2.6116103628658662E-5</v>
      </c>
      <c r="J15" s="1">
        <f>_xlfn.POISSON.DIST($D15,'First 5 Innings'!$G$6, FALSE) * _xlfn.POISSON.DIST(J$4, 'First 5 Innings'!$G$5, FALSE)</f>
        <v>1.0755942144424218E-5</v>
      </c>
      <c r="K15" s="1">
        <f>_xlfn.POISSON.DIST($D15,'First 5 Innings'!$G$6, FALSE) * _xlfn.POISSON.DIST(K$4, 'First 5 Innings'!$G$5, FALSE)</f>
        <v>3.6915375106991961E-6</v>
      </c>
      <c r="L15" s="1">
        <f>_xlfn.POISSON.DIST($D15,'First 5 Innings'!$G$6, FALSE) * _xlfn.POISSON.DIST(L$4, 'First 5 Innings'!$G$5, FALSE)</f>
        <v>1.0859737417633772E-6</v>
      </c>
      <c r="M15" s="1">
        <f>_xlfn.POISSON.DIST($D15,'First 5 Innings'!$G$6, FALSE) * _xlfn.POISSON.DIST(M$4, 'First 5 Innings'!$G$5, FALSE)</f>
        <v>2.7953707468332207E-7</v>
      </c>
      <c r="N15" s="1">
        <f>_xlfn.POISSON.DIST($D15,'First 5 Innings'!$G$6, FALSE) * _xlfn.POISSON.DIST(N$4, 'First 5 Innings'!$G$5, FALSE)</f>
        <v>6.3959783529797938E-8</v>
      </c>
      <c r="O15" s="1">
        <f>_xlfn.POISSON.DIST($D15,'First 5 Innings'!$G$6, FALSE) * _xlfn.POISSON.DIST(O$4, 'First 5 Innings'!$G$5, FALSE)</f>
        <v>1.3170948871206805E-8</v>
      </c>
      <c r="P15" s="1">
        <f>_xlfn.POISSON.DIST($D15,'First 5 Innings'!$G$6, FALSE) * _xlfn.POISSON.DIST(P$4, 'First 5 Innings'!$G$5, FALSE)</f>
        <v>2.4656671966252774E-9</v>
      </c>
      <c r="Q15" s="1">
        <f>_xlfn.POISSON.DIST($D15,'First 5 Innings'!$G$6, FALSE) * _xlfn.POISSON.DIST(Q$4, 'First 5 Innings'!$G$5, FALSE)</f>
        <v>4.2311974269781541E-10</v>
      </c>
      <c r="R15" s="1">
        <f>_xlfn.POISSON.DIST($D15,'First 5 Innings'!$G$6, FALSE) * _xlfn.POISSON.DIST(R$4, 'First 5 Innings'!$G$5, FALSE)</f>
        <v>6.7023949569026193E-11</v>
      </c>
      <c r="S15" s="1">
        <f>_xlfn.POISSON.DIST($D15,'First 5 Innings'!$G$6, FALSE) * _xlfn.POISSON.DIST(S$4, 'First 5 Innings'!$G$5, FALSE)</f>
        <v>9.8585276582289287E-12</v>
      </c>
      <c r="T15" s="1">
        <f>_xlfn.POISSON.DIST($D15,'First 5 Innings'!$G$6, FALSE) * _xlfn.POISSON.DIST(T$4, 'First 5 Innings'!$G$5, FALSE)</f>
        <v>1.3534146674257984E-12</v>
      </c>
    </row>
    <row r="16" spans="2:20">
      <c r="B16" s="377"/>
      <c r="C16" s="377"/>
      <c r="D16" s="1">
        <v>11</v>
      </c>
      <c r="E16" s="1">
        <f>_xlfn.POISSON.DIST($D16,'First 5 Innings'!$G$6, FALSE) * _xlfn.POISSON.DIST(E$4, 'First 5 Innings'!$G$5, FALSE)</f>
        <v>8.1769938163162163E-6</v>
      </c>
      <c r="F16" s="1">
        <f>_xlfn.POISSON.DIST($D16,'First 5 Innings'!$G$6, FALSE) * _xlfn.POISSON.DIST(F$4, 'First 5 Innings'!$G$5, FALSE)</f>
        <v>1.6838513442544696E-5</v>
      </c>
      <c r="G16" s="1">
        <f>_xlfn.POISSON.DIST($D16,'First 5 Innings'!$G$6, FALSE) * _xlfn.POISSON.DIST(G$4, 'First 5 Innings'!$G$5, FALSE)</f>
        <v>1.7337394482859773E-5</v>
      </c>
      <c r="H16" s="1">
        <f>_xlfn.POISSON.DIST($D16,'First 5 Innings'!$G$6, FALSE) * _xlfn.POISSON.DIST(H$4, 'First 5 Innings'!$G$5, FALSE)</f>
        <v>1.190070404096475E-5</v>
      </c>
      <c r="I16" s="1">
        <f>_xlfn.POISSON.DIST($D16,'First 5 Innings'!$G$6, FALSE) * _xlfn.POISSON.DIST(I$4, 'First 5 Innings'!$G$5, FALSE)</f>
        <v>6.1266453623114006E-6</v>
      </c>
      <c r="J16" s="1">
        <f>_xlfn.POISSON.DIST($D16,'First 5 Innings'!$G$6, FALSE) * _xlfn.POISSON.DIST(J$4, 'First 5 Innings'!$G$5, FALSE)</f>
        <v>2.5232647256045112E-6</v>
      </c>
      <c r="K16" s="1">
        <f>_xlfn.POISSON.DIST($D16,'First 5 Innings'!$G$6, FALSE) * _xlfn.POISSON.DIST(K$4, 'First 5 Innings'!$G$5, FALSE)</f>
        <v>8.660074830192198E-7</v>
      </c>
      <c r="L16" s="1">
        <f>_xlfn.POISSON.DIST($D16,'First 5 Innings'!$G$6, FALSE) * _xlfn.POISSON.DIST(L$4, 'First 5 Innings'!$G$5, FALSE)</f>
        <v>2.5476143314370337E-7</v>
      </c>
      <c r="M16" s="1">
        <f>_xlfn.POISSON.DIST($D16,'First 5 Innings'!$G$6, FALSE) * _xlfn.POISSON.DIST(M$4, 'First 5 Innings'!$G$5, FALSE)</f>
        <v>6.5577336748017489E-8</v>
      </c>
      <c r="N16" s="1">
        <f>_xlfn.POISSON.DIST($D16,'First 5 Innings'!$G$6, FALSE) * _xlfn.POISSON.DIST(N$4, 'First 5 Innings'!$G$5, FALSE)</f>
        <v>1.5004493652999174E-8</v>
      </c>
      <c r="O16" s="1">
        <f>_xlfn.POISSON.DIST($D16,'First 5 Innings'!$G$6, FALSE) * _xlfn.POISSON.DIST(O$4, 'First 5 Innings'!$G$5, FALSE)</f>
        <v>3.0898074983310297E-9</v>
      </c>
      <c r="P16" s="1">
        <f>_xlfn.POISSON.DIST($D16,'First 5 Innings'!$G$6, FALSE) * _xlfn.POISSON.DIST(P$4, 'First 5 Innings'!$G$5, FALSE)</f>
        <v>5.7842734544178538E-10</v>
      </c>
      <c r="Q16" s="1">
        <f>_xlfn.POISSON.DIST($D16,'First 5 Innings'!$G$6, FALSE) * _xlfn.POISSON.DIST(Q$4, 'First 5 Innings'!$G$5, FALSE)</f>
        <v>9.9260772057026253E-11</v>
      </c>
      <c r="R16" s="1">
        <f>_xlfn.POISSON.DIST($D16,'First 5 Innings'!$G$6, FALSE) * _xlfn.POISSON.DIST(R$4, 'First 5 Innings'!$G$5, FALSE)</f>
        <v>1.5723324414299615E-11</v>
      </c>
      <c r="S16" s="1">
        <f>_xlfn.POISSON.DIST($D16,'First 5 Innings'!$G$6, FALSE) * _xlfn.POISSON.DIST(S$4, 'First 5 Innings'!$G$5, FALSE)</f>
        <v>2.312737903606224E-12</v>
      </c>
      <c r="T16" s="1">
        <f>_xlfn.POISSON.DIST($D16,'First 5 Innings'!$G$6, FALSE) * _xlfn.POISSON.DIST(T$4, 'First 5 Innings'!$G$5, FALSE)</f>
        <v>3.1750110251398059E-13</v>
      </c>
    </row>
    <row r="17" spans="2:20">
      <c r="B17" s="377"/>
      <c r="C17" s="377"/>
      <c r="D17" s="1">
        <v>12</v>
      </c>
      <c r="E17" s="1">
        <f>_xlfn.POISSON.DIST($D17,'First 5 Innings'!$G$6, FALSE) * _xlfn.POISSON.DIST(E$4, 'First 5 Innings'!$G$5, FALSE)</f>
        <v>1.7584072567569847E-6</v>
      </c>
      <c r="F17" s="1">
        <f>_xlfn.POISSON.DIST($D17,'First 5 Innings'!$G$6, FALSE) * _xlfn.POISSON.DIST(F$4, 'First 5 Innings'!$G$5, FALSE)</f>
        <v>3.6210085143135944E-6</v>
      </c>
      <c r="G17" s="1">
        <f>_xlfn.POISSON.DIST($D17,'First 5 Innings'!$G$6, FALSE) * _xlfn.POISSON.DIST(G$4, 'First 5 Innings'!$G$5, FALSE)</f>
        <v>3.7282895103928723E-6</v>
      </c>
      <c r="H17" s="1">
        <f>_xlfn.POISSON.DIST($D17,'First 5 Innings'!$G$6, FALSE) * _xlfn.POISSON.DIST(H$4, 'First 5 Innings'!$G$5, FALSE)</f>
        <v>2.559165974223153E-6</v>
      </c>
      <c r="I17" s="1">
        <f>_xlfn.POISSON.DIST($D17,'First 5 Innings'!$G$6, FALSE) * _xlfn.POISSON.DIST(I$4, 'First 5 Innings'!$G$5, FALSE)</f>
        <v>1.3174936788099778E-6</v>
      </c>
      <c r="J17" s="1">
        <f>_xlfn.POISSON.DIST($D17,'First 5 Innings'!$G$6, FALSE) * _xlfn.POISSON.DIST(J$4, 'First 5 Innings'!$G$5, FALSE)</f>
        <v>5.426110259944841E-7</v>
      </c>
      <c r="K17" s="1">
        <f>_xlfn.POISSON.DIST($D17,'First 5 Innings'!$G$6, FALSE) * _xlfn.POISSON.DIST(K$4, 'First 5 Innings'!$G$5, FALSE)</f>
        <v>1.862290563933525E-7</v>
      </c>
      <c r="L17" s="1">
        <f>_xlfn.POISSON.DIST($D17,'First 5 Innings'!$G$6, FALSE) * _xlfn.POISSON.DIST(L$4, 'First 5 Innings'!$G$5, FALSE)</f>
        <v>5.4784724416425261E-8</v>
      </c>
      <c r="M17" s="1">
        <f>_xlfn.POISSON.DIST($D17,'First 5 Innings'!$G$6, FALSE) * _xlfn.POISSON.DIST(M$4, 'First 5 Innings'!$G$5, FALSE)</f>
        <v>1.4101963069413084E-8</v>
      </c>
      <c r="N17" s="1">
        <f>_xlfn.POISSON.DIST($D17,'First 5 Innings'!$G$6, FALSE) * _xlfn.POISSON.DIST(N$4, 'First 5 Innings'!$G$5, FALSE)</f>
        <v>3.2266149536216745E-9</v>
      </c>
      <c r="O17" s="1">
        <f>_xlfn.POISSON.DIST($D17,'First 5 Innings'!$G$6, FALSE) * _xlfn.POISSON.DIST(O$4, 'First 5 Innings'!$G$5, FALSE)</f>
        <v>6.6444222034340351E-10</v>
      </c>
      <c r="P17" s="1">
        <f>_xlfn.POISSON.DIST($D17,'First 5 Innings'!$G$6, FALSE) * _xlfn.POISSON.DIST(P$4, 'First 5 Innings'!$G$5, FALSE)</f>
        <v>1.2438689139057327E-10</v>
      </c>
      <c r="Q17" s="1">
        <f>_xlfn.POISSON.DIST($D17,'First 5 Innings'!$G$6, FALSE) * _xlfn.POISSON.DIST(Q$4, 'First 5 Innings'!$G$5, FALSE)</f>
        <v>2.1345358186293406E-11</v>
      </c>
      <c r="R17" s="1">
        <f>_xlfn.POISSON.DIST($D17,'First 5 Innings'!$G$6, FALSE) * _xlfn.POISSON.DIST(R$4, 'First 5 Innings'!$G$5, FALSE)</f>
        <v>3.381194650689402E-12</v>
      </c>
      <c r="S17" s="1">
        <f>_xlfn.POISSON.DIST($D17,'First 5 Innings'!$G$6, FALSE) * _xlfn.POISSON.DIST(S$4, 'First 5 Innings'!$G$5, FALSE)</f>
        <v>4.9733865574943144E-13</v>
      </c>
      <c r="T17" s="1">
        <f>_xlfn.POISSON.DIST($D17,'First 5 Innings'!$G$6, FALSE) * _xlfn.POISSON.DIST(T$4, 'First 5 Innings'!$G$5, FALSE)</f>
        <v>6.8276466294362758E-14</v>
      </c>
    </row>
    <row r="18" spans="2:20">
      <c r="B18" s="377"/>
      <c r="C18" s="377"/>
      <c r="D18" s="1">
        <v>13</v>
      </c>
      <c r="E18" s="1">
        <f>_xlfn.POISSON.DIST($D18,'First 5 Innings'!$G$6, FALSE) * _xlfn.POISSON.DIST(E$4, 'First 5 Innings'!$G$5, FALSE)</f>
        <v>3.490463968023866E-7</v>
      </c>
      <c r="F18" s="1">
        <f>_xlfn.POISSON.DIST($D18,'First 5 Innings'!$G$6, FALSE) * _xlfn.POISSON.DIST(F$4, 'First 5 Innings'!$G$5, FALSE)</f>
        <v>7.1877545423858346E-7</v>
      </c>
      <c r="G18" s="1">
        <f>_xlfn.POISSON.DIST($D18,'First 5 Innings'!$G$6, FALSE) * _xlfn.POISSON.DIST(G$4, 'First 5 Innings'!$G$5, FALSE)</f>
        <v>7.4007088792321485E-7</v>
      </c>
      <c r="H18" s="1">
        <f>_xlfn.POISSON.DIST($D18,'First 5 Innings'!$G$6, FALSE) * _xlfn.POISSON.DIST(H$4, 'First 5 Innings'!$G$5, FALSE)</f>
        <v>5.0799816634589349E-7</v>
      </c>
      <c r="I18" s="1">
        <f>_xlfn.POISSON.DIST($D18,'First 5 Innings'!$G$6, FALSE) * _xlfn.POISSON.DIST(I$4, 'First 5 Innings'!$G$5, FALSE)</f>
        <v>2.6152441058885941E-7</v>
      </c>
      <c r="J18" s="1">
        <f>_xlfn.POISSON.DIST($D18,'First 5 Innings'!$G$6, FALSE) * _xlfn.POISSON.DIST(J$4, 'First 5 Innings'!$G$5, FALSE)</f>
        <v>1.0770907749659938E-7</v>
      </c>
      <c r="K18" s="1">
        <f>_xlfn.POISSON.DIST($D18,'First 5 Innings'!$G$6, FALSE) * _xlfn.POISSON.DIST(K$4, 'First 5 Innings'!$G$5, FALSE)</f>
        <v>3.6966738430033464E-8</v>
      </c>
      <c r="L18" s="1">
        <f>_xlfn.POISSON.DIST($D18,'First 5 Innings'!$G$6, FALSE) * _xlfn.POISSON.DIST(L$4, 'First 5 Innings'!$G$5, FALSE)</f>
        <v>1.0874847441560418E-8</v>
      </c>
      <c r="M18" s="1">
        <f>_xlfn.POISSON.DIST($D18,'First 5 Innings'!$G$6, FALSE) * _xlfn.POISSON.DIST(M$4, 'First 5 Innings'!$G$5, FALSE)</f>
        <v>2.7992601704209322E-9</v>
      </c>
      <c r="N18" s="1">
        <f>_xlfn.POISSON.DIST($D18,'First 5 Innings'!$G$6, FALSE) * _xlfn.POISSON.DIST(N$4, 'First 5 Innings'!$G$5, FALSE)</f>
        <v>6.4048775908003059E-10</v>
      </c>
      <c r="O18" s="1">
        <f>_xlfn.POISSON.DIST($D18,'First 5 Innings'!$G$6, FALSE) * _xlfn.POISSON.DIST(O$4, 'First 5 Innings'!$G$5, FALSE)</f>
        <v>1.3189274669053207E-10</v>
      </c>
      <c r="P18" s="1">
        <f>_xlfn.POISSON.DIST($D18,'First 5 Innings'!$G$6, FALSE) * _xlfn.POISSON.DIST(P$4, 'First 5 Innings'!$G$5, FALSE)</f>
        <v>2.4690978772120531E-11</v>
      </c>
      <c r="Q18" s="1">
        <f>_xlfn.POISSON.DIST($D18,'First 5 Innings'!$G$6, FALSE) * _xlfn.POISSON.DIST(Q$4, 'First 5 Innings'!$G$5, FALSE)</f>
        <v>4.2370846314197821E-12</v>
      </c>
      <c r="R18" s="1">
        <f>_xlfn.POISSON.DIST($D18,'First 5 Innings'!$G$6, FALSE) * _xlfn.POISSON.DIST(R$4, 'First 5 Innings'!$G$5, FALSE)</f>
        <v>6.7117205367274314E-13</v>
      </c>
      <c r="S18" s="1">
        <f>_xlfn.POISSON.DIST($D18,'First 5 Innings'!$G$6, FALSE) * _xlfn.POISSON.DIST(S$4, 'First 5 Innings'!$G$5, FALSE)</f>
        <v>9.872244618692031E-14</v>
      </c>
      <c r="T18" s="1">
        <f>_xlfn.POISSON.DIST($D18,'First 5 Innings'!$G$6, FALSE) * _xlfn.POISSON.DIST(T$4, 'First 5 Innings'!$G$5, FALSE)</f>
        <v>1.3552977818346491E-14</v>
      </c>
    </row>
    <row r="19" spans="2:20">
      <c r="B19" s="377"/>
      <c r="C19" s="377"/>
      <c r="D19" s="1">
        <v>14</v>
      </c>
      <c r="E19" s="1">
        <f>_xlfn.POISSON.DIST($D19,'First 5 Innings'!$G$6, FALSE) * _xlfn.POISSON.DIST(E$4, 'First 5 Innings'!$G$5, FALSE)</f>
        <v>6.4337201687302932E-8</v>
      </c>
      <c r="F19" s="1">
        <f>_xlfn.POISSON.DIST($D19,'First 5 Innings'!$G$6, FALSE) * _xlfn.POISSON.DIST(F$4, 'First 5 Innings'!$G$5, FALSE)</f>
        <v>1.3248668884959633E-7</v>
      </c>
      <c r="G19" s="1">
        <f>_xlfn.POISSON.DIST($D19,'First 5 Innings'!$G$6, FALSE) * _xlfn.POISSON.DIST(G$4, 'First 5 Innings'!$G$5, FALSE)</f>
        <v>1.364119223559098E-7</v>
      </c>
      <c r="H19" s="1">
        <f>_xlfn.POISSON.DIST($D19,'First 5 Innings'!$G$6, FALSE) * _xlfn.POISSON.DIST(H$4, 'First 5 Innings'!$G$5, FALSE)</f>
        <v>9.3635633498544532E-8</v>
      </c>
      <c r="I19" s="1">
        <f>_xlfn.POISSON.DIST($D19,'First 5 Innings'!$G$6, FALSE) * _xlfn.POISSON.DIST(I$4, 'First 5 Innings'!$G$5, FALSE)</f>
        <v>4.8204906007766091E-8</v>
      </c>
      <c r="J19" s="1">
        <f>_xlfn.POISSON.DIST($D19,'First 5 Innings'!$G$6, FALSE) * _xlfn.POISSON.DIST(J$4, 'First 5 Innings'!$G$5, FALSE)</f>
        <v>1.9853236434855173E-8</v>
      </c>
      <c r="K19" s="1">
        <f>_xlfn.POISSON.DIST($D19,'First 5 Innings'!$G$6, FALSE) * _xlfn.POISSON.DIST(K$4, 'First 5 Innings'!$G$5, FALSE)</f>
        <v>6.8138119398531875E-9</v>
      </c>
      <c r="L19" s="1">
        <f>_xlfn.POISSON.DIST($D19,'First 5 Innings'!$G$6, FALSE) * _xlfn.POISSON.DIST(L$4, 'First 5 Innings'!$G$5, FALSE)</f>
        <v>2.0044820962940223E-9</v>
      </c>
      <c r="M19" s="1">
        <f>_xlfn.POISSON.DIST($D19,'First 5 Innings'!$G$6, FALSE) * _xlfn.POISSON.DIST(M$4, 'First 5 Innings'!$G$5, FALSE)</f>
        <v>5.1596741238262259E-10</v>
      </c>
      <c r="N19" s="1">
        <f>_xlfn.POISSON.DIST($D19,'First 5 Innings'!$G$6, FALSE) * _xlfn.POISSON.DIST(N$4, 'First 5 Innings'!$G$5, FALSE)</f>
        <v>1.1805648335487666E-10</v>
      </c>
      <c r="O19" s="1">
        <f>_xlfn.POISSON.DIST($D19,'First 5 Innings'!$G$6, FALSE) * _xlfn.POISSON.DIST(O$4, 'First 5 Innings'!$G$5, FALSE)</f>
        <v>2.4310837535232508E-11</v>
      </c>
      <c r="P19" s="1">
        <f>_xlfn.POISSON.DIST($D19,'First 5 Innings'!$G$6, FALSE) * _xlfn.POISSON.DIST(P$4, 'First 5 Innings'!$G$5, FALSE)</f>
        <v>4.5511098113933384E-12</v>
      </c>
      <c r="Q19" s="1">
        <f>_xlfn.POISSON.DIST($D19,'First 5 Innings'!$G$6, FALSE) * _xlfn.POISSON.DIST(Q$4, 'First 5 Innings'!$G$5, FALSE)</f>
        <v>7.8099121204268007E-13</v>
      </c>
      <c r="R19" s="1">
        <f>_xlfn.POISSON.DIST($D19,'First 5 Innings'!$G$6, FALSE) * _xlfn.POISSON.DIST(R$4, 'First 5 Innings'!$G$5, FALSE)</f>
        <v>1.2371229779080571E-13</v>
      </c>
      <c r="S19" s="1">
        <f>_xlfn.POISSON.DIST($D19,'First 5 Innings'!$G$6, FALSE) * _xlfn.POISSON.DIST(S$4, 'First 5 Innings'!$G$5, FALSE)</f>
        <v>1.8196795582415748E-14</v>
      </c>
      <c r="T19" s="1">
        <f>_xlfn.POISSON.DIST($D19,'First 5 Innings'!$G$6, FALSE) * _xlfn.POISSON.DIST(T$4, 'First 5 Innings'!$G$5, FALSE)</f>
        <v>2.4981225285535999E-15</v>
      </c>
    </row>
    <row r="20" spans="2:20">
      <c r="B20" s="377"/>
      <c r="C20" s="377"/>
      <c r="D20" s="1">
        <v>15</v>
      </c>
      <c r="E20" s="1">
        <f>_xlfn.POISSON.DIST($D20,'First 5 Innings'!$G$6, FALSE) * _xlfn.POISSON.DIST(E$4, 'First 5 Innings'!$G$5, FALSE)</f>
        <v>1.1068224324753872E-8</v>
      </c>
      <c r="F20" s="1">
        <f>_xlfn.POISSON.DIST($D20,'First 5 Innings'!$G$6, FALSE) * _xlfn.POISSON.DIST(F$4, 'First 5 Innings'!$G$5, FALSE)</f>
        <v>2.2792293630647522E-8</v>
      </c>
      <c r="G20" s="1">
        <f>_xlfn.POISSON.DIST($D20,'First 5 Innings'!$G$6, FALSE) * _xlfn.POISSON.DIST(G$4, 'First 5 Innings'!$G$5, FALSE)</f>
        <v>2.3467569580417214E-8</v>
      </c>
      <c r="H20" s="1">
        <f>_xlfn.POISSON.DIST($D20,'First 5 Innings'!$G$6, FALSE) * _xlfn.POISSON.DIST(H$4, 'First 5 Innings'!$G$5, FALSE)</f>
        <v>1.6108568125008468E-8</v>
      </c>
      <c r="I20" s="1">
        <f>_xlfn.POISSON.DIST($D20,'First 5 Innings'!$G$6, FALSE) * _xlfn.POISSON.DIST(I$4, 'First 5 Innings'!$G$5, FALSE)</f>
        <v>8.2929113989259243E-9</v>
      </c>
      <c r="J20" s="1">
        <f>_xlfn.POISSON.DIST($D20,'First 5 Innings'!$G$6, FALSE) * _xlfn.POISSON.DIST(J$4, 'First 5 Innings'!$G$5, FALSE)</f>
        <v>3.415443455271073E-9</v>
      </c>
      <c r="K20" s="1">
        <f>_xlfn.POISSON.DIST($D20,'First 5 Innings'!$G$6, FALSE) * _xlfn.POISSON.DIST(K$4, 'First 5 Innings'!$G$5, FALSE)</f>
        <v>1.1722113657278486E-9</v>
      </c>
      <c r="L20" s="1">
        <f>_xlfn.POISSON.DIST($D20,'First 5 Innings'!$G$6, FALSE) * _xlfn.POISSON.DIST(L$4, 'First 5 Innings'!$G$5, FALSE)</f>
        <v>3.4484026216380485E-10</v>
      </c>
      <c r="M20" s="1">
        <f>_xlfn.POISSON.DIST($D20,'First 5 Innings'!$G$6, FALSE) * _xlfn.POISSON.DIST(M$4, 'First 5 Innings'!$G$5, FALSE)</f>
        <v>8.8764243932615741E-11</v>
      </c>
      <c r="N20" s="1">
        <f>_xlfn.POISSON.DIST($D20,'First 5 Innings'!$G$6, FALSE) * _xlfn.POISSON.DIST(N$4, 'First 5 Innings'!$G$5, FALSE)</f>
        <v>2.0309799097482682E-11</v>
      </c>
      <c r="O20" s="1">
        <f>_xlfn.POISSON.DIST($D20,'First 5 Innings'!$G$6, FALSE) * _xlfn.POISSON.DIST(O$4, 'First 5 Innings'!$G$5, FALSE)</f>
        <v>4.182305047558556E-12</v>
      </c>
      <c r="P20" s="1">
        <f>_xlfn.POISSON.DIST($D20,'First 5 Innings'!$G$6, FALSE) * _xlfn.POISSON.DIST(P$4, 'First 5 Innings'!$G$5, FALSE)</f>
        <v>7.8294832535482964E-13</v>
      </c>
      <c r="Q20" s="1">
        <f>_xlfn.POISSON.DIST($D20,'First 5 Innings'!$G$6, FALSE) * _xlfn.POISSON.DIST(Q$4, 'First 5 Innings'!$G$5, FALSE)</f>
        <v>1.3435750551544034E-13</v>
      </c>
      <c r="R20" s="1">
        <f>_xlfn.POISSON.DIST($D20,'First 5 Innings'!$G$6, FALSE) * _xlfn.POISSON.DIST(R$4, 'First 5 Innings'!$G$5, FALSE)</f>
        <v>2.128279483360899E-14</v>
      </c>
      <c r="S20" s="1">
        <f>_xlfn.POISSON.DIST($D20,'First 5 Innings'!$G$6, FALSE) * _xlfn.POISSON.DIST(S$4, 'First 5 Innings'!$G$5, FALSE)</f>
        <v>3.1304783269368656E-15</v>
      </c>
      <c r="T20" s="1">
        <f>_xlfn.POISSON.DIST($D20,'First 5 Innings'!$G$6, FALSE) * _xlfn.POISSON.DIST(T$4, 'First 5 Innings'!$G$5, FALSE)</f>
        <v>4.297634931518841E-16</v>
      </c>
    </row>
    <row r="23" spans="2:20">
      <c r="D23" s="398" t="s">
        <v>737</v>
      </c>
      <c r="E23" s="377"/>
      <c r="F23" s="377"/>
    </row>
    <row r="24" spans="2:20">
      <c r="D24" s="1" t="s">
        <v>738</v>
      </c>
      <c r="E24" s="1" t="str">
        <f>$E$3</f>
        <v>TBR</v>
      </c>
      <c r="F24" s="1">
        <f>1-F25</f>
        <v>0.40690952776589195</v>
      </c>
      <c r="H24" s="71" t="s">
        <v>345</v>
      </c>
      <c r="I24" s="71">
        <v>3</v>
      </c>
      <c r="J24" s="71">
        <f>SUM(E9:E20,F8:F20,G7:G20,H6:H20,I5:T20)</f>
        <v>0.6807345982299845</v>
      </c>
    </row>
    <row r="25" spans="2:20">
      <c r="D25" s="1" t="s">
        <v>739</v>
      </c>
      <c r="E25" s="1" t="str">
        <f>$C$5</f>
        <v>STL</v>
      </c>
      <c r="F25" s="1">
        <f>SUM(E6:E20,F7:F20,G8:G20,H9:H20,I10:I20,J11:J20,K12:K20,L13:L20,M14:M20,N15:N20,O16:O20,P17:P20,Q18:Q20,R19:R20,S20) + (SUM(E5,F6,G7,H8,I9,J10,K11,L12,M13,N14,O15,P16,Q17,R18,S19,T20)/2)</f>
        <v>0.59309047223410805</v>
      </c>
      <c r="H25" s="71" t="s">
        <v>348</v>
      </c>
      <c r="I25" s="71">
        <v>3</v>
      </c>
      <c r="J25" s="71">
        <f>SUM(E8,F7,G6,H5)</f>
        <v>0.16080925394923734</v>
      </c>
    </row>
    <row r="26" spans="2:20">
      <c r="H26" s="71" t="s">
        <v>346</v>
      </c>
      <c r="I26" s="71">
        <v>3</v>
      </c>
      <c r="J26" s="71">
        <f>SUM(E5:E7,F5:F6,G5)</f>
        <v>0.15845613062431332</v>
      </c>
    </row>
    <row r="27" spans="2:20">
      <c r="H27" s="71" t="s">
        <v>345</v>
      </c>
      <c r="I27" s="71">
        <v>3.5</v>
      </c>
      <c r="J27" s="71">
        <f>SUM(E9:E20,F8:F20,G7:G20,H6:H20,I5:T20)</f>
        <v>0.6807345982299845</v>
      </c>
    </row>
    <row r="28" spans="2:20">
      <c r="H28" s="71" t="s">
        <v>346</v>
      </c>
      <c r="I28" s="71">
        <v>3.5</v>
      </c>
      <c r="J28" s="71">
        <f>SUM(E5:E8,F5:F7,G5:G6,H5)</f>
        <v>0.31926538457355064</v>
      </c>
    </row>
    <row r="29" spans="2:20">
      <c r="D29" s="385" t="s">
        <v>740</v>
      </c>
      <c r="E29" s="377"/>
      <c r="F29" s="377"/>
      <c r="H29" s="71" t="s">
        <v>345</v>
      </c>
      <c r="I29" s="71">
        <v>4</v>
      </c>
      <c r="J29" s="71">
        <f>SUM(E10:E20,F9:F20,G8:G20,H7:H20,I6:I20,J5:T20)</f>
        <v>0.4942049630567204</v>
      </c>
    </row>
    <row r="30" spans="2:20">
      <c r="D30" s="1" t="s">
        <v>738</v>
      </c>
      <c r="E30" s="1" t="str">
        <f>$E$3</f>
        <v>TBR</v>
      </c>
      <c r="F30" s="1">
        <f>SUM(F5,G5:G6,H5:H7,I5:I8,J5:J9,K5:K10,L5:L11,M5:M12,N5:N13,O5:O14,P5:P15,Q5:Q16,R5:R17,S5:S18,T5:T19)</f>
        <v>0.31384221897980508</v>
      </c>
      <c r="H30" s="71" t="s">
        <v>348</v>
      </c>
      <c r="I30" s="71">
        <v>4</v>
      </c>
      <c r="J30" s="71">
        <f>SUM(E9,F8,G7,H6,I5)</f>
        <v>0.18652963517326418</v>
      </c>
    </row>
    <row r="31" spans="2:20">
      <c r="D31" s="1" t="s">
        <v>739</v>
      </c>
      <c r="E31" s="1" t="str">
        <f>$C$5</f>
        <v>STL</v>
      </c>
      <c r="F31" s="1">
        <f>SUM(E6:E20,F7:F20,G8:G20,H9:H20,I10:I20,J11:J20,K12:K20,L13:L20,M14:M20,N15:N20,O16:O20,P17:P20,Q18:Q20,R19:R20,S20)</f>
        <v>0.50002318064448592</v>
      </c>
      <c r="H31" s="71" t="s">
        <v>346</v>
      </c>
      <c r="I31" s="71">
        <v>4</v>
      </c>
      <c r="J31" s="71">
        <f>1-J30-J29</f>
        <v>0.31926540177001544</v>
      </c>
    </row>
    <row r="32" spans="2:20">
      <c r="D32" s="385" t="s">
        <v>348</v>
      </c>
      <c r="E32" s="377"/>
      <c r="F32" s="1">
        <f>1-F31-F30</f>
        <v>0.186134600375709</v>
      </c>
      <c r="H32" s="71" t="s">
        <v>345</v>
      </c>
      <c r="I32" s="71">
        <v>4.5</v>
      </c>
      <c r="J32" s="71">
        <f>SUM(E10:E20,F9:F20,G8:G20,H7:H20,I6:I20,J5:T20)</f>
        <v>0.4942049630567204</v>
      </c>
    </row>
    <row r="33" spans="8:10">
      <c r="H33" s="71" t="s">
        <v>346</v>
      </c>
      <c r="I33" s="71">
        <v>4.5</v>
      </c>
      <c r="J33" s="71">
        <f>1-J32</f>
        <v>0.50579503694327954</v>
      </c>
    </row>
    <row r="34" spans="8:10">
      <c r="H34" s="71" t="s">
        <v>345</v>
      </c>
      <c r="I34" s="71">
        <v>5</v>
      </c>
      <c r="J34" s="71">
        <f>SUM(E11:E20,F10:F20,G9:G20,H8:H20,I7:I20,J6:J20,K5:T20)</f>
        <v>0.3211139054545043</v>
      </c>
    </row>
    <row r="35" spans="8:10">
      <c r="H35" s="71" t="s">
        <v>348</v>
      </c>
      <c r="I35" s="71">
        <v>5</v>
      </c>
      <c r="J35" s="71">
        <f>SUM(E10,F9,G8,H7,I6,J5)</f>
        <v>0.17309105760221608</v>
      </c>
    </row>
    <row r="36" spans="8:10">
      <c r="H36" s="71" t="s">
        <v>346</v>
      </c>
      <c r="I36" s="71">
        <v>5</v>
      </c>
      <c r="J36" s="71">
        <f>SUM(E5:E9,F5:F8,G5:G7,H5:H6,I5)</f>
        <v>0.50579501974681484</v>
      </c>
    </row>
    <row r="37" spans="8:10">
      <c r="H37" s="71" t="s">
        <v>345</v>
      </c>
      <c r="I37" s="71">
        <v>5.5</v>
      </c>
      <c r="J37" s="71">
        <f>SUM(E11:E20,F10:F20,G9:G20,H8:H20,I7:I20,J6:J20,K5:T20)</f>
        <v>0.3211139054545043</v>
      </c>
    </row>
    <row r="38" spans="8:10">
      <c r="H38" s="71" t="s">
        <v>346</v>
      </c>
      <c r="I38" s="71">
        <v>5.5</v>
      </c>
      <c r="J38" s="71">
        <f>1-J37</f>
        <v>0.67888609454549576</v>
      </c>
    </row>
    <row r="39" spans="8:10">
      <c r="H39" s="71" t="s">
        <v>345</v>
      </c>
      <c r="I39" s="71">
        <v>6</v>
      </c>
      <c r="J39" s="71">
        <f>SUM(E12:E20,F11:F20,G10:G20,H9:H20,I8:I20,J7:J20,K6:K20,L5:T20)</f>
        <v>0.18726335049208995</v>
      </c>
    </row>
    <row r="40" spans="8:10">
      <c r="H40" s="71" t="s">
        <v>348</v>
      </c>
      <c r="I40" s="71">
        <v>6</v>
      </c>
      <c r="J40" s="71">
        <f>SUM(E11,F10,G9,H8,I7,J6,K5)</f>
        <v>0.13385055496241419</v>
      </c>
    </row>
    <row r="41" spans="8:10">
      <c r="H41" s="71" t="s">
        <v>346</v>
      </c>
      <c r="I41" s="71">
        <v>6</v>
      </c>
      <c r="J41" s="71">
        <f>SUM(E5:E10,F5:F9,G5:G8,H5:H7,I5:I6,J5)</f>
        <v>0.67888607734903095</v>
      </c>
    </row>
    <row r="42" spans="8:10">
      <c r="H42" s="71" t="s">
        <v>345</v>
      </c>
      <c r="I42" s="71">
        <v>6.5</v>
      </c>
      <c r="J42" s="71">
        <f>SUM(E12:E20,F11:F20,G10:G20,H9:H20,I8:I20,J7:J20,K6:K20,L5:T20)</f>
        <v>0.18726335049208995</v>
      </c>
    </row>
    <row r="43" spans="8:10">
      <c r="H43" s="71" t="s">
        <v>346</v>
      </c>
      <c r="I43" s="71">
        <v>6.5</v>
      </c>
      <c r="J43" s="71">
        <f>1-J42</f>
        <v>0.81273664950791003</v>
      </c>
    </row>
  </sheetData>
  <mergeCells count="7">
    <mergeCell ref="D32:E32"/>
    <mergeCell ref="C5:C20"/>
    <mergeCell ref="B5:B20"/>
    <mergeCell ref="D29:F29"/>
    <mergeCell ref="E2:T2"/>
    <mergeCell ref="D23:F23"/>
    <mergeCell ref="E3:T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Innings'!$G$8, FALSE) * _xlfn.POISSON.DIST(E$4, 'First 5 Innings'!$G$7, FALSE)</f>
        <v>0.12793175532736978</v>
      </c>
      <c r="F5" s="1">
        <f>_xlfn.POISSON.DIST($D5,'First 5 Innings'!$G$8, FALSE) * _xlfn.POISSON.DIST(F$4, 'First 5 Innings'!$G$7, FALSE)</f>
        <v>0.16394593874614466</v>
      </c>
      <c r="G5" s="1">
        <f>_xlfn.POISSON.DIST($D5,'First 5 Innings'!$G$8, FALSE) * _xlfn.POISSON.DIST(G$4, 'First 5 Innings'!$G$7, FALSE)</f>
        <v>0.10504925365314782</v>
      </c>
      <c r="H5" s="1">
        <f>_xlfn.POISSON.DIST($D5,'First 5 Innings'!$G$8, FALSE) * _xlfn.POISSON.DIST(H$4, 'First 5 Innings'!$G$7, FALSE)</f>
        <v>4.4873921153446454E-2</v>
      </c>
      <c r="I5" s="1">
        <f>_xlfn.POISSON.DIST($D5,'First 5 Innings'!$G$8, FALSE) * _xlfn.POISSON.DIST(I$4, 'First 5 Innings'!$G$7, FALSE)</f>
        <v>1.4376604756763464E-2</v>
      </c>
      <c r="J5" s="1">
        <f>_xlfn.POISSON.DIST($D5,'First 5 Innings'!$G$8, FALSE) * _xlfn.POISSON.DIST(J$4, 'First 5 Innings'!$G$7, FALSE)</f>
        <v>3.6847551365155377E-3</v>
      </c>
      <c r="K5" s="1">
        <f>_xlfn.POISSON.DIST($D5,'First 5 Innings'!$G$8, FALSE) * _xlfn.POISSON.DIST(K$4, 'First 5 Innings'!$G$7, FALSE)</f>
        <v>7.8700897776821357E-4</v>
      </c>
      <c r="L5" s="1">
        <f>_xlfn.POISSON.DIST($D5,'First 5 Innings'!$G$8, FALSE) * _xlfn.POISSON.DIST(L$4, 'First 5 Innings'!$G$7, FALSE)</f>
        <v>1.4408008320159372E-4</v>
      </c>
      <c r="M5" s="1">
        <f>_xlfn.POISSON.DIST($D5,'First 5 Innings'!$G$8, FALSE) * _xlfn.POISSON.DIST(M$4, 'First 5 Innings'!$G$7, FALSE)</f>
        <v>2.3080024614160769E-5</v>
      </c>
      <c r="N5" s="1">
        <f>_xlfn.POISSON.DIST($D5,'First 5 Innings'!$G$8, FALSE) * _xlfn.POISSON.DIST(N$4, 'First 5 Innings'!$G$7, FALSE)</f>
        <v>3.2863670095651976E-6</v>
      </c>
      <c r="O5" s="1">
        <f>_xlfn.POISSON.DIST($D5,'First 5 Innings'!$G$8, FALSE) * _xlfn.POISSON.DIST(O$4, 'First 5 Innings'!$G$7, FALSE)</f>
        <v>4.2115151399963379E-7</v>
      </c>
      <c r="P5" s="1">
        <f>_xlfn.POISSON.DIST($D5,'First 5 Innings'!$G$8, FALSE) * _xlfn.POISSON.DIST(P$4, 'First 5 Innings'!$G$7, FALSE)</f>
        <v>4.9064568655335228E-8</v>
      </c>
      <c r="Q5" s="1">
        <f>_xlfn.POISSON.DIST($D5,'First 5 Innings'!$G$8, FALSE) * _xlfn.POISSON.DIST(Q$4, 'First 5 Innings'!$G$7, FALSE)</f>
        <v>5.2397316227895932E-9</v>
      </c>
      <c r="R5" s="1">
        <f>_xlfn.POISSON.DIST($D5,'First 5 Innings'!$G$8, FALSE) * _xlfn.POISSON.DIST(R$4, 'First 5 Innings'!$G$7, FALSE)</f>
        <v>5.1652101392646004E-10</v>
      </c>
      <c r="S5" s="1">
        <f>_xlfn.POISSON.DIST($D5,'First 5 Innings'!$G$8, FALSE) * _xlfn.POISSON.DIST(S$4, 'First 5 Innings'!$G$7, FALSE)</f>
        <v>4.7280522055120694E-11</v>
      </c>
      <c r="T5" s="1">
        <f>_xlfn.POISSON.DIST($D5,'First 5 Innings'!$G$8, FALSE) * _xlfn.POISSON.DIST(T$4, 'First 5 Innings'!$G$7, FALSE)</f>
        <v>4.0393669540967479E-12</v>
      </c>
    </row>
    <row r="6" spans="2:20">
      <c r="B6" s="377"/>
      <c r="C6" s="377"/>
      <c r="D6" s="1">
        <v>1</v>
      </c>
      <c r="E6" s="1">
        <f>_xlfn.POISSON.DIST($D6,'First 5 Innings'!$G$8, FALSE) * _xlfn.POISSON.DIST(E$4, 'First 5 Innings'!$G$7, FALSE)</f>
        <v>9.9114797377867117E-2</v>
      </c>
      <c r="F6" s="1">
        <f>_xlfn.POISSON.DIST($D6,'First 5 Innings'!$G$8, FALSE) * _xlfn.POISSON.DIST(F$4, 'First 5 Innings'!$G$7, FALSE)</f>
        <v>0.12701669306550914</v>
      </c>
      <c r="G6" s="1">
        <f>_xlfn.POISSON.DIST($D6,'First 5 Innings'!$G$8, FALSE) * _xlfn.POISSON.DIST(G$4, 'First 5 Innings'!$G$7, FALSE)</f>
        <v>8.1386638242275253E-2</v>
      </c>
      <c r="H6" s="1">
        <f>_xlfn.POISSON.DIST($D6,'First 5 Innings'!$G$8, FALSE) * _xlfn.POISSON.DIST(H$4, 'First 5 Innings'!$G$7, FALSE)</f>
        <v>3.4765954639588176E-2</v>
      </c>
      <c r="I6" s="1">
        <f>_xlfn.POISSON.DIST($D6,'First 5 Innings'!$G$8, FALSE) * _xlfn.POISSON.DIST(I$4, 'First 5 Innings'!$G$7, FALSE)</f>
        <v>1.1138237443877552E-2</v>
      </c>
      <c r="J6" s="1">
        <f>_xlfn.POISSON.DIST($D6,'First 5 Innings'!$G$8, FALSE) * _xlfn.POISSON.DIST(J$4, 'First 5 Innings'!$G$7, FALSE)</f>
        <v>2.8547545354023498E-3</v>
      </c>
      <c r="K6" s="1">
        <f>_xlfn.POISSON.DIST($D6,'First 5 Innings'!$G$8, FALSE) * _xlfn.POISSON.DIST(K$4, 'First 5 Innings'!$G$7, FALSE)</f>
        <v>6.0973317505454844E-4</v>
      </c>
      <c r="L6" s="1">
        <f>_xlfn.POISSON.DIST($D6,'First 5 Innings'!$G$8, FALSE) * _xlfn.POISSON.DIST(L$4, 'First 5 Innings'!$G$7, FALSE)</f>
        <v>1.1162567273597807E-4</v>
      </c>
      <c r="M6" s="1">
        <f>_xlfn.POISSON.DIST($D6,'First 5 Innings'!$G$8, FALSE) * _xlfn.POISSON.DIST(M$4, 'First 5 Innings'!$G$7, FALSE)</f>
        <v>1.7881189523703237E-5</v>
      </c>
      <c r="N6" s="1">
        <f>_xlfn.POISSON.DIST($D6,'First 5 Innings'!$G$8, FALSE) * _xlfn.POISSON.DIST(N$4, 'First 5 Innings'!$G$7, FALSE)</f>
        <v>2.5461043618829748E-6</v>
      </c>
      <c r="O6" s="1">
        <f>_xlfn.POISSON.DIST($D6,'First 5 Innings'!$G$8, FALSE) * _xlfn.POISSON.DIST(O$4, 'First 5 Innings'!$G$7, FALSE)</f>
        <v>3.2628604890661807E-7</v>
      </c>
      <c r="P6" s="1">
        <f>_xlfn.POISSON.DIST($D6,'First 5 Innings'!$G$8, FALSE) * _xlfn.POISSON.DIST(P$4, 'First 5 Innings'!$G$7, FALSE)</f>
        <v>3.8012647979868711E-8</v>
      </c>
      <c r="Q6" s="1">
        <f>_xlfn.POISSON.DIST($D6,'First 5 Innings'!$G$8, FALSE) * _xlfn.POISSON.DIST(Q$4, 'First 5 Innings'!$G$7, FALSE)</f>
        <v>4.0594685563271299E-9</v>
      </c>
      <c r="R6" s="1">
        <f>_xlfn.POISSON.DIST($D6,'First 5 Innings'!$G$8, FALSE) * _xlfn.POISSON.DIST(R$4, 'First 5 Innings'!$G$7, FALSE)</f>
        <v>4.0017332292304533E-10</v>
      </c>
      <c r="S6" s="1">
        <f>_xlfn.POISSON.DIST($D6,'First 5 Innings'!$G$8, FALSE) * _xlfn.POISSON.DIST(S$4, 'First 5 Innings'!$G$7, FALSE)</f>
        <v>3.6630462479166014E-11</v>
      </c>
      <c r="T6" s="1">
        <f>_xlfn.POISSON.DIST($D6,'First 5 Innings'!$G$8, FALSE) * _xlfn.POISSON.DIST(T$4, 'First 5 Innings'!$G$7, FALSE)</f>
        <v>3.1294891261802144E-12</v>
      </c>
    </row>
    <row r="7" spans="2:20">
      <c r="B7" s="377"/>
      <c r="C7" s="377"/>
      <c r="D7" s="1">
        <v>2</v>
      </c>
      <c r="E7" s="1">
        <f>_xlfn.POISSON.DIST($D7,'First 5 Innings'!$G$8, FALSE) * _xlfn.POISSON.DIST(E$4, 'First 5 Innings'!$G$7, FALSE)</f>
        <v>3.8394466776904904E-2</v>
      </c>
      <c r="F7" s="1">
        <f>_xlfn.POISSON.DIST($D7,'First 5 Innings'!$G$8, FALSE) * _xlfn.POISSON.DIST(F$4, 'First 5 Innings'!$G$7, FALSE)</f>
        <v>4.9202927625668753E-2</v>
      </c>
      <c r="G7" s="1">
        <f>_xlfn.POISSON.DIST($D7,'First 5 Innings'!$G$8, FALSE) * _xlfn.POISSON.DIST(G$4, 'First 5 Innings'!$G$7, FALSE)</f>
        <v>3.1527044000947531E-2</v>
      </c>
      <c r="H7" s="1">
        <f>_xlfn.POISSON.DIST($D7,'First 5 Innings'!$G$8, FALSE) * _xlfn.POISSON.DIST(H$4, 'First 5 Innings'!$G$7, FALSE)</f>
        <v>1.346741683068934E-2</v>
      </c>
      <c r="I7" s="1">
        <f>_xlfn.POISSON.DIST($D7,'First 5 Innings'!$G$8, FALSE) * _xlfn.POISSON.DIST(I$4, 'First 5 Innings'!$G$7, FALSE)</f>
        <v>4.314660361579176E-3</v>
      </c>
      <c r="J7" s="1">
        <f>_xlfn.POISSON.DIST($D7,'First 5 Innings'!$G$8, FALSE) * _xlfn.POISSON.DIST(J$4, 'First 5 Innings'!$G$7, FALSE)</f>
        <v>1.1058568555395133E-3</v>
      </c>
      <c r="K7" s="1">
        <f>_xlfn.POISSON.DIST($D7,'First 5 Innings'!$G$8, FALSE) * _xlfn.POISSON.DIST(K$4, 'First 5 Innings'!$G$7, FALSE)</f>
        <v>2.3619460213552607E-4</v>
      </c>
      <c r="L7" s="1">
        <f>_xlfn.POISSON.DIST($D7,'First 5 Innings'!$G$8, FALSE) * _xlfn.POISSON.DIST(L$4, 'First 5 Innings'!$G$7, FALSE)</f>
        <v>4.3240850979817618E-5</v>
      </c>
      <c r="M7" s="1">
        <f>_xlfn.POISSON.DIST($D7,'First 5 Innings'!$G$8, FALSE) * _xlfn.POISSON.DIST(M$4, 'First 5 Innings'!$G$7, FALSE)</f>
        <v>6.9267027251439648E-6</v>
      </c>
      <c r="N7" s="1">
        <f>_xlfn.POISSON.DIST($D7,'First 5 Innings'!$G$8, FALSE) * _xlfn.POISSON.DIST(N$4, 'First 5 Innings'!$G$7, FALSE)</f>
        <v>9.8629389272885773E-7</v>
      </c>
      <c r="O7" s="1">
        <f>_xlfn.POISSON.DIST($D7,'First 5 Innings'!$G$8, FALSE) * _xlfn.POISSON.DIST(O$4, 'First 5 Innings'!$G$7, FALSE)</f>
        <v>1.2639463728864156E-7</v>
      </c>
      <c r="P7" s="1">
        <f>_xlfn.POISSON.DIST($D7,'First 5 Innings'!$G$8, FALSE) * _xlfn.POISSON.DIST(P$4, 'First 5 Innings'!$G$7, FALSE)</f>
        <v>1.4725100475170417E-8</v>
      </c>
      <c r="Q7" s="1">
        <f>_xlfn.POISSON.DIST($D7,'First 5 Innings'!$G$8, FALSE) * _xlfn.POISSON.DIST(Q$4, 'First 5 Innings'!$G$7, FALSE)</f>
        <v>1.5725313953231849E-9</v>
      </c>
      <c r="R7" s="1">
        <f>_xlfn.POISSON.DIST($D7,'First 5 Innings'!$G$8, FALSE) * _xlfn.POISSON.DIST(R$4, 'First 5 Innings'!$G$7, FALSE)</f>
        <v>1.5501662474672493E-10</v>
      </c>
      <c r="S7" s="1">
        <f>_xlfn.POISSON.DIST($D7,'First 5 Innings'!$G$8, FALSE) * _xlfn.POISSON.DIST(S$4, 'First 5 Innings'!$G$7, FALSE)</f>
        <v>1.4189678149844655E-11</v>
      </c>
      <c r="T7" s="1">
        <f>_xlfn.POISSON.DIST($D7,'First 5 Innings'!$G$8, FALSE) * _xlfn.POISSON.DIST(T$4, 'First 5 Innings'!$G$7, FALSE)</f>
        <v>1.212281813236524E-12</v>
      </c>
    </row>
    <row r="8" spans="2:20">
      <c r="B8" s="377"/>
      <c r="C8" s="377"/>
      <c r="D8" s="1">
        <v>3</v>
      </c>
      <c r="E8" s="1">
        <f>_xlfn.POISSON.DIST($D8,'First 5 Innings'!$G$8, FALSE) * _xlfn.POISSON.DIST(E$4, 'First 5 Innings'!$G$7, FALSE)</f>
        <v>9.9153380260859538E-3</v>
      </c>
      <c r="F8" s="1">
        <f>_xlfn.POISSON.DIST($D8,'First 5 Innings'!$G$8, FALSE) * _xlfn.POISSON.DIST(F$4, 'First 5 Innings'!$G$7, FALSE)</f>
        <v>1.2706613745056852E-2</v>
      </c>
      <c r="G8" s="1">
        <f>_xlfn.POISSON.DIST($D8,'First 5 Innings'!$G$8, FALSE) * _xlfn.POISSON.DIST(G$4, 'First 5 Innings'!$G$7, FALSE)</f>
        <v>8.141832000144263E-3</v>
      </c>
      <c r="H8" s="1">
        <f>_xlfn.POISSON.DIST($D8,'First 5 Innings'!$G$8, FALSE) * _xlfn.POISSON.DIST(H$4, 'First 5 Innings'!$G$7, FALSE)</f>
        <v>3.4779488146142856E-3</v>
      </c>
      <c r="I8" s="1">
        <f>_xlfn.POISSON.DIST($D8,'First 5 Innings'!$G$8, FALSE) * _xlfn.POISSON.DIST(I$4, 'First 5 Innings'!$G$7, FALSE)</f>
        <v>1.1142573277914528E-3</v>
      </c>
      <c r="J8" s="1">
        <f>_xlfn.POISSON.DIST($D8,'First 5 Innings'!$G$8, FALSE) * _xlfn.POISSON.DIST(J$4, 'First 5 Innings'!$G$7, FALSE)</f>
        <v>2.8558658191170469E-4</v>
      </c>
      <c r="K8" s="1">
        <f>_xlfn.POISSON.DIST($D8,'First 5 Innings'!$G$8, FALSE) * _xlfn.POISSON.DIST(K$4, 'First 5 Innings'!$G$7, FALSE)</f>
        <v>6.099705287532101E-5</v>
      </c>
      <c r="L8" s="1">
        <f>_xlfn.POISSON.DIST($D8,'First 5 Innings'!$G$8, FALSE) * _xlfn.POISSON.DIST(L$4, 'First 5 Innings'!$G$7, FALSE)</f>
        <v>1.1166912578621944E-5</v>
      </c>
      <c r="M8" s="1">
        <f>_xlfn.POISSON.DIST($D8,'First 5 Innings'!$G$8, FALSE) * _xlfn.POISSON.DIST(M$4, 'First 5 Innings'!$G$7, FALSE)</f>
        <v>1.788815021838668E-6</v>
      </c>
      <c r="N8" s="1">
        <f>_xlfn.POISSON.DIST($D8,'First 5 Innings'!$G$8, FALSE) * _xlfn.POISSON.DIST(N$4, 'First 5 Innings'!$G$7, FALSE)</f>
        <v>2.54709549589404E-7</v>
      </c>
      <c r="O8" s="1">
        <f>_xlfn.POISSON.DIST($D8,'First 5 Innings'!$G$8, FALSE) * _xlfn.POISSON.DIST(O$4, 'First 5 Innings'!$G$7, FALSE)</f>
        <v>3.264130638103466E-8</v>
      </c>
      <c r="P8" s="1">
        <f>_xlfn.POISSON.DIST($D8,'First 5 Innings'!$G$8, FALSE) * _xlfn.POISSON.DIST(P$4, 'First 5 Innings'!$G$7, FALSE)</f>
        <v>3.8027445341998691E-9</v>
      </c>
      <c r="Q8" s="1">
        <f>_xlfn.POISSON.DIST($D8,'First 5 Innings'!$G$8, FALSE) * _xlfn.POISSON.DIST(Q$4, 'First 5 Innings'!$G$7, FALSE)</f>
        <v>4.0610488047306361E-10</v>
      </c>
      <c r="R8" s="1">
        <f>_xlfn.POISSON.DIST($D8,'First 5 Innings'!$G$8, FALSE) * _xlfn.POISSON.DIST(R$4, 'First 5 Innings'!$G$7, FALSE)</f>
        <v>4.0032910027318373E-11</v>
      </c>
      <c r="S8" s="1">
        <f>_xlfn.POISSON.DIST($D8,'First 5 Innings'!$G$8, FALSE) * _xlfn.POISSON.DIST(S$4, 'First 5 Innings'!$G$7, FALSE)</f>
        <v>3.6644721791450175E-12</v>
      </c>
      <c r="T8" s="1">
        <f>_xlfn.POISSON.DIST($D8,'First 5 Innings'!$G$8, FALSE) * _xlfn.POISSON.DIST(T$4, 'First 5 Innings'!$G$7, FALSE)</f>
        <v>3.1307073571202545E-13</v>
      </c>
    </row>
    <row r="9" spans="2:20">
      <c r="B9" s="377"/>
      <c r="C9" s="377"/>
      <c r="D9" s="1">
        <v>4</v>
      </c>
      <c r="E9" s="1">
        <f>_xlfn.POISSON.DIST($D9,'First 5 Innings'!$G$8, FALSE) * _xlfn.POISSON.DIST(E$4, 'First 5 Innings'!$G$7, FALSE)</f>
        <v>1.9204706385716234E-3</v>
      </c>
      <c r="F9" s="1">
        <f>_xlfn.POISSON.DIST($D9,'First 5 Innings'!$G$8, FALSE) * _xlfn.POISSON.DIST(F$4, 'First 5 Innings'!$G$7, FALSE)</f>
        <v>2.4611040540274119E-3</v>
      </c>
      <c r="G9" s="1">
        <f>_xlfn.POISSON.DIST($D9,'First 5 Innings'!$G$8, FALSE) * _xlfn.POISSON.DIST(G$4, 'First 5 Innings'!$G$7, FALSE)</f>
        <v>1.5769658340767879E-3</v>
      </c>
      <c r="H9" s="1">
        <f>_xlfn.POISSON.DIST($D9,'First 5 Innings'!$G$8, FALSE) * _xlfn.POISSON.DIST(H$4, 'First 5 Innings'!$G$7, FALSE)</f>
        <v>6.7363296776664185E-4</v>
      </c>
      <c r="I9" s="1">
        <f>_xlfn.POISSON.DIST($D9,'First 5 Innings'!$G$8, FALSE) * _xlfn.POISSON.DIST(I$4, 'First 5 Innings'!$G$7, FALSE)</f>
        <v>2.1581699748480281E-4</v>
      </c>
      <c r="J9" s="1">
        <f>_xlfn.POISSON.DIST($D9,'First 5 Innings'!$G$8, FALSE) * _xlfn.POISSON.DIST(J$4, 'First 5 Innings'!$G$7, FALSE)</f>
        <v>5.5314366881747319E-5</v>
      </c>
      <c r="K9" s="1">
        <f>_xlfn.POISSON.DIST($D9,'First 5 Innings'!$G$8, FALSE) * _xlfn.POISSON.DIST(K$4, 'First 5 Innings'!$G$7, FALSE)</f>
        <v>1.1814327335918031E-5</v>
      </c>
      <c r="L9" s="1">
        <f>_xlfn.POISSON.DIST($D9,'First 5 Innings'!$G$8, FALSE) * _xlfn.POISSON.DIST(L$4, 'First 5 Innings'!$G$7, FALSE)</f>
        <v>2.1628841774550377E-6</v>
      </c>
      <c r="M9" s="1">
        <f>_xlfn.POISSON.DIST($D9,'First 5 Innings'!$G$8, FALSE) * _xlfn.POISSON.DIST(M$4, 'First 5 Innings'!$G$7, FALSE)</f>
        <v>3.464699557633859E-7</v>
      </c>
      <c r="N9" s="1">
        <f>_xlfn.POISSON.DIST($D9,'First 5 Innings'!$G$8, FALSE) * _xlfn.POISSON.DIST(N$4, 'First 5 Innings'!$G$7, FALSE)</f>
        <v>4.9333891599391932E-8</v>
      </c>
      <c r="O9" s="1">
        <f>_xlfn.POISSON.DIST($D9,'First 5 Innings'!$G$8, FALSE) * _xlfn.POISSON.DIST(O$4, 'First 5 Innings'!$G$7, FALSE)</f>
        <v>6.3221919761562569E-9</v>
      </c>
      <c r="P9" s="1">
        <f>_xlfn.POISSON.DIST($D9,'First 5 Innings'!$G$8, FALSE) * _xlfn.POISSON.DIST(P$4, 'First 5 Innings'!$G$7, FALSE)</f>
        <v>7.365416292118515E-10</v>
      </c>
      <c r="Q9" s="1">
        <f>_xlfn.POISSON.DIST($D9,'First 5 Innings'!$G$8, FALSE) * _xlfn.POISSON.DIST(Q$4, 'First 5 Innings'!$G$7, FALSE)</f>
        <v>7.8657177100499221E-11</v>
      </c>
      <c r="R9" s="1">
        <f>_xlfn.POISSON.DIST($D9,'First 5 Innings'!$G$8, FALSE) * _xlfn.POISSON.DIST(R$4, 'First 5 Innings'!$G$7, FALSE)</f>
        <v>7.7538484398391582E-12</v>
      </c>
      <c r="S9" s="1">
        <f>_xlfn.POISSON.DIST($D9,'First 5 Innings'!$G$8, FALSE) * _xlfn.POISSON.DIST(S$4, 'First 5 Innings'!$G$7, FALSE)</f>
        <v>7.0976009162731616E-13</v>
      </c>
      <c r="T9" s="1">
        <f>_xlfn.POISSON.DIST($D9,'First 5 Innings'!$G$8, FALSE) * _xlfn.POISSON.DIST(T$4, 'First 5 Innings'!$G$7, FALSE)</f>
        <v>6.063768619377065E-14</v>
      </c>
    </row>
    <row r="10" spans="2:20">
      <c r="B10" s="377"/>
      <c r="C10" s="377"/>
      <c r="D10" s="1">
        <v>5</v>
      </c>
      <c r="E10" s="1">
        <f>_xlfn.POISSON.DIST($D10,'First 5 Innings'!$G$8, FALSE) * _xlfn.POISSON.DIST(E$4, 'First 5 Innings'!$G$7, FALSE)</f>
        <v>2.9757593448957655E-4</v>
      </c>
      <c r="F10" s="1">
        <f>_xlfn.POISSON.DIST($D10,'First 5 Innings'!$G$8, FALSE) * _xlfn.POISSON.DIST(F$4, 'First 5 Innings'!$G$7, FALSE)</f>
        <v>3.8134680324922811E-4</v>
      </c>
      <c r="G10" s="1">
        <f>_xlfn.POISSON.DIST($D10,'First 5 Innings'!$G$8, FALSE) * _xlfn.POISSON.DIST(G$4, 'First 5 Innings'!$G$7, FALSE)</f>
        <v>2.4435004228055189E-4</v>
      </c>
      <c r="H10" s="1">
        <f>_xlfn.POISSON.DIST($D10,'First 5 Innings'!$G$8, FALSE) * _xlfn.POISSON.DIST(H$4, 'First 5 Innings'!$G$7, FALSE)</f>
        <v>1.0437908076284773E-4</v>
      </c>
      <c r="I10" s="1">
        <f>_xlfn.POISSON.DIST($D10,'First 5 Innings'!$G$8, FALSE) * _xlfn.POISSON.DIST(I$4, 'First 5 Innings'!$G$7, FALSE)</f>
        <v>3.3440732399345996E-5</v>
      </c>
      <c r="J10" s="1">
        <f>_xlfn.POISSON.DIST($D10,'First 5 Innings'!$G$8, FALSE) * _xlfn.POISSON.DIST(J$4, 'First 5 Innings'!$G$7, FALSE)</f>
        <v>8.5709326062791366E-6</v>
      </c>
      <c r="K10" s="1">
        <f>_xlfn.POISSON.DIST($D10,'First 5 Innings'!$G$8, FALSE) * _xlfn.POISSON.DIST(K$4, 'First 5 Innings'!$G$7, FALSE)</f>
        <v>1.8306239245429846E-6</v>
      </c>
      <c r="L10" s="1">
        <f>_xlfn.POISSON.DIST($D10,'First 5 Innings'!$G$8, FALSE) * _xlfn.POISSON.DIST(L$4, 'First 5 Innings'!$G$7, FALSE)</f>
        <v>3.3513778725490174E-7</v>
      </c>
      <c r="M10" s="1">
        <f>_xlfn.POISSON.DIST($D10,'First 5 Innings'!$G$8, FALSE) * _xlfn.POISSON.DIST(M$4, 'First 5 Innings'!$G$7, FALSE)</f>
        <v>5.3685340868077371E-8</v>
      </c>
      <c r="N10" s="1">
        <f>_xlfn.POISSON.DIST($D10,'First 5 Innings'!$G$8, FALSE) * _xlfn.POISSON.DIST(N$4, 'First 5 Innings'!$G$7, FALSE)</f>
        <v>7.6442610471854999E-9</v>
      </c>
      <c r="O10" s="1">
        <f>_xlfn.POISSON.DIST($D10,'First 5 Innings'!$G$8, FALSE) * _xlfn.POISSON.DIST(O$4, 'First 5 Innings'!$G$7, FALSE)</f>
        <v>9.7962038447329123E-10</v>
      </c>
      <c r="P10" s="1">
        <f>_xlfn.POISSON.DIST($D10,'First 5 Innings'!$G$8, FALSE) * _xlfn.POISSON.DIST(P$4, 'First 5 Innings'!$G$7, FALSE)</f>
        <v>1.1412674539310213E-10</v>
      </c>
      <c r="Q10" s="1">
        <f>_xlfn.POISSON.DIST($D10,'First 5 Innings'!$G$8, FALSE) * _xlfn.POISSON.DIST(Q$4, 'First 5 Innings'!$G$7, FALSE)</f>
        <v>1.2187889004854597E-11</v>
      </c>
      <c r="R10" s="1">
        <f>_xlfn.POISSON.DIST($D10,'First 5 Innings'!$G$8, FALSE) * _xlfn.POISSON.DIST(R$4, 'First 5 Innings'!$G$7, FALSE)</f>
        <v>1.2014548147905102E-12</v>
      </c>
      <c r="S10" s="1">
        <f>_xlfn.POISSON.DIST($D10,'First 5 Innings'!$G$8, FALSE) * _xlfn.POISSON.DIST(S$4, 'First 5 Innings'!$G$7, FALSE)</f>
        <v>1.0997695996357153E-13</v>
      </c>
      <c r="T10" s="1">
        <f>_xlfn.POISSON.DIST($D10,'First 5 Innings'!$G$8, FALSE) * _xlfn.POISSON.DIST(T$4, 'First 5 Innings'!$G$7, FALSE)</f>
        <v>9.3957781868603345E-15</v>
      </c>
    </row>
    <row r="11" spans="2:20">
      <c r="B11" s="377"/>
      <c r="C11" s="377"/>
      <c r="D11" s="1">
        <v>6</v>
      </c>
      <c r="E11" s="1">
        <f>_xlfn.POISSON.DIST($D11,'First 5 Innings'!$G$8, FALSE) * _xlfn.POISSON.DIST(E$4, 'First 5 Innings'!$G$7, FALSE)</f>
        <v>3.8424364584057548E-5</v>
      </c>
      <c r="F11" s="1">
        <f>_xlfn.POISSON.DIST($D11,'First 5 Innings'!$G$8, FALSE) * _xlfn.POISSON.DIST(F$4, 'First 5 Innings'!$G$7, FALSE)</f>
        <v>4.92412419913831E-5</v>
      </c>
      <c r="G11" s="1">
        <f>_xlfn.POISSON.DIST($D11,'First 5 Innings'!$G$8, FALSE) * _xlfn.POISSON.DIST(G$4, 'First 5 Innings'!$G$7, FALSE)</f>
        <v>3.1551594139568033E-5</v>
      </c>
      <c r="H11" s="1">
        <f>_xlfn.POISSON.DIST($D11,'First 5 Innings'!$G$8, FALSE) * _xlfn.POISSON.DIST(H$4, 'First 5 Innings'!$G$7, FALSE)</f>
        <v>1.3477903920758537E-5</v>
      </c>
      <c r="I11" s="1">
        <f>_xlfn.POISSON.DIST($D11,'First 5 Innings'!$G$8, FALSE) * _xlfn.POISSON.DIST(I$4, 'First 5 Innings'!$G$7, FALSE)</f>
        <v>4.3180201916340949E-6</v>
      </c>
      <c r="J11" s="1">
        <f>_xlfn.POISSON.DIST($D11,'First 5 Innings'!$G$8, FALSE) * _xlfn.POISSON.DIST(J$4, 'First 5 Innings'!$G$7, FALSE)</f>
        <v>1.1067179873061677E-6</v>
      </c>
      <c r="K11" s="1">
        <f>_xlfn.POISSON.DIST($D11,'First 5 Innings'!$G$8, FALSE) * _xlfn.POISSON.DIST(K$4, 'First 5 Innings'!$G$7, FALSE)</f>
        <v>2.3637852709289496E-7</v>
      </c>
      <c r="L11" s="1">
        <f>_xlfn.POISSON.DIST($D11,'First 5 Innings'!$G$8, FALSE) * _xlfn.POISSON.DIST(L$4, 'First 5 Innings'!$G$7, FALSE)</f>
        <v>4.3274522670877234E-8</v>
      </c>
      <c r="M11" s="1">
        <f>_xlfn.POISSON.DIST($D11,'First 5 Innings'!$G$8, FALSE) * _xlfn.POISSON.DIST(M$4, 'First 5 Innings'!$G$7, FALSE)</f>
        <v>6.9320965550279262E-9</v>
      </c>
      <c r="N11" s="1">
        <f>_xlfn.POISSON.DIST($D11,'First 5 Innings'!$G$8, FALSE) * _xlfn.POISSON.DIST(N$4, 'First 5 Innings'!$G$7, FALSE)</f>
        <v>9.8706192070465901E-10</v>
      </c>
      <c r="O11" s="1">
        <f>_xlfn.POISSON.DIST($D11,'First 5 Innings'!$G$8, FALSE) * _xlfn.POISSON.DIST(O$4, 'First 5 Innings'!$G$7, FALSE)</f>
        <v>1.2649306091079374E-10</v>
      </c>
      <c r="P11" s="1">
        <f>_xlfn.POISSON.DIST($D11,'First 5 Innings'!$G$8, FALSE) * _xlfn.POISSON.DIST(P$4, 'First 5 Innings'!$G$7, FALSE)</f>
        <v>1.4736566924668676E-11</v>
      </c>
      <c r="Q11" s="1">
        <f>_xlfn.POISSON.DIST($D11,'First 5 Innings'!$G$8, FALSE) * _xlfn.POISSON.DIST(Q$4, 'First 5 Innings'!$G$7, FALSE)</f>
        <v>1.5737559269900011E-12</v>
      </c>
      <c r="R11" s="1">
        <f>_xlfn.POISSON.DIST($D11,'First 5 Innings'!$G$8, FALSE) * _xlfn.POISSON.DIST(R$4, 'First 5 Innings'!$G$7, FALSE)</f>
        <v>1.5513733633725337E-13</v>
      </c>
      <c r="S11" s="1">
        <f>_xlfn.POISSON.DIST($D11,'First 5 Innings'!$G$8, FALSE) * _xlfn.POISSON.DIST(S$4, 'First 5 Innings'!$G$7, FALSE)</f>
        <v>1.4200727665477915E-14</v>
      </c>
      <c r="T11" s="1">
        <f>_xlfn.POISSON.DIST($D11,'First 5 Innings'!$G$8, FALSE) * _xlfn.POISSON.DIST(T$4, 'First 5 Innings'!$G$7, FALSE)</f>
        <v>1.2132258182171741E-15</v>
      </c>
    </row>
    <row r="12" spans="2:20">
      <c r="B12" s="377"/>
      <c r="C12" s="377"/>
      <c r="D12" s="1">
        <v>7</v>
      </c>
      <c r="E12" s="1">
        <f>_xlfn.POISSON.DIST($D12,'First 5 Innings'!$G$8, FALSE) * _xlfn.POISSON.DIST(E$4, 'First 5 Innings'!$G$7, FALSE)</f>
        <v>4.25273961817336E-6</v>
      </c>
      <c r="F12" s="1">
        <f>_xlfn.POISSON.DIST($D12,'First 5 Innings'!$G$8, FALSE) * _xlfn.POISSON.DIST(F$4, 'First 5 Innings'!$G$7, FALSE)</f>
        <v>5.4499321701653304E-6</v>
      </c>
      <c r="G12" s="1">
        <f>_xlfn.POISSON.DIST($D12,'First 5 Innings'!$G$8, FALSE) * _xlfn.POISSON.DIST(G$4, 'First 5 Innings'!$G$7, FALSE)</f>
        <v>3.4920737367128667E-6</v>
      </c>
      <c r="H12" s="1">
        <f>_xlfn.POISSON.DIST($D12,'First 5 Innings'!$G$8, FALSE) * _xlfn.POISSON.DIST(H$4, 'First 5 Innings'!$G$7, FALSE)</f>
        <v>1.4917101842596354E-6</v>
      </c>
      <c r="I12" s="1">
        <f>_xlfn.POISSON.DIST($D12,'First 5 Innings'!$G$8, FALSE) * _xlfn.POISSON.DIST(I$4, 'First 5 Innings'!$G$7, FALSE)</f>
        <v>4.7791071472015728E-7</v>
      </c>
      <c r="J12" s="1">
        <f>_xlfn.POISSON.DIST($D12,'First 5 Innings'!$G$8, FALSE) * _xlfn.POISSON.DIST(J$4, 'First 5 Innings'!$G$7, FALSE)</f>
        <v>1.2248955790708911E-7</v>
      </c>
      <c r="K12" s="1">
        <f>_xlfn.POISSON.DIST($D12,'First 5 Innings'!$G$8, FALSE) * _xlfn.POISSON.DIST(K$4, 'First 5 Innings'!$G$7, FALSE)</f>
        <v>2.6161950573165887E-8</v>
      </c>
      <c r="L12" s="1">
        <f>_xlfn.POISSON.DIST($D12,'First 5 Innings'!$G$8, FALSE) * _xlfn.POISSON.DIST(L$4, 'First 5 Innings'!$G$7, FALSE)</f>
        <v>4.78954639880598E-9</v>
      </c>
      <c r="M12" s="1">
        <f>_xlfn.POISSON.DIST($D12,'First 5 Innings'!$G$8, FALSE) * _xlfn.POISSON.DIST(M$4, 'First 5 Innings'!$G$7, FALSE)</f>
        <v>7.672319887575158E-10</v>
      </c>
      <c r="N12" s="1">
        <f>_xlfn.POISSON.DIST($D12,'First 5 Innings'!$G$8, FALSE) * _xlfn.POISSON.DIST(N$4, 'First 5 Innings'!$G$7, FALSE)</f>
        <v>1.092462394944235E-10</v>
      </c>
      <c r="O12" s="1">
        <f>_xlfn.POISSON.DIST($D12,'First 5 Innings'!$G$8, FALSE) * _xlfn.POISSON.DIST(O$4, 'First 5 Innings'!$G$7, FALSE)</f>
        <v>1.4000024655776436E-11</v>
      </c>
      <c r="P12" s="1">
        <f>_xlfn.POISSON.DIST($D12,'First 5 Innings'!$G$8, FALSE) * _xlfn.POISSON.DIST(P$4, 'First 5 Innings'!$G$7, FALSE)</f>
        <v>1.631016743537876E-12</v>
      </c>
      <c r="Q12" s="1">
        <f>_xlfn.POISSON.DIST($D12,'First 5 Innings'!$G$8, FALSE) * _xlfn.POISSON.DIST(Q$4, 'First 5 Innings'!$G$7, FALSE)</f>
        <v>1.7418047773839789E-13</v>
      </c>
      <c r="R12" s="1">
        <f>_xlfn.POISSON.DIST($D12,'First 5 Innings'!$G$8, FALSE) * _xlfn.POISSON.DIST(R$4, 'First 5 Innings'!$G$7, FALSE)</f>
        <v>1.7170321582183302E-14</v>
      </c>
      <c r="S12" s="1">
        <f>_xlfn.POISSON.DIST($D12,'First 5 Innings'!$G$8, FALSE) * _xlfn.POISSON.DIST(S$4, 'First 5 Innings'!$G$7, FALSE)</f>
        <v>1.5717110173091932E-15</v>
      </c>
      <c r="T12" s="1">
        <f>_xlfn.POISSON.DIST($D12,'First 5 Innings'!$G$8, FALSE) * _xlfn.POISSON.DIST(T$4, 'First 5 Innings'!$G$7, FALSE)</f>
        <v>1.3427765322275967E-16</v>
      </c>
    </row>
    <row r="13" spans="2:20">
      <c r="B13" s="377"/>
      <c r="C13" s="377"/>
      <c r="D13" s="1">
        <v>8</v>
      </c>
      <c r="E13" s="1">
        <f>_xlfn.POISSON.DIST($D13,'First 5 Innings'!$G$8, FALSE) * _xlfn.POISSON.DIST(E$4, 'First 5 Innings'!$G$7, FALSE)</f>
        <v>4.1184988089691002E-7</v>
      </c>
      <c r="F13" s="1">
        <f>_xlfn.POISSON.DIST($D13,'First 5 Innings'!$G$8, FALSE) * _xlfn.POISSON.DIST(F$4, 'First 5 Innings'!$G$7, FALSE)</f>
        <v>5.2779011101152523E-7</v>
      </c>
      <c r="G13" s="1">
        <f>_xlfn.POISSON.DIST($D13,'First 5 Innings'!$G$8, FALSE) * _xlfn.POISSON.DIST(G$4, 'First 5 Innings'!$G$7, FALSE)</f>
        <v>3.3818438975254326E-7</v>
      </c>
      <c r="H13" s="1">
        <f>_xlfn.POISSON.DIST($D13,'First 5 Innings'!$G$8, FALSE) * _xlfn.POISSON.DIST(H$4, 'First 5 Innings'!$G$7, FALSE)</f>
        <v>1.4446232708315191E-7</v>
      </c>
      <c r="I13" s="1">
        <f>_xlfn.POISSON.DIST($D13,'First 5 Innings'!$G$8, FALSE) * _xlfn.POISSON.DIST(I$4, 'First 5 Innings'!$G$7, FALSE)</f>
        <v>4.6282511653369311E-8</v>
      </c>
      <c r="J13" s="1">
        <f>_xlfn.POISSON.DIST($D13,'First 5 Innings'!$G$8, FALSE) * _xlfn.POISSON.DIST(J$4, 'First 5 Innings'!$G$7, FALSE)</f>
        <v>1.1862308620911519E-8</v>
      </c>
      <c r="K13" s="1">
        <f>_xlfn.POISSON.DIST($D13,'First 5 Innings'!$G$8, FALSE) * _xlfn.POISSON.DIST(K$4, 'First 5 Innings'!$G$7, FALSE)</f>
        <v>2.5336129636399453E-9</v>
      </c>
      <c r="L13" s="1">
        <f>_xlfn.POISSON.DIST($D13,'First 5 Innings'!$G$8, FALSE) * _xlfn.POISSON.DIST(L$4, 'First 5 Innings'!$G$7, FALSE)</f>
        <v>4.6383608943961835E-10</v>
      </c>
      <c r="M13" s="1">
        <f>_xlfn.POISSON.DIST($D13,'First 5 Innings'!$G$8, FALSE) * _xlfn.POISSON.DIST(M$4, 'First 5 Innings'!$G$7, FALSE)</f>
        <v>7.4301375480355443E-11</v>
      </c>
      <c r="N13" s="1">
        <f>_xlfn.POISSON.DIST($D13,'First 5 Innings'!$G$8, FALSE) * _xlfn.POISSON.DIST(N$4, 'First 5 Innings'!$G$7, FALSE)</f>
        <v>1.0579780274330332E-11</v>
      </c>
      <c r="O13" s="1">
        <f>_xlfn.POISSON.DIST($D13,'First 5 Innings'!$G$8, FALSE) * _xlfn.POISSON.DIST(O$4, 'First 5 Innings'!$G$7, FALSE)</f>
        <v>1.3558103727761036E-12</v>
      </c>
      <c r="P13" s="1">
        <f>_xlfn.POISSON.DIST($D13,'First 5 Innings'!$G$8, FALSE) * _xlfn.POISSON.DIST(P$4, 'First 5 Innings'!$G$7, FALSE)</f>
        <v>1.579532517571494E-13</v>
      </c>
      <c r="Q13" s="1">
        <f>_xlfn.POISSON.DIST($D13,'First 5 Innings'!$G$8, FALSE) * _xlfn.POISSON.DIST(Q$4, 'First 5 Innings'!$G$7, FALSE)</f>
        <v>1.6868234468099939E-14</v>
      </c>
      <c r="R13" s="1">
        <f>_xlfn.POISSON.DIST($D13,'First 5 Innings'!$G$8, FALSE) * _xlfn.POISSON.DIST(R$4, 'First 5 Innings'!$G$7, FALSE)</f>
        <v>1.6628327933279941E-15</v>
      </c>
      <c r="S13" s="1">
        <f>_xlfn.POISSON.DIST($D13,'First 5 Innings'!$G$8, FALSE) * _xlfn.POISSON.DIST(S$4, 'First 5 Innings'!$G$7, FALSE)</f>
        <v>1.5220988195867611E-16</v>
      </c>
      <c r="T13" s="1">
        <f>_xlfn.POISSON.DIST($D13,'First 5 Innings'!$G$8, FALSE) * _xlfn.POISSON.DIST(T$4, 'First 5 Innings'!$G$7, FALSE)</f>
        <v>1.3003908174999815E-17</v>
      </c>
    </row>
    <row r="14" spans="2:20">
      <c r="B14" s="377"/>
      <c r="C14" s="377"/>
      <c r="D14" s="1">
        <v>9</v>
      </c>
      <c r="E14" s="1">
        <f>_xlfn.POISSON.DIST($D14,'First 5 Innings'!$G$8, FALSE) * _xlfn.POISSON.DIST(E$4, 'First 5 Innings'!$G$7, FALSE)</f>
        <v>3.5453292517595239E-8</v>
      </c>
      <c r="F14" s="1">
        <f>_xlfn.POISSON.DIST($D14,'First 5 Innings'!$G$8, FALSE) * _xlfn.POISSON.DIST(F$4, 'First 5 Innings'!$G$7, FALSE)</f>
        <v>4.5433780757288699E-8</v>
      </c>
      <c r="G14" s="1">
        <f>_xlfn.POISSON.DIST($D14,'First 5 Innings'!$G$8, FALSE) * _xlfn.POISSON.DIST(G$4, 'First 5 Innings'!$G$7, FALSE)</f>
        <v>2.91119426055692E-8</v>
      </c>
      <c r="H14" s="1">
        <f>_xlfn.POISSON.DIST($D14,'First 5 Innings'!$G$8, FALSE) * _xlfn.POISSON.DIST(H$4, 'First 5 Innings'!$G$7, FALSE)</f>
        <v>1.2435757244114654E-8</v>
      </c>
      <c r="I14" s="1">
        <f>_xlfn.POISSON.DIST($D14,'First 5 Innings'!$G$8, FALSE) * _xlfn.POISSON.DIST(I$4, 'First 5 Innings'!$G$7, FALSE)</f>
        <v>3.9841396105845611E-9</v>
      </c>
      <c r="J14" s="1">
        <f>_xlfn.POISSON.DIST($D14,'First 5 Innings'!$G$8, FALSE) * _xlfn.POISSON.DIST(J$4, 'First 5 Innings'!$G$7, FALSE)</f>
        <v>1.0211436666080707E-9</v>
      </c>
      <c r="K14" s="1">
        <f>_xlfn.POISSON.DIST($D14,'First 5 Innings'!$G$8, FALSE) * _xlfn.POISSON.DIST(K$4, 'First 5 Innings'!$G$7, FALSE)</f>
        <v>2.1810112298850566E-10</v>
      </c>
      <c r="L14" s="1">
        <f>_xlfn.POISSON.DIST($D14,'First 5 Innings'!$G$8, FALSE) * _xlfn.POISSON.DIST(L$4, 'First 5 Innings'!$G$7, FALSE)</f>
        <v>3.9928423733686791E-11</v>
      </c>
      <c r="M14" s="1">
        <f>_xlfn.POISSON.DIST($D14,'First 5 Innings'!$G$8, FALSE) * _xlfn.POISSON.DIST(M$4, 'First 5 Innings'!$G$7, FALSE)</f>
        <v>6.3960887729966172E-12</v>
      </c>
      <c r="N14" s="1">
        <f>_xlfn.POISSON.DIST($D14,'First 5 Innings'!$G$8, FALSE) * _xlfn.POISSON.DIST(N$4, 'First 5 Innings'!$G$7, FALSE)</f>
        <v>9.1073971909586495E-13</v>
      </c>
      <c r="O14" s="1">
        <f>_xlfn.POISSON.DIST($D14,'First 5 Innings'!$G$8, FALSE) * _xlfn.POISSON.DIST(O$4, 'First 5 Innings'!$G$7, FALSE)</f>
        <v>1.167122875930925E-13</v>
      </c>
      <c r="P14" s="1">
        <f>_xlfn.POISSON.DIST($D14,'First 5 Innings'!$G$8, FALSE) * _xlfn.POISSON.DIST(P$4, 'First 5 Innings'!$G$7, FALSE)</f>
        <v>1.3597097142425317E-14</v>
      </c>
      <c r="Q14" s="1">
        <f>_xlfn.POISSON.DIST($D14,'First 5 Innings'!$G$8, FALSE) * _xlfn.POISSON.DIST(Q$4, 'First 5 Innings'!$G$7, FALSE)</f>
        <v>1.4520690149297956E-15</v>
      </c>
      <c r="R14" s="1">
        <f>_xlfn.POISSON.DIST($D14,'First 5 Innings'!$G$8, FALSE) * _xlfn.POISSON.DIST(R$4, 'First 5 Innings'!$G$7, FALSE)</f>
        <v>1.4314171294968482E-16</v>
      </c>
      <c r="S14" s="1">
        <f>_xlfn.POISSON.DIST($D14,'First 5 Innings'!$G$8, FALSE) * _xlfn.POISSON.DIST(S$4, 'First 5 Innings'!$G$7, FALSE)</f>
        <v>1.3102690372029857E-17</v>
      </c>
      <c r="T14" s="1">
        <f>_xlfn.POISSON.DIST($D14,'First 5 Innings'!$G$8, FALSE) * _xlfn.POISSON.DIST(T$4, 'First 5 Innings'!$G$7, FALSE)</f>
        <v>1.1194160342991992E-18</v>
      </c>
    </row>
    <row r="15" spans="2:20">
      <c r="B15" s="377"/>
      <c r="C15" s="377"/>
      <c r="D15" s="1">
        <v>10</v>
      </c>
      <c r="E15" s="1">
        <f>_xlfn.POISSON.DIST($D15,'First 5 Innings'!$G$8, FALSE) * _xlfn.POISSON.DIST(E$4, 'First 5 Innings'!$G$7, FALSE)</f>
        <v>2.7467346909043211E-9</v>
      </c>
      <c r="F15" s="1">
        <f>_xlfn.POISSON.DIST($D15,'First 5 Innings'!$G$8, FALSE) * _xlfn.POISSON.DIST(F$4, 'First 5 Innings'!$G$7, FALSE)</f>
        <v>3.5199704423235537E-9</v>
      </c>
      <c r="G15" s="1">
        <f>_xlfn.POISSON.DIST($D15,'First 5 Innings'!$G$8, FALSE) * _xlfn.POISSON.DIST(G$4, 'First 5 Innings'!$G$7, FALSE)</f>
        <v>2.2554402425288831E-9</v>
      </c>
      <c r="H15" s="1">
        <f>_xlfn.POISSON.DIST($D15,'First 5 Innings'!$G$8, FALSE) * _xlfn.POISSON.DIST(H$4, 'First 5 Innings'!$G$7, FALSE)</f>
        <v>9.6345708408103919E-10</v>
      </c>
      <c r="I15" s="1">
        <f>_xlfn.POISSON.DIST($D15,'First 5 Innings'!$G$8, FALSE) * _xlfn.POISSON.DIST(I$4, 'First 5 Innings'!$G$7, FALSE)</f>
        <v>3.0867018842798646E-10</v>
      </c>
      <c r="J15" s="1">
        <f>_xlfn.POISSON.DIST($D15,'First 5 Innings'!$G$8, FALSE) * _xlfn.POISSON.DIST(J$4, 'First 5 Innings'!$G$7, FALSE)</f>
        <v>7.9112842116923684E-11</v>
      </c>
      <c r="K15" s="1">
        <f>_xlfn.POISSON.DIST($D15,'First 5 Innings'!$G$8, FALSE) * _xlfn.POISSON.DIST(K$4, 'First 5 Innings'!$G$7, FALSE)</f>
        <v>1.68973282337714E-11</v>
      </c>
      <c r="L15" s="1">
        <f>_xlfn.POISSON.DIST($D15,'First 5 Innings'!$G$8, FALSE) * _xlfn.POISSON.DIST(L$4, 'First 5 Innings'!$G$7, FALSE)</f>
        <v>3.0934443272938626E-12</v>
      </c>
      <c r="M15" s="1">
        <f>_xlfn.POISSON.DIST($D15,'First 5 Innings'!$G$8, FALSE) * _xlfn.POISSON.DIST(M$4, 'First 5 Innings'!$G$7, FALSE)</f>
        <v>4.9553532750658905E-13</v>
      </c>
      <c r="N15" s="1">
        <f>_xlfn.POISSON.DIST($D15,'First 5 Innings'!$G$8, FALSE) * _xlfn.POISSON.DIST(N$4, 'First 5 Innings'!$G$7, FALSE)</f>
        <v>7.0559324767468651E-14</v>
      </c>
      <c r="O15" s="1">
        <f>_xlfn.POISSON.DIST($D15,'First 5 Innings'!$G$8, FALSE) * _xlfn.POISSON.DIST(O$4, 'First 5 Innings'!$G$7, FALSE)</f>
        <v>9.0422543696794446E-15</v>
      </c>
      <c r="P15" s="1">
        <f>_xlfn.POISSON.DIST($D15,'First 5 Innings'!$G$8, FALSE) * _xlfn.POISSON.DIST(P$4, 'First 5 Innings'!$G$7, FALSE)</f>
        <v>1.0534315930787034E-15</v>
      </c>
      <c r="Q15" s="1">
        <f>_xlfn.POISSON.DIST($D15,'First 5 Innings'!$G$8, FALSE) * _xlfn.POISSON.DIST(Q$4, 'First 5 Innings'!$G$7, FALSE)</f>
        <v>1.1249867230005487E-16</v>
      </c>
      <c r="R15" s="1">
        <f>_xlfn.POISSON.DIST($D15,'First 5 Innings'!$G$8, FALSE) * _xlfn.POISSON.DIST(R$4, 'First 5 Innings'!$G$7, FALSE)</f>
        <v>1.1089867280429276E-17</v>
      </c>
      <c r="S15" s="1">
        <f>_xlfn.POISSON.DIST($D15,'First 5 Innings'!$G$8, FALSE) * _xlfn.POISSON.DIST(S$4, 'First 5 Innings'!$G$7, FALSE)</f>
        <v>1.0151275560985215E-18</v>
      </c>
      <c r="T15" s="1">
        <f>_xlfn.POISSON.DIST($D15,'First 5 Innings'!$G$8, FALSE) * _xlfn.POISSON.DIST(T$4, 'First 5 Innings'!$G$7, FALSE)</f>
        <v>8.6726468449670179E-20</v>
      </c>
    </row>
    <row r="16" spans="2:20">
      <c r="B16" s="377"/>
      <c r="C16" s="377"/>
      <c r="D16" s="1">
        <v>11</v>
      </c>
      <c r="E16" s="1">
        <f>_xlfn.POISSON.DIST($D16,'First 5 Innings'!$G$8, FALSE) * _xlfn.POISSON.DIST(E$4, 'First 5 Innings'!$G$7, FALSE)</f>
        <v>1.934568741130687E-10</v>
      </c>
      <c r="F16" s="1">
        <f>_xlfn.POISSON.DIST($D16,'First 5 Innings'!$G$8, FALSE) * _xlfn.POISSON.DIST(F$4, 'First 5 Innings'!$G$7, FALSE)</f>
        <v>2.4791709261083158E-10</v>
      </c>
      <c r="G16" s="1">
        <f>_xlfn.POISSON.DIST($D16,'First 5 Innings'!$G$8, FALSE) * _xlfn.POISSON.DIST(G$4, 'First 5 Innings'!$G$7, FALSE)</f>
        <v>1.5885422808156403E-10</v>
      </c>
      <c r="H16" s="1">
        <f>_xlfn.POISSON.DIST($D16,'First 5 Innings'!$G$8, FALSE) * _xlfn.POISSON.DIST(H$4, 'First 5 Innings'!$G$7, FALSE)</f>
        <v>6.785780819881246E-11</v>
      </c>
      <c r="I16" s="1">
        <f>_xlfn.POISSON.DIST($D16,'First 5 Innings'!$G$8, FALSE) * _xlfn.POISSON.DIST(I$4, 'First 5 Innings'!$G$7, FALSE)</f>
        <v>2.1740130192738096E-11</v>
      </c>
      <c r="J16" s="1">
        <f>_xlfn.POISSON.DIST($D16,'First 5 Innings'!$G$8, FALSE) * _xlfn.POISSON.DIST(J$4, 'First 5 Innings'!$G$7, FALSE)</f>
        <v>5.5720427563762512E-12</v>
      </c>
      <c r="K16" s="1">
        <f>_xlfn.POISSON.DIST($D16,'First 5 Innings'!$G$8, FALSE) * _xlfn.POISSON.DIST(K$4, 'First 5 Innings'!$G$7, FALSE)</f>
        <v>1.1901055867509641E-12</v>
      </c>
      <c r="L16" s="1">
        <f>_xlfn.POISSON.DIST($D16,'First 5 Innings'!$G$8, FALSE) * _xlfn.POISSON.DIST(L$4, 'First 5 Innings'!$G$7, FALSE)</f>
        <v>2.1787618286644394E-13</v>
      </c>
      <c r="M16" s="1">
        <f>_xlfn.POISSON.DIST($D16,'First 5 Innings'!$G$8, FALSE) * _xlfn.POISSON.DIST(M$4, 'First 5 Innings'!$G$7, FALSE)</f>
        <v>3.490133786472783E-14</v>
      </c>
      <c r="N16" s="1">
        <f>_xlfn.POISSON.DIST($D16,'First 5 Innings'!$G$8, FALSE) * _xlfn.POISSON.DIST(N$4, 'First 5 Innings'!$G$7, FALSE)</f>
        <v>4.9696049837813772E-15</v>
      </c>
      <c r="O16" s="1">
        <f>_xlfn.POISSON.DIST($D16,'First 5 Innings'!$G$8, FALSE) * _xlfn.POISSON.DIST(O$4, 'First 5 Innings'!$G$7, FALSE)</f>
        <v>6.3686029491166306E-16</v>
      </c>
      <c r="P16" s="1">
        <f>_xlfn.POISSON.DIST($D16,'First 5 Innings'!$G$8, FALSE) * _xlfn.POISSON.DIST(P$4, 'First 5 Innings'!$G$7, FALSE)</f>
        <v>7.4194855354544701E-17</v>
      </c>
      <c r="Q16" s="1">
        <f>_xlfn.POISSON.DIST($D16,'First 5 Innings'!$G$8, FALSE) * _xlfn.POISSON.DIST(Q$4, 'First 5 Innings'!$G$7, FALSE)</f>
        <v>7.9234596472343429E-18</v>
      </c>
      <c r="R16" s="1">
        <f>_xlfn.POISSON.DIST($D16,'First 5 Innings'!$G$8, FALSE) * _xlfn.POISSON.DIST(R$4, 'First 5 Innings'!$G$7, FALSE)</f>
        <v>7.8107691489282564E-19</v>
      </c>
      <c r="S16" s="1">
        <f>_xlfn.POISSON.DIST($D16,'First 5 Innings'!$G$8, FALSE) * _xlfn.POISSON.DIST(S$4, 'First 5 Innings'!$G$7, FALSE)</f>
        <v>7.1497041370312497E-20</v>
      </c>
      <c r="T16" s="1">
        <f>_xlfn.POISSON.DIST($D16,'First 5 Innings'!$G$8, FALSE) * _xlfn.POISSON.DIST(T$4, 'First 5 Innings'!$G$7, FALSE)</f>
        <v>6.1082825162174734E-21</v>
      </c>
    </row>
    <row r="17" spans="2:20">
      <c r="B17" s="377"/>
      <c r="C17" s="377"/>
      <c r="D17" s="1">
        <v>12</v>
      </c>
      <c r="E17" s="1">
        <f>_xlfn.POISSON.DIST($D17,'First 5 Innings'!$G$8, FALSE) * _xlfn.POISSON.DIST(E$4, 'First 5 Innings'!$G$7, FALSE)</f>
        <v>1.2490017841938596E-11</v>
      </c>
      <c r="F17" s="1">
        <f>_xlfn.POISSON.DIST($D17,'First 5 Innings'!$G$8, FALSE) * _xlfn.POISSON.DIST(F$4, 'First 5 Innings'!$G$7, FALSE)</f>
        <v>1.6006093989821428E-11</v>
      </c>
      <c r="G17" s="1">
        <f>_xlfn.POISSON.DIST($D17,'First 5 Innings'!$G$8, FALSE) * _xlfn.POISSON.DIST(G$4, 'First 5 Innings'!$G$7, FALSE)</f>
        <v>1.0255991947055269E-11</v>
      </c>
      <c r="H17" s="1">
        <f>_xlfn.POISSON.DIST($D17,'First 5 Innings'!$G$8, FALSE) * _xlfn.POISSON.DIST(H$4, 'First 5 Innings'!$G$7, FALSE)</f>
        <v>4.3810551524917874E-12</v>
      </c>
      <c r="I17" s="1">
        <f>_xlfn.POISSON.DIST($D17,'First 5 Innings'!$G$8, FALSE) * _xlfn.POISSON.DIST(I$4, 'First 5 Innings'!$G$7, FALSE)</f>
        <v>1.4035924814678045E-12</v>
      </c>
      <c r="J17" s="1">
        <f>_xlfn.POISSON.DIST($D17,'First 5 Innings'!$G$8, FALSE) * _xlfn.POISSON.DIST(J$4, 'First 5 Innings'!$G$7, FALSE)</f>
        <v>3.5974381247630582E-13</v>
      </c>
      <c r="K17" s="1">
        <f>_xlfn.POISSON.DIST($D17,'First 5 Innings'!$G$8, FALSE) * _xlfn.POISSON.DIST(K$4, 'First 5 Innings'!$G$7, FALSE)</f>
        <v>7.683593607339383E-14</v>
      </c>
      <c r="L17" s="1">
        <f>_xlfn.POISSON.DIST($D17,'First 5 Innings'!$G$8, FALSE) * _xlfn.POISSON.DIST(L$4, 'First 5 Innings'!$G$7, FALSE)</f>
        <v>1.4066584213207489E-14</v>
      </c>
      <c r="M17" s="1">
        <f>_xlfn.POISSON.DIST($D17,'First 5 Innings'!$G$8, FALSE) * _xlfn.POISSON.DIST(M$4, 'First 5 Innings'!$G$7, FALSE)</f>
        <v>2.253310122147424E-15</v>
      </c>
      <c r="N17" s="1">
        <f>_xlfn.POISSON.DIST($D17,'First 5 Innings'!$G$8, FALSE) * _xlfn.POISSON.DIST(N$4, 'First 5 Innings'!$G$7, FALSE)</f>
        <v>3.2084905330651818E-16</v>
      </c>
      <c r="O17" s="1">
        <f>_xlfn.POISSON.DIST($D17,'First 5 Innings'!$G$8, FALSE) * _xlfn.POISSON.DIST(O$4, 'First 5 Innings'!$G$7, FALSE)</f>
        <v>4.1117155866065968E-17</v>
      </c>
      <c r="P17" s="1">
        <f>_xlfn.POISSON.DIST($D17,'First 5 Innings'!$G$8, FALSE) * _xlfn.POISSON.DIST(P$4, 'First 5 Innings'!$G$7, FALSE)</f>
        <v>4.7901893970265231E-18</v>
      </c>
      <c r="Q17" s="1">
        <f>_xlfn.POISSON.DIST($D17,'First 5 Innings'!$G$8, FALSE) * _xlfn.POISSON.DIST(Q$4, 'First 5 Innings'!$G$7, FALSE)</f>
        <v>5.1155665994063554E-19</v>
      </c>
      <c r="R17" s="1">
        <f>_xlfn.POISSON.DIST($D17,'First 5 Innings'!$G$8, FALSE) * _xlfn.POISSON.DIST(R$4, 'First 5 Innings'!$G$7, FALSE)</f>
        <v>5.0428110387206529E-20</v>
      </c>
      <c r="S17" s="1">
        <f>_xlfn.POISSON.DIST($D17,'First 5 Innings'!$G$8, FALSE) * _xlfn.POISSON.DIST(S$4, 'First 5 Innings'!$G$7, FALSE)</f>
        <v>4.6160123616961706E-21</v>
      </c>
      <c r="T17" s="1">
        <f>_xlfn.POISSON.DIST($D17,'First 5 Innings'!$G$8, FALSE) * _xlfn.POISSON.DIST(T$4, 'First 5 Innings'!$G$7, FALSE)</f>
        <v>3.9436467668017585E-22</v>
      </c>
    </row>
    <row r="18" spans="2:20">
      <c r="B18" s="377"/>
      <c r="C18" s="377"/>
      <c r="D18" s="1">
        <v>13</v>
      </c>
      <c r="E18" s="1">
        <f>_xlfn.POISSON.DIST($D18,'First 5 Innings'!$G$8, FALSE) * _xlfn.POISSON.DIST(E$4, 'First 5 Innings'!$G$7, FALSE)</f>
        <v>7.443545460756133E-13</v>
      </c>
      <c r="F18" s="1">
        <f>_xlfn.POISSON.DIST($D18,'First 5 Innings'!$G$8, FALSE) * _xlfn.POISSON.DIST(F$4, 'First 5 Innings'!$G$7, FALSE)</f>
        <v>9.5389846331780024E-13</v>
      </c>
      <c r="G18" s="1">
        <f>_xlfn.POISSON.DIST($D18,'First 5 Innings'!$G$8, FALSE) * _xlfn.POISSON.DIST(G$4, 'First 5 Innings'!$G$7, FALSE)</f>
        <v>6.1121563851349719E-13</v>
      </c>
      <c r="H18" s="1">
        <f>_xlfn.POISSON.DIST($D18,'First 5 Innings'!$G$8, FALSE) * _xlfn.POISSON.DIST(H$4, 'First 5 Innings'!$G$7, FALSE)</f>
        <v>2.6109316741048764E-13</v>
      </c>
      <c r="I18" s="1">
        <f>_xlfn.POISSON.DIST($D18,'First 5 Innings'!$G$8, FALSE) * _xlfn.POISSON.DIST(I$4, 'First 5 Innings'!$G$7, FALSE)</f>
        <v>8.3648434905354059E-14</v>
      </c>
      <c r="J18" s="1">
        <f>_xlfn.POISSON.DIST($D18,'First 5 Innings'!$G$8, FALSE) * _xlfn.POISSON.DIST(J$4, 'First 5 Innings'!$G$7, FALSE)</f>
        <v>2.1439276198643853E-14</v>
      </c>
      <c r="K18" s="1">
        <f>_xlfn.POISSON.DIST($D18,'First 5 Innings'!$G$8, FALSE) * _xlfn.POISSON.DIST(K$4, 'First 5 Innings'!$G$7, FALSE)</f>
        <v>4.5791110182536665E-15</v>
      </c>
      <c r="L18" s="1">
        <f>_xlfn.POISSON.DIST($D18,'First 5 Innings'!$G$8, FALSE) * _xlfn.POISSON.DIST(L$4, 'First 5 Innings'!$G$7, FALSE)</f>
        <v>8.383115252004559E-16</v>
      </c>
      <c r="M18" s="1">
        <f>_xlfn.POISSON.DIST($D18,'First 5 Innings'!$G$8, FALSE) * _xlfn.POISSON.DIST(M$4, 'First 5 Innings'!$G$7, FALSE)</f>
        <v>1.3428816950979633E-16</v>
      </c>
      <c r="N18" s="1">
        <f>_xlfn.POISSON.DIST($D18,'First 5 Innings'!$G$8, FALSE) * _xlfn.POISSON.DIST(N$4, 'First 5 Innings'!$G$7, FALSE)</f>
        <v>1.9121305866421015E-17</v>
      </c>
      <c r="O18" s="1">
        <f>_xlfn.POISSON.DIST($D18,'First 5 Innings'!$G$8, FALSE) * _xlfn.POISSON.DIST(O$4, 'First 5 Innings'!$G$7, FALSE)</f>
        <v>2.4504161865837182E-18</v>
      </c>
      <c r="P18" s="1">
        <f>_xlfn.POISSON.DIST($D18,'First 5 Innings'!$G$8, FALSE) * _xlfn.POISSON.DIST(P$4, 'First 5 Innings'!$G$7, FALSE)</f>
        <v>2.8547591359456948E-19</v>
      </c>
      <c r="Q18" s="1">
        <f>_xlfn.POISSON.DIST($D18,'First 5 Innings'!$G$8, FALSE) * _xlfn.POISSON.DIST(Q$4, 'First 5 Innings'!$G$7, FALSE)</f>
        <v>3.0486707883114384E-20</v>
      </c>
      <c r="R18" s="1">
        <f>_xlfn.POISSON.DIST($D18,'First 5 Innings'!$G$8, FALSE) * _xlfn.POISSON.DIST(R$4, 'First 5 Innings'!$G$7, FALSE)</f>
        <v>3.0053114168245218E-21</v>
      </c>
      <c r="S18" s="1">
        <f>_xlfn.POISSON.DIST($D18,'First 5 Innings'!$G$8, FALSE) * _xlfn.POISSON.DIST(S$4, 'First 5 Innings'!$G$7, FALSE)</f>
        <v>2.7509566676779652E-22</v>
      </c>
      <c r="T18" s="1">
        <f>_xlfn.POISSON.DIST($D18,'First 5 Innings'!$G$8, FALSE) * _xlfn.POISSON.DIST(T$4, 'First 5 Innings'!$G$7, FALSE)</f>
        <v>2.3502539677154408E-23</v>
      </c>
    </row>
    <row r="19" spans="2:20">
      <c r="B19" s="377"/>
      <c r="C19" s="377"/>
      <c r="D19" s="1">
        <v>14</v>
      </c>
      <c r="E19" s="1">
        <f>_xlfn.POISSON.DIST($D19,'First 5 Innings'!$G$8, FALSE) * _xlfn.POISSON.DIST(E$4, 'First 5 Innings'!$G$7, FALSE)</f>
        <v>4.1191911724892795E-14</v>
      </c>
      <c r="F19" s="1">
        <f>_xlfn.POISSON.DIST($D19,'First 5 Innings'!$G$8, FALSE) * _xlfn.POISSON.DIST(F$4, 'First 5 Innings'!$G$7, FALSE)</f>
        <v>5.278788381512248E-14</v>
      </c>
      <c r="G19" s="1">
        <f>_xlfn.POISSON.DIST($D19,'First 5 Innings'!$G$8, FALSE) * _xlfn.POISSON.DIST(G$4, 'First 5 Innings'!$G$7, FALSE)</f>
        <v>3.3824124215081244E-14</v>
      </c>
      <c r="H19" s="1">
        <f>_xlfn.POISSON.DIST($D19,'First 5 Innings'!$G$8, FALSE) * _xlfn.POISSON.DIST(H$4, 'First 5 Innings'!$G$7, FALSE)</f>
        <v>1.4448661273915228E-14</v>
      </c>
      <c r="I19" s="1">
        <f>_xlfn.POISSON.DIST($D19,'First 5 Innings'!$G$8, FALSE) * _xlfn.POISSON.DIST(I$4, 'First 5 Innings'!$G$7, FALSE)</f>
        <v>4.6290292236581156E-15</v>
      </c>
      <c r="J19" s="1">
        <f>_xlfn.POISSON.DIST($D19,'First 5 Innings'!$G$8, FALSE) * _xlfn.POISSON.DIST(J$4, 'First 5 Innings'!$G$7, FALSE)</f>
        <v>1.1864302801348416E-15</v>
      </c>
      <c r="K19" s="1">
        <f>_xlfn.POISSON.DIST($D19,'First 5 Innings'!$G$8, FALSE) * _xlfn.POISSON.DIST(K$4, 'First 5 Innings'!$G$7, FALSE)</f>
        <v>2.5340388909672658E-16</v>
      </c>
      <c r="L19" s="1">
        <f>_xlfn.POISSON.DIST($D19,'First 5 Innings'!$G$8, FALSE) * _xlfn.POISSON.DIST(L$4, 'First 5 Innings'!$G$7, FALSE)</f>
        <v>4.6391406522705123E-17</v>
      </c>
      <c r="M19" s="1">
        <f>_xlfn.POISSON.DIST($D19,'First 5 Innings'!$G$8, FALSE) * _xlfn.POISSON.DIST(M$4, 'First 5 Innings'!$G$7, FALSE)</f>
        <v>7.4313866333034507E-18</v>
      </c>
      <c r="N19" s="1">
        <f>_xlfn.POISSON.DIST($D19,'First 5 Innings'!$G$8, FALSE) * _xlfn.POISSON.DIST(N$4, 'First 5 Innings'!$G$7, FALSE)</f>
        <v>1.0581558848090632E-18</v>
      </c>
      <c r="O19" s="1">
        <f>_xlfn.POISSON.DIST($D19,'First 5 Innings'!$G$8, FALSE) * _xlfn.POISSON.DIST(O$4, 'First 5 Innings'!$G$7, FALSE)</f>
        <v>1.3560382989419062E-19</v>
      </c>
      <c r="P19" s="1">
        <f>_xlfn.POISSON.DIST($D19,'First 5 Innings'!$G$8, FALSE) * _xlfn.POISSON.DIST(P$4, 'First 5 Innings'!$G$7, FALSE)</f>
        <v>1.5797980538129327E-20</v>
      </c>
      <c r="Q19" s="1">
        <f>_xlfn.POISSON.DIST($D19,'First 5 Innings'!$G$8, FALSE) * _xlfn.POISSON.DIST(Q$4, 'First 5 Innings'!$G$7, FALSE)</f>
        <v>1.6871070197995043E-21</v>
      </c>
      <c r="R19" s="1">
        <f>_xlfn.POISSON.DIST($D19,'First 5 Innings'!$G$8, FALSE) * _xlfn.POISSON.DIST(R$4, 'First 5 Innings'!$G$7, FALSE)</f>
        <v>1.6631123332331048E-22</v>
      </c>
      <c r="S19" s="1">
        <f>_xlfn.POISSON.DIST($D19,'First 5 Innings'!$G$8, FALSE) * _xlfn.POISSON.DIST(S$4, 'First 5 Innings'!$G$7, FALSE)</f>
        <v>1.5223547006117828E-23</v>
      </c>
      <c r="T19" s="1">
        <f>_xlfn.POISSON.DIST($D19,'First 5 Innings'!$G$8, FALSE) * _xlfn.POISSON.DIST(T$4, 'First 5 Innings'!$G$7, FALSE)</f>
        <v>1.3006094270482112E-24</v>
      </c>
    </row>
    <row r="20" spans="2:20">
      <c r="B20" s="377"/>
      <c r="C20" s="377"/>
      <c r="D20" s="1">
        <v>15</v>
      </c>
      <c r="E20" s="1">
        <f>_xlfn.POISSON.DIST($D20,'First 5 Innings'!$G$8, FALSE) * _xlfn.POISSON.DIST(E$4, 'First 5 Innings'!$G$7, FALSE)</f>
        <v>2.1275551556230265E-15</v>
      </c>
      <c r="F20" s="1">
        <f>_xlfn.POISSON.DIST($D20,'First 5 Innings'!$G$8, FALSE) * _xlfn.POISSON.DIST(F$4, 'First 5 Innings'!$G$7, FALSE)</f>
        <v>2.7264851195877692E-15</v>
      </c>
      <c r="G20" s="1">
        <f>_xlfn.POISSON.DIST($D20,'First 5 Innings'!$G$8, FALSE) * _xlfn.POISSON.DIST(G$4, 'First 5 Innings'!$G$7, FALSE)</f>
        <v>1.7470101979933551E-15</v>
      </c>
      <c r="H20" s="1">
        <f>_xlfn.POISSON.DIST($D20,'First 5 Innings'!$G$8, FALSE) * _xlfn.POISSON.DIST(H$4, 'First 5 Innings'!$G$7, FALSE)</f>
        <v>7.4627086964240959E-16</v>
      </c>
      <c r="I20" s="1">
        <f>_xlfn.POISSON.DIST($D20,'First 5 Innings'!$G$8, FALSE) * _xlfn.POISSON.DIST(I$4, 'First 5 Innings'!$G$7, FALSE)</f>
        <v>2.3908856321353733E-16</v>
      </c>
      <c r="J20" s="1">
        <f>_xlfn.POISSON.DIST($D20,'First 5 Innings'!$G$8, FALSE) * _xlfn.POISSON.DIST(J$4, 'First 5 Innings'!$G$7, FALSE)</f>
        <v>6.1278919904141041E-17</v>
      </c>
      <c r="K20" s="1">
        <f>_xlfn.POISSON.DIST($D20,'First 5 Innings'!$G$8, FALSE) * _xlfn.POISSON.DIST(K$4, 'First 5 Innings'!$G$7, FALSE)</f>
        <v>1.308826728663003E-17</v>
      </c>
      <c r="L20" s="1">
        <f>_xlfn.POISSON.DIST($D20,'First 5 Innings'!$G$8, FALSE) * _xlfn.POISSON.DIST(L$4, 'First 5 Innings'!$G$7, FALSE)</f>
        <v>2.39610816762212E-18</v>
      </c>
      <c r="M20" s="1">
        <f>_xlfn.POISSON.DIST($D20,'First 5 Innings'!$G$8, FALSE) * _xlfn.POISSON.DIST(M$4, 'First 5 Innings'!$G$7, FALSE)</f>
        <v>3.8382984141904261E-19</v>
      </c>
      <c r="N20" s="1">
        <f>_xlfn.POISSON.DIST($D20,'First 5 Innings'!$G$8, FALSE) * _xlfn.POISSON.DIST(N$4, 'First 5 Innings'!$G$7, FALSE)</f>
        <v>5.46535694486325E-20</v>
      </c>
      <c r="O20" s="1">
        <f>_xlfn.POISSON.DIST($D20,'First 5 Innings'!$G$8, FALSE) * _xlfn.POISSON.DIST(O$4, 'First 5 Innings'!$G$7, FALSE)</f>
        <v>7.0039144903116055E-21</v>
      </c>
      <c r="P20" s="1">
        <f>_xlfn.POISSON.DIST($D20,'First 5 Innings'!$G$8, FALSE) * _xlfn.POISSON.DIST(P$4, 'First 5 Innings'!$G$7, FALSE)</f>
        <v>8.1596297755750168E-22</v>
      </c>
      <c r="Q20" s="1">
        <f>_xlfn.POISSON.DIST($D20,'First 5 Innings'!$G$8, FALSE) * _xlfn.POISSON.DIST(Q$4, 'First 5 Innings'!$G$7, FALSE)</f>
        <v>8.7138787391921587E-23</v>
      </c>
      <c r="R20" s="1">
        <f>_xlfn.POISSON.DIST($D20,'First 5 Innings'!$G$8, FALSE) * _xlfn.POISSON.DIST(R$4, 'First 5 Innings'!$G$7, FALSE)</f>
        <v>8.5899465957829189E-24</v>
      </c>
      <c r="S20" s="1">
        <f>_xlfn.POISSON.DIST($D20,'First 5 Innings'!$G$8, FALSE) * _xlfn.POISSON.DIST(S$4, 'First 5 Innings'!$G$7, FALSE)</f>
        <v>7.8629358443110163E-25</v>
      </c>
      <c r="T20" s="1">
        <f>_xlfn.POISSON.DIST($D20,'First 5 Innings'!$G$8, FALSE) * _xlfn.POISSON.DIST(T$4, 'First 5 Innings'!$G$7, FALSE)</f>
        <v>6.717625320351732E-26</v>
      </c>
    </row>
    <row r="24" spans="2:20">
      <c r="D24" s="1" t="s">
        <v>738</v>
      </c>
      <c r="E24" s="1" t="e">
        <f>E3</f>
        <v>#REF!</v>
      </c>
      <c r="F24" s="1">
        <f>1-F25</f>
        <v>0.62958666853691125</v>
      </c>
      <c r="H24" s="71" t="s">
        <v>345</v>
      </c>
      <c r="I24" s="71">
        <v>3</v>
      </c>
      <c r="J24" s="71">
        <f>SUM(E9:E20,F8:F20,G7:G20,H6:H20,I5:T20)</f>
        <v>0.15316827000482058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0.37041333146308875</v>
      </c>
      <c r="H25" s="71" t="s">
        <v>348</v>
      </c>
      <c r="I25" s="71">
        <v>3</v>
      </c>
      <c r="J25" s="71">
        <f>SUM(E8,F7,G6,H5)</f>
        <v>0.18537882504747644</v>
      </c>
    </row>
    <row r="26" spans="2:20">
      <c r="H26" s="71" t="s">
        <v>346</v>
      </c>
      <c r="I26" s="71">
        <v>3</v>
      </c>
      <c r="J26" s="71">
        <f>SUM(E5:E7,F5:F6,G5)</f>
        <v>0.66145290494694331</v>
      </c>
    </row>
    <row r="27" spans="2:20">
      <c r="H27" s="71" t="s">
        <v>345</v>
      </c>
      <c r="I27" s="71">
        <v>3.5</v>
      </c>
      <c r="J27" s="71">
        <f>SUM(E9:E20,F8:F20,G7:G20,H6:H20,I5:T20)</f>
        <v>0.15316827000482058</v>
      </c>
    </row>
    <row r="28" spans="2:20">
      <c r="H28" s="71" t="s">
        <v>346</v>
      </c>
      <c r="I28" s="71">
        <v>3.5</v>
      </c>
      <c r="J28" s="71">
        <f>SUM(E5:E8,F5:F7,G5:G6,H5)</f>
        <v>0.8468317299944198</v>
      </c>
    </row>
    <row r="29" spans="2:20">
      <c r="D29" s="1" t="s">
        <v>740</v>
      </c>
      <c r="H29" s="71" t="s">
        <v>345</v>
      </c>
      <c r="I29" s="71">
        <v>4</v>
      </c>
      <c r="J29" s="71">
        <f>SUM(E10:E20,F9:F20,G8:G20,H7:H20,I6:I20,J5:T20)</f>
        <v>5.7871582223892958E-2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0.48449763334523838</v>
      </c>
      <c r="H30" s="71" t="s">
        <v>348</v>
      </c>
      <c r="I30" s="71">
        <v>4</v>
      </c>
      <c r="J30" s="71">
        <f>SUM(E9,F8,G7,H6,I5)</f>
        <v>9.5296687780927633E-2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0.22532429627217551</v>
      </c>
      <c r="H31" s="71" t="s">
        <v>346</v>
      </c>
      <c r="I31" s="71">
        <v>4</v>
      </c>
      <c r="J31" s="71">
        <f>1-J30-J29</f>
        <v>0.84683172999517942</v>
      </c>
    </row>
    <row r="32" spans="2:20">
      <c r="D32" s="1" t="s">
        <v>348</v>
      </c>
      <c r="F32" s="1">
        <f>1-F31-F30</f>
        <v>0.29017807038258608</v>
      </c>
      <c r="H32" s="71" t="s">
        <v>345</v>
      </c>
      <c r="I32" s="71">
        <v>4.5</v>
      </c>
      <c r="J32" s="71">
        <f>SUM(E10:E20,F9:F20,G8:G20,H7:H20,I6:I20,J5:T20)</f>
        <v>5.7871582223892958E-2</v>
      </c>
    </row>
    <row r="33" spans="8:10">
      <c r="H33" s="71" t="s">
        <v>346</v>
      </c>
      <c r="I33" s="71">
        <v>4.5</v>
      </c>
      <c r="J33" s="71">
        <f>1-J32</f>
        <v>0.94212841777610701</v>
      </c>
    </row>
    <row r="34" spans="8:10">
      <c r="H34" s="71" t="s">
        <v>345</v>
      </c>
      <c r="I34" s="71">
        <v>5</v>
      </c>
      <c r="J34" s="71">
        <f>SUM(E11:E20,F10:F20,G9:G20,H8:H20,I7:I20,J6:J20,K5:T20)</f>
        <v>1.8680660824149264E-2</v>
      </c>
    </row>
    <row r="35" spans="8:10">
      <c r="H35" s="71" t="s">
        <v>348</v>
      </c>
      <c r="I35" s="71">
        <v>5</v>
      </c>
      <c r="J35" s="71">
        <f>SUM(E10,F9,G8,H7,I6,J5)</f>
        <v>3.9190921399743679E-2</v>
      </c>
    </row>
    <row r="36" spans="8:10">
      <c r="H36" s="71" t="s">
        <v>346</v>
      </c>
      <c r="I36" s="71">
        <v>5</v>
      </c>
      <c r="J36" s="71">
        <f>SUM(E5:E9,F5:F8,G5:G7,H5:H6,I5)</f>
        <v>0.9421284177753475</v>
      </c>
    </row>
    <row r="37" spans="8:10">
      <c r="H37" s="71" t="s">
        <v>345</v>
      </c>
      <c r="I37" s="71">
        <v>5.5</v>
      </c>
      <c r="J37" s="71">
        <f>SUM(E11:E20,F10:F20,G9:G20,H8:H20,I7:I20,J6:J20,K5:T20)</f>
        <v>1.8680660824149264E-2</v>
      </c>
    </row>
    <row r="38" spans="8:10">
      <c r="H38" s="71" t="s">
        <v>346</v>
      </c>
      <c r="I38" s="71">
        <v>5.5</v>
      </c>
      <c r="J38" s="71">
        <f>1-J37</f>
        <v>0.98131933917585079</v>
      </c>
    </row>
    <row r="39" spans="8:10">
      <c r="H39" s="71" t="s">
        <v>345</v>
      </c>
      <c r="I39" s="71">
        <v>6</v>
      </c>
      <c r="J39" s="71">
        <f>SUM(E12:E20,F11:F20,G10:G20,H9:H20,I8:I20,J7:J20,K6:K20,L5:T20)</f>
        <v>5.2495511328751708E-3</v>
      </c>
    </row>
    <row r="40" spans="8:10">
      <c r="H40" s="71" t="s">
        <v>348</v>
      </c>
      <c r="I40" s="71">
        <v>6</v>
      </c>
      <c r="J40" s="71">
        <f>SUM(E11,F10,G9,H8,I7,J6,K5)</f>
        <v>1.3431109691274101E-2</v>
      </c>
    </row>
    <row r="41" spans="8:10">
      <c r="H41" s="71" t="s">
        <v>346</v>
      </c>
      <c r="I41" s="71">
        <v>6</v>
      </c>
      <c r="J41" s="71">
        <f>SUM(E5:E10,F5:F9,G5:G8,H5:H7,I5:I6,J5)</f>
        <v>0.98131933917509129</v>
      </c>
    </row>
    <row r="42" spans="8:10">
      <c r="H42" s="71" t="s">
        <v>345</v>
      </c>
      <c r="I42" s="71">
        <v>6.5</v>
      </c>
      <c r="J42" s="71">
        <f>SUM(E12:E20,F11:F20,G10:G20,H9:H20,I8:I20,J7:J20,K6:K20,L5:T20)</f>
        <v>5.2495511328751708E-3</v>
      </c>
    </row>
    <row r="43" spans="8:10">
      <c r="H43" s="71" t="s">
        <v>346</v>
      </c>
      <c r="I43" s="71">
        <v>6.5</v>
      </c>
      <c r="J43" s="71">
        <f>1-J42</f>
        <v>0.99475044886712483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Innings'!$G$10, FALSE) * _xlfn.POISSON.DIST(E$4, 'First 5 Innings'!$G$9, FALSE)</f>
        <v>3.854496144508817E-3</v>
      </c>
      <c r="F5" s="1">
        <f>_xlfn.POISSON.DIST($D5,'First 5 Innings'!$G$10, FALSE) * _xlfn.POISSON.DIST(F$4, 'First 5 Innings'!$G$9, FALSE)</f>
        <v>1.0722853795541821E-2</v>
      </c>
      <c r="G5" s="1">
        <f>_xlfn.POISSON.DIST($D5,'First 5 Innings'!$G$10, FALSE) * _xlfn.POISSON.DIST(G$4, 'First 5 Innings'!$G$9, FALSE)</f>
        <v>1.4914996566330413E-2</v>
      </c>
      <c r="H5" s="1">
        <f>_xlfn.POISSON.DIST($D5,'First 5 Innings'!$G$10, FALSE) * _xlfn.POISSON.DIST(H$4, 'First 5 Innings'!$G$9, FALSE)</f>
        <v>1.3830716263621147E-2</v>
      </c>
      <c r="I5" s="1">
        <f>_xlfn.POISSON.DIST($D5,'First 5 Innings'!$G$10, FALSE) * _xlfn.POISSON.DIST(I$4, 'First 5 Innings'!$G$9, FALSE)</f>
        <v>9.6189451761230556E-3</v>
      </c>
      <c r="J5" s="1">
        <f>_xlfn.POISSON.DIST($D5,'First 5 Innings'!$G$10, FALSE) * _xlfn.POISSON.DIST(J$4, 'First 5 Innings'!$G$9, FALSE)</f>
        <v>5.3518041748641205E-3</v>
      </c>
      <c r="K5" s="1">
        <f>_xlfn.POISSON.DIST($D5,'First 5 Innings'!$G$10, FALSE) * _xlfn.POISSON.DIST(K$4, 'First 5 Innings'!$G$9, FALSE)</f>
        <v>2.4813711726927993E-3</v>
      </c>
      <c r="L5" s="1">
        <f>_xlfn.POISSON.DIST($D5,'First 5 Innings'!$G$10, FALSE) * _xlfn.POISSON.DIST(L$4, 'First 5 Innings'!$G$9, FALSE)</f>
        <v>9.8613520047091674E-4</v>
      </c>
      <c r="M5" s="1">
        <f>_xlfn.POISSON.DIST($D5,'First 5 Innings'!$G$10, FALSE) * _xlfn.POISSON.DIST(M$4, 'First 5 Innings'!$G$9, FALSE)</f>
        <v>3.4291717973149134E-4</v>
      </c>
      <c r="N5" s="1">
        <f>_xlfn.POISSON.DIST($D5,'First 5 Innings'!$G$10, FALSE) * _xlfn.POISSON.DIST(N$4, 'First 5 Innings'!$G$9, FALSE)</f>
        <v>1.0599600640637427E-4</v>
      </c>
      <c r="O5" s="1">
        <f>_xlfn.POISSON.DIST($D5,'First 5 Innings'!$G$10, FALSE) * _xlfn.POISSON.DIST(O$4, 'First 5 Innings'!$G$9, FALSE)</f>
        <v>2.9487114190685022E-5</v>
      </c>
      <c r="P5" s="1">
        <f>_xlfn.POISSON.DIST($D5,'First 5 Innings'!$G$10, FALSE) * _xlfn.POISSON.DIST(P$4, 'First 5 Innings'!$G$9, FALSE)</f>
        <v>7.4573127179990288E-6</v>
      </c>
      <c r="Q5" s="1">
        <f>_xlfn.POISSON.DIST($D5,'First 5 Innings'!$G$10, FALSE) * _xlfn.POISSON.DIST(Q$4, 'First 5 Innings'!$G$9, FALSE)</f>
        <v>1.7287965141837453E-6</v>
      </c>
      <c r="R5" s="1">
        <f>_xlfn.POISSON.DIST($D5,'First 5 Innings'!$G$10, FALSE) * _xlfn.POISSON.DIST(R$4, 'First 5 Innings'!$G$9, FALSE)</f>
        <v>3.6995022413866651E-7</v>
      </c>
      <c r="S5" s="1">
        <f>_xlfn.POISSON.DIST($D5,'First 5 Innings'!$G$10, FALSE) * _xlfn.POISSON.DIST(S$4, 'First 5 Innings'!$G$9, FALSE)</f>
        <v>7.3511964364714022E-8</v>
      </c>
      <c r="T5" s="1">
        <f>_xlfn.POISSON.DIST($D5,'First 5 Innings'!$G$10, FALSE) * _xlfn.POISSON.DIST(T$4, 'First 5 Innings'!$G$9, FALSE)</f>
        <v>1.3633568289314583E-8</v>
      </c>
    </row>
    <row r="6" spans="2:20">
      <c r="B6" s="377"/>
      <c r="C6" s="377"/>
      <c r="D6" s="1">
        <v>1</v>
      </c>
      <c r="E6" s="1">
        <f>_xlfn.POISSON.DIST($D6,'First 5 Innings'!$G$10, FALSE) * _xlfn.POISSON.DIST(E$4, 'First 5 Innings'!$G$9, FALSE)</f>
        <v>1.0702420773015166E-2</v>
      </c>
      <c r="F6" s="1">
        <f>_xlfn.POISSON.DIST($D6,'First 5 Innings'!$G$10, FALSE) * _xlfn.POISSON.DIST(F$4, 'First 5 Innings'!$G$9, FALSE)</f>
        <v>2.9773150343113227E-2</v>
      </c>
      <c r="G6" s="1">
        <f>_xlfn.POISSON.DIST($D6,'First 5 Innings'!$G$10, FALSE) * _xlfn.POISSON.DIST(G$4, 'First 5 Innings'!$G$9, FALSE)</f>
        <v>4.1413083084374414E-2</v>
      </c>
      <c r="H6" s="1">
        <f>_xlfn.POISSON.DIST($D6,'First 5 Innings'!$G$10, FALSE) * _xlfn.POISSON.DIST(H$4, 'First 5 Innings'!$G$9, FALSE)</f>
        <v>3.8402462863098875E-2</v>
      </c>
      <c r="I6" s="1">
        <f>_xlfn.POISSON.DIST($D6,'First 5 Innings'!$G$10, FALSE) * _xlfn.POISSON.DIST(I$4, 'First 5 Innings'!$G$9, FALSE)</f>
        <v>2.6708030001299152E-2</v>
      </c>
      <c r="J6" s="1">
        <f>_xlfn.POISSON.DIST($D6,'First 5 Innings'!$G$10, FALSE) * _xlfn.POISSON.DIST(J$4, 'First 5 Innings'!$G$9, FALSE)</f>
        <v>1.4859856652282101E-2</v>
      </c>
      <c r="K6" s="1">
        <f>_xlfn.POISSON.DIST($D6,'First 5 Innings'!$G$10, FALSE) * _xlfn.POISSON.DIST(K$4, 'First 5 Innings'!$G$9, FALSE)</f>
        <v>6.8897924368199271E-3</v>
      </c>
      <c r="L6" s="1">
        <f>_xlfn.POISSON.DIST($D6,'First 5 Innings'!$G$10, FALSE) * _xlfn.POISSON.DIST(L$4, 'First 5 Innings'!$G$9, FALSE)</f>
        <v>2.7381098485613682E-3</v>
      </c>
      <c r="M6" s="1">
        <f>_xlfn.POISSON.DIST($D6,'First 5 Innings'!$G$10, FALSE) * _xlfn.POISSON.DIST(M$4, 'First 5 Innings'!$G$9, FALSE)</f>
        <v>9.521462235759393E-4</v>
      </c>
      <c r="N6" s="1">
        <f>_xlfn.POISSON.DIST($D6,'First 5 Innings'!$G$10, FALSE) * _xlfn.POISSON.DIST(N$4, 'First 5 Innings'!$G$9, FALSE)</f>
        <v>2.9430924776934451E-4</v>
      </c>
      <c r="O6" s="1">
        <f>_xlfn.POISSON.DIST($D6,'First 5 Innings'!$G$10, FALSE) * _xlfn.POISSON.DIST(O$4, 'First 5 Innings'!$G$9, FALSE)</f>
        <v>8.1874126116390981E-5</v>
      </c>
      <c r="P6" s="1">
        <f>_xlfn.POISSON.DIST($D6,'First 5 Innings'!$G$10, FALSE) * _xlfn.POISSON.DIST(P$4, 'First 5 Innings'!$G$9, FALSE)</f>
        <v>2.070602630065763E-5</v>
      </c>
      <c r="Q6" s="1">
        <f>_xlfn.POISSON.DIST($D6,'First 5 Innings'!$G$10, FALSE) * _xlfn.POISSON.DIST(Q$4, 'First 5 Innings'!$G$9, FALSE)</f>
        <v>4.800188411674775E-6</v>
      </c>
      <c r="R6" s="1">
        <f>_xlfn.POISSON.DIST($D6,'First 5 Innings'!$G$10, FALSE) * _xlfn.POISSON.DIST(R$4, 'First 5 Innings'!$G$9, FALSE)</f>
        <v>1.0272063624823854E-6</v>
      </c>
      <c r="S6" s="1">
        <f>_xlfn.POISSON.DIST($D6,'First 5 Innings'!$G$10, FALSE) * _xlfn.POISSON.DIST(S$4, 'First 5 Innings'!$G$9, FALSE)</f>
        <v>2.0411383096151034E-7</v>
      </c>
      <c r="T6" s="1">
        <f>_xlfn.POISSON.DIST($D6,'First 5 Innings'!$G$10, FALSE) * _xlfn.POISSON.DIST(T$4, 'First 5 Innings'!$G$9, FALSE)</f>
        <v>3.7855060428001801E-8</v>
      </c>
    </row>
    <row r="7" spans="2:20">
      <c r="B7" s="377"/>
      <c r="C7" s="377"/>
      <c r="D7" s="1">
        <v>2</v>
      </c>
      <c r="E7" s="1">
        <f>_xlfn.POISSON.DIST($D7,'First 5 Innings'!$G$10, FALSE) * _xlfn.POISSON.DIST(E$4, 'First 5 Innings'!$G$9, FALSE)</f>
        <v>1.4858207935406135E-2</v>
      </c>
      <c r="F7" s="1">
        <f>_xlfn.POISSON.DIST($D7,'First 5 Innings'!$G$10, FALSE) * _xlfn.POISSON.DIST(F$4, 'First 5 Innings'!$G$9, FALSE)</f>
        <v>4.1334168042194766E-2</v>
      </c>
      <c r="G7" s="1">
        <f>_xlfn.POISSON.DIST($D7,'First 5 Innings'!$G$10, FALSE) * _xlfn.POISSON.DIST(G$4, 'First 5 Innings'!$G$9, FALSE)</f>
        <v>5.7493927099684726E-2</v>
      </c>
      <c r="H7" s="1">
        <f>_xlfn.POISSON.DIST($D7,'First 5 Innings'!$G$10, FALSE) * _xlfn.POISSON.DIST(H$4, 'First 5 Innings'!$G$9, FALSE)</f>
        <v>5.3314272588713005E-2</v>
      </c>
      <c r="I7" s="1">
        <f>_xlfn.POISSON.DIST($D7,'First 5 Innings'!$G$10, FALSE) * _xlfn.POISSON.DIST(I$4, 'First 5 Innings'!$G$9, FALSE)</f>
        <v>3.7078850824566238E-2</v>
      </c>
      <c r="J7" s="1">
        <f>_xlfn.POISSON.DIST($D7,'First 5 Innings'!$G$10, FALSE) * _xlfn.POISSON.DIST(J$4, 'First 5 Innings'!$G$9, FALSE)</f>
        <v>2.0629990607978377E-2</v>
      </c>
      <c r="K7" s="1">
        <f>_xlfn.POISSON.DIST($D7,'First 5 Innings'!$G$10, FALSE) * _xlfn.POISSON.DIST(K$4, 'First 5 Innings'!$G$9, FALSE)</f>
        <v>9.5651227726134876E-3</v>
      </c>
      <c r="L7" s="1">
        <f>_xlfn.POISSON.DIST($D7,'First 5 Innings'!$G$10, FALSE) * _xlfn.POISSON.DIST(L$4, 'First 5 Innings'!$G$9, FALSE)</f>
        <v>3.8013274139329671E-3</v>
      </c>
      <c r="M7" s="1">
        <f>_xlfn.POISSON.DIST($D7,'First 5 Innings'!$G$10, FALSE) * _xlfn.POISSON.DIST(M$4, 'First 5 Innings'!$G$9, FALSE)</f>
        <v>1.3218679095923225E-3</v>
      </c>
      <c r="N7" s="1">
        <f>_xlfn.POISSON.DIST($D7,'First 5 Innings'!$G$10, FALSE) * _xlfn.POISSON.DIST(N$4, 'First 5 Innings'!$G$9, FALSE)</f>
        <v>4.0859055099904431E-4</v>
      </c>
      <c r="O7" s="1">
        <f>_xlfn.POISSON.DIST($D7,'First 5 Innings'!$G$10, FALSE) * _xlfn.POISSON.DIST(O$4, 'First 5 Innings'!$G$9, FALSE)</f>
        <v>1.1366613368764801E-4</v>
      </c>
      <c r="P7" s="1">
        <f>_xlfn.POISSON.DIST($D7,'First 5 Innings'!$G$10, FALSE) * _xlfn.POISSON.DIST(P$4, 'First 5 Innings'!$G$9, FALSE)</f>
        <v>2.8746248238237097E-5</v>
      </c>
      <c r="Q7" s="1">
        <f>_xlfn.POISSON.DIST($D7,'First 5 Innings'!$G$10, FALSE) * _xlfn.POISSON.DIST(Q$4, 'First 5 Innings'!$G$9, FALSE)</f>
        <v>6.6641182459972825E-6</v>
      </c>
      <c r="R7" s="1">
        <f>_xlfn.POISSON.DIST($D7,'First 5 Innings'!$G$10, FALSE) * _xlfn.POISSON.DIST(R$4, 'First 5 Innings'!$G$9, FALSE)</f>
        <v>1.4260741611671467E-6</v>
      </c>
      <c r="S7" s="1">
        <f>_xlfn.POISSON.DIST($D7,'First 5 Innings'!$G$10, FALSE) * _xlfn.POISSON.DIST(S$4, 'First 5 Innings'!$G$9, FALSE)</f>
        <v>2.8337194053939685E-7</v>
      </c>
      <c r="T7" s="1">
        <f>_xlfn.POISSON.DIST($D7,'First 5 Innings'!$G$10, FALSE) * _xlfn.POISSON.DIST(T$4, 'First 5 Innings'!$G$9, FALSE)</f>
        <v>5.2554311886595274E-8</v>
      </c>
    </row>
    <row r="8" spans="2:20">
      <c r="B8" s="377"/>
      <c r="C8" s="377"/>
      <c r="D8" s="1">
        <v>3</v>
      </c>
      <c r="E8" s="1">
        <f>_xlfn.POISSON.DIST($D8,'First 5 Innings'!$G$10, FALSE) * _xlfn.POISSON.DIST(E$4, 'First 5 Innings'!$G$9, FALSE)</f>
        <v>1.375180112574163E-2</v>
      </c>
      <c r="F8" s="1">
        <f>_xlfn.POISSON.DIST($D8,'First 5 Innings'!$G$10, FALSE) * _xlfn.POISSON.DIST(F$4, 'First 5 Innings'!$G$9, FALSE)</f>
        <v>3.8256246048336814E-2</v>
      </c>
      <c r="G8" s="1">
        <f>_xlfn.POISSON.DIST($D8,'First 5 Innings'!$G$10, FALSE) * _xlfn.POISSON.DIST(G$4, 'First 5 Innings'!$G$9, FALSE)</f>
        <v>5.3212679136674101E-2</v>
      </c>
      <c r="H8" s="1">
        <f>_xlfn.POISSON.DIST($D8,'First 5 Innings'!$G$10, FALSE) * _xlfn.POISSON.DIST(H$4, 'First 5 Innings'!$G$9, FALSE)</f>
        <v>4.9344259885909264E-2</v>
      </c>
      <c r="I8" s="1">
        <f>_xlfn.POISSON.DIST($D8,'First 5 Innings'!$G$10, FALSE) * _xlfn.POISSON.DIST(I$4, 'First 5 Innings'!$G$9, FALSE)</f>
        <v>3.4317798265254815E-2</v>
      </c>
      <c r="J8" s="1">
        <f>_xlfn.POISSON.DIST($D8,'First 5 Innings'!$G$10, FALSE) * _xlfn.POISSON.DIST(J$4, 'First 5 Innings'!$G$9, FALSE)</f>
        <v>1.9093791747980517E-2</v>
      </c>
      <c r="K8" s="1">
        <f>_xlfn.POISSON.DIST($D8,'First 5 Innings'!$G$10, FALSE) * _xlfn.POISSON.DIST(K$4, 'First 5 Innings'!$G$9, FALSE)</f>
        <v>8.8528621139321532E-3</v>
      </c>
      <c r="L8" s="1">
        <f>_xlfn.POISSON.DIST($D8,'First 5 Innings'!$G$10, FALSE) * _xlfn.POISSON.DIST(L$4, 'First 5 Innings'!$G$9, FALSE)</f>
        <v>3.5182640354404901E-3</v>
      </c>
      <c r="M8" s="1">
        <f>_xlfn.POISSON.DIST($D8,'First 5 Innings'!$G$10, FALSE) * _xlfn.POISSON.DIST(M$4, 'First 5 Innings'!$G$9, FALSE)</f>
        <v>1.2234358737096618E-3</v>
      </c>
      <c r="N8" s="1">
        <f>_xlfn.POISSON.DIST($D8,'First 5 Innings'!$G$10, FALSE) * _xlfn.POISSON.DIST(N$4, 'First 5 Innings'!$G$9, FALSE)</f>
        <v>3.7816512082905268E-4</v>
      </c>
      <c r="O8" s="1">
        <f>_xlfn.POISSON.DIST($D8,'First 5 Innings'!$G$10, FALSE) * _xlfn.POISSON.DIST(O$4, 'First 5 Innings'!$G$9, FALSE)</f>
        <v>1.0520205882162265E-4</v>
      </c>
      <c r="P8" s="1">
        <f>_xlfn.POISSON.DIST($D8,'First 5 Innings'!$G$10, FALSE) * _xlfn.POISSON.DIST(P$4, 'First 5 Innings'!$G$9, FALSE)</f>
        <v>2.6605677521946173E-5</v>
      </c>
      <c r="Q8" s="1">
        <f>_xlfn.POISSON.DIST($D8,'First 5 Innings'!$G$10, FALSE) * _xlfn.POISSON.DIST(Q$4, 'First 5 Innings'!$G$9, FALSE)</f>
        <v>6.167879006390805E-6</v>
      </c>
      <c r="R8" s="1">
        <f>_xlfn.POISSON.DIST($D8,'First 5 Innings'!$G$10, FALSE) * _xlfn.POISSON.DIST(R$4, 'First 5 Innings'!$G$9, FALSE)</f>
        <v>1.319882474399721E-6</v>
      </c>
      <c r="S8" s="1">
        <f>_xlfn.POISSON.DIST($D8,'First 5 Innings'!$G$10, FALSE) * _xlfn.POISSON.DIST(S$4, 'First 5 Innings'!$G$9, FALSE)</f>
        <v>2.6227083291971375E-7</v>
      </c>
      <c r="T8" s="1">
        <f>_xlfn.POISSON.DIST($D8,'First 5 Innings'!$G$10, FALSE) * _xlfn.POISSON.DIST(T$4, 'First 5 Innings'!$G$9, FALSE)</f>
        <v>4.8640889164195345E-8</v>
      </c>
    </row>
    <row r="9" spans="2:20">
      <c r="B9" s="377"/>
      <c r="C9" s="377"/>
      <c r="D9" s="1">
        <v>4</v>
      </c>
      <c r="E9" s="1">
        <f>_xlfn.POISSON.DIST($D9,'First 5 Innings'!$G$10, FALSE) * _xlfn.POISSON.DIST(E$4, 'First 5 Innings'!$G$9, FALSE)</f>
        <v>9.5458366357547338E-3</v>
      </c>
      <c r="F9" s="1">
        <f>_xlfn.POISSON.DIST($D9,'First 5 Innings'!$G$10, FALSE) * _xlfn.POISSON.DIST(F$4, 'First 5 Innings'!$G$9, FALSE)</f>
        <v>2.6555639638438006E-2</v>
      </c>
      <c r="G9" s="1">
        <f>_xlfn.POISSON.DIST($D9,'First 5 Innings'!$G$10, FALSE) * _xlfn.POISSON.DIST(G$4, 'First 5 Innings'!$G$9, FALSE)</f>
        <v>3.6937673643250214E-2</v>
      </c>
      <c r="H9" s="1">
        <f>_xlfn.POISSON.DIST($D9,'First 5 Innings'!$G$10, FALSE) * _xlfn.POISSON.DIST(H$4, 'First 5 Innings'!$G$9, FALSE)</f>
        <v>3.4252403701606961E-2</v>
      </c>
      <c r="I9" s="1">
        <f>_xlfn.POISSON.DIST($D9,'First 5 Innings'!$G$10, FALSE) * _xlfn.POISSON.DIST(I$4, 'First 5 Innings'!$G$9, FALSE)</f>
        <v>2.3821759269460254E-2</v>
      </c>
      <c r="J9" s="1">
        <f>_xlfn.POISSON.DIST($D9,'First 5 Innings'!$G$10, FALSE) * _xlfn.POISSON.DIST(J$4, 'First 5 Innings'!$G$9, FALSE)</f>
        <v>1.3253988704226137E-2</v>
      </c>
      <c r="K9" s="1">
        <f>_xlfn.POISSON.DIST($D9,'First 5 Innings'!$G$10, FALSE) * _xlfn.POISSON.DIST(K$4, 'First 5 Innings'!$G$9, FALSE)</f>
        <v>6.1452296121611606E-3</v>
      </c>
      <c r="L9" s="1">
        <f>_xlfn.POISSON.DIST($D9,'First 5 Innings'!$G$10, FALSE) * _xlfn.POISSON.DIST(L$4, 'First 5 Innings'!$G$9, FALSE)</f>
        <v>2.4422090907713664E-3</v>
      </c>
      <c r="M9" s="1">
        <f>_xlfn.POISSON.DIST($D9,'First 5 Innings'!$G$10, FALSE) * _xlfn.POISSON.DIST(M$4, 'First 5 Innings'!$G$9, FALSE)</f>
        <v>8.4925013661615628E-4</v>
      </c>
      <c r="N9" s="1">
        <f>_xlfn.POISSON.DIST($D9,'First 5 Innings'!$G$10, FALSE) * _xlfn.POISSON.DIST(N$4, 'First 5 Innings'!$G$9, FALSE)</f>
        <v>2.6250397542597581E-4</v>
      </c>
      <c r="O9" s="1">
        <f>_xlfn.POISSON.DIST($D9,'First 5 Innings'!$G$10, FALSE) * _xlfn.POISSON.DIST(O$4, 'First 5 Innings'!$G$9, FALSE)</f>
        <v>7.3026191847441472E-5</v>
      </c>
      <c r="P9" s="1">
        <f>_xlfn.POISSON.DIST($D9,'First 5 Innings'!$G$10, FALSE) * _xlfn.POISSON.DIST(P$4, 'First 5 Innings'!$G$9, FALSE)</f>
        <v>1.8468377260973028E-5</v>
      </c>
      <c r="Q9" s="1">
        <f>_xlfn.POISSON.DIST($D9,'First 5 Innings'!$G$10, FALSE) * _xlfn.POISSON.DIST(Q$4, 'First 5 Innings'!$G$9, FALSE)</f>
        <v>4.2814439247449933E-6</v>
      </c>
      <c r="R9" s="1">
        <f>_xlfn.POISSON.DIST($D9,'First 5 Innings'!$G$10, FALSE) * _xlfn.POISSON.DIST(R$4, 'First 5 Innings'!$G$9, FALSE)</f>
        <v>9.1619871199497042E-7</v>
      </c>
      <c r="S9" s="1">
        <f>_xlfn.POISSON.DIST($D9,'First 5 Innings'!$G$10, FALSE) * _xlfn.POISSON.DIST(S$4, 'First 5 Innings'!$G$9, FALSE)</f>
        <v>1.8205575418688253E-7</v>
      </c>
      <c r="T9" s="1">
        <f>_xlfn.POISSON.DIST($D9,'First 5 Innings'!$G$10, FALSE) * _xlfn.POISSON.DIST(T$4, 'First 5 Innings'!$G$9, FALSE)</f>
        <v>3.3764157693505106E-8</v>
      </c>
    </row>
    <row r="10" spans="2:20">
      <c r="B10" s="377"/>
      <c r="C10" s="377"/>
      <c r="D10" s="1">
        <v>5</v>
      </c>
      <c r="E10" s="1">
        <f>_xlfn.POISSON.DIST($D10,'First 5 Innings'!$G$10, FALSE) * _xlfn.POISSON.DIST(E$4, 'First 5 Innings'!$G$9, FALSE)</f>
        <v>5.3010072640417398E-3</v>
      </c>
      <c r="F10" s="1">
        <f>_xlfn.POISSON.DIST($D10,'First 5 Innings'!$G$10, FALSE) * _xlfn.POISSON.DIST(F$4, 'First 5 Innings'!$G$9, FALSE)</f>
        <v>1.4746914701783459E-2</v>
      </c>
      <c r="G10" s="1">
        <f>_xlfn.POISSON.DIST($D10,'First 5 Innings'!$G$10, FALSE) * _xlfn.POISSON.DIST(G$4, 'First 5 Innings'!$G$9, FALSE)</f>
        <v>2.0512280250665656E-2</v>
      </c>
      <c r="H10" s="1">
        <f>_xlfn.POISSON.DIST($D10,'First 5 Innings'!$G$10, FALSE) * _xlfn.POISSON.DIST(H$4, 'First 5 Innings'!$G$9, FALSE)</f>
        <v>1.9021092415620711E-2</v>
      </c>
      <c r="I10" s="1">
        <f>_xlfn.POISSON.DIST($D10,'First 5 Innings'!$G$10, FALSE) * _xlfn.POISSON.DIST(I$4, 'First 5 Innings'!$G$9, FALSE)</f>
        <v>1.3228732456689303E-2</v>
      </c>
      <c r="J10" s="1">
        <f>_xlfn.POISSON.DIST($D10,'First 5 Innings'!$G$10, FALSE) * _xlfn.POISSON.DIST(J$4, 'First 5 Innings'!$G$9, FALSE)</f>
        <v>7.3602234230017187E-3</v>
      </c>
      <c r="K10" s="1">
        <f>_xlfn.POISSON.DIST($D10,'First 5 Innings'!$G$10, FALSE) * _xlfn.POISSON.DIST(K$4, 'First 5 Innings'!$G$9, FALSE)</f>
        <v>3.4125774467221575E-3</v>
      </c>
      <c r="L10" s="1">
        <f>_xlfn.POISSON.DIST($D10,'First 5 Innings'!$G$10, FALSE) * _xlfn.POISSON.DIST(L$4, 'First 5 Innings'!$G$9, FALSE)</f>
        <v>1.3562109456175717E-3</v>
      </c>
      <c r="M10" s="1">
        <f>_xlfn.POISSON.DIST($D10,'First 5 Innings'!$G$10, FALSE) * _xlfn.POISSON.DIST(M$4, 'First 5 Innings'!$G$9, FALSE)</f>
        <v>4.7160676585732782E-4</v>
      </c>
      <c r="N10" s="1">
        <f>_xlfn.POISSON.DIST($D10,'First 5 Innings'!$G$10, FALSE) * _xlfn.POISSON.DIST(N$4, 'First 5 Innings'!$G$9, FALSE)</f>
        <v>1.4577407237002348E-4</v>
      </c>
      <c r="O10" s="1">
        <f>_xlfn.POISSON.DIST($D10,'First 5 Innings'!$G$10, FALSE) * _xlfn.POISSON.DIST(O$4, 'First 5 Innings'!$G$9, FALSE)</f>
        <v>4.0553006323053026E-5</v>
      </c>
      <c r="P10" s="1">
        <f>_xlfn.POISSON.DIST($D10,'First 5 Innings'!$G$10, FALSE) * _xlfn.POISSON.DIST(P$4, 'First 5 Innings'!$G$9, FALSE)</f>
        <v>1.0255884921472977E-5</v>
      </c>
      <c r="Q10" s="1">
        <f>_xlfn.POISSON.DIST($D10,'First 5 Innings'!$G$10, FALSE) * _xlfn.POISSON.DIST(Q$4, 'First 5 Innings'!$G$9, FALSE)</f>
        <v>2.3775773891469017E-6</v>
      </c>
      <c r="R10" s="1">
        <f>_xlfn.POISSON.DIST($D10,'First 5 Innings'!$G$10, FALSE) * _xlfn.POISSON.DIST(R$4, 'First 5 Innings'!$G$9, FALSE)</f>
        <v>5.0878474175847102E-7</v>
      </c>
      <c r="S10" s="1">
        <f>_xlfn.POISSON.DIST($D10,'First 5 Innings'!$G$10, FALSE) * _xlfn.POISSON.DIST(S$4, 'First 5 Innings'!$G$9, FALSE)</f>
        <v>1.0109945437265053E-7</v>
      </c>
      <c r="T10" s="1">
        <f>_xlfn.POISSON.DIST($D10,'First 5 Innings'!$G$10, FALSE) * _xlfn.POISSON.DIST(T$4, 'First 5 Innings'!$G$9, FALSE)</f>
        <v>1.8749958964007571E-8</v>
      </c>
    </row>
    <row r="11" spans="2:20">
      <c r="B11" s="377"/>
      <c r="C11" s="377"/>
      <c r="D11" s="1">
        <v>6</v>
      </c>
      <c r="E11" s="1">
        <f>_xlfn.POISSON.DIST($D11,'First 5 Innings'!$G$10, FALSE) * _xlfn.POISSON.DIST(E$4, 'First 5 Innings'!$G$9, FALSE)</f>
        <v>2.4531355994655882E-3</v>
      </c>
      <c r="F11" s="1">
        <f>_xlfn.POISSON.DIST($D11,'First 5 Innings'!$G$10, FALSE) * _xlfn.POISSON.DIST(F$4, 'First 5 Innings'!$G$9, FALSE)</f>
        <v>6.8243976352609301E-3</v>
      </c>
      <c r="G11" s="1">
        <f>_xlfn.POISSON.DIST($D11,'First 5 Innings'!$G$10, FALSE) * _xlfn.POISSON.DIST(G$4, 'First 5 Innings'!$G$9, FALSE)</f>
        <v>9.492423308010511E-3</v>
      </c>
      <c r="H11" s="1">
        <f>_xlfn.POISSON.DIST($D11,'First 5 Innings'!$G$10, FALSE) * _xlfn.POISSON.DIST(H$4, 'First 5 Innings'!$G$9, FALSE)</f>
        <v>8.8023495576022397E-3</v>
      </c>
      <c r="I11" s="1">
        <f>_xlfn.POISSON.DIST($D11,'First 5 Innings'!$G$10, FALSE) * _xlfn.POISSON.DIST(I$4, 'First 5 Innings'!$G$9, FALSE)</f>
        <v>6.1218317404393716E-3</v>
      </c>
      <c r="J11" s="1">
        <f>_xlfn.POISSON.DIST($D11,'First 5 Innings'!$G$10, FALSE) * _xlfn.POISSON.DIST(J$4, 'First 5 Innings'!$G$9, FALSE)</f>
        <v>3.4060745816106501E-3</v>
      </c>
      <c r="K11" s="1">
        <f>_xlfn.POISSON.DIST($D11,'First 5 Innings'!$G$10, FALSE) * _xlfn.POISSON.DIST(K$4, 'First 5 Innings'!$G$9, FALSE)</f>
        <v>1.5792310411030573E-3</v>
      </c>
      <c r="L11" s="1">
        <f>_xlfn.POISSON.DIST($D11,'First 5 Innings'!$G$10, FALSE) * _xlfn.POISSON.DIST(L$4, 'First 5 Innings'!$G$9, FALSE)</f>
        <v>6.2761078892442689E-4</v>
      </c>
      <c r="M11" s="1">
        <f>_xlfn.POISSON.DIST($D11,'First 5 Innings'!$G$10, FALSE) * _xlfn.POISSON.DIST(M$4, 'First 5 Innings'!$G$9, FALSE)</f>
        <v>2.1824443707540894E-4</v>
      </c>
      <c r="N11" s="1">
        <f>_xlfn.POISSON.DIST($D11,'First 5 Innings'!$G$10, FALSE) * _xlfn.POISSON.DIST(N$4, 'First 5 Innings'!$G$9, FALSE)</f>
        <v>6.7459550345404292E-5</v>
      </c>
      <c r="O11" s="1">
        <f>_xlfn.POISSON.DIST($D11,'First 5 Innings'!$G$10, FALSE) * _xlfn.POISSON.DIST(O$4, 'First 5 Innings'!$G$9, FALSE)</f>
        <v>1.8766626514785163E-5</v>
      </c>
      <c r="P11" s="1">
        <f>_xlfn.POISSON.DIST($D11,'First 5 Innings'!$G$10, FALSE) * _xlfn.POISSON.DIST(P$4, 'First 5 Innings'!$G$9, FALSE)</f>
        <v>4.7460935538702179E-6</v>
      </c>
      <c r="Q11" s="1">
        <f>_xlfn.POISSON.DIST($D11,'First 5 Innings'!$G$10, FALSE) * _xlfn.POISSON.DIST(Q$4, 'First 5 Innings'!$G$9, FALSE)</f>
        <v>1.1002663160573982E-6</v>
      </c>
      <c r="R11" s="1">
        <f>_xlfn.POISSON.DIST($D11,'First 5 Innings'!$G$10, FALSE) * _xlfn.POISSON.DIST(R$4, 'First 5 Innings'!$G$9, FALSE)</f>
        <v>2.3544920810408152E-7</v>
      </c>
      <c r="S11" s="1">
        <f>_xlfn.POISSON.DIST($D11,'First 5 Innings'!$G$10, FALSE) * _xlfn.POISSON.DIST(S$4, 'First 5 Innings'!$G$9, FALSE)</f>
        <v>4.6785574562484348E-8</v>
      </c>
      <c r="T11" s="1">
        <f>_xlfn.POISSON.DIST($D11,'First 5 Innings'!$G$10, FALSE) * _xlfn.POISSON.DIST(T$4, 'First 5 Innings'!$G$9, FALSE)</f>
        <v>8.6768777200384764E-9</v>
      </c>
    </row>
    <row r="12" spans="2:20">
      <c r="B12" s="377"/>
      <c r="C12" s="377"/>
      <c r="D12" s="1">
        <v>7</v>
      </c>
      <c r="E12" s="1">
        <f>_xlfn.POISSON.DIST($D12,'First 5 Innings'!$G$10, FALSE) * _xlfn.POISSON.DIST(E$4, 'First 5 Innings'!$G$9, FALSE)</f>
        <v>9.7305619257678354E-4</v>
      </c>
      <c r="F12" s="1">
        <f>_xlfn.POISSON.DIST($D12,'First 5 Innings'!$G$10, FALSE) * _xlfn.POISSON.DIST(F$4, 'First 5 Innings'!$G$9, FALSE)</f>
        <v>2.7069528407005438E-3</v>
      </c>
      <c r="G12" s="1">
        <f>_xlfn.POISSON.DIST($D12,'First 5 Innings'!$G$10, FALSE) * _xlfn.POISSON.DIST(G$4, 'First 5 Innings'!$G$9, FALSE)</f>
        <v>3.7652469290454294E-3</v>
      </c>
      <c r="H12" s="1">
        <f>_xlfn.POISSON.DIST($D12,'First 5 Innings'!$G$10, FALSE) * _xlfn.POISSON.DIST(H$4, 'First 5 Innings'!$G$9, FALSE)</f>
        <v>3.4915235619736151E-3</v>
      </c>
      <c r="I12" s="1">
        <f>_xlfn.POISSON.DIST($D12,'First 5 Innings'!$G$10, FALSE) * _xlfn.POISSON.DIST(I$4, 'First 5 Innings'!$G$9, FALSE)</f>
        <v>2.4282743629195783E-3</v>
      </c>
      <c r="J12" s="1">
        <f>_xlfn.POISSON.DIST($D12,'First 5 Innings'!$G$10, FALSE) * _xlfn.POISSON.DIST(J$4, 'First 5 Innings'!$G$9, FALSE)</f>
        <v>1.3510471923103783E-3</v>
      </c>
      <c r="K12" s="1">
        <f>_xlfn.POISSON.DIST($D12,'First 5 Innings'!$G$10, FALSE) * _xlfn.POISSON.DIST(K$4, 'First 5 Innings'!$G$9, FALSE)</f>
        <v>6.2641484000704011E-4</v>
      </c>
      <c r="L12" s="1">
        <f>_xlfn.POISSON.DIST($D12,'First 5 Innings'!$G$10, FALSE) * _xlfn.POISSON.DIST(L$4, 'First 5 Innings'!$G$9, FALSE)</f>
        <v>2.4894692524292351E-4</v>
      </c>
      <c r="M12" s="1">
        <f>_xlfn.POISSON.DIST($D12,'First 5 Innings'!$G$10, FALSE) * _xlfn.POISSON.DIST(M$4, 'First 5 Innings'!$G$9, FALSE)</f>
        <v>8.6568431454797699E-5</v>
      </c>
      <c r="N12" s="1">
        <f>_xlfn.POISSON.DIST($D12,'First 5 Innings'!$G$10, FALSE) * _xlfn.POISSON.DIST(N$4, 'First 5 Innings'!$G$9, FALSE)</f>
        <v>2.6758379449689179E-5</v>
      </c>
      <c r="O12" s="1">
        <f>_xlfn.POISSON.DIST($D12,'First 5 Innings'!$G$10, FALSE) * _xlfn.POISSON.DIST(O$4, 'First 5 Innings'!$G$9, FALSE)</f>
        <v>7.4439350796447986E-6</v>
      </c>
      <c r="P12" s="1">
        <f>_xlfn.POISSON.DIST($D12,'First 5 Innings'!$G$10, FALSE) * _xlfn.POISSON.DIST(P$4, 'First 5 Innings'!$G$9, FALSE)</f>
        <v>1.8825766191433692E-6</v>
      </c>
      <c r="Q12" s="1">
        <f>_xlfn.POISSON.DIST($D12,'First 5 Innings'!$G$10, FALSE) * _xlfn.POISSON.DIST(Q$4, 'First 5 Innings'!$G$9, FALSE)</f>
        <v>4.3642958528526881E-7</v>
      </c>
      <c r="R12" s="1">
        <f>_xlfn.POISSON.DIST($D12,'First 5 Innings'!$G$10, FALSE) * _xlfn.POISSON.DIST(R$4, 'First 5 Innings'!$G$9, FALSE)</f>
        <v>9.3392843849678172E-8</v>
      </c>
      <c r="S12" s="1">
        <f>_xlfn.POISSON.DIST($D12,'First 5 Innings'!$G$10, FALSE) * _xlfn.POISSON.DIST(S$4, 'First 5 Innings'!$G$9, FALSE)</f>
        <v>1.8557878765937676E-8</v>
      </c>
      <c r="T12" s="1">
        <f>_xlfn.POISSON.DIST($D12,'First 5 Innings'!$G$10, FALSE) * _xlfn.POISSON.DIST(T$4, 'First 5 Innings'!$G$9, FALSE)</f>
        <v>3.4417541368501102E-9</v>
      </c>
    </row>
    <row r="13" spans="2:20">
      <c r="B13" s="377"/>
      <c r="C13" s="377"/>
      <c r="D13" s="1">
        <v>8</v>
      </c>
      <c r="E13" s="1">
        <f>_xlfn.POISSON.DIST($D13,'First 5 Innings'!$G$10, FALSE) * _xlfn.POISSON.DIST(E$4, 'First 5 Innings'!$G$9, FALSE)</f>
        <v>3.377243230474123E-4</v>
      </c>
      <c r="F13" s="1">
        <f>_xlfn.POISSON.DIST($D13,'First 5 Innings'!$G$10, FALSE) * _xlfn.POISSON.DIST(F$4, 'First 5 Innings'!$G$9, FALSE)</f>
        <v>9.3951800792298169E-4</v>
      </c>
      <c r="G13" s="1">
        <f>_xlfn.POISSON.DIST($D13,'First 5 Innings'!$G$10, FALSE) * _xlfn.POISSON.DIST(G$4, 'First 5 Innings'!$G$9, FALSE)</f>
        <v>1.3068263476652949E-3</v>
      </c>
      <c r="H13" s="1">
        <f>_xlfn.POISSON.DIST($D13,'First 5 Innings'!$G$10, FALSE) * _xlfn.POISSON.DIST(H$4, 'First 5 Innings'!$G$9, FALSE)</f>
        <v>1.2118235723355521E-3</v>
      </c>
      <c r="I13" s="1">
        <f>_xlfn.POISSON.DIST($D13,'First 5 Innings'!$G$10, FALSE) * _xlfn.POISSON.DIST(I$4, 'First 5 Innings'!$G$9, FALSE)</f>
        <v>8.4279543324080762E-4</v>
      </c>
      <c r="J13" s="1">
        <f>_xlfn.POISSON.DIST($D13,'First 5 Innings'!$G$10, FALSE) * _xlfn.POISSON.DIST(J$4, 'First 5 Innings'!$G$9, FALSE)</f>
        <v>4.6891587752998615E-4</v>
      </c>
      <c r="K13" s="1">
        <f>_xlfn.POISSON.DIST($D13,'First 5 Innings'!$G$10, FALSE) * _xlfn.POISSON.DIST(K$4, 'First 5 Innings'!$G$9, FALSE)</f>
        <v>2.1741347457848579E-4</v>
      </c>
      <c r="L13" s="1">
        <f>_xlfn.POISSON.DIST($D13,'First 5 Innings'!$G$10, FALSE) * _xlfn.POISSON.DIST(L$4, 'First 5 Innings'!$G$9, FALSE)</f>
        <v>8.6403470265944315E-5</v>
      </c>
      <c r="M13" s="1">
        <f>_xlfn.POISSON.DIST($D13,'First 5 Innings'!$G$10, FALSE) * _xlfn.POISSON.DIST(M$4, 'First 5 Innings'!$G$9, FALSE)</f>
        <v>3.0045813523807202E-5</v>
      </c>
      <c r="N13" s="1">
        <f>_xlfn.POISSON.DIST($D13,'First 5 Innings'!$G$10, FALSE) * _xlfn.POISSON.DIST(N$4, 'First 5 Innings'!$G$9, FALSE)</f>
        <v>9.287187784665338E-6</v>
      </c>
      <c r="O13" s="1">
        <f>_xlfn.POISSON.DIST($D13,'First 5 Innings'!$G$10, FALSE) * _xlfn.POISSON.DIST(O$4, 'First 5 Innings'!$G$9, FALSE)</f>
        <v>2.5836102321331726E-6</v>
      </c>
      <c r="P13" s="1">
        <f>_xlfn.POISSON.DIST($D13,'First 5 Innings'!$G$10, FALSE) * _xlfn.POISSON.DIST(P$4, 'First 5 Innings'!$G$9, FALSE)</f>
        <v>6.533969149319302E-7</v>
      </c>
      <c r="Q13" s="1">
        <f>_xlfn.POISSON.DIST($D13,'First 5 Innings'!$G$10, FALSE) * _xlfn.POISSON.DIST(Q$4, 'First 5 Innings'!$G$9, FALSE)</f>
        <v>1.5147417731139878E-7</v>
      </c>
      <c r="R13" s="1">
        <f>_xlfn.POISSON.DIST($D13,'First 5 Innings'!$G$10, FALSE) * _xlfn.POISSON.DIST(R$4, 'First 5 Innings'!$G$9, FALSE)</f>
        <v>3.2414402382127946E-8</v>
      </c>
      <c r="S13" s="1">
        <f>_xlfn.POISSON.DIST($D13,'First 5 Innings'!$G$10, FALSE) * _xlfn.POISSON.DIST(S$4, 'First 5 Innings'!$G$9, FALSE)</f>
        <v>6.4409918884799527E-9</v>
      </c>
      <c r="T13" s="1">
        <f>_xlfn.POISSON.DIST($D13,'First 5 Innings'!$G$10, FALSE) * _xlfn.POISSON.DIST(T$4, 'First 5 Innings'!$G$9, FALSE)</f>
        <v>1.1945498058906936E-9</v>
      </c>
    </row>
    <row r="14" spans="2:20">
      <c r="B14" s="377"/>
      <c r="C14" s="377"/>
      <c r="D14" s="1">
        <v>9</v>
      </c>
      <c r="E14" s="1">
        <f>_xlfn.POISSON.DIST($D14,'First 5 Innings'!$G$10, FALSE) * _xlfn.POISSON.DIST(E$4, 'First 5 Innings'!$G$9, FALSE)</f>
        <v>1.0419196684786905E-4</v>
      </c>
      <c r="F14" s="1">
        <f>_xlfn.POISSON.DIST($D14,'First 5 Innings'!$G$10, FALSE) * _xlfn.POISSON.DIST(F$4, 'First 5 Innings'!$G$9, FALSE)</f>
        <v>2.8985246976346652E-4</v>
      </c>
      <c r="G14" s="1">
        <f>_xlfn.POISSON.DIST($D14,'First 5 Innings'!$G$10, FALSE) * _xlfn.POISSON.DIST(G$4, 'First 5 Innings'!$G$9, FALSE)</f>
        <v>4.0317145730942478E-4</v>
      </c>
      <c r="H14" s="1">
        <f>_xlfn.POISSON.DIST($D14,'First 5 Innings'!$G$10, FALSE) * _xlfn.POISSON.DIST(H$4, 'First 5 Innings'!$G$9, FALSE)</f>
        <v>3.7386197219951622E-4</v>
      </c>
      <c r="I14" s="1">
        <f>_xlfn.POISSON.DIST($D14,'First 5 Innings'!$G$10, FALSE) * _xlfn.POISSON.DIST(I$4, 'First 5 Innings'!$G$9, FALSE)</f>
        <v>2.6001240611690817E-4</v>
      </c>
      <c r="J14" s="1">
        <f>_xlfn.POISSON.DIST($D14,'First 5 Innings'!$G$10, FALSE) * _xlfn.POISSON.DIST(J$4, 'First 5 Innings'!$G$9, FALSE)</f>
        <v>1.4466612035871868E-4</v>
      </c>
      <c r="K14" s="1">
        <f>_xlfn.POISSON.DIST($D14,'First 5 Innings'!$G$10, FALSE) * _xlfn.POISSON.DIST(K$4, 'First 5 Innings'!$G$9, FALSE)</f>
        <v>6.707464043796884E-5</v>
      </c>
      <c r="L14" s="1">
        <f>_xlfn.POISSON.DIST($D14,'First 5 Innings'!$G$10, FALSE) * _xlfn.POISSON.DIST(L$4, 'First 5 Innings'!$G$9, FALSE)</f>
        <v>2.6656497311940022E-5</v>
      </c>
      <c r="M14" s="1">
        <f>_xlfn.POISSON.DIST($D14,'First 5 Innings'!$G$10, FALSE) * _xlfn.POISSON.DIST(M$4, 'First 5 Innings'!$G$9, FALSE)</f>
        <v>9.2694905073517231E-6</v>
      </c>
      <c r="N14" s="1">
        <f>_xlfn.POISSON.DIST($D14,'First 5 Innings'!$G$10, FALSE) * _xlfn.POISSON.DIST(N$4, 'First 5 Innings'!$G$9, FALSE)</f>
        <v>2.8652077914860136E-6</v>
      </c>
      <c r="O14" s="1">
        <f>_xlfn.POISSON.DIST($D14,'First 5 Innings'!$G$10, FALSE) * _xlfn.POISSON.DIST(O$4, 'First 5 Innings'!$G$9, FALSE)</f>
        <v>7.9707445772700134E-7</v>
      </c>
      <c r="P14" s="1">
        <f>_xlfn.POISSON.DIST($D14,'First 5 Innings'!$G$10, FALSE) * _xlfn.POISSON.DIST(P$4, 'First 5 Innings'!$G$9, FALSE)</f>
        <v>2.0158071259063615E-7</v>
      </c>
      <c r="Q14" s="1">
        <f>_xlfn.POISSON.DIST($D14,'First 5 Innings'!$G$10, FALSE) * _xlfn.POISSON.DIST(Q$4, 'First 5 Innings'!$G$9, FALSE)</f>
        <v>4.6731583672526439E-8</v>
      </c>
      <c r="R14" s="1">
        <f>_xlfn.POISSON.DIST($D14,'First 5 Innings'!$G$10, FALSE) * _xlfn.POISSON.DIST(R$4, 'First 5 Innings'!$G$9, FALSE)</f>
        <v>1.0000228316152487E-8</v>
      </c>
      <c r="S14" s="1">
        <f>_xlfn.POISSON.DIST($D14,'First 5 Innings'!$G$10, FALSE) * _xlfn.POISSON.DIST(S$4, 'First 5 Innings'!$G$9, FALSE)</f>
        <v>1.9871225360859855E-9</v>
      </c>
      <c r="T14" s="1">
        <f>_xlfn.POISSON.DIST($D14,'First 5 Innings'!$G$10, FALSE) * _xlfn.POISSON.DIST(T$4, 'First 5 Innings'!$G$9, FALSE)</f>
        <v>3.6853280998661909E-10</v>
      </c>
    </row>
    <row r="15" spans="2:20">
      <c r="B15" s="377"/>
      <c r="C15" s="377"/>
      <c r="D15" s="1">
        <v>10</v>
      </c>
      <c r="E15" s="1">
        <f>_xlfn.POISSON.DIST($D15,'First 5 Innings'!$G$10, FALSE) * _xlfn.POISSON.DIST(E$4, 'First 5 Innings'!$G$9, FALSE)</f>
        <v>2.8930013899807411E-5</v>
      </c>
      <c r="F15" s="1">
        <f>_xlfn.POISSON.DIST($D15,'First 5 Innings'!$G$10, FALSE) * _xlfn.POISSON.DIST(F$4, 'First 5 Innings'!$G$9, FALSE)</f>
        <v>8.0480638122458996E-5</v>
      </c>
      <c r="G15" s="1">
        <f>_xlfn.POISSON.DIST($D15,'First 5 Innings'!$G$10, FALSE) * _xlfn.POISSON.DIST(G$4, 'First 5 Innings'!$G$9, FALSE)</f>
        <v>1.1194486693007292E-4</v>
      </c>
      <c r="H15" s="1">
        <f>_xlfn.POISSON.DIST($D15,'First 5 Innings'!$G$10, FALSE) * _xlfn.POISSON.DIST(H$4, 'First 5 Innings'!$G$9, FALSE)</f>
        <v>1.0380677493240567E-4</v>
      </c>
      <c r="I15" s="1">
        <f>_xlfn.POISSON.DIST($D15,'First 5 Innings'!$G$10, FALSE) * _xlfn.POISSON.DIST(I$4, 'First 5 Innings'!$G$9, FALSE)</f>
        <v>7.2195225319699079E-5</v>
      </c>
      <c r="J15" s="1">
        <f>_xlfn.POISSON.DIST($D15,'First 5 Innings'!$G$10, FALSE) * _xlfn.POISSON.DIST(J$4, 'First 5 Innings'!$G$9, FALSE)</f>
        <v>4.0168095482061045E-5</v>
      </c>
      <c r="K15" s="1">
        <f>_xlfn.POISSON.DIST($D15,'First 5 Innings'!$G$10, FALSE) * _xlfn.POISSON.DIST(K$4, 'First 5 Innings'!$G$9, FALSE)</f>
        <v>1.8623991262477155E-5</v>
      </c>
      <c r="L15" s="1">
        <f>_xlfn.POISSON.DIST($D15,'First 5 Innings'!$G$10, FALSE) * _xlfn.POISSON.DIST(L$4, 'First 5 Innings'!$G$9, FALSE)</f>
        <v>7.4014615625847148E-6</v>
      </c>
      <c r="M15" s="1">
        <f>_xlfn.POISSON.DIST($D15,'First 5 Innings'!$G$10, FALSE) * _xlfn.POISSON.DIST(M$4, 'First 5 Innings'!$G$9, FALSE)</f>
        <v>2.5737731740237594E-6</v>
      </c>
      <c r="N15" s="1">
        <f>_xlfn.POISSON.DIST($D15,'First 5 Innings'!$G$10, FALSE) * _xlfn.POISSON.DIST(N$4, 'First 5 Innings'!$G$9, FALSE)</f>
        <v>7.955555859172473E-7</v>
      </c>
      <c r="O15" s="1">
        <f>_xlfn.POISSON.DIST($D15,'First 5 Innings'!$G$10, FALSE) * _xlfn.POISSON.DIST(O$4, 'First 5 Innings'!$G$9, FALSE)</f>
        <v>2.2131624768052085E-7</v>
      </c>
      <c r="P15" s="1">
        <f>_xlfn.POISSON.DIST($D15,'First 5 Innings'!$G$10, FALSE) * _xlfn.POISSON.DIST(P$4, 'First 5 Innings'!$G$9, FALSE)</f>
        <v>5.5971040701200262E-8</v>
      </c>
      <c r="Q15" s="1">
        <f>_xlfn.POISSON.DIST($D15,'First 5 Innings'!$G$10, FALSE) * _xlfn.POISSON.DIST(Q$4, 'First 5 Innings'!$G$9, FALSE)</f>
        <v>1.2975523988141829E-8</v>
      </c>
      <c r="R15" s="1">
        <f>_xlfn.POISSON.DIST($D15,'First 5 Innings'!$G$10, FALSE) * _xlfn.POISSON.DIST(R$4, 'First 5 Innings'!$G$9, FALSE)</f>
        <v>2.7766703416776517E-9</v>
      </c>
      <c r="S15" s="1">
        <f>_xlfn.POISSON.DIST($D15,'First 5 Innings'!$G$10, FALSE) * _xlfn.POISSON.DIST(S$4, 'First 5 Innings'!$G$9, FALSE)</f>
        <v>5.517458238745578E-10</v>
      </c>
      <c r="T15" s="1">
        <f>_xlfn.POISSON.DIST($D15,'First 5 Innings'!$G$10, FALSE) * _xlfn.POISSON.DIST(T$4, 'First 5 Innings'!$G$9, FALSE)</f>
        <v>1.0232707605006718E-10</v>
      </c>
    </row>
    <row r="16" spans="2:20">
      <c r="B16" s="377"/>
      <c r="C16" s="377"/>
      <c r="D16" s="1">
        <v>11</v>
      </c>
      <c r="E16" s="1">
        <f>_xlfn.POISSON.DIST($D16,'First 5 Innings'!$G$10, FALSE) * _xlfn.POISSON.DIST(E$4, 'First 5 Innings'!$G$9, FALSE)</f>
        <v>7.3024797798565117E-6</v>
      </c>
      <c r="F16" s="1">
        <f>_xlfn.POISSON.DIST($D16,'First 5 Innings'!$G$10, FALSE) * _xlfn.POISSON.DIST(F$4, 'First 5 Innings'!$G$9, FALSE)</f>
        <v>2.0314827175493281E-5</v>
      </c>
      <c r="G16" s="1">
        <f>_xlfn.POISSON.DIST($D16,'First 5 Innings'!$G$10, FALSE) * _xlfn.POISSON.DIST(G$4, 'First 5 Innings'!$G$9, FALSE)</f>
        <v>2.8256990475245755E-5</v>
      </c>
      <c r="H16" s="1">
        <f>_xlfn.POISSON.DIST($D16,'First 5 Innings'!$G$10, FALSE) * _xlfn.POISSON.DIST(H$4, 'First 5 Innings'!$G$9, FALSE)</f>
        <v>2.6202782949960993E-5</v>
      </c>
      <c r="I16" s="1">
        <f>_xlfn.POISSON.DIST($D16,'First 5 Innings'!$G$10, FALSE) * _xlfn.POISSON.DIST(I$4, 'First 5 Innings'!$G$9, FALSE)</f>
        <v>1.822343310739982E-5</v>
      </c>
      <c r="J16" s="1">
        <f>_xlfn.POISSON.DIST($D16,'First 5 Innings'!$G$10, FALSE) * _xlfn.POISSON.DIST(J$4, 'First 5 Innings'!$G$9, FALSE)</f>
        <v>1.0139182997594384E-5</v>
      </c>
      <c r="K16" s="1">
        <f>_xlfn.POISSON.DIST($D16,'First 5 Innings'!$G$10, FALSE) * _xlfn.POISSON.DIST(K$4, 'First 5 Innings'!$G$9, FALSE)</f>
        <v>4.7010457750028648E-6</v>
      </c>
      <c r="L16" s="1">
        <f>_xlfn.POISSON.DIST($D16,'First 5 Innings'!$G$10, FALSE) * _xlfn.POISSON.DIST(L$4, 'First 5 Innings'!$G$9, FALSE)</f>
        <v>1.8682681449565385E-6</v>
      </c>
      <c r="M16" s="1">
        <f>_xlfn.POISSON.DIST($D16,'First 5 Innings'!$G$10, FALSE) * _xlfn.POISSON.DIST(M$4, 'First 5 Innings'!$G$9, FALSE)</f>
        <v>6.4966877051416605E-7</v>
      </c>
      <c r="N16" s="1">
        <f>_xlfn.POISSON.DIST($D16,'First 5 Innings'!$G$10, FALSE) * _xlfn.POISSON.DIST(N$4, 'First 5 Innings'!$G$9, FALSE)</f>
        <v>2.008131969805681E-7</v>
      </c>
      <c r="O16" s="1">
        <f>_xlfn.POISSON.DIST($D16,'First 5 Innings'!$G$10, FALSE) * _xlfn.POISSON.DIST(O$4, 'First 5 Innings'!$G$9, FALSE)</f>
        <v>5.5864384622762935E-8</v>
      </c>
      <c r="P16" s="1">
        <f>_xlfn.POISSON.DIST($D16,'First 5 Innings'!$G$10, FALSE) * _xlfn.POISSON.DIST(P$4, 'First 5 Innings'!$G$9, FALSE)</f>
        <v>1.4128143677828018E-8</v>
      </c>
      <c r="Q16" s="1">
        <f>_xlfn.POISSON.DIST($D16,'First 5 Innings'!$G$10, FALSE) * _xlfn.POISSON.DIST(Q$4, 'First 5 Innings'!$G$9, FALSE)</f>
        <v>3.2752663681602864E-9</v>
      </c>
      <c r="R16" s="1">
        <f>_xlfn.POISSON.DIST($D16,'First 5 Innings'!$G$10, FALSE) * _xlfn.POISSON.DIST(R$4, 'First 5 Innings'!$G$9, FALSE)</f>
        <v>7.0088383281292876E-10</v>
      </c>
      <c r="S16" s="1">
        <f>_xlfn.POISSON.DIST($D16,'First 5 Innings'!$G$10, FALSE) * _xlfn.POISSON.DIST(S$4, 'First 5 Innings'!$G$9, FALSE)</f>
        <v>1.3927102615360487E-10</v>
      </c>
      <c r="T16" s="1">
        <f>_xlfn.POISSON.DIST($D16,'First 5 Innings'!$G$10, FALSE) * _xlfn.POISSON.DIST(T$4, 'First 5 Innings'!$G$9, FALSE)</f>
        <v>2.5829279113911159E-11</v>
      </c>
    </row>
    <row r="17" spans="2:20">
      <c r="B17" s="377"/>
      <c r="C17" s="377"/>
      <c r="D17" s="1">
        <v>12</v>
      </c>
      <c r="E17" s="1">
        <f>_xlfn.POISSON.DIST($D17,'First 5 Innings'!$G$10, FALSE) * _xlfn.POISSON.DIST(E$4, 'First 5 Innings'!$G$9, FALSE)</f>
        <v>1.6896763407455887E-6</v>
      </c>
      <c r="F17" s="1">
        <f>_xlfn.POISSON.DIST($D17,'First 5 Innings'!$G$10, FALSE) * _xlfn.POISSON.DIST(F$4, 'First 5 Innings'!$G$9, FALSE)</f>
        <v>4.7005241889818698E-6</v>
      </c>
      <c r="G17" s="1">
        <f>_xlfn.POISSON.DIST($D17,'First 5 Innings'!$G$10, FALSE) * _xlfn.POISSON.DIST(G$4, 'First 5 Innings'!$G$9, FALSE)</f>
        <v>6.5382130051764912E-6</v>
      </c>
      <c r="H17" s="1">
        <f>_xlfn.POISSON.DIST($D17,'First 5 Innings'!$G$10, FALSE) * _xlfn.POISSON.DIST(H$4, 'First 5 Innings'!$G$9, FALSE)</f>
        <v>6.062902431358865E-6</v>
      </c>
      <c r="I17" s="1">
        <f>_xlfn.POISSON.DIST($D17,'First 5 Innings'!$G$10, FALSE) * _xlfn.POISSON.DIST(I$4, 'First 5 Innings'!$G$9, FALSE)</f>
        <v>4.2166092474053211E-6</v>
      </c>
      <c r="J17" s="1">
        <f>_xlfn.POISSON.DIST($D17,'First 5 Innings'!$G$10, FALSE) * _xlfn.POISSON.DIST(J$4, 'First 5 Innings'!$G$9, FALSE)</f>
        <v>2.3460438292184902E-6</v>
      </c>
      <c r="K17" s="1">
        <f>_xlfn.POISSON.DIST($D17,'First 5 Innings'!$G$10, FALSE) * _xlfn.POISSON.DIST(K$4, 'First 5 Innings'!$G$9, FALSE)</f>
        <v>1.0877463631868391E-6</v>
      </c>
      <c r="L17" s="1">
        <f>_xlfn.POISSON.DIST($D17,'First 5 Innings'!$G$10, FALSE) * _xlfn.POISSON.DIST(L$4, 'First 5 Innings'!$G$9, FALSE)</f>
        <v>4.3228719255197182E-7</v>
      </c>
      <c r="M17" s="1">
        <f>_xlfn.POISSON.DIST($D17,'First 5 Innings'!$G$10, FALSE) * _xlfn.POISSON.DIST(M$4, 'First 5 Innings'!$G$9, FALSE)</f>
        <v>1.5032290180208226E-7</v>
      </c>
      <c r="N17" s="1">
        <f>_xlfn.POISSON.DIST($D17,'First 5 Innings'!$G$10, FALSE) * _xlfn.POISSON.DIST(N$4, 'First 5 Innings'!$G$9, FALSE)</f>
        <v>4.646494315308006E-8</v>
      </c>
      <c r="O17" s="1">
        <f>_xlfn.POISSON.DIST($D17,'First 5 Innings'!$G$10, FALSE) * _xlfn.POISSON.DIST(O$4, 'First 5 Innings'!$G$9, FALSE)</f>
        <v>1.2926119870646045E-8</v>
      </c>
      <c r="P17" s="1">
        <f>_xlfn.POISSON.DIST($D17,'First 5 Innings'!$G$10, FALSE) * _xlfn.POISSON.DIST(P$4, 'First 5 Innings'!$G$9, FALSE)</f>
        <v>3.2690251573075132E-9</v>
      </c>
      <c r="Q17" s="1">
        <f>_xlfn.POISSON.DIST($D17,'First 5 Innings'!$G$10, FALSE) * _xlfn.POISSON.DIST(Q$4, 'First 5 Innings'!$G$9, FALSE)</f>
        <v>7.5784394599568592E-10</v>
      </c>
      <c r="R17" s="1">
        <f>_xlfn.POISSON.DIST($D17,'First 5 Innings'!$G$10, FALSE) * _xlfn.POISSON.DIST(R$4, 'First 5 Innings'!$G$9, FALSE)</f>
        <v>1.6217324328399063E-10</v>
      </c>
      <c r="S17" s="1">
        <f>_xlfn.POISSON.DIST($D17,'First 5 Innings'!$G$10, FALSE) * _xlfn.POISSON.DIST(S$4, 'First 5 Innings'!$G$9, FALSE)</f>
        <v>3.2225074897465879E-11</v>
      </c>
      <c r="T17" s="1">
        <f>_xlfn.POISSON.DIST($D17,'First 5 Innings'!$G$10, FALSE) * _xlfn.POISSON.DIST(T$4, 'First 5 Innings'!$G$9, FALSE)</f>
        <v>5.9764796525252986E-12</v>
      </c>
    </row>
    <row r="18" spans="2:20">
      <c r="B18" s="377"/>
      <c r="C18" s="377"/>
      <c r="D18" s="1">
        <v>13</v>
      </c>
      <c r="E18" s="1">
        <f>_xlfn.POISSON.DIST($D18,'First 5 Innings'!$G$10, FALSE) * _xlfn.POISSON.DIST(E$4, 'First 5 Innings'!$G$9, FALSE)</f>
        <v>3.6088977433296402E-7</v>
      </c>
      <c r="F18" s="1">
        <f>_xlfn.POISSON.DIST($D18,'First 5 Innings'!$G$10, FALSE) * _xlfn.POISSON.DIST(F$4, 'First 5 Innings'!$G$9, FALSE)</f>
        <v>1.0039621629901989E-6</v>
      </c>
      <c r="G18" s="1">
        <f>_xlfn.POISSON.DIST($D18,'First 5 Innings'!$G$10, FALSE) * _xlfn.POISSON.DIST(G$4, 'First 5 Innings'!$G$9, FALSE)</f>
        <v>1.3964652040625755E-6</v>
      </c>
      <c r="H18" s="1">
        <f>_xlfn.POISSON.DIST($D18,'First 5 Innings'!$G$10, FALSE) * _xlfn.POISSON.DIST(H$4, 'First 5 Innings'!$G$9, FALSE)</f>
        <v>1.2949459239574737E-6</v>
      </c>
      <c r="I18" s="1">
        <f>_xlfn.POISSON.DIST($D18,'First 5 Innings'!$G$10, FALSE) * _xlfn.POISSON.DIST(I$4, 'First 5 Innings'!$G$9, FALSE)</f>
        <v>9.0060511770846866E-7</v>
      </c>
      <c r="J18" s="1">
        <f>_xlfn.POISSON.DIST($D18,'First 5 Innings'!$G$10, FALSE) * _xlfn.POISSON.DIST(J$4, 'First 5 Innings'!$G$9, FALSE)</f>
        <v>5.0108012267503492E-7</v>
      </c>
      <c r="K18" s="1">
        <f>_xlfn.POISSON.DIST($D18,'First 5 Innings'!$G$10, FALSE) * _xlfn.POISSON.DIST(K$4, 'First 5 Innings'!$G$9, FALSE)</f>
        <v>2.3232646991362897E-7</v>
      </c>
      <c r="L18" s="1">
        <f>_xlfn.POISSON.DIST($D18,'First 5 Innings'!$G$10, FALSE) * _xlfn.POISSON.DIST(L$4, 'First 5 Innings'!$G$9, FALSE)</f>
        <v>9.2330124773050542E-8</v>
      </c>
      <c r="M18" s="1">
        <f>_xlfn.POISSON.DIST($D18,'First 5 Innings'!$G$10, FALSE) * _xlfn.POISSON.DIST(M$4, 'First 5 Innings'!$G$9, FALSE)</f>
        <v>3.2106739498104922E-8</v>
      </c>
      <c r="N18" s="1">
        <f>_xlfn.POISSON.DIST($D18,'First 5 Innings'!$G$10, FALSE) * _xlfn.POISSON.DIST(N$4, 'First 5 Innings'!$G$9, FALSE)</f>
        <v>9.9242218432848953E-9</v>
      </c>
      <c r="O18" s="1">
        <f>_xlfn.POISSON.DIST($D18,'First 5 Innings'!$G$10, FALSE) * _xlfn.POISSON.DIST(O$4, 'First 5 Innings'!$G$9, FALSE)</f>
        <v>2.7608272487616484E-9</v>
      </c>
      <c r="P18" s="1">
        <f>_xlfn.POISSON.DIST($D18,'First 5 Innings'!$G$10, FALSE) * _xlfn.POISSON.DIST(P$4, 'First 5 Innings'!$G$9, FALSE)</f>
        <v>6.9821522788731789E-10</v>
      </c>
      <c r="Q18" s="1">
        <f>_xlfn.POISSON.DIST($D18,'First 5 Innings'!$G$10, FALSE) * _xlfn.POISSON.DIST(Q$4, 'First 5 Innings'!$G$9, FALSE)</f>
        <v>1.6186421272212521E-10</v>
      </c>
      <c r="R18" s="1">
        <f>_xlfn.POISSON.DIST($D18,'First 5 Innings'!$G$10, FALSE) * _xlfn.POISSON.DIST(R$4, 'First 5 Innings'!$G$9, FALSE)</f>
        <v>3.4637796458568333E-11</v>
      </c>
      <c r="S18" s="1">
        <f>_xlfn.POISSON.DIST($D18,'First 5 Innings'!$G$10, FALSE) * _xlfn.POISSON.DIST(S$4, 'First 5 Innings'!$G$9, FALSE)</f>
        <v>6.8827974489348586E-12</v>
      </c>
      <c r="T18" s="1">
        <f>_xlfn.POISSON.DIST($D18,'First 5 Innings'!$G$10, FALSE) * _xlfn.POISSON.DIST(T$4, 'First 5 Innings'!$G$9, FALSE)</f>
        <v>1.2764873017951306E-12</v>
      </c>
    </row>
    <row r="19" spans="2:20">
      <c r="B19" s="377"/>
      <c r="C19" s="377"/>
      <c r="D19" s="1">
        <v>14</v>
      </c>
      <c r="E19" s="1">
        <f>_xlfn.POISSON.DIST($D19,'First 5 Innings'!$G$10, FALSE) * _xlfn.POISSON.DIST(E$4, 'First 5 Innings'!$G$9, FALSE)</f>
        <v>7.1574932471900235E-8</v>
      </c>
      <c r="F19" s="1">
        <f>_xlfn.POISSON.DIST($D19,'First 5 Innings'!$G$10, FALSE) * _xlfn.POISSON.DIST(F$4, 'First 5 Innings'!$G$9, FALSE)</f>
        <v>1.9911487975291952E-7</v>
      </c>
      <c r="G19" s="1">
        <f>_xlfn.POISSON.DIST($D19,'First 5 Innings'!$G$10, FALSE) * _xlfn.POISSON.DIST(G$4, 'First 5 Innings'!$G$9, FALSE)</f>
        <v>2.7695964194297074E-7</v>
      </c>
      <c r="H19" s="1">
        <f>_xlfn.POISSON.DIST($D19,'First 5 Innings'!$G$10, FALSE) * _xlfn.POISSON.DIST(H$4, 'First 5 Innings'!$G$9, FALSE)</f>
        <v>2.5682541777009462E-7</v>
      </c>
      <c r="I19" s="1">
        <f>_xlfn.POISSON.DIST($D19,'First 5 Innings'!$G$10, FALSE) * _xlfn.POISSON.DIST(I$4, 'First 5 Innings'!$G$9, FALSE)</f>
        <v>1.7861617332598252E-7</v>
      </c>
      <c r="J19" s="1">
        <f>_xlfn.POISSON.DIST($D19,'First 5 Innings'!$G$10, FALSE) * _xlfn.POISSON.DIST(J$4, 'First 5 Innings'!$G$9, FALSE)</f>
        <v>9.9378753553675259E-8</v>
      </c>
      <c r="K19" s="1">
        <f>_xlfn.POISSON.DIST($D19,'First 5 Innings'!$G$10, FALSE) * _xlfn.POISSON.DIST(K$4, 'First 5 Innings'!$G$9, FALSE)</f>
        <v>4.6077092170976677E-8</v>
      </c>
      <c r="L19" s="1">
        <f>_xlfn.POISSON.DIST($D19,'First 5 Innings'!$G$10, FALSE) * _xlfn.POISSON.DIST(L$4, 'First 5 Innings'!$G$9, FALSE)</f>
        <v>1.8311747563276934E-8</v>
      </c>
      <c r="M19" s="1">
        <f>_xlfn.POISSON.DIST($D19,'First 5 Innings'!$G$10, FALSE) * _xlfn.POISSON.DIST(M$4, 'First 5 Innings'!$G$9, FALSE)</f>
        <v>6.3676997102986267E-9</v>
      </c>
      <c r="N19" s="1">
        <f>_xlfn.POISSON.DIST($D19,'First 5 Innings'!$G$10, FALSE) * _xlfn.POISSON.DIST(N$4, 'First 5 Innings'!$G$9, FALSE)</f>
        <v>1.9682616654411311E-9</v>
      </c>
      <c r="O19" s="1">
        <f>_xlfn.POISSON.DIST($D19,'First 5 Innings'!$G$10, FALSE) * _xlfn.POISSON.DIST(O$4, 'First 5 Innings'!$G$9, FALSE)</f>
        <v>5.475522942204006E-10</v>
      </c>
      <c r="P19" s="1">
        <f>_xlfn.POISSON.DIST($D19,'First 5 Innings'!$G$10, FALSE) * _xlfn.POISSON.DIST(P$4, 'First 5 Innings'!$G$9, FALSE)</f>
        <v>1.3847637517371044E-10</v>
      </c>
      <c r="Q19" s="1">
        <f>_xlfn.POISSON.DIST($D19,'First 5 Innings'!$G$10, FALSE) * _xlfn.POISSON.DIST(Q$4, 'First 5 Innings'!$G$9, FALSE)</f>
        <v>3.2102378396885446E-11</v>
      </c>
      <c r="R19" s="1">
        <f>_xlfn.POISSON.DIST($D19,'First 5 Innings'!$G$10, FALSE) * _xlfn.POISSON.DIST(R$4, 'First 5 Innings'!$G$9, FALSE)</f>
        <v>6.869681877464605E-12</v>
      </c>
      <c r="S19" s="1">
        <f>_xlfn.POISSON.DIST($D19,'First 5 Innings'!$G$10, FALSE) * _xlfn.POISSON.DIST(S$4, 'First 5 Innings'!$G$9, FALSE)</f>
        <v>1.3650588009478049E-12</v>
      </c>
      <c r="T19" s="1">
        <f>_xlfn.POISSON.DIST($D19,'First 5 Innings'!$G$10, FALSE) * _xlfn.POISSON.DIST(T$4, 'First 5 Innings'!$G$9, FALSE)</f>
        <v>2.531645364463276E-13</v>
      </c>
    </row>
    <row r="20" spans="2:20">
      <c r="B20" s="377"/>
      <c r="C20" s="377"/>
      <c r="D20" s="1">
        <v>15</v>
      </c>
      <c r="E20" s="1">
        <f>_xlfn.POISSON.DIST($D20,'First 5 Innings'!$G$10, FALSE) * _xlfn.POISSON.DIST(E$4, 'First 5 Innings'!$G$9, FALSE)</f>
        <v>1.3249030316724434E-8</v>
      </c>
      <c r="F20" s="1">
        <f>_xlfn.POISSON.DIST($D20,'First 5 Innings'!$G$10, FALSE) * _xlfn.POISSON.DIST(F$4, 'First 5 Innings'!$G$9, FALSE)</f>
        <v>3.6857583894935011E-8</v>
      </c>
      <c r="G20" s="1">
        <f>_xlfn.POISSON.DIST($D20,'First 5 Innings'!$G$10, FALSE) * _xlfn.POISSON.DIST(G$4, 'First 5 Innings'!$G$9, FALSE)</f>
        <v>5.1267204395228171E-8</v>
      </c>
      <c r="H20" s="1">
        <f>_xlfn.POISSON.DIST($D20,'First 5 Innings'!$G$10, FALSE) * _xlfn.POISSON.DIST(H$4, 'First 5 Innings'!$G$9, FALSE)</f>
        <v>4.7540215947493497E-8</v>
      </c>
      <c r="I20" s="1">
        <f>_xlfn.POISSON.DIST($D20,'First 5 Innings'!$G$10, FALSE) * _xlfn.POISSON.DIST(I$4, 'First 5 Innings'!$G$9, FALSE)</f>
        <v>3.3063127183281863E-8</v>
      </c>
      <c r="J20" s="1">
        <f>_xlfn.POISSON.DIST($D20,'First 5 Innings'!$G$10, FALSE) * _xlfn.POISSON.DIST(J$4, 'First 5 Innings'!$G$9, FALSE)</f>
        <v>1.83957158351193E-8</v>
      </c>
      <c r="K20" s="1">
        <f>_xlfn.POISSON.DIST($D20,'First 5 Innings'!$G$10, FALSE) * _xlfn.POISSON.DIST(K$4, 'First 5 Innings'!$G$9, FALSE)</f>
        <v>8.529198282086322E-9</v>
      </c>
      <c r="L20" s="1">
        <f>_xlfn.POISSON.DIST($D20,'First 5 Innings'!$G$10, FALSE) * _xlfn.POISSON.DIST(L$4, 'First 5 Innings'!$G$9, FALSE)</f>
        <v>3.3896350333730154E-9</v>
      </c>
      <c r="M20" s="1">
        <f>_xlfn.POISSON.DIST($D20,'First 5 Innings'!$G$10, FALSE) * _xlfn.POISSON.DIST(M$4, 'First 5 Innings'!$G$9, FALSE)</f>
        <v>1.1787066169104006E-9</v>
      </c>
      <c r="N20" s="1">
        <f>_xlfn.POISSON.DIST($D20,'First 5 Innings'!$G$10, FALSE) * _xlfn.POISSON.DIST(N$4, 'First 5 Innings'!$G$9, FALSE)</f>
        <v>3.6433926761878427E-10</v>
      </c>
      <c r="O20" s="1">
        <f>_xlfn.POISSON.DIST($D20,'First 5 Innings'!$G$10, FALSE) * _xlfn.POISSON.DIST(O$4, 'First 5 Innings'!$G$9, FALSE)</f>
        <v>1.013558336078931E-10</v>
      </c>
      <c r="P20" s="1">
        <f>_xlfn.POISSON.DIST($D20,'First 5 Innings'!$G$10, FALSE) * _xlfn.POISSON.DIST(P$4, 'First 5 Innings'!$G$9, FALSE)</f>
        <v>2.5632964355878036E-11</v>
      </c>
      <c r="Q20" s="1">
        <f>_xlfn.POISSON.DIST($D20,'First 5 Innings'!$G$10, FALSE) * _xlfn.POISSON.DIST(Q$4, 'First 5 Innings'!$G$9, FALSE)</f>
        <v>5.9423791253491472E-12</v>
      </c>
      <c r="R20" s="1">
        <f>_xlfn.POISSON.DIST($D20,'First 5 Innings'!$G$10, FALSE) * _xlfn.POISSON.DIST(R$4, 'First 5 Innings'!$G$9, FALSE)</f>
        <v>1.2716270950938501E-12</v>
      </c>
      <c r="S20" s="1">
        <f>_xlfn.POISSON.DIST($D20,'First 5 Innings'!$G$10, FALSE) * _xlfn.POISSON.DIST(S$4, 'First 5 Innings'!$G$9, FALSE)</f>
        <v>2.5268211667498644E-13</v>
      </c>
      <c r="T20" s="1">
        <f>_xlfn.POISSON.DIST($D20,'First 5 Innings'!$G$10, FALSE) * _xlfn.POISSON.DIST(T$4, 'First 5 Innings'!$G$9, FALSE)</f>
        <v>4.6862560713050055E-14</v>
      </c>
    </row>
    <row r="24" spans="2:20">
      <c r="D24" s="1" t="s">
        <v>738</v>
      </c>
      <c r="E24" s="1" t="e">
        <f>E3</f>
        <v>#REF!</v>
      </c>
      <c r="F24" s="1">
        <f>1-F25</f>
        <v>0.50087609878140693</v>
      </c>
      <c r="H24" s="71" t="s">
        <v>345</v>
      </c>
      <c r="I24" s="71">
        <v>3</v>
      </c>
      <c r="J24" s="71">
        <f>SUM(E9:E20,F8:F20,G7:G20,H6:H20,I5:T20)</f>
        <v>0.80484401619736345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0.49912390121859301</v>
      </c>
      <c r="H25" s="71" t="s">
        <v>348</v>
      </c>
      <c r="I25" s="71">
        <v>3</v>
      </c>
      <c r="J25" s="71">
        <f>SUM(E8,F7,G6,H5)</f>
        <v>0.11032976851593196</v>
      </c>
    </row>
    <row r="26" spans="2:20">
      <c r="H26" s="71" t="s">
        <v>346</v>
      </c>
      <c r="I26" s="71">
        <v>3</v>
      </c>
      <c r="J26" s="71">
        <f>SUM(E5:E7,F5:F6,G5)</f>
        <v>8.4826125557915577E-2</v>
      </c>
    </row>
    <row r="27" spans="2:20">
      <c r="H27" s="71" t="s">
        <v>345</v>
      </c>
      <c r="I27" s="71">
        <v>3.5</v>
      </c>
      <c r="J27" s="71">
        <f>SUM(E9:E20,F8:F20,G7:G20,H6:H20,I5:T20)</f>
        <v>0.80484401619736345</v>
      </c>
    </row>
    <row r="28" spans="2:20">
      <c r="H28" s="71" t="s">
        <v>346</v>
      </c>
      <c r="I28" s="71">
        <v>3.5</v>
      </c>
      <c r="J28" s="71">
        <f>SUM(E5:E8,F5:F7,G5:G6,H5)</f>
        <v>0.19515589407384754</v>
      </c>
    </row>
    <row r="29" spans="2:20">
      <c r="D29" s="1" t="s">
        <v>740</v>
      </c>
      <c r="H29" s="71" t="s">
        <v>345</v>
      </c>
      <c r="I29" s="71">
        <v>4</v>
      </c>
      <c r="J29" s="71">
        <f>SUM(E10:E20,F9:F20,G8:G20,H7:H20,I6:I20,J5:T20)</f>
        <v>0.651526598374365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0.41412143835680554</v>
      </c>
      <c r="H30" s="71" t="s">
        <v>348</v>
      </c>
      <c r="I30" s="71">
        <v>4</v>
      </c>
      <c r="J30" s="71">
        <f>SUM(E9,F8,G7,H6,I5)</f>
        <v>0.15331741782299821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0.41236933052278085</v>
      </c>
      <c r="H31" s="71" t="s">
        <v>346</v>
      </c>
      <c r="I31" s="71">
        <v>4</v>
      </c>
      <c r="J31" s="71">
        <f>1-J30-J29</f>
        <v>0.19515598380263677</v>
      </c>
    </row>
    <row r="32" spans="2:20">
      <c r="D32" s="1" t="s">
        <v>348</v>
      </c>
      <c r="F32" s="1">
        <f>1-F31-F30</f>
        <v>0.17350923112041355</v>
      </c>
      <c r="H32" s="71" t="s">
        <v>345</v>
      </c>
      <c r="I32" s="71">
        <v>4.5</v>
      </c>
      <c r="J32" s="71">
        <f>SUM(E10:E20,F9:F20,G8:G20,H7:H20,I6:I20,J5:T20)</f>
        <v>0.651526598374365</v>
      </c>
    </row>
    <row r="33" spans="8:10">
      <c r="H33" s="71" t="s">
        <v>346</v>
      </c>
      <c r="I33" s="71">
        <v>4.5</v>
      </c>
      <c r="J33" s="71">
        <f>1-J32</f>
        <v>0.348473401625635</v>
      </c>
    </row>
    <row r="34" spans="8:10">
      <c r="H34" s="71" t="s">
        <v>345</v>
      </c>
      <c r="I34" s="71">
        <v>5</v>
      </c>
      <c r="J34" s="71">
        <f>SUM(E11:E20,F10:F20,G9:G20,H8:H20,I7:I20,J6:J20,K5:T20)</f>
        <v>0.48108316557033459</v>
      </c>
    </row>
    <row r="35" spans="8:10">
      <c r="H35" s="71" t="s">
        <v>348</v>
      </c>
      <c r="I35" s="71">
        <v>5</v>
      </c>
      <c r="J35" s="71">
        <f>SUM(E10,F9,G8,H7,I6,J5)</f>
        <v>0.17044343280403013</v>
      </c>
    </row>
    <row r="36" spans="8:10">
      <c r="H36" s="71" t="s">
        <v>346</v>
      </c>
      <c r="I36" s="71">
        <v>5</v>
      </c>
      <c r="J36" s="71">
        <f>SUM(E5:E9,F5:F8,G5:G7,H5:H6,I5)</f>
        <v>0.34847331189684577</v>
      </c>
    </row>
    <row r="37" spans="8:10">
      <c r="H37" s="71" t="s">
        <v>345</v>
      </c>
      <c r="I37" s="71">
        <v>5.5</v>
      </c>
      <c r="J37" s="71">
        <f>SUM(E11:E20,F10:F20,G9:G20,H8:H20,I7:I20,J6:J20,K5:T20)</f>
        <v>0.48108316557033459</v>
      </c>
    </row>
    <row r="38" spans="8:10">
      <c r="H38" s="71" t="s">
        <v>346</v>
      </c>
      <c r="I38" s="71">
        <v>5.5</v>
      </c>
      <c r="J38" s="71">
        <f>1-J37</f>
        <v>0.51891683442966541</v>
      </c>
    </row>
    <row r="39" spans="8:10">
      <c r="H39" s="71" t="s">
        <v>345</v>
      </c>
      <c r="I39" s="71">
        <v>6</v>
      </c>
      <c r="J39" s="71">
        <f>SUM(E12:E20,F11:F20,G10:G20,H9:H20,I8:I20,J7:J20,K6:K20,L5:T20)</f>
        <v>0.32318110309038489</v>
      </c>
    </row>
    <row r="40" spans="8:10">
      <c r="H40" s="71" t="s">
        <v>348</v>
      </c>
      <c r="I40" s="71">
        <v>6</v>
      </c>
      <c r="J40" s="71">
        <f>SUM(E11,F10,G9,H8,I7,J6,K5)</f>
        <v>0.15790206247994965</v>
      </c>
    </row>
    <row r="41" spans="8:10">
      <c r="H41" s="71" t="s">
        <v>346</v>
      </c>
      <c r="I41" s="71">
        <v>6</v>
      </c>
      <c r="J41" s="71">
        <f>SUM(E5:E10,F5:F9,G5:G8,H5:H7,I5:I6,J5)</f>
        <v>0.5189167447008759</v>
      </c>
    </row>
    <row r="42" spans="8:10">
      <c r="H42" s="71" t="s">
        <v>345</v>
      </c>
      <c r="I42" s="71">
        <v>6.5</v>
      </c>
      <c r="J42" s="71">
        <f>SUM(E12:E20,F11:F20,G10:G20,H9:H20,I8:I20,J7:J20,K6:K20,L5:T20)</f>
        <v>0.32318110309038489</v>
      </c>
    </row>
    <row r="43" spans="8:10">
      <c r="H43" s="71" t="s">
        <v>346</v>
      </c>
      <c r="I43" s="71">
        <v>6.5</v>
      </c>
      <c r="J43" s="71">
        <f>1-J42</f>
        <v>0.67681889690961516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Innings'!$G$12, FALSE) * _xlfn.POISSON.DIST(E$4, 'First 5 Innings'!$G$11, FALSE)</f>
        <v>5.1207535307278298E-2</v>
      </c>
      <c r="F5" s="1">
        <f>_xlfn.POISSON.DIST($D5,'First 5 Innings'!$G$12, FALSE) * _xlfn.POISSON.DIST(F$4, 'First 5 Innings'!$G$11, FALSE)</f>
        <v>9.3537837919298261E-2</v>
      </c>
      <c r="G5" s="1">
        <f>_xlfn.POISSON.DIST($D5,'First 5 Innings'!$G$12, FALSE) * _xlfn.POISSON.DIST(G$4, 'First 5 Innings'!$G$11, FALSE)</f>
        <v>8.5430074598545888E-2</v>
      </c>
      <c r="H5" s="1">
        <f>_xlfn.POISSON.DIST($D5,'First 5 Innings'!$G$12, FALSE) * _xlfn.POISSON.DIST(H$4, 'First 5 Innings'!$G$11, FALSE)</f>
        <v>5.2016722560338798E-2</v>
      </c>
      <c r="I5" s="1">
        <f>_xlfn.POISSON.DIST($D5,'First 5 Innings'!$G$12, FALSE) * _xlfn.POISSON.DIST(I$4, 'First 5 Innings'!$G$11, FALSE)</f>
        <v>2.375398334808413E-2</v>
      </c>
      <c r="J5" s="1">
        <f>_xlfn.POISSON.DIST($D5,'First 5 Innings'!$G$12, FALSE) * _xlfn.POISSON.DIST(J$4, 'First 5 Innings'!$G$11, FALSE)</f>
        <v>8.6780050280412351E-3</v>
      </c>
      <c r="K5" s="1">
        <f>_xlfn.POISSON.DIST($D5,'First 5 Innings'!$G$12, FALSE) * _xlfn.POISSON.DIST(K$4, 'First 5 Innings'!$G$11, FALSE)</f>
        <v>2.6419348340855232E-3</v>
      </c>
      <c r="L5" s="1">
        <f>_xlfn.POISSON.DIST($D5,'First 5 Innings'!$G$12, FALSE) * _xlfn.POISSON.DIST(L$4, 'First 5 Innings'!$G$11, FALSE)</f>
        <v>6.8940989926344364E-4</v>
      </c>
      <c r="M5" s="1">
        <f>_xlfn.POISSON.DIST($D5,'First 5 Innings'!$G$12, FALSE) * _xlfn.POISSON.DIST(M$4, 'First 5 Innings'!$G$11, FALSE)</f>
        <v>1.5741314005425817E-4</v>
      </c>
      <c r="N5" s="1">
        <f>_xlfn.POISSON.DIST($D5,'First 5 Innings'!$G$12, FALSE) * _xlfn.POISSON.DIST(N$4, 'First 5 Innings'!$G$11, FALSE)</f>
        <v>3.194860698269631E-5</v>
      </c>
      <c r="O5" s="1">
        <f>_xlfn.POISSON.DIST($D5,'First 5 Innings'!$G$12, FALSE) * _xlfn.POISSON.DIST(O$4, 'First 5 Innings'!$G$11, FALSE)</f>
        <v>5.8358669359156912E-6</v>
      </c>
      <c r="P5" s="1">
        <f>_xlfn.POISSON.DIST($D5,'First 5 Innings'!$G$12, FALSE) * _xlfn.POISSON.DIST(P$4, 'First 5 Innings'!$G$11, FALSE)</f>
        <v>9.6909454704037889E-7</v>
      </c>
      <c r="Q5" s="1">
        <f>_xlfn.POISSON.DIST($D5,'First 5 Innings'!$G$12, FALSE) * _xlfn.POISSON.DIST(Q$4, 'First 5 Innings'!$G$11, FALSE)</f>
        <v>1.4751573852949285E-7</v>
      </c>
      <c r="R5" s="1">
        <f>_xlfn.POISSON.DIST($D5,'First 5 Innings'!$G$12, FALSE) * _xlfn.POISSON.DIST(R$4, 'First 5 Innings'!$G$11, FALSE)</f>
        <v>2.0727573300594812E-8</v>
      </c>
      <c r="S5" s="1">
        <f>_xlfn.POISSON.DIST($D5,'First 5 Innings'!$G$12, FALSE) * _xlfn.POISSON.DIST(S$4, 'First 5 Innings'!$G$11, FALSE)</f>
        <v>2.7044183748924619E-9</v>
      </c>
      <c r="T5" s="1">
        <f>_xlfn.POISSON.DIST($D5,'First 5 Innings'!$G$12, FALSE) * _xlfn.POISSON.DIST(T$4, 'First 5 Innings'!$G$11, FALSE)</f>
        <v>3.293336239138871E-10</v>
      </c>
    </row>
    <row r="6" spans="2:20">
      <c r="B6" s="377"/>
      <c r="C6" s="377"/>
      <c r="D6" s="1">
        <v>1</v>
      </c>
      <c r="E6" s="1">
        <f>_xlfn.POISSON.DIST($D6,'First 5 Innings'!$G$12, FALSE) * _xlfn.POISSON.DIST(E$4, 'First 5 Innings'!$G$11, FALSE)</f>
        <v>5.8644227513996949E-2</v>
      </c>
      <c r="F6" s="1">
        <f>_xlfn.POISSON.DIST($D6,'First 5 Innings'!$G$12, FALSE) * _xlfn.POISSON.DIST(F$4, 'First 5 Innings'!$G$11, FALSE)</f>
        <v>0.10712201271141891</v>
      </c>
      <c r="G6" s="1">
        <f>_xlfn.POISSON.DIST($D6,'First 5 Innings'!$G$12, FALSE) * _xlfn.POISSON.DIST(G$4, 'First 5 Innings'!$G$11, FALSE)</f>
        <v>9.7836787129701425E-2</v>
      </c>
      <c r="H6" s="1">
        <f>_xlfn.POISSON.DIST($D6,'First 5 Innings'!$G$12, FALSE) * _xlfn.POISSON.DIST(H$4, 'First 5 Innings'!$G$11, FALSE)</f>
        <v>5.95709302167369E-2</v>
      </c>
      <c r="I6" s="1">
        <f>_xlfn.POISSON.DIST($D6,'First 5 Innings'!$G$12, FALSE) * _xlfn.POISSON.DIST(I$4, 'First 5 Innings'!$G$11, FALSE)</f>
        <v>2.720369171196459E-2</v>
      </c>
      <c r="J6" s="1">
        <f>_xlfn.POISSON.DIST($D6,'First 5 Innings'!$G$12, FALSE) * _xlfn.POISSON.DIST(J$4, 'First 5 Innings'!$G$11, FALSE)</f>
        <v>9.9382815083413293E-3</v>
      </c>
      <c r="K6" s="1">
        <f>_xlfn.POISSON.DIST($D6,'First 5 Innings'!$G$12, FALSE) * _xlfn.POISSON.DIST(K$4, 'First 5 Innings'!$G$11, FALSE)</f>
        <v>3.0256138390094296E-3</v>
      </c>
      <c r="L6" s="1">
        <f>_xlfn.POISSON.DIST($D6,'First 5 Innings'!$G$12, FALSE) * _xlfn.POISSON.DIST(L$4, 'First 5 Innings'!$G$11, FALSE)</f>
        <v>7.8953050054452953E-4</v>
      </c>
      <c r="M6" s="1">
        <f>_xlfn.POISSON.DIST($D6,'First 5 Innings'!$G$12, FALSE) * _xlfn.POISSON.DIST(M$4, 'First 5 Innings'!$G$11, FALSE)</f>
        <v>1.8027370275957211E-4</v>
      </c>
      <c r="N6" s="1">
        <f>_xlfn.POISSON.DIST($D6,'First 5 Innings'!$G$12, FALSE) * _xlfn.POISSON.DIST(N$4, 'First 5 Innings'!$G$11, FALSE)</f>
        <v>3.6588392028745284E-5</v>
      </c>
      <c r="O6" s="1">
        <f>_xlfn.POISSON.DIST($D6,'First 5 Innings'!$G$12, FALSE) * _xlfn.POISSON.DIST(O$4, 'First 5 Innings'!$G$11, FALSE)</f>
        <v>6.6833895886140872E-6</v>
      </c>
      <c r="P6" s="1">
        <f>_xlfn.POISSON.DIST($D6,'First 5 Innings'!$G$12, FALSE) * _xlfn.POISSON.DIST(P$4, 'First 5 Innings'!$G$11, FALSE)</f>
        <v>1.109832776722845E-6</v>
      </c>
      <c r="Q6" s="1">
        <f>_xlfn.POISSON.DIST($D6,'First 5 Innings'!$G$12, FALSE) * _xlfn.POISSON.DIST(Q$4, 'First 5 Innings'!$G$11, FALSE)</f>
        <v>1.6893893604344745E-7</v>
      </c>
      <c r="R6" s="1">
        <f>_xlfn.POISSON.DIST($D6,'First 5 Innings'!$G$12, FALSE) * _xlfn.POISSON.DIST(R$4, 'First 5 Innings'!$G$11, FALSE)</f>
        <v>2.3737766661860023E-8</v>
      </c>
      <c r="S6" s="1">
        <f>_xlfn.POISSON.DIST($D6,'First 5 Innings'!$G$12, FALSE) * _xlfn.POISSON.DIST(S$4, 'First 5 Innings'!$G$11, FALSE)</f>
        <v>3.0971716470736936E-9</v>
      </c>
      <c r="T6" s="1">
        <f>_xlfn.POISSON.DIST($D6,'First 5 Innings'!$G$12, FALSE) * _xlfn.POISSON.DIST(T$4, 'First 5 Innings'!$G$11, FALSE)</f>
        <v>3.7716160039575284E-10</v>
      </c>
    </row>
    <row r="7" spans="2:20">
      <c r="B7" s="377"/>
      <c r="C7" s="377"/>
      <c r="D7" s="1">
        <v>2</v>
      </c>
      <c r="E7" s="1">
        <f>_xlfn.POISSON.DIST($D7,'First 5 Innings'!$G$12, FALSE) * _xlfn.POISSON.DIST(E$4, 'First 5 Innings'!$G$11, FALSE)</f>
        <v>3.3580462329189875E-2</v>
      </c>
      <c r="F7" s="1">
        <f>_xlfn.POISSON.DIST($D7,'First 5 Innings'!$G$12, FALSE) * _xlfn.POISSON.DIST(F$4, 'First 5 Innings'!$G$11, FALSE)</f>
        <v>6.1339484975298481E-2</v>
      </c>
      <c r="G7" s="1">
        <f>_xlfn.POISSON.DIST($D7,'First 5 Innings'!$G$12, FALSE) * _xlfn.POISSON.DIST(G$4, 'First 5 Innings'!$G$11, FALSE)</f>
        <v>5.6022641680014654E-2</v>
      </c>
      <c r="H7" s="1">
        <f>_xlfn.POISSON.DIST($D7,'First 5 Innings'!$G$12, FALSE) * _xlfn.POISSON.DIST(H$4, 'First 5 Innings'!$G$11, FALSE)</f>
        <v>3.4111104585365731E-2</v>
      </c>
      <c r="I7" s="1">
        <f>_xlfn.POISSON.DIST($D7,'First 5 Innings'!$G$12, FALSE) * _xlfn.POISSON.DIST(I$4, 'First 5 Innings'!$G$11, FALSE)</f>
        <v>1.5577194610168385E-2</v>
      </c>
      <c r="J7" s="1">
        <f>_xlfn.POISSON.DIST($D7,'First 5 Innings'!$G$12, FALSE) * _xlfn.POISSON.DIST(J$4, 'First 5 Innings'!$G$11, FALSE)</f>
        <v>5.6907917787490112E-3</v>
      </c>
      <c r="K7" s="1">
        <f>_xlfn.POISSON.DIST($D7,'First 5 Innings'!$G$12, FALSE) * _xlfn.POISSON.DIST(K$4, 'First 5 Innings'!$G$11, FALSE)</f>
        <v>1.7325066055185381E-3</v>
      </c>
      <c r="L7" s="1">
        <f>_xlfn.POISSON.DIST($D7,'First 5 Innings'!$G$12, FALSE) * _xlfn.POISSON.DIST(L$4, 'First 5 Innings'!$G$11, FALSE)</f>
        <v>4.5209563421999278E-4</v>
      </c>
      <c r="M7" s="1">
        <f>_xlfn.POISSON.DIST($D7,'First 5 Innings'!$G$12, FALSE) * _xlfn.POISSON.DIST(M$4, 'First 5 Innings'!$G$11, FALSE)</f>
        <v>1.0322711272846965E-4</v>
      </c>
      <c r="N7" s="1">
        <f>_xlfn.POISSON.DIST($D7,'First 5 Innings'!$G$12, FALSE) * _xlfn.POISSON.DIST(N$4, 'First 5 Innings'!$G$11, FALSE)</f>
        <v>2.0950998457839046E-5</v>
      </c>
      <c r="O7" s="1">
        <f>_xlfn.POISSON.DIST($D7,'First 5 Innings'!$G$12, FALSE) * _xlfn.POISSON.DIST(O$4, 'First 5 Innings'!$G$11, FALSE)</f>
        <v>3.82699750385814E-6</v>
      </c>
      <c r="P7" s="1">
        <f>_xlfn.POISSON.DIST($D7,'First 5 Innings'!$G$12, FALSE) * _xlfn.POISSON.DIST(P$4, 'First 5 Innings'!$G$11, FALSE)</f>
        <v>6.3550496494384828E-7</v>
      </c>
      <c r="Q7" s="1">
        <f>_xlfn.POISSON.DIST($D7,'First 5 Innings'!$G$12, FALSE) * _xlfn.POISSON.DIST(Q$4, 'First 5 Innings'!$G$11, FALSE)</f>
        <v>9.6736675001582827E-8</v>
      </c>
      <c r="R7" s="1">
        <f>_xlfn.POISSON.DIST($D7,'First 5 Innings'!$G$12, FALSE) * _xlfn.POISSON.DIST(R$4, 'First 5 Innings'!$G$11, FALSE)</f>
        <v>1.359255996640821E-8</v>
      </c>
      <c r="S7" s="1">
        <f>_xlfn.POISSON.DIST($D7,'First 5 Innings'!$G$12, FALSE) * _xlfn.POISSON.DIST(S$4, 'First 5 Innings'!$G$11, FALSE)</f>
        <v>1.7734815553119835E-9</v>
      </c>
      <c r="T7" s="1">
        <f>_xlfn.POISSON.DIST($D7,'First 5 Innings'!$G$12, FALSE) * _xlfn.POISSON.DIST(T$4, 'First 5 Innings'!$G$11, FALSE)</f>
        <v>2.1596773375663708E-10</v>
      </c>
    </row>
    <row r="8" spans="2:20">
      <c r="B8" s="377"/>
      <c r="C8" s="377"/>
      <c r="D8" s="1">
        <v>3</v>
      </c>
      <c r="E8" s="1">
        <f>_xlfn.POISSON.DIST($D8,'First 5 Innings'!$G$12, FALSE) * _xlfn.POISSON.DIST(E$4, 'First 5 Innings'!$G$11, FALSE)</f>
        <v>1.281907868338218E-2</v>
      </c>
      <c r="F8" s="1">
        <f>_xlfn.POISSON.DIST($D8,'First 5 Innings'!$G$12, FALSE) * _xlfn.POISSON.DIST(F$4, 'First 5 Innings'!$G$11, FALSE)</f>
        <v>2.3415868328083855E-2</v>
      </c>
      <c r="G8" s="1">
        <f>_xlfn.POISSON.DIST($D8,'First 5 Innings'!$G$12, FALSE) * _xlfn.POISSON.DIST(G$4, 'First 5 Innings'!$G$11, FALSE)</f>
        <v>2.1386205011322108E-2</v>
      </c>
      <c r="H8" s="1">
        <f>_xlfn.POISSON.DIST($D8,'First 5 Innings'!$G$12, FALSE) * _xlfn.POISSON.DIST(H$4, 'First 5 Innings'!$G$11, FALSE)</f>
        <v>1.3021647211711604E-2</v>
      </c>
      <c r="I8" s="1">
        <f>_xlfn.POISSON.DIST($D8,'First 5 Innings'!$G$12, FALSE) * _xlfn.POISSON.DIST(I$4, 'First 5 Innings'!$G$11, FALSE)</f>
        <v>5.9464721306272351E-3</v>
      </c>
      <c r="J8" s="1">
        <f>_xlfn.POISSON.DIST($D8,'First 5 Innings'!$G$12, FALSE) * _xlfn.POISSON.DIST(J$4, 'First 5 Innings'!$G$11, FALSE)</f>
        <v>2.1724152236914105E-3</v>
      </c>
      <c r="K8" s="1">
        <f>_xlfn.POISSON.DIST($D8,'First 5 Innings'!$G$12, FALSE) * _xlfn.POISSON.DIST(K$4, 'First 5 Innings'!$G$11, FALSE)</f>
        <v>6.6137083753954682E-4</v>
      </c>
      <c r="L8" s="1">
        <f>_xlfn.POISSON.DIST($D8,'First 5 Innings'!$G$12, FALSE) * _xlfn.POISSON.DIST(L$4, 'First 5 Innings'!$G$11, FALSE)</f>
        <v>1.7258397012723532E-4</v>
      </c>
      <c r="M8" s="1">
        <f>_xlfn.POISSON.DIST($D8,'First 5 Innings'!$G$12, FALSE) * _xlfn.POISSON.DIST(M$4, 'First 5 Innings'!$G$11, FALSE)</f>
        <v>3.9406142397698737E-5</v>
      </c>
      <c r="N8" s="1">
        <f>_xlfn.POISSON.DIST($D8,'First 5 Innings'!$G$12, FALSE) * _xlfn.POISSON.DIST(N$4, 'First 5 Innings'!$G$11, FALSE)</f>
        <v>7.9978796924722595E-6</v>
      </c>
      <c r="O8" s="1">
        <f>_xlfn.POISSON.DIST($D8,'First 5 Innings'!$G$12, FALSE) * _xlfn.POISSON.DIST(O$4, 'First 5 Innings'!$G$11, FALSE)</f>
        <v>1.4609263458657158E-6</v>
      </c>
      <c r="P8" s="1">
        <f>_xlfn.POISSON.DIST($D8,'First 5 Innings'!$G$12, FALSE) * _xlfn.POISSON.DIST(P$4, 'First 5 Innings'!$G$11, FALSE)</f>
        <v>2.4259904671454714E-7</v>
      </c>
      <c r="Q8" s="1">
        <f>_xlfn.POISSON.DIST($D8,'First 5 Innings'!$G$12, FALSE) * _xlfn.POISSON.DIST(Q$4, 'First 5 Innings'!$G$11, FALSE)</f>
        <v>3.6928468591575131E-8</v>
      </c>
      <c r="R8" s="1">
        <f>_xlfn.POISSON.DIST($D8,'First 5 Innings'!$G$12, FALSE) * _xlfn.POISSON.DIST(R$4, 'First 5 Innings'!$G$11, FALSE)</f>
        <v>5.1888533877187119E-9</v>
      </c>
      <c r="S8" s="1">
        <f>_xlfn.POISSON.DIST($D8,'First 5 Innings'!$G$12, FALSE) * _xlfn.POISSON.DIST(S$4, 'First 5 Innings'!$G$11, FALSE)</f>
        <v>6.7701270394092827E-10</v>
      </c>
      <c r="T8" s="1">
        <f>_xlfn.POISSON.DIST($D8,'First 5 Innings'!$G$12, FALSE) * _xlfn.POISSON.DIST(T$4, 'First 5 Innings'!$G$11, FALSE)</f>
        <v>8.2443992133233211E-11</v>
      </c>
    </row>
    <row r="9" spans="2:20">
      <c r="B9" s="377"/>
      <c r="C9" s="377"/>
      <c r="D9" s="1">
        <v>4</v>
      </c>
      <c r="E9" s="1">
        <f>_xlfn.POISSON.DIST($D9,'First 5 Innings'!$G$12, FALSE) * _xlfn.POISSON.DIST(E$4, 'First 5 Innings'!$G$11, FALSE)</f>
        <v>3.6701872210653077E-3</v>
      </c>
      <c r="F9" s="1">
        <f>_xlfn.POISSON.DIST($D9,'First 5 Innings'!$G$12, FALSE) * _xlfn.POISSON.DIST(F$4, 'First 5 Innings'!$G$11, FALSE)</f>
        <v>6.7041183559696117E-3</v>
      </c>
      <c r="G9" s="1">
        <f>_xlfn.POISSON.DIST($D9,'First 5 Innings'!$G$12, FALSE) * _xlfn.POISSON.DIST(G$4, 'First 5 Innings'!$G$11, FALSE)</f>
        <v>6.1230122911553981E-3</v>
      </c>
      <c r="H9" s="1">
        <f>_xlfn.POISSON.DIST($D9,'First 5 Innings'!$G$12, FALSE) * _xlfn.POISSON.DIST(H$4, 'First 5 Innings'!$G$11, FALSE)</f>
        <v>3.7281839338110089E-3</v>
      </c>
      <c r="I9" s="1">
        <f>_xlfn.POISSON.DIST($D9,'First 5 Innings'!$G$12, FALSE) * _xlfn.POISSON.DIST(I$4, 'First 5 Innings'!$G$11, FALSE)</f>
        <v>1.702514397742261E-3</v>
      </c>
      <c r="J9" s="1">
        <f>_xlfn.POISSON.DIST($D9,'First 5 Innings'!$G$12, FALSE) * _xlfn.POISSON.DIST(J$4, 'First 5 Innings'!$G$11, FALSE)</f>
        <v>6.2197688225253231E-4</v>
      </c>
      <c r="K9" s="1">
        <f>_xlfn.POISSON.DIST($D9,'First 5 Innings'!$G$12, FALSE) * _xlfn.POISSON.DIST(K$4, 'First 5 Innings'!$G$11, FALSE)</f>
        <v>1.8935485585789947E-4</v>
      </c>
      <c r="L9" s="1">
        <f>_xlfn.POISSON.DIST($D9,'First 5 Innings'!$G$12, FALSE) * _xlfn.POISSON.DIST(L$4, 'First 5 Innings'!$G$11, FALSE)</f>
        <v>4.9411934926557123E-5</v>
      </c>
      <c r="M9" s="1">
        <f>_xlfn.POISSON.DIST($D9,'First 5 Innings'!$G$12, FALSE) * _xlfn.POISSON.DIST(M$4, 'First 5 Innings'!$G$11, FALSE)</f>
        <v>1.1282239842009859E-5</v>
      </c>
      <c r="N9" s="1">
        <f>_xlfn.POISSON.DIST($D9,'First 5 Innings'!$G$12, FALSE) * _xlfn.POISSON.DIST(N$4, 'First 5 Innings'!$G$11, FALSE)</f>
        <v>2.2898459840941355E-6</v>
      </c>
      <c r="O9" s="1">
        <f>_xlfn.POISSON.DIST($D9,'First 5 Innings'!$G$12, FALSE) * _xlfn.POISSON.DIST(O$4, 'First 5 Innings'!$G$11, FALSE)</f>
        <v>4.1827289916433459E-7</v>
      </c>
      <c r="P9" s="1">
        <f>_xlfn.POISSON.DIST($D9,'First 5 Innings'!$G$12, FALSE) * _xlfn.POISSON.DIST(P$4, 'First 5 Innings'!$G$11, FALSE)</f>
        <v>6.9457715572694961E-8</v>
      </c>
      <c r="Q9" s="1">
        <f>_xlfn.POISSON.DIST($D9,'First 5 Innings'!$G$12, FALSE) * _xlfn.POISSON.DIST(Q$4, 'First 5 Innings'!$G$11, FALSE)</f>
        <v>1.0572865403658736E-8</v>
      </c>
      <c r="R9" s="1">
        <f>_xlfn.POISSON.DIST($D9,'First 5 Innings'!$G$12, FALSE) * _xlfn.POISSON.DIST(R$4, 'First 5 Innings'!$G$11, FALSE)</f>
        <v>1.4856031284271725E-9</v>
      </c>
      <c r="S9" s="1">
        <f>_xlfn.POISSON.DIST($D9,'First 5 Innings'!$G$12, FALSE) * _xlfn.POISSON.DIST(S$4, 'First 5 Innings'!$G$11, FALSE)</f>
        <v>1.9383322591848593E-10</v>
      </c>
      <c r="T9" s="1">
        <f>_xlfn.POISSON.DIST($D9,'First 5 Innings'!$G$12, FALSE) * _xlfn.POISSON.DIST(T$4, 'First 5 Innings'!$G$11, FALSE)</f>
        <v>2.3604261574059347E-11</v>
      </c>
    </row>
    <row r="10" spans="2:20">
      <c r="B10" s="377"/>
      <c r="C10" s="377"/>
      <c r="D10" s="1">
        <v>5</v>
      </c>
      <c r="E10" s="1">
        <f>_xlfn.POISSON.DIST($D10,'First 5 Innings'!$G$12, FALSE) * _xlfn.POISSON.DIST(E$4, 'First 5 Innings'!$G$11, FALSE)</f>
        <v>8.4063914859235989E-4</v>
      </c>
      <c r="F10" s="1">
        <f>_xlfn.POISSON.DIST($D10,'First 5 Innings'!$G$12, FALSE) * _xlfn.POISSON.DIST(F$4, 'First 5 Innings'!$G$11, FALSE)</f>
        <v>1.5355468283683022E-3</v>
      </c>
      <c r="G10" s="1">
        <f>_xlfn.POISSON.DIST($D10,'First 5 Innings'!$G$12, FALSE) * _xlfn.POISSON.DIST(G$4, 'First 5 Innings'!$G$11, FALSE)</f>
        <v>1.402447212968986E-3</v>
      </c>
      <c r="H10" s="1">
        <f>_xlfn.POISSON.DIST($D10,'First 5 Innings'!$G$12, FALSE) * _xlfn.POISSON.DIST(H$4, 'First 5 Innings'!$G$11, FALSE)</f>
        <v>8.5392302330694473E-4</v>
      </c>
      <c r="I10" s="1">
        <f>_xlfn.POISSON.DIST($D10,'First 5 Innings'!$G$12, FALSE) * _xlfn.POISSON.DIST(I$4, 'First 5 Innings'!$G$11, FALSE)</f>
        <v>3.8995292816938884E-4</v>
      </c>
      <c r="J10" s="1">
        <f>_xlfn.POISSON.DIST($D10,'First 5 Innings'!$G$12, FALSE) * _xlfn.POISSON.DIST(J$4, 'First 5 Innings'!$G$11, FALSE)</f>
        <v>1.4246088421318589E-4</v>
      </c>
      <c r="K10" s="1">
        <f>_xlfn.POISSON.DIST($D10,'First 5 Innings'!$G$12, FALSE) * _xlfn.POISSON.DIST(K$4, 'First 5 Innings'!$G$11, FALSE)</f>
        <v>4.3370840565460403E-5</v>
      </c>
      <c r="L10" s="1">
        <f>_xlfn.POISSON.DIST($D10,'First 5 Innings'!$G$12, FALSE) * _xlfn.POISSON.DIST(L$4, 'First 5 Innings'!$G$11, FALSE)</f>
        <v>1.1317571667340004E-5</v>
      </c>
      <c r="M10" s="1">
        <f>_xlfn.POISSON.DIST($D10,'First 5 Innings'!$G$12, FALSE) * _xlfn.POISSON.DIST(M$4, 'First 5 Innings'!$G$11, FALSE)</f>
        <v>2.5841440568933869E-6</v>
      </c>
      <c r="N10" s="1">
        <f>_xlfn.POISSON.DIST($D10,'First 5 Innings'!$G$12, FALSE) * _xlfn.POISSON.DIST(N$4, 'First 5 Innings'!$G$11, FALSE)</f>
        <v>5.24478470043225E-7</v>
      </c>
      <c r="O10" s="1">
        <f>_xlfn.POISSON.DIST($D10,'First 5 Innings'!$G$12, FALSE) * _xlfn.POISSON.DIST(O$4, 'First 5 Innings'!$G$11, FALSE)</f>
        <v>9.5803443435973847E-8</v>
      </c>
      <c r="P10" s="1">
        <f>_xlfn.POISSON.DIST($D10,'First 5 Innings'!$G$12, FALSE) * _xlfn.POISSON.DIST(P$4, 'First 5 Innings'!$G$11, FALSE)</f>
        <v>1.5908963593757118E-8</v>
      </c>
      <c r="Q10" s="1">
        <f>_xlfn.POISSON.DIST($D10,'First 5 Innings'!$G$12, FALSE) * _xlfn.POISSON.DIST(Q$4, 'First 5 Innings'!$G$11, FALSE)</f>
        <v>2.4216651728555356E-9</v>
      </c>
      <c r="R10" s="1">
        <f>_xlfn.POISSON.DIST($D10,'First 5 Innings'!$G$12, FALSE) * _xlfn.POISSON.DIST(R$4, 'First 5 Innings'!$G$11, FALSE)</f>
        <v>3.4027042050042118E-10</v>
      </c>
      <c r="S10" s="1">
        <f>_xlfn.POISSON.DIST($D10,'First 5 Innings'!$G$12, FALSE) * _xlfn.POISSON.DIST(S$4, 'First 5 Innings'!$G$11, FALSE)</f>
        <v>4.4396590198396077E-11</v>
      </c>
      <c r="T10" s="1">
        <f>_xlfn.POISSON.DIST($D10,'First 5 Innings'!$G$12, FALSE) * _xlfn.POISSON.DIST(T$4, 'First 5 Innings'!$G$11, FALSE)</f>
        <v>5.4064452731130915E-12</v>
      </c>
    </row>
    <row r="11" spans="2:20">
      <c r="B11" s="377"/>
      <c r="C11" s="377"/>
      <c r="D11" s="1">
        <v>6</v>
      </c>
      <c r="E11" s="1">
        <f>_xlfn.POISSON.DIST($D11,'First 5 Innings'!$G$12, FALSE) * _xlfn.POISSON.DIST(E$4, 'First 5 Innings'!$G$11, FALSE)</f>
        <v>1.6045370794031048E-4</v>
      </c>
      <c r="F11" s="1">
        <f>_xlfn.POISSON.DIST($D11,'First 5 Innings'!$G$12, FALSE) * _xlfn.POISSON.DIST(F$4, 'First 5 Innings'!$G$11, FALSE)</f>
        <v>2.9309149203941425E-4</v>
      </c>
      <c r="G11" s="1">
        <f>_xlfn.POISSON.DIST($D11,'First 5 Innings'!$G$12, FALSE) * _xlfn.POISSON.DIST(G$4, 'First 5 Innings'!$G$11, FALSE)</f>
        <v>2.6768662378885699E-4</v>
      </c>
      <c r="H11" s="1">
        <f>_xlfn.POISSON.DIST($D11,'First 5 Innings'!$G$12, FALSE) * _xlfn.POISSON.DIST(H$4, 'First 5 Innings'!$G$11, FALSE)</f>
        <v>1.6298921554465981E-4</v>
      </c>
      <c r="I11" s="1">
        <f>_xlfn.POISSON.DIST($D11,'First 5 Innings'!$G$12, FALSE) * _xlfn.POISSON.DIST(I$4, 'First 5 Innings'!$G$11, FALSE)</f>
        <v>7.443073921995149E-5</v>
      </c>
      <c r="J11" s="1">
        <f>_xlfn.POISSON.DIST($D11,'First 5 Innings'!$G$12, FALSE) * _xlfn.POISSON.DIST(J$4, 'First 5 Innings'!$G$11, FALSE)</f>
        <v>2.7191663803353665E-5</v>
      </c>
      <c r="K11" s="1">
        <f>_xlfn.POISSON.DIST($D11,'First 5 Innings'!$G$12, FALSE) * _xlfn.POISSON.DIST(K$4, 'First 5 Innings'!$G$11, FALSE)</f>
        <v>8.278239476318627E-6</v>
      </c>
      <c r="L11" s="1">
        <f>_xlfn.POISSON.DIST($D11,'First 5 Innings'!$G$12, FALSE) * _xlfn.POISSON.DIST(L$4, 'First 5 Innings'!$G$11, FALSE)</f>
        <v>2.1601972046456391E-6</v>
      </c>
      <c r="M11" s="1">
        <f>_xlfn.POISSON.DIST($D11,'First 5 Innings'!$G$12, FALSE) * _xlfn.POISSON.DIST(M$4, 'First 5 Innings'!$G$11, FALSE)</f>
        <v>4.9323838471568048E-7</v>
      </c>
      <c r="N11" s="1">
        <f>_xlfn.POISSON.DIST($D11,'First 5 Innings'!$G$12, FALSE) * _xlfn.POISSON.DIST(N$4, 'First 5 Innings'!$G$11, FALSE)</f>
        <v>1.0010777560646827E-7</v>
      </c>
      <c r="O11" s="1">
        <f>_xlfn.POISSON.DIST($D11,'First 5 Innings'!$G$12, FALSE) * _xlfn.POISSON.DIST(O$4, 'First 5 Innings'!$G$11, FALSE)</f>
        <v>1.8286107372577236E-8</v>
      </c>
      <c r="P11" s="1">
        <f>_xlfn.POISSON.DIST($D11,'First 5 Innings'!$G$12, FALSE) * _xlfn.POISSON.DIST(P$4, 'First 5 Innings'!$G$11, FALSE)</f>
        <v>3.03656117179425E-9</v>
      </c>
      <c r="Q11" s="1">
        <f>_xlfn.POISSON.DIST($D11,'First 5 Innings'!$G$12, FALSE) * _xlfn.POISSON.DIST(Q$4, 'First 5 Innings'!$G$11, FALSE)</f>
        <v>4.6222586352923399E-10</v>
      </c>
      <c r="R11" s="1">
        <f>_xlfn.POISSON.DIST($D11,'First 5 Innings'!$G$12, FALSE) * _xlfn.POISSON.DIST(R$4, 'First 5 Innings'!$G$11, FALSE)</f>
        <v>6.4947784983752338E-11</v>
      </c>
      <c r="S11" s="1">
        <f>_xlfn.POISSON.DIST($D11,'First 5 Innings'!$G$12, FALSE) * _xlfn.POISSON.DIST(S$4, 'First 5 Innings'!$G$11, FALSE)</f>
        <v>8.4740254235928371E-12</v>
      </c>
      <c r="T11" s="1">
        <f>_xlfn.POISSON.DIST($D11,'First 5 Innings'!$G$12, FALSE) * _xlfn.POISSON.DIST(T$4, 'First 5 Innings'!$G$11, FALSE)</f>
        <v>1.0319340852730353E-12</v>
      </c>
    </row>
    <row r="12" spans="2:20">
      <c r="B12" s="377"/>
      <c r="C12" s="377"/>
      <c r="D12" s="1">
        <v>7</v>
      </c>
      <c r="E12" s="1">
        <f>_xlfn.POISSON.DIST($D12,'First 5 Innings'!$G$12, FALSE) * _xlfn.POISSON.DIST(E$4, 'First 5 Innings'!$G$11, FALSE)</f>
        <v>2.6250834534554374E-5</v>
      </c>
      <c r="F12" s="1">
        <f>_xlfn.POISSON.DIST($D12,'First 5 Innings'!$G$12, FALSE) * _xlfn.POISSON.DIST(F$4, 'First 5 Innings'!$G$11, FALSE)</f>
        <v>4.7950878541706804E-5</v>
      </c>
      <c r="G12" s="1">
        <f>_xlfn.POISSON.DIST($D12,'First 5 Innings'!$G$12, FALSE) * _xlfn.POISSON.DIST(G$4, 'First 5 Innings'!$G$11, FALSE)</f>
        <v>4.379454584376989E-5</v>
      </c>
      <c r="H12" s="1">
        <f>_xlfn.POISSON.DIST($D12,'First 5 Innings'!$G$12, FALSE) * _xlfn.POISSON.DIST(H$4, 'First 5 Innings'!$G$11, FALSE)</f>
        <v>2.6665653184975586E-5</v>
      </c>
      <c r="I12" s="1">
        <f>_xlfn.POISSON.DIST($D12,'First 5 Innings'!$G$12, FALSE) * _xlfn.POISSON.DIST(I$4, 'First 5 Innings'!$G$11, FALSE)</f>
        <v>1.217715093423931E-5</v>
      </c>
      <c r="J12" s="1">
        <f>_xlfn.POISSON.DIST($D12,'First 5 Innings'!$G$12, FALSE) * _xlfn.POISSON.DIST(J$4, 'First 5 Innings'!$G$11, FALSE)</f>
        <v>4.4486592200574569E-6</v>
      </c>
      <c r="K12" s="1">
        <f>_xlfn.POISSON.DIST($D12,'First 5 Innings'!$G$12, FALSE) * _xlfn.POISSON.DIST(K$4, 'First 5 Innings'!$G$11, FALSE)</f>
        <v>1.3543513423267036E-6</v>
      </c>
      <c r="L12" s="1">
        <f>_xlfn.POISSON.DIST($D12,'First 5 Innings'!$G$12, FALSE) * _xlfn.POISSON.DIST(L$4, 'First 5 Innings'!$G$11, FALSE)</f>
        <v>3.534164470805176E-7</v>
      </c>
      <c r="M12" s="1">
        <f>_xlfn.POISSON.DIST($D12,'First 5 Innings'!$G$12, FALSE) * _xlfn.POISSON.DIST(M$4, 'First 5 Innings'!$G$11, FALSE)</f>
        <v>8.0695668485759707E-8</v>
      </c>
      <c r="N12" s="1">
        <f>_xlfn.POISSON.DIST($D12,'First 5 Innings'!$G$12, FALSE) * _xlfn.POISSON.DIST(N$4, 'First 5 Innings'!$G$11, FALSE)</f>
        <v>1.6378011370390352E-8</v>
      </c>
      <c r="O12" s="1">
        <f>_xlfn.POISSON.DIST($D12,'First 5 Innings'!$G$12, FALSE) * _xlfn.POISSON.DIST(O$4, 'First 5 Innings'!$G$11, FALSE)</f>
        <v>2.991676447247898E-9</v>
      </c>
      <c r="P12" s="1">
        <f>_xlfn.POISSON.DIST($D12,'First 5 Innings'!$G$12, FALSE) * _xlfn.POISSON.DIST(P$4, 'First 5 Innings'!$G$11, FALSE)</f>
        <v>4.9679291241107829E-10</v>
      </c>
      <c r="Q12" s="1">
        <f>_xlfn.POISSON.DIST($D12,'First 5 Innings'!$G$12, FALSE) * _xlfn.POISSON.DIST(Q$4, 'First 5 Innings'!$G$11, FALSE)</f>
        <v>7.5621902521637393E-11</v>
      </c>
      <c r="R12" s="1">
        <f>_xlfn.POISSON.DIST($D12,'First 5 Innings'!$G$12, FALSE) * _xlfn.POISSON.DIST(R$4, 'First 5 Innings'!$G$11, FALSE)</f>
        <v>1.0625703692859134E-11</v>
      </c>
      <c r="S12" s="1">
        <f>_xlfn.POISSON.DIST($D12,'First 5 Innings'!$G$12, FALSE) * _xlfn.POISSON.DIST(S$4, 'First 5 Innings'!$G$11, FALSE)</f>
        <v>1.3863826650805423E-12</v>
      </c>
      <c r="T12" s="1">
        <f>_xlfn.POISSON.DIST($D12,'First 5 Innings'!$G$12, FALSE) * _xlfn.POISSON.DIST(T$4, 'First 5 Innings'!$G$11, FALSE)</f>
        <v>1.6882832606864065E-13</v>
      </c>
    </row>
    <row r="13" spans="2:20">
      <c r="B13" s="377"/>
      <c r="C13" s="377"/>
      <c r="D13" s="1">
        <v>8</v>
      </c>
      <c r="E13" s="1">
        <f>_xlfn.POISSON.DIST($D13,'First 5 Innings'!$G$12, FALSE) * _xlfn.POISSON.DIST(E$4, 'First 5 Innings'!$G$11, FALSE)</f>
        <v>3.7578939887434047E-6</v>
      </c>
      <c r="F13" s="1">
        <f>_xlfn.POISSON.DIST($D13,'First 5 Innings'!$G$12, FALSE) * _xlfn.POISSON.DIST(F$4, 'First 5 Innings'!$G$11, FALSE)</f>
        <v>6.8643272269935865E-6</v>
      </c>
      <c r="G13" s="1">
        <f>_xlfn.POISSON.DIST($D13,'First 5 Innings'!$G$12, FALSE) * _xlfn.POISSON.DIST(G$4, 'First 5 Innings'!$G$11, FALSE)</f>
        <v>6.2693344224701651E-6</v>
      </c>
      <c r="H13" s="1">
        <f>_xlfn.POISSON.DIST($D13,'First 5 Innings'!$G$12, FALSE) * _xlfn.POISSON.DIST(H$4, 'First 5 Innings'!$G$11, FALSE)</f>
        <v>3.8172766537320014E-6</v>
      </c>
      <c r="I13" s="1">
        <f>_xlfn.POISSON.DIST($D13,'First 5 Innings'!$G$12, FALSE) * _xlfn.POISSON.DIST(I$4, 'First 5 Innings'!$G$11, FALSE)</f>
        <v>1.743199525164195E-6</v>
      </c>
      <c r="J13" s="1">
        <f>_xlfn.POISSON.DIST($D13,'First 5 Innings'!$G$12, FALSE) * _xlfn.POISSON.DIST(J$4, 'First 5 Innings'!$G$11, FALSE)</f>
        <v>6.3684031526754775E-7</v>
      </c>
      <c r="K13" s="1">
        <f>_xlfn.POISSON.DIST($D13,'First 5 Innings'!$G$12, FALSE) * _xlfn.POISSON.DIST(K$4, 'First 5 Innings'!$G$11, FALSE)</f>
        <v>1.9387988451478302E-7</v>
      </c>
      <c r="L13" s="1">
        <f>_xlfn.POISSON.DIST($D13,'First 5 Innings'!$G$12, FALSE) * _xlfn.POISSON.DIST(L$4, 'First 5 Innings'!$G$11, FALSE)</f>
        <v>5.0592736023638728E-8</v>
      </c>
      <c r="M13" s="1">
        <f>_xlfn.POISSON.DIST($D13,'First 5 Innings'!$G$12, FALSE) * _xlfn.POISSON.DIST(M$4, 'First 5 Innings'!$G$11, FALSE)</f>
        <v>1.155185246096081E-8</v>
      </c>
      <c r="N13" s="1">
        <f>_xlfn.POISSON.DIST($D13,'First 5 Innings'!$G$12, FALSE) * _xlfn.POISSON.DIST(N$4, 'First 5 Innings'!$G$11, FALSE)</f>
        <v>2.3445666230285363E-9</v>
      </c>
      <c r="O13" s="1">
        <f>_xlfn.POISSON.DIST($D13,'First 5 Innings'!$G$12, FALSE) * _xlfn.POISSON.DIST(O$4, 'First 5 Innings'!$G$11, FALSE)</f>
        <v>4.2826840124185589E-10</v>
      </c>
      <c r="P13" s="1">
        <f>_xlfn.POISSON.DIST($D13,'First 5 Innings'!$G$12, FALSE) * _xlfn.POISSON.DIST(P$4, 'First 5 Innings'!$G$11, FALSE)</f>
        <v>7.111755234838334E-11</v>
      </c>
      <c r="Q13" s="1">
        <f>_xlfn.POISSON.DIST($D13,'First 5 Innings'!$G$12, FALSE) * _xlfn.POISSON.DIST(Q$4, 'First 5 Innings'!$G$11, FALSE)</f>
        <v>1.0825526042965666E-11</v>
      </c>
      <c r="R13" s="1">
        <f>_xlfn.POISSON.DIST($D13,'First 5 Innings'!$G$12, FALSE) * _xlfn.POISSON.DIST(R$4, 'First 5 Innings'!$G$11, FALSE)</f>
        <v>1.5211047092999314E-12</v>
      </c>
      <c r="S13" s="1">
        <f>_xlfn.POISSON.DIST($D13,'First 5 Innings'!$G$12, FALSE) * _xlfn.POISSON.DIST(S$4, 'First 5 Innings'!$G$11, FALSE)</f>
        <v>1.9846527455522938E-13</v>
      </c>
      <c r="T13" s="1">
        <f>_xlfn.POISSON.DIST($D13,'First 5 Innings'!$G$12, FALSE) * _xlfn.POISSON.DIST(T$4, 'First 5 Innings'!$G$11, FALSE)</f>
        <v>2.4168334565814832E-14</v>
      </c>
    </row>
    <row r="14" spans="2:20">
      <c r="B14" s="377"/>
      <c r="C14" s="377"/>
      <c r="D14" s="1">
        <v>9</v>
      </c>
      <c r="E14" s="1">
        <f>_xlfn.POISSON.DIST($D14,'First 5 Innings'!$G$12, FALSE) * _xlfn.POISSON.DIST(E$4, 'First 5 Innings'!$G$11, FALSE)</f>
        <v>4.7818220659851239E-7</v>
      </c>
      <c r="F14" s="1">
        <f>_xlfn.POISSON.DIST($D14,'First 5 Innings'!$G$12, FALSE) * _xlfn.POISSON.DIST(F$4, 'First 5 Innings'!$G$11, FALSE)</f>
        <v>8.7346773220594137E-7</v>
      </c>
      <c r="G14" s="1">
        <f>_xlfn.POISSON.DIST($D14,'First 5 Innings'!$G$12, FALSE) * _xlfn.POISSON.DIST(G$4, 'First 5 Innings'!$G$11, FALSE)</f>
        <v>7.9775645002781233E-7</v>
      </c>
      <c r="H14" s="1">
        <f>_xlfn.POISSON.DIST($D14,'First 5 Innings'!$G$12, FALSE) * _xlfn.POISSON.DIST(H$4, 'First 5 Innings'!$G$11, FALSE)</f>
        <v>4.8573849580278622E-7</v>
      </c>
      <c r="I14" s="1">
        <f>_xlfn.POISSON.DIST($D14,'First 5 Innings'!$G$12, FALSE) * _xlfn.POISSON.DIST(I$4, 'First 5 Innings'!$G$11, FALSE)</f>
        <v>2.2181759197609213E-7</v>
      </c>
      <c r="J14" s="1">
        <f>_xlfn.POISSON.DIST($D14,'First 5 Innings'!$G$12, FALSE) * _xlfn.POISSON.DIST(J$4, 'First 5 Innings'!$G$11, FALSE)</f>
        <v>8.1036268749922385E-8</v>
      </c>
      <c r="K14" s="1">
        <f>_xlfn.POISSON.DIST($D14,'First 5 Innings'!$G$12, FALSE) * _xlfn.POISSON.DIST(K$4, 'First 5 Innings'!$G$11, FALSE)</f>
        <v>2.4670709517099711E-8</v>
      </c>
      <c r="L14" s="1">
        <f>_xlfn.POISSON.DIST($D14,'First 5 Innings'!$G$12, FALSE) * _xlfn.POISSON.DIST(L$4, 'First 5 Innings'!$G$11, FALSE)</f>
        <v>6.4377936743578327E-9</v>
      </c>
      <c r="M14" s="1">
        <f>_xlfn.POISSON.DIST($D14,'First 5 Innings'!$G$12, FALSE) * _xlfn.POISSON.DIST(M$4, 'First 5 Innings'!$G$11, FALSE)</f>
        <v>1.4699430895680536E-9</v>
      </c>
      <c r="N14" s="1">
        <f>_xlfn.POISSON.DIST($D14,'First 5 Innings'!$G$12, FALSE) * _xlfn.POISSON.DIST(N$4, 'First 5 Innings'!$G$11, FALSE)</f>
        <v>2.9833998635280846E-10</v>
      </c>
      <c r="O14" s="1">
        <f>_xlfn.POISSON.DIST($D14,'First 5 Innings'!$G$12, FALSE) * _xlfn.POISSON.DIST(O$4, 'First 5 Innings'!$G$11, FALSE)</f>
        <v>5.4496036805638372E-11</v>
      </c>
      <c r="P14" s="1">
        <f>_xlfn.POISSON.DIST($D14,'First 5 Innings'!$G$12, FALSE) * _xlfn.POISSON.DIST(P$4, 'First 5 Innings'!$G$11, FALSE)</f>
        <v>9.0495230072221249E-12</v>
      </c>
      <c r="Q14" s="1">
        <f>_xlfn.POISSON.DIST($D14,'First 5 Innings'!$G$12, FALSE) * _xlfn.POISSON.DIST(Q$4, 'First 5 Innings'!$G$11, FALSE)</f>
        <v>1.3775199476944186E-12</v>
      </c>
      <c r="R14" s="1">
        <f>_xlfn.POISSON.DIST($D14,'First 5 Innings'!$G$12, FALSE) * _xlfn.POISSON.DIST(R$4, 'First 5 Innings'!$G$11, FALSE)</f>
        <v>1.9355660605094724E-13</v>
      </c>
      <c r="S14" s="1">
        <f>_xlfn.POISSON.DIST($D14,'First 5 Innings'!$G$12, FALSE) * _xlfn.POISSON.DIST(S$4, 'First 5 Innings'!$G$11, FALSE)</f>
        <v>2.5254188437533194E-14</v>
      </c>
      <c r="T14" s="1">
        <f>_xlfn.POISSON.DIST($D14,'First 5 Innings'!$G$12, FALSE) * _xlfn.POISSON.DIST(T$4, 'First 5 Innings'!$G$11, FALSE)</f>
        <v>3.0753575239510461E-15</v>
      </c>
    </row>
    <row r="15" spans="2:20">
      <c r="B15" s="377"/>
      <c r="C15" s="377"/>
      <c r="D15" s="1">
        <v>10</v>
      </c>
      <c r="E15" s="1">
        <f>_xlfn.POISSON.DIST($D15,'First 5 Innings'!$G$12, FALSE) * _xlfn.POISSON.DIST(E$4, 'First 5 Innings'!$G$11, FALSE)</f>
        <v>5.4762694491415072E-8</v>
      </c>
      <c r="F15" s="1">
        <f>_xlfn.POISSON.DIST($D15,'First 5 Innings'!$G$12, FALSE) * _xlfn.POISSON.DIST(F$4, 'First 5 Innings'!$G$11, FALSE)</f>
        <v>1.0003184122462478E-7</v>
      </c>
      <c r="G15" s="1">
        <f>_xlfn.POISSON.DIST($D15,'First 5 Innings'!$G$12, FALSE) * _xlfn.POISSON.DIST(G$4, 'First 5 Innings'!$G$11, FALSE)</f>
        <v>9.1361184394946131E-8</v>
      </c>
      <c r="H15" s="1">
        <f>_xlfn.POISSON.DIST($D15,'First 5 Innings'!$G$12, FALSE) * _xlfn.POISSON.DIST(H$4, 'First 5 Innings'!$G$11, FALSE)</f>
        <v>5.5628060771197743E-8</v>
      </c>
      <c r="I15" s="1">
        <f>_xlfn.POISSON.DIST($D15,'First 5 Innings'!$G$12, FALSE) * _xlfn.POISSON.DIST(I$4, 'First 5 Innings'!$G$11, FALSE)</f>
        <v>2.5403138917728782E-8</v>
      </c>
      <c r="J15" s="1">
        <f>_xlfn.POISSON.DIST($D15,'First 5 Innings'!$G$12, FALSE) * _xlfn.POISSON.DIST(J$4, 'First 5 Innings'!$G$11, FALSE)</f>
        <v>9.2804884143299094E-9</v>
      </c>
      <c r="K15" s="1">
        <f>_xlfn.POISSON.DIST($D15,'First 5 Innings'!$G$12, FALSE) * _xlfn.POISSON.DIST(K$4, 'First 5 Innings'!$G$11, FALSE)</f>
        <v>2.8253550833306575E-9</v>
      </c>
      <c r="L15" s="1">
        <f>_xlfn.POISSON.DIST($D15,'First 5 Innings'!$G$12, FALSE) * _xlfn.POISSON.DIST(L$4, 'First 5 Innings'!$G$11, FALSE)</f>
        <v>7.3727320532365301E-10</v>
      </c>
      <c r="M15" s="1">
        <f>_xlfn.POISSON.DIST($D15,'First 5 Innings'!$G$12, FALSE) * _xlfn.POISSON.DIST(M$4, 'First 5 Innings'!$G$11, FALSE)</f>
        <v>1.6834178106792088E-10</v>
      </c>
      <c r="N15" s="1">
        <f>_xlfn.POISSON.DIST($D15,'First 5 Innings'!$G$12, FALSE) * _xlfn.POISSON.DIST(N$4, 'First 5 Innings'!$G$11, FALSE)</f>
        <v>3.4166686467548322E-11</v>
      </c>
      <c r="O15" s="1">
        <f>_xlfn.POISSON.DIST($D15,'First 5 Innings'!$G$12, FALSE) * _xlfn.POISSON.DIST(O$4, 'First 5 Innings'!$G$11, FALSE)</f>
        <v>6.2410306644592105E-12</v>
      </c>
      <c r="P15" s="1">
        <f>_xlfn.POISSON.DIST($D15,'First 5 Innings'!$G$12, FALSE) * _xlfn.POISSON.DIST(P$4, 'First 5 Innings'!$G$11, FALSE)</f>
        <v>1.0363753751164332E-12</v>
      </c>
      <c r="Q15" s="1">
        <f>_xlfn.POISSON.DIST($D15,'First 5 Innings'!$G$12, FALSE) * _xlfn.POISSON.DIST(Q$4, 'First 5 Innings'!$G$11, FALSE)</f>
        <v>1.5775723774422472E-13</v>
      </c>
      <c r="R15" s="1">
        <f>_xlfn.POISSON.DIST($D15,'First 5 Innings'!$G$12, FALSE) * _xlfn.POISSON.DIST(R$4, 'First 5 Innings'!$G$11, FALSE)</f>
        <v>2.2166615858341267E-14</v>
      </c>
      <c r="S15" s="1">
        <f>_xlfn.POISSON.DIST($D15,'First 5 Innings'!$G$12, FALSE) * _xlfn.POISSON.DIST(S$4, 'First 5 Innings'!$G$11, FALSE)</f>
        <v>2.8921766367489084E-15</v>
      </c>
      <c r="T15" s="1">
        <f>_xlfn.POISSON.DIST($D15,'First 5 Innings'!$G$12, FALSE) * _xlfn.POISSON.DIST(T$4, 'First 5 Innings'!$G$11, FALSE)</f>
        <v>3.5219809982894033E-16</v>
      </c>
    </row>
    <row r="16" spans="2:20">
      <c r="B16" s="377"/>
      <c r="C16" s="377"/>
      <c r="D16" s="1">
        <v>11</v>
      </c>
      <c r="E16" s="1">
        <f>_xlfn.POISSON.DIST($D16,'First 5 Innings'!$G$12, FALSE) * _xlfn.POISSON.DIST(E$4, 'First 5 Innings'!$G$11, FALSE)</f>
        <v>5.7014263725816547E-9</v>
      </c>
      <c r="F16" s="1">
        <f>_xlfn.POISSON.DIST($D16,'First 5 Innings'!$G$12, FALSE) * _xlfn.POISSON.DIST(F$4, 'First 5 Innings'!$G$11, FALSE)</f>
        <v>1.0414465229525621E-8</v>
      </c>
      <c r="G16" s="1">
        <f>_xlfn.POISSON.DIST($D16,'First 5 Innings'!$G$12, FALSE) * _xlfn.POISSON.DIST(G$4, 'First 5 Innings'!$G$11, FALSE)</f>
        <v>9.5117501243716021E-9</v>
      </c>
      <c r="H16" s="1">
        <f>_xlfn.POISSON.DIST($D16,'First 5 Innings'!$G$12, FALSE) * _xlfn.POISSON.DIST(H$4, 'First 5 Innings'!$G$11, FALSE)</f>
        <v>5.7915209556790815E-9</v>
      </c>
      <c r="I16" s="1">
        <f>_xlfn.POISSON.DIST($D16,'First 5 Innings'!$G$12, FALSE) * _xlfn.POISSON.DIST(I$4, 'First 5 Innings'!$G$11, FALSE)</f>
        <v>2.6447589461581249E-9</v>
      </c>
      <c r="J16" s="1">
        <f>_xlfn.POISSON.DIST($D16,'First 5 Innings'!$G$12, FALSE) * _xlfn.POISSON.DIST(J$4, 'First 5 Innings'!$G$11, FALSE)</f>
        <v>9.6620558734913689E-10</v>
      </c>
      <c r="K16" s="1">
        <f>_xlfn.POISSON.DIST($D16,'First 5 Innings'!$G$12, FALSE) * _xlfn.POISSON.DIST(K$4, 'First 5 Innings'!$G$11, FALSE)</f>
        <v>2.9415196117740925E-10</v>
      </c>
      <c r="L16" s="1">
        <f>_xlfn.POISSON.DIST($D16,'First 5 Innings'!$G$12, FALSE) * _xlfn.POISSON.DIST(L$4, 'First 5 Innings'!$G$11, FALSE)</f>
        <v>7.6758620730195282E-11</v>
      </c>
      <c r="M16" s="1">
        <f>_xlfn.POISSON.DIST($D16,'First 5 Innings'!$G$12, FALSE) * _xlfn.POISSON.DIST(M$4, 'First 5 Innings'!$G$11, FALSE)</f>
        <v>1.7526315662544208E-11</v>
      </c>
      <c r="N16" s="1">
        <f>_xlfn.POISSON.DIST($D16,'First 5 Innings'!$G$12, FALSE) * _xlfn.POISSON.DIST(N$4, 'First 5 Innings'!$G$11, FALSE)</f>
        <v>3.5571450437002615E-12</v>
      </c>
      <c r="O16" s="1">
        <f>_xlfn.POISSON.DIST($D16,'First 5 Innings'!$G$12, FALSE) * _xlfn.POISSON.DIST(O$4, 'First 5 Innings'!$G$11, FALSE)</f>
        <v>6.4976307599358024E-13</v>
      </c>
      <c r="P16" s="1">
        <f>_xlfn.POISSON.DIST($D16,'First 5 Innings'!$G$12, FALSE) * _xlfn.POISSON.DIST(P$4, 'First 5 Innings'!$G$11, FALSE)</f>
        <v>1.0789859685427528E-13</v>
      </c>
      <c r="Q16" s="1">
        <f>_xlfn.POISSON.DIST($D16,'First 5 Innings'!$G$12, FALSE) * _xlfn.POISSON.DIST(Q$4, 'First 5 Innings'!$G$11, FALSE)</f>
        <v>1.6424342959997316E-14</v>
      </c>
      <c r="R16" s="1">
        <f>_xlfn.POISSON.DIST($D16,'First 5 Innings'!$G$12, FALSE) * _xlfn.POISSON.DIST(R$4, 'First 5 Innings'!$G$11, FALSE)</f>
        <v>2.307799669452823E-15</v>
      </c>
      <c r="S16" s="1">
        <f>_xlfn.POISSON.DIST($D16,'First 5 Innings'!$G$12, FALSE) * _xlfn.POISSON.DIST(S$4, 'First 5 Innings'!$G$11, FALSE)</f>
        <v>3.0110885346428186E-16</v>
      </c>
      <c r="T16" s="1">
        <f>_xlfn.POISSON.DIST($D16,'First 5 Innings'!$G$12, FALSE) * _xlfn.POISSON.DIST(T$4, 'First 5 Innings'!$G$11, FALSE)</f>
        <v>3.6667873145881414E-17</v>
      </c>
    </row>
    <row r="17" spans="2:20">
      <c r="B17" s="377"/>
      <c r="C17" s="377"/>
      <c r="D17" s="1">
        <v>12</v>
      </c>
      <c r="E17" s="1">
        <f>_xlfn.POISSON.DIST($D17,'First 5 Innings'!$G$12, FALSE) * _xlfn.POISSON.DIST(E$4, 'First 5 Innings'!$G$11, FALSE)</f>
        <v>5.4411872416437169E-10</v>
      </c>
      <c r="F17" s="1">
        <f>_xlfn.POISSON.DIST($D17,'First 5 Innings'!$G$12, FALSE) * _xlfn.POISSON.DIST(F$4, 'First 5 Innings'!$G$11, FALSE)</f>
        <v>9.9391014865947625E-10</v>
      </c>
      <c r="G17" s="1">
        <f>_xlfn.POISSON.DIST($D17,'First 5 Innings'!$G$12, FALSE) * _xlfn.POISSON.DIST(G$4, 'First 5 Innings'!$G$11, FALSE)</f>
        <v>9.0775904204123922E-10</v>
      </c>
      <c r="H17" s="1">
        <f>_xlfn.POISSON.DIST($D17,'First 5 Innings'!$G$12, FALSE) * _xlfn.POISSON.DIST(H$4, 'First 5 Innings'!$G$11, FALSE)</f>
        <v>5.5271694966191421E-10</v>
      </c>
      <c r="I17" s="1">
        <f>_xlfn.POISSON.DIST($D17,'First 5 Innings'!$G$12, FALSE) * _xlfn.POISSON.DIST(I$4, 'First 5 Innings'!$G$11, FALSE)</f>
        <v>2.524040072544596E-10</v>
      </c>
      <c r="J17" s="1">
        <f>_xlfn.POISSON.DIST($D17,'First 5 Innings'!$G$12, FALSE) * _xlfn.POISSON.DIST(J$4, 'First 5 Innings'!$G$11, FALSE)</f>
        <v>9.2210355288837048E-11</v>
      </c>
      <c r="K17" s="1">
        <f>_xlfn.POISSON.DIST($D17,'First 5 Innings'!$G$12, FALSE) * _xlfn.POISSON.DIST(K$4, 'First 5 Innings'!$G$11, FALSE)</f>
        <v>2.8072552264465371E-11</v>
      </c>
      <c r="L17" s="1">
        <f>_xlfn.POISSON.DIST($D17,'First 5 Innings'!$G$12, FALSE) * _xlfn.POISSON.DIST(L$4, 'First 5 Innings'!$G$11, FALSE)</f>
        <v>7.3255006819317818E-12</v>
      </c>
      <c r="M17" s="1">
        <f>_xlfn.POISSON.DIST($D17,'First 5 Innings'!$G$12, FALSE) * _xlfn.POISSON.DIST(M$4, 'First 5 Innings'!$G$11, FALSE)</f>
        <v>1.6726334594911969E-12</v>
      </c>
      <c r="N17" s="1">
        <f>_xlfn.POISSON.DIST($D17,'First 5 Innings'!$G$12, FALSE) * _xlfn.POISSON.DIST(N$4, 'First 5 Innings'!$G$11, FALSE)</f>
        <v>3.3947807028671481E-13</v>
      </c>
      <c r="O17" s="1">
        <f>_xlfn.POISSON.DIST($D17,'First 5 Innings'!$G$12, FALSE) * _xlfn.POISSON.DIST(O$4, 'First 5 Innings'!$G$11, FALSE)</f>
        <v>6.2010492254880232E-14</v>
      </c>
      <c r="P17" s="1">
        <f>_xlfn.POISSON.DIST($D17,'First 5 Innings'!$G$12, FALSE) * _xlfn.POISSON.DIST(P$4, 'First 5 Innings'!$G$11, FALSE)</f>
        <v>1.0297361225571686E-14</v>
      </c>
      <c r="Q17" s="1">
        <f>_xlfn.POISSON.DIST($D17,'First 5 Innings'!$G$12, FALSE) * _xlfn.POISSON.DIST(Q$4, 'First 5 Innings'!$G$11, FALSE)</f>
        <v>1.5674660957842314E-15</v>
      </c>
      <c r="R17" s="1">
        <f>_xlfn.POISSON.DIST($D17,'First 5 Innings'!$G$12, FALSE) * _xlfn.POISSON.DIST(R$4, 'First 5 Innings'!$G$11, FALSE)</f>
        <v>2.2024611557002873E-16</v>
      </c>
      <c r="S17" s="1">
        <f>_xlfn.POISSON.DIST($D17,'First 5 Innings'!$G$12, FALSE) * _xlfn.POISSON.DIST(S$4, 'First 5 Innings'!$G$11, FALSE)</f>
        <v>2.8736487060411541E-17</v>
      </c>
      <c r="T17" s="1">
        <f>_xlfn.POISSON.DIST($D17,'First 5 Innings'!$G$12, FALSE) * _xlfn.POISSON.DIST(T$4, 'First 5 Innings'!$G$11, FALSE)</f>
        <v>3.4994183999123947E-18</v>
      </c>
    </row>
    <row r="18" spans="2:20">
      <c r="B18" s="377"/>
      <c r="C18" s="377"/>
      <c r="D18" s="1">
        <v>13</v>
      </c>
      <c r="E18" s="1">
        <f>_xlfn.POISSON.DIST($D18,'First 5 Innings'!$G$12, FALSE) * _xlfn.POISSON.DIST(E$4, 'First 5 Innings'!$G$11, FALSE)</f>
        <v>4.7933784118420601E-11</v>
      </c>
      <c r="F18" s="1">
        <f>_xlfn.POISSON.DIST($D18,'First 5 Innings'!$G$12, FALSE) * _xlfn.POISSON.DIST(F$4, 'First 5 Innings'!$G$11, FALSE)</f>
        <v>8.755786629492763E-11</v>
      </c>
      <c r="G18" s="1">
        <f>_xlfn.POISSON.DIST($D18,'First 5 Innings'!$G$12, FALSE) * _xlfn.POISSON.DIST(G$4, 'First 5 Innings'!$G$11, FALSE)</f>
        <v>7.9968440747141984E-11</v>
      </c>
      <c r="H18" s="1">
        <f>_xlfn.POISSON.DIST($D18,'First 5 Innings'!$G$12, FALSE) * _xlfn.POISSON.DIST(H$4, 'First 5 Innings'!$G$11, FALSE)</f>
        <v>4.8691239185664714E-11</v>
      </c>
      <c r="I18" s="1">
        <f>_xlfn.POISSON.DIST($D18,'First 5 Innings'!$G$12, FALSE) * _xlfn.POISSON.DIST(I$4, 'First 5 Innings'!$G$11, FALSE)</f>
        <v>2.2235366395339609E-11</v>
      </c>
      <c r="J18" s="1">
        <f>_xlfn.POISSON.DIST($D18,'First 5 Innings'!$G$12, FALSE) * _xlfn.POISSON.DIST(J$4, 'First 5 Innings'!$G$11, FALSE)</f>
        <v>8.1232111074397665E-12</v>
      </c>
      <c r="K18" s="1">
        <f>_xlfn.POISSON.DIST($D18,'First 5 Innings'!$G$12, FALSE) * _xlfn.POISSON.DIST(K$4, 'First 5 Innings'!$G$11, FALSE)</f>
        <v>2.4730331821690183E-12</v>
      </c>
      <c r="L18" s="1">
        <f>_xlfn.POISSON.DIST($D18,'First 5 Innings'!$G$12, FALSE) * _xlfn.POISSON.DIST(L$4, 'First 5 Innings'!$G$11, FALSE)</f>
        <v>6.4533520471349567E-13</v>
      </c>
      <c r="M18" s="1">
        <f>_xlfn.POISSON.DIST($D18,'First 5 Innings'!$G$12, FALSE) * _xlfn.POISSON.DIST(M$4, 'First 5 Innings'!$G$11, FALSE)</f>
        <v>1.4734955368357796E-13</v>
      </c>
      <c r="N18" s="1">
        <f>_xlfn.POISSON.DIST($D18,'First 5 Innings'!$G$12, FALSE) * _xlfn.POISSON.DIST(N$4, 'First 5 Innings'!$G$11, FALSE)</f>
        <v>2.9906099186444628E-14</v>
      </c>
      <c r="O18" s="1">
        <f>_xlfn.POISSON.DIST($D18,'First 5 Innings'!$G$12, FALSE) * _xlfn.POISSON.DIST(O$4, 'First 5 Innings'!$G$11, FALSE)</f>
        <v>5.4627738705137744E-15</v>
      </c>
      <c r="P18" s="1">
        <f>_xlfn.POISSON.DIST($D18,'First 5 Innings'!$G$12, FALSE) * _xlfn.POISSON.DIST(P$4, 'First 5 Innings'!$G$11, FALSE)</f>
        <v>9.071393209891453E-16</v>
      </c>
      <c r="Q18" s="1">
        <f>_xlfn.POISSON.DIST($D18,'First 5 Innings'!$G$12, FALSE) * _xlfn.POISSON.DIST(Q$4, 'First 5 Innings'!$G$11, FALSE)</f>
        <v>1.3808490337040432E-16</v>
      </c>
      <c r="R18" s="1">
        <f>_xlfn.POISSON.DIST($D18,'First 5 Innings'!$G$12, FALSE) * _xlfn.POISSON.DIST(R$4, 'First 5 Innings'!$G$11, FALSE)</f>
        <v>1.9402437901521764E-17</v>
      </c>
      <c r="S18" s="1">
        <f>_xlfn.POISSON.DIST($D18,'First 5 Innings'!$G$12, FALSE) * _xlfn.POISSON.DIST(S$4, 'First 5 Innings'!$G$11, FALSE)</f>
        <v>2.531522084984238E-18</v>
      </c>
      <c r="T18" s="1">
        <f>_xlfn.POISSON.DIST($D18,'First 5 Innings'!$G$12, FALSE) * _xlfn.POISSON.DIST(T$4, 'First 5 Innings'!$G$11, FALSE)</f>
        <v>3.0827898153851663E-19</v>
      </c>
    </row>
    <row r="19" spans="2:20">
      <c r="B19" s="377"/>
      <c r="C19" s="377"/>
      <c r="D19" s="1">
        <v>14</v>
      </c>
      <c r="E19" s="1">
        <f>_xlfn.POISSON.DIST($D19,'First 5 Innings'!$G$12, FALSE) * _xlfn.POISSON.DIST(E$4, 'First 5 Innings'!$G$11, FALSE)</f>
        <v>3.9210743449313216E-12</v>
      </c>
      <c r="F19" s="1">
        <f>_xlfn.POISSON.DIST($D19,'First 5 Innings'!$G$12, FALSE) * _xlfn.POISSON.DIST(F$4, 'First 5 Innings'!$G$11, FALSE)</f>
        <v>7.1623993294122572E-12</v>
      </c>
      <c r="G19" s="1">
        <f>_xlfn.POISSON.DIST($D19,'First 5 Innings'!$G$12, FALSE) * _xlfn.POISSON.DIST(G$4, 'First 5 Innings'!$G$11, FALSE)</f>
        <v>6.5415699424673492E-12</v>
      </c>
      <c r="H19" s="1">
        <f>_xlfn.POISSON.DIST($D19,'First 5 Innings'!$G$12, FALSE) * _xlfn.POISSON.DIST(H$4, 'First 5 Innings'!$G$11, FALSE)</f>
        <v>3.9830356043276513E-12</v>
      </c>
      <c r="I19" s="1">
        <f>_xlfn.POISSON.DIST($D19,'First 5 Innings'!$G$12, FALSE) * _xlfn.POISSON.DIST(I$4, 'First 5 Innings'!$G$11, FALSE)</f>
        <v>1.8188950930208127E-12</v>
      </c>
      <c r="J19" s="1">
        <f>_xlfn.POISSON.DIST($D19,'First 5 Innings'!$G$12, FALSE) * _xlfn.POISSON.DIST(J$4, 'First 5 Innings'!$G$11, FALSE)</f>
        <v>6.64494056908869E-13</v>
      </c>
      <c r="K19" s="1">
        <f>_xlfn.POISSON.DIST($D19,'First 5 Innings'!$G$12, FALSE) * _xlfn.POISSON.DIST(K$4, 'First 5 Innings'!$G$11, FALSE)</f>
        <v>2.0229879912694688E-13</v>
      </c>
      <c r="L19" s="1">
        <f>_xlfn.POISSON.DIST($D19,'First 5 Innings'!$G$12, FALSE) * _xlfn.POISSON.DIST(L$4, 'First 5 Innings'!$G$11, FALSE)</f>
        <v>5.2789642245471574E-14</v>
      </c>
      <c r="M19" s="1">
        <f>_xlfn.POISSON.DIST($D19,'First 5 Innings'!$G$12, FALSE) * _xlfn.POISSON.DIST(M$4, 'First 5 Innings'!$G$11, FALSE)</f>
        <v>1.2053472625035792E-14</v>
      </c>
      <c r="N19" s="1">
        <f>_xlfn.POISSON.DIST($D19,'First 5 Innings'!$G$12, FALSE) * _xlfn.POISSON.DIST(N$4, 'First 5 Innings'!$G$11, FALSE)</f>
        <v>2.446375566494776E-15</v>
      </c>
      <c r="O19" s="1">
        <f>_xlfn.POISSON.DIST($D19,'First 5 Innings'!$G$12, FALSE) * _xlfn.POISSON.DIST(O$4, 'First 5 Innings'!$G$11, FALSE)</f>
        <v>4.4686525109126972E-16</v>
      </c>
      <c r="P19" s="1">
        <f>_xlfn.POISSON.DIST($D19,'First 5 Innings'!$G$12, FALSE) * _xlfn.POISSON.DIST(P$4, 'First 5 Innings'!$G$11, FALSE)</f>
        <v>7.4205714909164512E-17</v>
      </c>
      <c r="Q19" s="1">
        <f>_xlfn.POISSON.DIST($D19,'First 5 Innings'!$G$12, FALSE) * _xlfn.POISSON.DIST(Q$4, 'First 5 Innings'!$G$11, FALSE)</f>
        <v>1.1295606678796325E-17</v>
      </c>
      <c r="R19" s="1">
        <f>_xlfn.POISSON.DIST($D19,'First 5 Innings'!$G$12, FALSE) * _xlfn.POISSON.DIST(R$4, 'First 5 Innings'!$G$11, FALSE)</f>
        <v>1.5871561756281983E-18</v>
      </c>
      <c r="S19" s="1">
        <f>_xlfn.POISSON.DIST($D19,'First 5 Innings'!$G$12, FALSE) * _xlfn.POISSON.DIST(S$4, 'First 5 Innings'!$G$11, FALSE)</f>
        <v>2.0708330217651533E-19</v>
      </c>
      <c r="T19" s="1">
        <f>_xlfn.POISSON.DIST($D19,'First 5 Innings'!$G$12, FALSE) * _xlfn.POISSON.DIST(T$4, 'First 5 Innings'!$G$11, FALSE)</f>
        <v>2.5217804682516333E-20</v>
      </c>
    </row>
    <row r="20" spans="2:20">
      <c r="B20" s="377"/>
      <c r="C20" s="377"/>
      <c r="D20" s="1">
        <v>15</v>
      </c>
      <c r="E20" s="1">
        <f>_xlfn.POISSON.DIST($D20,'First 5 Innings'!$G$12, FALSE) * _xlfn.POISSON.DIST(E$4, 'First 5 Innings'!$G$11, FALSE)</f>
        <v>2.9936788873435684E-13</v>
      </c>
      <c r="F20" s="1">
        <f>_xlfn.POISSON.DIST($D20,'First 5 Innings'!$G$12, FALSE) * _xlfn.POISSON.DIST(F$4, 'First 5 Innings'!$G$11, FALSE)</f>
        <v>5.4683797778286617E-13</v>
      </c>
      <c r="G20" s="1">
        <f>_xlfn.POISSON.DIST($D20,'First 5 Innings'!$G$12, FALSE) * _xlfn.POISSON.DIST(G$4, 'First 5 Innings'!$G$11, FALSE)</f>
        <v>4.9943862584907935E-13</v>
      </c>
      <c r="H20" s="1">
        <f>_xlfn.POISSON.DIST($D20,'First 5 Innings'!$G$12, FALSE) * _xlfn.POISSON.DIST(H$4, 'First 5 Innings'!$G$11, FALSE)</f>
        <v>3.0409853390378064E-13</v>
      </c>
      <c r="I20" s="1">
        <f>_xlfn.POISSON.DIST($D20,'First 5 Innings'!$G$12, FALSE) * _xlfn.POISSON.DIST(I$4, 'First 5 Innings'!$G$11, FALSE)</f>
        <v>1.388697933082571E-13</v>
      </c>
      <c r="J20" s="1">
        <f>_xlfn.POISSON.DIST($D20,'First 5 Innings'!$G$12, FALSE) * _xlfn.POISSON.DIST(J$4, 'First 5 Innings'!$G$11, FALSE)</f>
        <v>5.0733081138970321E-14</v>
      </c>
      <c r="K20" s="1">
        <f>_xlfn.POISSON.DIST($D20,'First 5 Innings'!$G$12, FALSE) * _xlfn.POISSON.DIST(K$4, 'First 5 Innings'!$G$11, FALSE)</f>
        <v>1.5445196663107541E-14</v>
      </c>
      <c r="L20" s="1">
        <f>_xlfn.POISSON.DIST($D20,'First 5 Innings'!$G$12, FALSE) * _xlfn.POISSON.DIST(L$4, 'First 5 Innings'!$G$11, FALSE)</f>
        <v>4.0304065559220196E-15</v>
      </c>
      <c r="M20" s="1">
        <f>_xlfn.POISSON.DIST($D20,'First 5 Innings'!$G$12, FALSE) * _xlfn.POISSON.DIST(M$4, 'First 5 Innings'!$G$11, FALSE)</f>
        <v>9.2026376810193657E-16</v>
      </c>
      <c r="N20" s="1">
        <f>_xlfn.POISSON.DIST($D20,'First 5 Innings'!$G$12, FALSE) * _xlfn.POISSON.DIST(N$4, 'First 5 Innings'!$G$11, FALSE)</f>
        <v>1.86776945287857E-16</v>
      </c>
      <c r="O20" s="1">
        <f>_xlfn.POISSON.DIST($D20,'First 5 Innings'!$G$12, FALSE) * _xlfn.POISSON.DIST(O$4, 'First 5 Innings'!$G$11, FALSE)</f>
        <v>3.4117462460479E-17</v>
      </c>
      <c r="P20" s="1">
        <f>_xlfn.POISSON.DIST($D20,'First 5 Innings'!$G$12, FALSE) * _xlfn.POISSON.DIST(P$4, 'First 5 Innings'!$G$11, FALSE)</f>
        <v>5.6654901820713278E-18</v>
      </c>
      <c r="Q20" s="1">
        <f>_xlfn.POISSON.DIST($D20,'First 5 Innings'!$G$12, FALSE) * _xlfn.POISSON.DIST(Q$4, 'First 5 Innings'!$G$11, FALSE)</f>
        <v>8.6240188936386621E-19</v>
      </c>
      <c r="R20" s="1">
        <f>_xlfn.POISSON.DIST($D20,'First 5 Innings'!$G$12, FALSE) * _xlfn.POISSON.DIST(R$4, 'First 5 Innings'!$G$11, FALSE)</f>
        <v>1.2117688969700777E-19</v>
      </c>
      <c r="S20" s="1">
        <f>_xlfn.POISSON.DIST($D20,'First 5 Innings'!$G$12, FALSE) * _xlfn.POISSON.DIST(S$4, 'First 5 Innings'!$G$11, FALSE)</f>
        <v>1.5810485981950456E-20</v>
      </c>
      <c r="T20" s="1">
        <f>_xlfn.POISSON.DIST($D20,'First 5 Innings'!$G$12, FALSE) * _xlfn.POISSON.DIST(T$4, 'First 5 Innings'!$G$11, FALSE)</f>
        <v>1.9253399150871037E-21</v>
      </c>
    </row>
    <row r="24" spans="2:20">
      <c r="D24" s="1" t="s">
        <v>738</v>
      </c>
      <c r="E24" s="1" t="e">
        <f>E3</f>
        <v>#REF!</v>
      </c>
      <c r="F24" s="1">
        <f>1-F25</f>
        <v>0.6477777655650625</v>
      </c>
      <c r="H24" s="1" t="s">
        <v>345</v>
      </c>
      <c r="I24" s="1">
        <v>3</v>
      </c>
      <c r="J24" s="1">
        <f>SUM(E9:E20,F8:F20,G7:G20,H6:H20,I5:T20)</f>
        <v>0.34646577613910773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0.3522222344349375</v>
      </c>
      <c r="H25" s="1" t="s">
        <v>348</v>
      </c>
      <c r="I25" s="1">
        <v>3</v>
      </c>
      <c r="J25" s="1">
        <f>SUM(E8,F7,G6,H5)</f>
        <v>0.22401207334872086</v>
      </c>
    </row>
    <row r="26" spans="2:20">
      <c r="H26" s="1" t="s">
        <v>346</v>
      </c>
      <c r="I26" s="1">
        <v>3</v>
      </c>
      <c r="J26" s="1">
        <f>SUM(E5:E7,F5:F6,G5)</f>
        <v>0.42952215037972818</v>
      </c>
    </row>
    <row r="27" spans="2:20">
      <c r="H27" s="1" t="s">
        <v>345</v>
      </c>
      <c r="I27" s="1">
        <v>3.5</v>
      </c>
      <c r="J27" s="1">
        <f>SUM(E9:E20,F8:F20,G7:G20,H6:H20,I5:T20)</f>
        <v>0.34646577613910773</v>
      </c>
    </row>
    <row r="28" spans="2:20">
      <c r="H28" s="1" t="s">
        <v>346</v>
      </c>
      <c r="I28" s="1">
        <v>3.5</v>
      </c>
      <c r="J28" s="1">
        <f>SUM(E5:E8,F5:F7,G5:G6,H5)</f>
        <v>0.65353422372844916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0.1800321653451232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0.53316403758019726</v>
      </c>
      <c r="H30" s="1" t="s">
        <v>348</v>
      </c>
      <c r="I30" s="1">
        <v>4</v>
      </c>
      <c r="J30" s="1">
        <f>SUM(E9,F8,G7,H6,I5)</f>
        <v>0.16643361079398483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0.23760850658251487</v>
      </c>
      <c r="H31" s="1" t="s">
        <v>346</v>
      </c>
      <c r="I31" s="1">
        <v>4</v>
      </c>
      <c r="J31" s="1">
        <f>1-J30-J29</f>
        <v>0.65353422386089199</v>
      </c>
    </row>
    <row r="32" spans="2:20">
      <c r="D32" s="1" t="s">
        <v>348</v>
      </c>
      <c r="F32" s="1">
        <f>1-F31-F30</f>
        <v>0.22922745583728787</v>
      </c>
      <c r="H32" s="1" t="s">
        <v>345</v>
      </c>
      <c r="I32" s="1">
        <v>4.5</v>
      </c>
      <c r="J32" s="1">
        <f>SUM(E10:E20,F9:F20,G8:G20,H7:H20,I6:I20,J5:T20)</f>
        <v>0.1800321653451232</v>
      </c>
    </row>
    <row r="33" spans="8:10">
      <c r="H33" s="1" t="s">
        <v>346</v>
      </c>
      <c r="I33" s="1">
        <v>4.5</v>
      </c>
      <c r="J33" s="1">
        <f>1-J32</f>
        <v>0.81996783465487677</v>
      </c>
    </row>
    <row r="34" spans="8:10">
      <c r="H34" s="1" t="s">
        <v>345</v>
      </c>
      <c r="I34" s="1">
        <v>5</v>
      </c>
      <c r="J34" s="1">
        <f>SUM(E11:E20,F10:F20,G9:G20,H8:H20,I7:I20,J6:J20,K5:T20)</f>
        <v>8.1108401503867208E-2</v>
      </c>
    </row>
    <row r="35" spans="8:10">
      <c r="H35" s="1" t="s">
        <v>348</v>
      </c>
      <c r="I35" s="1">
        <v>5</v>
      </c>
      <c r="J35" s="1">
        <f>SUM(E10,F9,G8,H7,I6,J5)</f>
        <v>9.8923763841255632E-2</v>
      </c>
    </row>
    <row r="36" spans="8:10">
      <c r="H36" s="1" t="s">
        <v>346</v>
      </c>
      <c r="I36" s="1">
        <v>5</v>
      </c>
      <c r="J36" s="1">
        <f>SUM(E5:E9,F5:F8,G5:G7,H5:H6,I5)</f>
        <v>0.81996783452243394</v>
      </c>
    </row>
    <row r="37" spans="8:10">
      <c r="H37" s="1" t="s">
        <v>345</v>
      </c>
      <c r="I37" s="1">
        <v>5.5</v>
      </c>
      <c r="J37" s="1">
        <f>SUM(E11:E20,F10:F20,G9:G20,H8:H20,I7:I20,J6:J20,K5:T20)</f>
        <v>8.1108401503867208E-2</v>
      </c>
    </row>
    <row r="38" spans="8:10">
      <c r="H38" s="1" t="s">
        <v>346</v>
      </c>
      <c r="I38" s="1">
        <v>5.5</v>
      </c>
      <c r="J38" s="1">
        <f>1-J37</f>
        <v>0.91889159849613278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3.2110330512096427E-2</v>
      </c>
    </row>
    <row r="40" spans="8:10">
      <c r="H40" s="1" t="s">
        <v>348</v>
      </c>
      <c r="I40" s="1">
        <v>6</v>
      </c>
      <c r="J40" s="1">
        <f>SUM(E11,F10,G9,H8,I7,J6,K5)</f>
        <v>4.8998070991770851E-2</v>
      </c>
    </row>
    <row r="41" spans="8:10">
      <c r="H41" s="1" t="s">
        <v>346</v>
      </c>
      <c r="I41" s="1">
        <v>6</v>
      </c>
      <c r="J41" s="1">
        <f>SUM(E5:E10,F5:F9,G5:G8,H5:H7,I5:I6,J5)</f>
        <v>0.91889159836368961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3.2110330512096427E-2</v>
      </c>
    </row>
    <row r="43" spans="8:10">
      <c r="H43" s="1" t="s">
        <v>346</v>
      </c>
      <c r="I43" s="1">
        <v>6.5</v>
      </c>
      <c r="J43" s="1">
        <f>1-J42</f>
        <v>0.96788966948790356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Innings'!$G$14, FALSE) * _xlfn.POISSON.DIST(E$4, 'First 5 Innings'!$G$13, FALSE)</f>
        <v>5.9124706224039942E-3</v>
      </c>
      <c r="F5" s="1">
        <f>_xlfn.POISSON.DIST($D5,'First 5 Innings'!$G$14, FALSE) * _xlfn.POISSON.DIST(F$4, 'First 5 Innings'!$G$13, FALSE)</f>
        <v>9.137024884936876E-3</v>
      </c>
      <c r="G5" s="1">
        <f>_xlfn.POISSON.DIST($D5,'First 5 Innings'!$G$14, FALSE) * _xlfn.POISSON.DIST(G$4, 'First 5 Innings'!$G$13, FALSE)</f>
        <v>7.0600962845893062E-3</v>
      </c>
      <c r="H5" s="1">
        <f>_xlfn.POISSON.DIST($D5,'First 5 Innings'!$G$14, FALSE) * _xlfn.POISSON.DIST(H$4, 'First 5 Innings'!$G$13, FALSE)</f>
        <v>3.6368482575289312E-3</v>
      </c>
      <c r="I5" s="1">
        <f>_xlfn.POISSON.DIST($D5,'First 5 Innings'!$G$14, FALSE) * _xlfn.POISSON.DIST(I$4, 'First 5 Innings'!$G$13, FALSE)</f>
        <v>1.4050798369239904E-3</v>
      </c>
      <c r="J5" s="1">
        <f>_xlfn.POISSON.DIST($D5,'First 5 Innings'!$G$14, FALSE) * _xlfn.POISSON.DIST(J$4, 'First 5 Innings'!$G$13, FALSE)</f>
        <v>4.3427698013922801E-4</v>
      </c>
      <c r="K5" s="1">
        <f>_xlfn.POISSON.DIST($D5,'First 5 Innings'!$G$14, FALSE) * _xlfn.POISSON.DIST(K$4, 'First 5 Innings'!$G$13, FALSE)</f>
        <v>1.1185396167696542E-4</v>
      </c>
      <c r="L5" s="1">
        <f>_xlfn.POISSON.DIST($D5,'First 5 Innings'!$G$14, FALSE) * _xlfn.POISSON.DIST(L$4, 'First 5 Innings'!$G$13, FALSE)</f>
        <v>2.4693869150028179E-5</v>
      </c>
      <c r="M5" s="1">
        <f>_xlfn.POISSON.DIST($D5,'First 5 Innings'!$G$14, FALSE) * _xlfn.POISSON.DIST(M$4, 'First 5 Innings'!$G$13, FALSE)</f>
        <v>4.770182199176891E-6</v>
      </c>
      <c r="N5" s="1">
        <f>_xlfn.POISSON.DIST($D5,'First 5 Innings'!$G$14, FALSE) * _xlfn.POISSON.DIST(N$4, 'First 5 Innings'!$G$13, FALSE)</f>
        <v>8.190836743987903E-7</v>
      </c>
      <c r="O5" s="1">
        <f>_xlfn.POISSON.DIST($D5,'First 5 Innings'!$G$14, FALSE) * _xlfn.POISSON.DIST(O$4, 'First 5 Innings'!$G$13, FALSE)</f>
        <v>1.2657970574041183E-7</v>
      </c>
      <c r="P5" s="1">
        <f>_xlfn.POISSON.DIST($D5,'First 5 Innings'!$G$14, FALSE) * _xlfn.POISSON.DIST(P$4, 'First 5 Innings'!$G$13, FALSE)</f>
        <v>1.7783089263066139E-8</v>
      </c>
      <c r="Q5" s="1">
        <f>_xlfn.POISSON.DIST($D5,'First 5 Innings'!$G$14, FALSE) * _xlfn.POISSON.DIST(Q$4, 'First 5 Innings'!$G$13, FALSE)</f>
        <v>2.2901386395053206E-9</v>
      </c>
      <c r="R5" s="1">
        <f>_xlfn.POISSON.DIST($D5,'First 5 Innings'!$G$14, FALSE) * _xlfn.POISSON.DIST(R$4, 'First 5 Innings'!$G$13, FALSE)</f>
        <v>2.7224144037083498E-10</v>
      </c>
      <c r="S5" s="1">
        <f>_xlfn.POISSON.DIST($D5,'First 5 Innings'!$G$14, FALSE) * _xlfn.POISSON.DIST(S$4, 'First 5 Innings'!$G$13, FALSE)</f>
        <v>3.005121322903038E-11</v>
      </c>
      <c r="T5" s="1">
        <f>_xlfn.POISSON.DIST($D5,'First 5 Innings'!$G$14, FALSE) * _xlfn.POISSON.DIST(T$4, 'First 5 Innings'!$G$13, FALSE)</f>
        <v>3.096039998978189E-12</v>
      </c>
    </row>
    <row r="6" spans="2:20">
      <c r="B6" s="377"/>
      <c r="C6" s="377"/>
      <c r="D6" s="1">
        <v>1</v>
      </c>
      <c r="E6" s="1">
        <f>_xlfn.POISSON.DIST($D6,'First 5 Innings'!$G$14, FALSE) * _xlfn.POISSON.DIST(E$4, 'First 5 Innings'!$G$13, FALSE)</f>
        <v>2.1198037845382833E-2</v>
      </c>
      <c r="F6" s="1">
        <f>_xlfn.POISSON.DIST($D6,'First 5 Innings'!$G$14, FALSE) * _xlfn.POISSON.DIST(F$4, 'First 5 Innings'!$G$13, FALSE)</f>
        <v>3.2759063287547303E-2</v>
      </c>
      <c r="G6" s="1">
        <f>_xlfn.POISSON.DIST($D6,'First 5 Innings'!$G$14, FALSE) * _xlfn.POISSON.DIST(G$4, 'First 5 Innings'!$G$13, FALSE)</f>
        <v>2.5312631180891925E-2</v>
      </c>
      <c r="H6" s="1">
        <f>_xlfn.POISSON.DIST($D6,'First 5 Innings'!$G$14, FALSE) * _xlfn.POISSON.DIST(H$4, 'First 5 Innings'!$G$13, FALSE)</f>
        <v>1.303922707182377E-2</v>
      </c>
      <c r="I6" s="1">
        <f>_xlfn.POISSON.DIST($D6,'First 5 Innings'!$G$14, FALSE) * _xlfn.POISSON.DIST(I$4, 'First 5 Innings'!$G$13, FALSE)</f>
        <v>5.0376462668644297E-3</v>
      </c>
      <c r="J6" s="1">
        <f>_xlfn.POISSON.DIST($D6,'First 5 Innings'!$G$14, FALSE) * _xlfn.POISSON.DIST(J$4, 'First 5 Innings'!$G$13, FALSE)</f>
        <v>1.5570174379364381E-3</v>
      </c>
      <c r="K6" s="1">
        <f>_xlfn.POISSON.DIST($D6,'First 5 Innings'!$G$14, FALSE) * _xlfn.POISSON.DIST(K$4, 'First 5 Innings'!$G$13, FALSE)</f>
        <v>4.0103108568516452E-4</v>
      </c>
      <c r="L6" s="1">
        <f>_xlfn.POISSON.DIST($D6,'First 5 Innings'!$G$14, FALSE) * _xlfn.POISSON.DIST(L$4, 'First 5 Innings'!$G$13, FALSE)</f>
        <v>8.8535166806188876E-5</v>
      </c>
      <c r="M6" s="1">
        <f>_xlfn.POISSON.DIST($D6,'First 5 Innings'!$G$14, FALSE) * _xlfn.POISSON.DIST(M$4, 'First 5 Innings'!$G$13, FALSE)</f>
        <v>1.7102580164095384E-5</v>
      </c>
      <c r="N6" s="1">
        <f>_xlfn.POISSON.DIST($D6,'First 5 Innings'!$G$14, FALSE) * _xlfn.POISSON.DIST(N$4, 'First 5 Innings'!$G$13, FALSE)</f>
        <v>2.9366685836285902E-6</v>
      </c>
      <c r="O6" s="1">
        <f>_xlfn.POISSON.DIST($D6,'First 5 Innings'!$G$14, FALSE) * _xlfn.POISSON.DIST(O$4, 'First 5 Innings'!$G$13, FALSE)</f>
        <v>4.5382743764935171E-7</v>
      </c>
      <c r="P6" s="1">
        <f>_xlfn.POISSON.DIST($D6,'First 5 Innings'!$G$14, FALSE) * _xlfn.POISSON.DIST(P$4, 'First 5 Innings'!$G$13, FALSE)</f>
        <v>6.375788114326792E-8</v>
      </c>
      <c r="Q6" s="1">
        <f>_xlfn.POISSON.DIST($D6,'First 5 Innings'!$G$14, FALSE) * _xlfn.POISSON.DIST(Q$4, 'First 5 Innings'!$G$13, FALSE)</f>
        <v>8.2108561127477519E-9</v>
      </c>
      <c r="R6" s="1">
        <f>_xlfn.POISSON.DIST($D6,'First 5 Innings'!$G$14, FALSE) * _xlfn.POISSON.DIST(R$4, 'First 5 Innings'!$G$13, FALSE)</f>
        <v>9.7606985719212375E-10</v>
      </c>
      <c r="S6" s="1">
        <f>_xlfn.POISSON.DIST($D6,'First 5 Innings'!$G$14, FALSE) * _xlfn.POISSON.DIST(S$4, 'First 5 Innings'!$G$13, FALSE)</f>
        <v>1.0774290411097925E-10</v>
      </c>
      <c r="T6" s="1">
        <f>_xlfn.POISSON.DIST($D6,'First 5 Innings'!$G$14, FALSE) * _xlfn.POISSON.DIST(T$4, 'First 5 Innings'!$G$13, FALSE)</f>
        <v>1.1100262015758432E-11</v>
      </c>
    </row>
    <row r="7" spans="2:20">
      <c r="B7" s="377"/>
      <c r="C7" s="377"/>
      <c r="D7" s="1">
        <v>2</v>
      </c>
      <c r="E7" s="1">
        <f>_xlfn.POISSON.DIST($D7,'First 5 Innings'!$G$14, FALSE) * _xlfn.POISSON.DIST(E$4, 'First 5 Innings'!$G$13, FALSE)</f>
        <v>3.8000764586596431E-2</v>
      </c>
      <c r="F7" s="1">
        <f>_xlfn.POISSON.DIST($D7,'First 5 Innings'!$G$14, FALSE) * _xlfn.POISSON.DIST(F$4, 'First 5 Innings'!$G$13, FALSE)</f>
        <v>5.8725692497933017E-2</v>
      </c>
      <c r="G7" s="1">
        <f>_xlfn.POISSON.DIST($D7,'First 5 Innings'!$G$14, FALSE) * _xlfn.POISSON.DIST(G$4, 'First 5 Innings'!$G$13, FALSE)</f>
        <v>4.5376810136317731E-2</v>
      </c>
      <c r="H7" s="1">
        <f>_xlfn.POISSON.DIST($D7,'First 5 Innings'!$G$14, FALSE) * _xlfn.POISSON.DIST(H$4, 'First 5 Innings'!$G$13, FALSE)</f>
        <v>2.3374833178509288E-2</v>
      </c>
      <c r="I7" s="1">
        <f>_xlfn.POISSON.DIST($D7,'First 5 Innings'!$G$14, FALSE) * _xlfn.POISSON.DIST(I$4, 'First 5 Innings'!$G$13, FALSE)</f>
        <v>9.0307608305057376E-3</v>
      </c>
      <c r="J7" s="1">
        <f>_xlfn.POISSON.DIST($D7,'First 5 Innings'!$G$14, FALSE) * _xlfn.POISSON.DIST(J$4, 'First 5 Innings'!$G$13, FALSE)</f>
        <v>2.7911948052840902E-3</v>
      </c>
      <c r="K7" s="1">
        <f>_xlfn.POISSON.DIST($D7,'First 5 Innings'!$G$14, FALSE) * _xlfn.POISSON.DIST(K$4, 'First 5 Innings'!$G$13, FALSE)</f>
        <v>7.1891030623612404E-4</v>
      </c>
      <c r="L7" s="1">
        <f>_xlfn.POISSON.DIST($D7,'First 5 Innings'!$G$14, FALSE) * _xlfn.POISSON.DIST(L$4, 'First 5 Innings'!$G$13, FALSE)</f>
        <v>1.58712992965518E-4</v>
      </c>
      <c r="M7" s="1">
        <f>_xlfn.POISSON.DIST($D7,'First 5 Innings'!$G$14, FALSE) * _xlfn.POISSON.DIST(M$4, 'First 5 Innings'!$G$13, FALSE)</f>
        <v>3.0659022659530745E-5</v>
      </c>
      <c r="N7" s="1">
        <f>_xlfn.POISSON.DIST($D7,'First 5 Innings'!$G$14, FALSE) * _xlfn.POISSON.DIST(N$4, 'First 5 Innings'!$G$13, FALSE)</f>
        <v>5.2644330729709679E-6</v>
      </c>
      <c r="O7" s="1">
        <f>_xlfn.POISSON.DIST($D7,'First 5 Innings'!$G$14, FALSE) * _xlfn.POISSON.DIST(O$4, 'First 5 Innings'!$G$13, FALSE)</f>
        <v>8.1355594073569457E-7</v>
      </c>
      <c r="P7" s="1">
        <f>_xlfn.POISSON.DIST($D7,'First 5 Innings'!$G$14, FALSE) * _xlfn.POISSON.DIST(P$4, 'First 5 Innings'!$G$13, FALSE)</f>
        <v>1.1429587254903609E-7</v>
      </c>
      <c r="Q7" s="1">
        <f>_xlfn.POISSON.DIST($D7,'First 5 Innings'!$G$14, FALSE) * _xlfn.POISSON.DIST(Q$4, 'First 5 Innings'!$G$13, FALSE)</f>
        <v>1.4719230735919493E-8</v>
      </c>
      <c r="R7" s="1">
        <f>_xlfn.POISSON.DIST($D7,'First 5 Innings'!$G$14, FALSE) * _xlfn.POISSON.DIST(R$4, 'First 5 Innings'!$G$13, FALSE)</f>
        <v>1.7497563280985278E-9</v>
      </c>
      <c r="S7" s="1">
        <f>_xlfn.POISSON.DIST($D7,'First 5 Innings'!$G$14, FALSE) * _xlfn.POISSON.DIST(S$4, 'First 5 Innings'!$G$13, FALSE)</f>
        <v>1.9314583570711672E-10</v>
      </c>
      <c r="T7" s="1">
        <f>_xlfn.POISSON.DIST($D7,'First 5 Innings'!$G$14, FALSE) * _xlfn.POISSON.DIST(T$4, 'First 5 Innings'!$G$13, FALSE)</f>
        <v>1.9898938136967772E-11</v>
      </c>
    </row>
    <row r="8" spans="2:20">
      <c r="B8" s="377"/>
      <c r="C8" s="377"/>
      <c r="D8" s="1">
        <v>3</v>
      </c>
      <c r="E8" s="1">
        <f>_xlfn.POISSON.DIST($D8,'First 5 Innings'!$G$14, FALSE) * _xlfn.POISSON.DIST(E$4, 'First 5 Innings'!$G$13, FALSE)</f>
        <v>4.5414835709442887E-2</v>
      </c>
      <c r="F8" s="1">
        <f>_xlfn.POISSON.DIST($D8,'First 5 Innings'!$G$14, FALSE) * _xlfn.POISSON.DIST(F$4, 'First 5 Innings'!$G$13, FALSE)</f>
        <v>7.0183263566691412E-2</v>
      </c>
      <c r="G8" s="1">
        <f>_xlfn.POISSON.DIST($D8,'First 5 Innings'!$G$14, FALSE) * _xlfn.POISSON.DIST(G$4, 'First 5 Innings'!$G$13, FALSE)</f>
        <v>5.422997141711005E-2</v>
      </c>
      <c r="H8" s="1">
        <f>_xlfn.POISSON.DIST($D8,'First 5 Innings'!$G$14, FALSE) * _xlfn.POISSON.DIST(H$4, 'First 5 Innings'!$G$13, FALSE)</f>
        <v>2.7935338146118965E-2</v>
      </c>
      <c r="I8" s="1">
        <f>_xlfn.POISSON.DIST($D8,'First 5 Innings'!$G$14, FALSE) * _xlfn.POISSON.DIST(I$4, 'First 5 Innings'!$G$13, FALSE)</f>
        <v>1.0792691250042655E-2</v>
      </c>
      <c r="J8" s="1">
        <f>_xlfn.POISSON.DIST($D8,'First 5 Innings'!$G$14, FALSE) * _xlfn.POISSON.DIST(J$4, 'First 5 Innings'!$G$13, FALSE)</f>
        <v>3.3357658692935496E-3</v>
      </c>
      <c r="K8" s="1">
        <f>_xlfn.POISSON.DIST($D8,'First 5 Innings'!$G$14, FALSE) * _xlfn.POISSON.DIST(K$4, 'First 5 Innings'!$G$13, FALSE)</f>
        <v>8.5917201410875871E-4</v>
      </c>
      <c r="L8" s="1">
        <f>_xlfn.POISSON.DIST($D8,'First 5 Innings'!$G$14, FALSE) * _xlfn.POISSON.DIST(L$4, 'First 5 Innings'!$G$13, FALSE)</f>
        <v>1.8967840723460949E-4</v>
      </c>
      <c r="M8" s="1">
        <f>_xlfn.POISSON.DIST($D8,'First 5 Innings'!$G$14, FALSE) * _xlfn.POISSON.DIST(M$4, 'First 5 Innings'!$G$13, FALSE)</f>
        <v>3.6640696371298578E-5</v>
      </c>
      <c r="N8" s="1">
        <f>_xlfn.POISSON.DIST($D8,'First 5 Innings'!$G$14, FALSE) * _xlfn.POISSON.DIST(N$4, 'First 5 Innings'!$G$13, FALSE)</f>
        <v>6.291540860118988E-6</v>
      </c>
      <c r="O8" s="1">
        <f>_xlfn.POISSON.DIST($D8,'First 5 Innings'!$G$14, FALSE) * _xlfn.POISSON.DIST(O$4, 'First 5 Innings'!$G$13, FALSE)</f>
        <v>9.7228331563583558E-7</v>
      </c>
      <c r="P8" s="1">
        <f>_xlfn.POISSON.DIST($D8,'First 5 Innings'!$G$14, FALSE) * _xlfn.POISSON.DIST(P$4, 'First 5 Innings'!$G$13, FALSE)</f>
        <v>1.3659536408151015E-7</v>
      </c>
      <c r="Q8" s="1">
        <f>_xlfn.POISSON.DIST($D8,'First 5 Innings'!$G$14, FALSE) * _xlfn.POISSON.DIST(Q$4, 'First 5 Innings'!$G$13, FALSE)</f>
        <v>1.7590999889432437E-8</v>
      </c>
      <c r="R8" s="1">
        <f>_xlfn.POISSON.DIST($D8,'First 5 Innings'!$G$14, FALSE) * _xlfn.POISSON.DIST(R$4, 'First 5 Innings'!$G$13, FALSE)</f>
        <v>2.0911394030261543E-9</v>
      </c>
      <c r="S8" s="1">
        <f>_xlfn.POISSON.DIST($D8,'First 5 Innings'!$G$14, FALSE) * _xlfn.POISSON.DIST(S$4, 'First 5 Innings'!$G$13, FALSE)</f>
        <v>2.3082920809692574E-10</v>
      </c>
      <c r="T8" s="1">
        <f>_xlfn.POISSON.DIST($D8,'First 5 Innings'!$G$14, FALSE) * _xlfn.POISSON.DIST(T$4, 'First 5 Innings'!$G$13, FALSE)</f>
        <v>2.378128482713511E-11</v>
      </c>
    </row>
    <row r="9" spans="2:20">
      <c r="B9" s="377"/>
      <c r="C9" s="377"/>
      <c r="D9" s="1">
        <v>4</v>
      </c>
      <c r="E9" s="1">
        <f>_xlfn.POISSON.DIST($D9,'First 5 Innings'!$G$14, FALSE) * _xlfn.POISSON.DIST(E$4, 'First 5 Innings'!$G$13, FALSE)</f>
        <v>4.070656192618767E-2</v>
      </c>
      <c r="F9" s="1">
        <f>_xlfn.POISSON.DIST($D9,'First 5 Innings'!$G$14, FALSE) * _xlfn.POISSON.DIST(F$4, 'First 5 Innings'!$G$13, FALSE)</f>
        <v>6.2907182640439444E-2</v>
      </c>
      <c r="G9" s="1">
        <f>_xlfn.POISSON.DIST($D9,'First 5 Innings'!$G$14, FALSE) * _xlfn.POISSON.DIST(G$4, 'First 5 Innings'!$G$13, FALSE)</f>
        <v>4.8607809656503492E-2</v>
      </c>
      <c r="H9" s="1">
        <f>_xlfn.POISSON.DIST($D9,'First 5 Innings'!$G$14, FALSE) * _xlfn.POISSON.DIST(H$4, 'First 5 Innings'!$G$13, FALSE)</f>
        <v>2.5039209201356681E-2</v>
      </c>
      <c r="I9" s="1">
        <f>_xlfn.POISSON.DIST($D9,'First 5 Innings'!$G$14, FALSE) * _xlfn.POISSON.DIST(I$4, 'First 5 Innings'!$G$13, FALSE)</f>
        <v>9.673784961611932E-3</v>
      </c>
      <c r="J9" s="1">
        <f>_xlfn.POISSON.DIST($D9,'First 5 Innings'!$G$14, FALSE) * _xlfn.POISSON.DIST(J$4, 'First 5 Innings'!$G$13, FALSE)</f>
        <v>2.9899383716459746E-3</v>
      </c>
      <c r="K9" s="1">
        <f>_xlfn.POISSON.DIST($D9,'First 5 Innings'!$G$14, FALSE) * _xlfn.POISSON.DIST(K$4, 'First 5 Innings'!$G$13, FALSE)</f>
        <v>7.7009942348626862E-4</v>
      </c>
      <c r="L9" s="1">
        <f>_xlfn.POISSON.DIST($D9,'First 5 Innings'!$G$14, FALSE) * _xlfn.POISSON.DIST(L$4, 'First 5 Innings'!$G$13, FALSE)</f>
        <v>1.700139549013243E-4</v>
      </c>
      <c r="M9" s="1">
        <f>_xlfn.POISSON.DIST($D9,'First 5 Innings'!$G$14, FALSE) * _xlfn.POISSON.DIST(M$4, 'First 5 Innings'!$G$13, FALSE)</f>
        <v>3.2842060365458537E-5</v>
      </c>
      <c r="N9" s="1">
        <f>_xlfn.POISSON.DIST($D9,'First 5 Innings'!$G$14, FALSE) * _xlfn.POISSON.DIST(N$4, 'First 5 Innings'!$G$13, FALSE)</f>
        <v>5.6392805045493652E-6</v>
      </c>
      <c r="O9" s="1">
        <f>_xlfn.POISSON.DIST($D9,'First 5 Innings'!$G$14, FALSE) * _xlfn.POISSON.DIST(O$4, 'First 5 Innings'!$G$13, FALSE)</f>
        <v>8.714841830750009E-7</v>
      </c>
      <c r="P9" s="1">
        <f>_xlfn.POISSON.DIST($D9,'First 5 Innings'!$G$14, FALSE) * _xlfn.POISSON.DIST(P$4, 'First 5 Innings'!$G$13, FALSE)</f>
        <v>1.2243416848160064E-7</v>
      </c>
      <c r="Q9" s="1">
        <f>_xlfn.POISSON.DIST($D9,'First 5 Innings'!$G$14, FALSE) * _xlfn.POISSON.DIST(Q$4, 'First 5 Innings'!$G$13, FALSE)</f>
        <v>1.5767295315655036E-8</v>
      </c>
      <c r="R9" s="1">
        <f>_xlfn.POISSON.DIST($D9,'First 5 Innings'!$G$14, FALSE) * _xlfn.POISSON.DIST(R$4, 'First 5 Innings'!$G$13, FALSE)</f>
        <v>1.8743455585786923E-9</v>
      </c>
      <c r="S9" s="1">
        <f>_xlfn.POISSON.DIST($D9,'First 5 Innings'!$G$14, FALSE) * _xlfn.POISSON.DIST(S$4, 'First 5 Innings'!$G$13, FALSE)</f>
        <v>2.0689854553006009E-10</v>
      </c>
      <c r="T9" s="1">
        <f>_xlfn.POISSON.DIST($D9,'First 5 Innings'!$G$14, FALSE) * _xlfn.POISSON.DIST(T$4, 'First 5 Innings'!$G$13, FALSE)</f>
        <v>2.1315817361831821E-11</v>
      </c>
    </row>
    <row r="10" spans="2:20">
      <c r="B10" s="377"/>
      <c r="C10" s="377"/>
      <c r="D10" s="1">
        <v>5</v>
      </c>
      <c r="E10" s="1">
        <f>_xlfn.POISSON.DIST($D10,'First 5 Innings'!$G$14, FALSE) * _xlfn.POISSON.DIST(E$4, 'First 5 Innings'!$G$13, FALSE)</f>
        <v>2.9189125676057685E-2</v>
      </c>
      <c r="F10" s="1">
        <f>_xlfn.POISSON.DIST($D10,'First 5 Innings'!$G$14, FALSE) * _xlfn.POISSON.DIST(F$4, 'First 5 Innings'!$G$13, FALSE)</f>
        <v>4.5108345513139955E-2</v>
      </c>
      <c r="G10" s="1">
        <f>_xlfn.POISSON.DIST($D10,'First 5 Innings'!$G$14, FALSE) * _xlfn.POISSON.DIST(G$4, 'First 5 Innings'!$G$13, FALSE)</f>
        <v>3.4854809587561965E-2</v>
      </c>
      <c r="H10" s="1">
        <f>_xlfn.POISSON.DIST($D10,'First 5 Innings'!$G$14, FALSE) * _xlfn.POISSON.DIST(H$4, 'First 5 Innings'!$G$13, FALSE)</f>
        <v>1.7954663563402275E-2</v>
      </c>
      <c r="I10" s="1">
        <f>_xlfn.POISSON.DIST($D10,'First 5 Innings'!$G$14, FALSE) * _xlfn.POISSON.DIST(I$4, 'First 5 Innings'!$G$13, FALSE)</f>
        <v>6.9367028716318946E-3</v>
      </c>
      <c r="J10" s="1">
        <f>_xlfn.POISSON.DIST($D10,'First 5 Innings'!$G$14, FALSE) * _xlfn.POISSON.DIST(J$4, 'First 5 Innings'!$G$13, FALSE)</f>
        <v>2.1439709659561304E-3</v>
      </c>
      <c r="K10" s="1">
        <f>_xlfn.POISSON.DIST($D10,'First 5 Innings'!$G$14, FALSE) * _xlfn.POISSON.DIST(K$4, 'First 5 Innings'!$G$13, FALSE)</f>
        <v>5.5220897544627074E-4</v>
      </c>
      <c r="L10" s="1">
        <f>_xlfn.POISSON.DIST($D10,'First 5 Innings'!$G$14, FALSE) * _xlfn.POISSON.DIST(L$4, 'First 5 Innings'!$G$13, FALSE)</f>
        <v>1.2191053386667384E-4</v>
      </c>
      <c r="M10" s="1">
        <f>_xlfn.POISSON.DIST($D10,'First 5 Innings'!$G$14, FALSE) * _xlfn.POISSON.DIST(M$4, 'First 5 Innings'!$G$13, FALSE)</f>
        <v>2.3549791043672695E-5</v>
      </c>
      <c r="N10" s="1">
        <f>_xlfn.POISSON.DIST($D10,'First 5 Innings'!$G$14, FALSE) * _xlfn.POISSON.DIST(N$4, 'First 5 Innings'!$G$13, FALSE)</f>
        <v>4.0437133371349149E-6</v>
      </c>
      <c r="O10" s="1">
        <f>_xlfn.POISSON.DIST($D10,'First 5 Innings'!$G$14, FALSE) * _xlfn.POISSON.DIST(O$4, 'First 5 Innings'!$G$13, FALSE)</f>
        <v>6.2490812637526575E-7</v>
      </c>
      <c r="P10" s="1">
        <f>_xlfn.POISSON.DIST($D10,'First 5 Innings'!$G$14, FALSE) * _xlfn.POISSON.DIST(P$4, 'First 5 Innings'!$G$13, FALSE)</f>
        <v>8.7792880600755695E-8</v>
      </c>
      <c r="Q10" s="1">
        <f>_xlfn.POISSON.DIST($D10,'First 5 Innings'!$G$14, FALSE) * _xlfn.POISSON.DIST(Q$4, 'First 5 Innings'!$G$13, FALSE)</f>
        <v>1.1306127139273076E-8</v>
      </c>
      <c r="R10" s="1">
        <f>_xlfn.POISSON.DIST($D10,'First 5 Innings'!$G$14, FALSE) * _xlfn.POISSON.DIST(R$4, 'First 5 Innings'!$G$13, FALSE)</f>
        <v>1.3440218353227513E-9</v>
      </c>
      <c r="S10" s="1">
        <f>_xlfn.POISSON.DIST($D10,'First 5 Innings'!$G$14, FALSE) * _xlfn.POISSON.DIST(S$4, 'First 5 Innings'!$G$13, FALSE)</f>
        <v>1.4835906944490167E-10</v>
      </c>
      <c r="T10" s="1">
        <f>_xlfn.POISSON.DIST($D10,'First 5 Innings'!$G$14, FALSE) * _xlfn.POISSON.DIST(T$4, 'First 5 Innings'!$G$13, FALSE)</f>
        <v>1.5284761041490197E-11</v>
      </c>
    </row>
    <row r="11" spans="2:20">
      <c r="B11" s="377"/>
      <c r="C11" s="377"/>
      <c r="D11" s="1">
        <v>6</v>
      </c>
      <c r="E11" s="1">
        <f>_xlfn.POISSON.DIST($D11,'First 5 Innings'!$G$14, FALSE) * _xlfn.POISSON.DIST(E$4, 'First 5 Innings'!$G$13, FALSE)</f>
        <v>1.7442008884579283E-2</v>
      </c>
      <c r="F11" s="1">
        <f>_xlfn.POISSON.DIST($D11,'First 5 Innings'!$G$14, FALSE) * _xlfn.POISSON.DIST(F$4, 'First 5 Innings'!$G$13, FALSE)</f>
        <v>2.6954564242197013E-2</v>
      </c>
      <c r="G11" s="1">
        <f>_xlfn.POISSON.DIST($D11,'First 5 Innings'!$G$14, FALSE) * _xlfn.POISSON.DIST(G$4, 'First 5 Innings'!$G$13, FALSE)</f>
        <v>2.0827547397051178E-2</v>
      </c>
      <c r="H11" s="1">
        <f>_xlfn.POISSON.DIST($D11,'First 5 Innings'!$G$14, FALSE) * _xlfn.POISSON.DIST(H$4, 'First 5 Innings'!$G$13, FALSE)</f>
        <v>1.0728838022351854E-2</v>
      </c>
      <c r="I11" s="1">
        <f>_xlfn.POISSON.DIST($D11,'First 5 Innings'!$G$14, FALSE) * _xlfn.POISSON.DIST(I$4, 'First 5 Innings'!$G$13, FALSE)</f>
        <v>4.1450379315723027E-3</v>
      </c>
      <c r="J11" s="1">
        <f>_xlfn.POISSON.DIST($D11,'First 5 Innings'!$G$14, FALSE) * _xlfn.POISSON.DIST(J$4, 'First 5 Innings'!$G$13, FALSE)</f>
        <v>1.2811332909214252E-3</v>
      </c>
      <c r="K11" s="1">
        <f>_xlfn.POISSON.DIST($D11,'First 5 Innings'!$G$14, FALSE) * _xlfn.POISSON.DIST(K$4, 'First 5 Innings'!$G$13, FALSE)</f>
        <v>3.2997335935206184E-4</v>
      </c>
      <c r="L11" s="1">
        <f>_xlfn.POISSON.DIST($D11,'First 5 Innings'!$G$14, FALSE) * _xlfn.POISSON.DIST(L$4, 'First 5 Innings'!$G$13, FALSE)</f>
        <v>7.2847835129589874E-5</v>
      </c>
      <c r="M11" s="1">
        <f>_xlfn.POISSON.DIST($D11,'First 5 Innings'!$G$14, FALSE) * _xlfn.POISSON.DIST(M$4, 'First 5 Innings'!$G$13, FALSE)</f>
        <v>1.4072215426125155E-5</v>
      </c>
      <c r="N11" s="1">
        <f>_xlfn.POISSON.DIST($D11,'First 5 Innings'!$G$14, FALSE) * _xlfn.POISSON.DIST(N$4, 'First 5 Innings'!$G$13, FALSE)</f>
        <v>2.416327393144612E-6</v>
      </c>
      <c r="O11" s="1">
        <f>_xlfn.POISSON.DIST($D11,'First 5 Innings'!$G$14, FALSE) * _xlfn.POISSON.DIST(O$4, 'First 5 Innings'!$G$13, FALSE)</f>
        <v>3.7341485364269047E-7</v>
      </c>
      <c r="P11" s="1">
        <f>_xlfn.POISSON.DIST($D11,'First 5 Innings'!$G$14, FALSE) * _xlfn.POISSON.DIST(P$4, 'First 5 Innings'!$G$13, FALSE)</f>
        <v>5.2460776675377489E-8</v>
      </c>
      <c r="Q11" s="1">
        <f>_xlfn.POISSON.DIST($D11,'First 5 Innings'!$G$14, FALSE) * _xlfn.POISSON.DIST(Q$4, 'First 5 Innings'!$G$13, FALSE)</f>
        <v>6.7559944138764702E-9</v>
      </c>
      <c r="R11" s="1">
        <f>_xlfn.POISSON.DIST($D11,'First 5 Innings'!$G$14, FALSE) * _xlfn.POISSON.DIST(R$4, 'First 5 Innings'!$G$13, FALSE)</f>
        <v>8.0312240431362401E-10</v>
      </c>
      <c r="S11" s="1">
        <f>_xlfn.POISSON.DIST($D11,'First 5 Innings'!$G$14, FALSE) * _xlfn.POISSON.DIST(S$4, 'First 5 Innings'!$G$13, FALSE)</f>
        <v>8.8652200003661944E-11</v>
      </c>
      <c r="T11" s="1">
        <f>_xlfn.POISSON.DIST($D11,'First 5 Innings'!$G$14, FALSE) * _xlfn.POISSON.DIST(T$4, 'First 5 Innings'!$G$13, FALSE)</f>
        <v>9.1334334862595378E-12</v>
      </c>
    </row>
    <row r="12" spans="2:20">
      <c r="B12" s="377"/>
      <c r="C12" s="377"/>
      <c r="D12" s="1">
        <v>7</v>
      </c>
      <c r="E12" s="1">
        <f>_xlfn.POISSON.DIST($D12,'First 5 Innings'!$G$14, FALSE) * _xlfn.POISSON.DIST(E$4, 'First 5 Innings'!$G$13, FALSE)</f>
        <v>8.9335717683564197E-3</v>
      </c>
      <c r="F12" s="1">
        <f>_xlfn.POISSON.DIST($D12,'First 5 Innings'!$G$14, FALSE) * _xlfn.POISSON.DIST(F$4, 'First 5 Innings'!$G$13, FALSE)</f>
        <v>1.3805779812171503E-2</v>
      </c>
      <c r="G12" s="1">
        <f>_xlfn.POISSON.DIST($D12,'First 5 Innings'!$G$14, FALSE) * _xlfn.POISSON.DIST(G$4, 'First 5 Innings'!$G$13, FALSE)</f>
        <v>1.0667600885979579E-2</v>
      </c>
      <c r="H12" s="1">
        <f>_xlfn.POISSON.DIST($D12,'First 5 Innings'!$G$14, FALSE) * _xlfn.POISSON.DIST(H$4, 'First 5 Innings'!$G$13, FALSE)</f>
        <v>5.4951723220649741E-3</v>
      </c>
      <c r="I12" s="1">
        <f>_xlfn.POISSON.DIST($D12,'First 5 Innings'!$G$14, FALSE) * _xlfn.POISSON.DIST(I$4, 'First 5 Innings'!$G$13, FALSE)</f>
        <v>2.1230349146880399E-3</v>
      </c>
      <c r="J12" s="1">
        <f>_xlfn.POISSON.DIST($D12,'First 5 Innings'!$G$14, FALSE) * _xlfn.POISSON.DIST(J$4, 'First 5 Innings'!$G$13, FALSE)</f>
        <v>6.5617993173916803E-4</v>
      </c>
      <c r="K12" s="1">
        <f>_xlfn.POISSON.DIST($D12,'First 5 Innings'!$G$14, FALSE) * _xlfn.POISSON.DIST(K$4, 'First 5 Innings'!$G$13, FALSE)</f>
        <v>1.6900809459072878E-4</v>
      </c>
      <c r="L12" s="1">
        <f>_xlfn.POISSON.DIST($D12,'First 5 Innings'!$G$14, FALSE) * _xlfn.POISSON.DIST(L$4, 'First 5 Innings'!$G$13, FALSE)</f>
        <v>3.7311720662805109E-5</v>
      </c>
      <c r="M12" s="1">
        <f>_xlfn.POISSON.DIST($D12,'First 5 Innings'!$G$14, FALSE) * _xlfn.POISSON.DIST(M$4, 'First 5 Innings'!$G$13, FALSE)</f>
        <v>7.2076070641271054E-6</v>
      </c>
      <c r="N12" s="1">
        <f>_xlfn.POISSON.DIST($D12,'First 5 Innings'!$G$14, FALSE) * _xlfn.POISSON.DIST(N$4, 'First 5 Innings'!$G$13, FALSE)</f>
        <v>1.2376116951521466E-6</v>
      </c>
      <c r="O12" s="1">
        <f>_xlfn.POISSON.DIST($D12,'First 5 Innings'!$G$14, FALSE) * _xlfn.POISSON.DIST(O$4, 'First 5 Innings'!$G$13, FALSE)</f>
        <v>1.9125826712177766E-7</v>
      </c>
      <c r="P12" s="1">
        <f>_xlfn.POISSON.DIST($D12,'First 5 Innings'!$G$14, FALSE) * _xlfn.POISSON.DIST(P$4, 'First 5 Innings'!$G$13, FALSE)</f>
        <v>2.6869732526484024E-8</v>
      </c>
      <c r="Q12" s="1">
        <f>_xlfn.POISSON.DIST($D12,'First 5 Innings'!$G$14, FALSE) * _xlfn.POISSON.DIST(Q$4, 'First 5 Innings'!$G$13, FALSE)</f>
        <v>3.4603331165793249E-9</v>
      </c>
      <c r="R12" s="1">
        <f>_xlfn.POISSON.DIST($D12,'First 5 Innings'!$G$14, FALSE) * _xlfn.POISSON.DIST(R$4, 'First 5 Innings'!$G$13, FALSE)</f>
        <v>4.1134892690336932E-10</v>
      </c>
      <c r="S12" s="1">
        <f>_xlfn.POISSON.DIST($D12,'First 5 Innings'!$G$14, FALSE) * _xlfn.POISSON.DIST(S$4, 'First 5 Innings'!$G$13, FALSE)</f>
        <v>4.5406512311526349E-11</v>
      </c>
      <c r="T12" s="1">
        <f>_xlfn.POISSON.DIST($D12,'First 5 Innings'!$G$14, FALSE) * _xlfn.POISSON.DIST(T$4, 'First 5 Innings'!$G$13, FALSE)</f>
        <v>4.6780267158989858E-12</v>
      </c>
    </row>
    <row r="13" spans="2:20">
      <c r="B13" s="377"/>
      <c r="C13" s="377"/>
      <c r="D13" s="1">
        <v>8</v>
      </c>
      <c r="E13" s="1">
        <f>_xlfn.POISSON.DIST($D13,'First 5 Innings'!$G$14, FALSE) * _xlfn.POISSON.DIST(E$4, 'First 5 Innings'!$G$13, FALSE)</f>
        <v>4.0037026087383753E-3</v>
      </c>
      <c r="F13" s="1">
        <f>_xlfn.POISSON.DIST($D13,'First 5 Innings'!$G$14, FALSE) * _xlfn.POISSON.DIST(F$4, 'First 5 Innings'!$G$13, FALSE)</f>
        <v>6.1872494096309114E-3</v>
      </c>
      <c r="G13" s="1">
        <f>_xlfn.POISSON.DIST($D13,'First 5 Innings'!$G$14, FALSE) * _xlfn.POISSON.DIST(G$4, 'First 5 Innings'!$G$13, FALSE)</f>
        <v>4.7808315199816117E-3</v>
      </c>
      <c r="H13" s="1">
        <f>_xlfn.POISSON.DIST($D13,'First 5 Innings'!$G$14, FALSE) * _xlfn.POISSON.DIST(H$4, 'First 5 Innings'!$G$13, FALSE)</f>
        <v>2.4627367789497429E-3</v>
      </c>
      <c r="I13" s="1">
        <f>_xlfn.POISSON.DIST($D13,'First 5 Innings'!$G$14, FALSE) * _xlfn.POISSON.DIST(I$4, 'First 5 Innings'!$G$13, FALSE)</f>
        <v>9.5146718991915256E-4</v>
      </c>
      <c r="J13" s="1">
        <f>_xlfn.POISSON.DIST($D13,'First 5 Innings'!$G$14, FALSE) * _xlfn.POISSON.DIST(J$4, 'First 5 Innings'!$G$13, FALSE)</f>
        <v>2.9407602833745559E-4</v>
      </c>
      <c r="K13" s="1">
        <f>_xlfn.POISSON.DIST($D13,'First 5 Innings'!$G$14, FALSE) * _xlfn.POISSON.DIST(K$4, 'First 5 Innings'!$G$13, FALSE)</f>
        <v>7.5743293584721824E-5</v>
      </c>
      <c r="L13" s="1">
        <f>_xlfn.POISSON.DIST($D13,'First 5 Innings'!$G$14, FALSE) * _xlfn.POISSON.DIST(L$4, 'First 5 Innings'!$G$13, FALSE)</f>
        <v>1.6721758914315398E-5</v>
      </c>
      <c r="M13" s="1">
        <f>_xlfn.POISSON.DIST($D13,'First 5 Innings'!$G$14, FALSE) * _xlfn.POISSON.DIST(M$4, 'First 5 Innings'!$G$13, FALSE)</f>
        <v>3.2301878748678711E-6</v>
      </c>
      <c r="N13" s="1">
        <f>_xlfn.POISSON.DIST($D13,'First 5 Innings'!$G$14, FALSE) * _xlfn.POISSON.DIST(N$4, 'First 5 Innings'!$G$13, FALSE)</f>
        <v>5.5465264073178067E-7</v>
      </c>
      <c r="O13" s="1">
        <f>_xlfn.POISSON.DIST($D13,'First 5 Innings'!$G$14, FALSE) * _xlfn.POISSON.DIST(O$4, 'First 5 Innings'!$G$13, FALSE)</f>
        <v>8.5715013308626689E-8</v>
      </c>
      <c r="P13" s="1">
        <f>_xlfn.POISSON.DIST($D13,'First 5 Innings'!$G$14, FALSE) * _xlfn.POISSON.DIST(P$4, 'First 5 Innings'!$G$13, FALSE)</f>
        <v>1.2042038839766159E-8</v>
      </c>
      <c r="Q13" s="1">
        <f>_xlfn.POISSON.DIST($D13,'First 5 Innings'!$G$14, FALSE) * _xlfn.POISSON.DIST(Q$4, 'First 5 Innings'!$G$13, FALSE)</f>
        <v>1.5507957046950876E-9</v>
      </c>
      <c r="R13" s="1">
        <f>_xlfn.POISSON.DIST($D13,'First 5 Innings'!$G$14, FALSE) * _xlfn.POISSON.DIST(R$4, 'First 5 Innings'!$G$13, FALSE)</f>
        <v>1.8435165849098533E-10</v>
      </c>
      <c r="S13" s="1">
        <f>_xlfn.POISSON.DIST($D13,'First 5 Innings'!$G$14, FALSE) * _xlfn.POISSON.DIST(S$4, 'First 5 Innings'!$G$13, FALSE)</f>
        <v>2.0349550718258269E-11</v>
      </c>
      <c r="T13" s="1">
        <f>_xlfn.POISSON.DIST($D13,'First 5 Innings'!$G$14, FALSE) * _xlfn.POISSON.DIST(T$4, 'First 5 Innings'!$G$13, FALSE)</f>
        <v>2.0965217778329198E-12</v>
      </c>
    </row>
    <row r="14" spans="2:20">
      <c r="B14" s="377"/>
      <c r="C14" s="377"/>
      <c r="D14" s="1">
        <v>9</v>
      </c>
      <c r="E14" s="1">
        <f>_xlfn.POISSON.DIST($D14,'First 5 Innings'!$G$14, FALSE) * _xlfn.POISSON.DIST(E$4, 'First 5 Innings'!$G$13, FALSE)</f>
        <v>1.5949459454600492E-3</v>
      </c>
      <c r="F14" s="1">
        <f>_xlfn.POISSON.DIST($D14,'First 5 Innings'!$G$14, FALSE) * _xlfn.POISSON.DIST(F$4, 'First 5 Innings'!$G$13, FALSE)</f>
        <v>2.4648005418540712E-3</v>
      </c>
      <c r="G14" s="1">
        <f>_xlfn.POISSON.DIST($D14,'First 5 Innings'!$G$14, FALSE) * _xlfn.POISSON.DIST(G$4, 'First 5 Innings'!$G$13, FALSE)</f>
        <v>1.9045290307226582E-3</v>
      </c>
      <c r="H14" s="1">
        <f>_xlfn.POISSON.DIST($D14,'First 5 Innings'!$G$14, FALSE) * _xlfn.POISSON.DIST(H$4, 'First 5 Innings'!$G$13, FALSE)</f>
        <v>9.8107487597810924E-4</v>
      </c>
      <c r="I14" s="1">
        <f>_xlfn.POISSON.DIST($D14,'First 5 Innings'!$G$14, FALSE) * _xlfn.POISSON.DIST(I$4, 'First 5 Innings'!$G$13, FALSE)</f>
        <v>3.7903383070652633E-4</v>
      </c>
      <c r="J14" s="1">
        <f>_xlfn.POISSON.DIST($D14,'First 5 Innings'!$G$14, FALSE) * _xlfn.POISSON.DIST(J$4, 'First 5 Innings'!$G$13, FALSE)</f>
        <v>1.1715040173815986E-4</v>
      </c>
      <c r="K14" s="1">
        <f>_xlfn.POISSON.DIST($D14,'First 5 Innings'!$G$14, FALSE) * _xlfn.POISSON.DIST(K$4, 'First 5 Innings'!$G$13, FALSE)</f>
        <v>3.0173684412791612E-5</v>
      </c>
      <c r="L14" s="1">
        <f>_xlfn.POISSON.DIST($D14,'First 5 Innings'!$G$14, FALSE) * _xlfn.POISSON.DIST(L$4, 'First 5 Innings'!$G$13, FALSE)</f>
        <v>6.6614092473146944E-6</v>
      </c>
      <c r="M14" s="1">
        <f>_xlfn.POISSON.DIST($D14,'First 5 Innings'!$G$14, FALSE) * _xlfn.POISSON.DIST(M$4, 'First 5 Innings'!$G$13, FALSE)</f>
        <v>1.286802631856362E-6</v>
      </c>
      <c r="N14" s="1">
        <f>_xlfn.POISSON.DIST($D14,'First 5 Innings'!$G$14, FALSE) * _xlfn.POISSON.DIST(N$4, 'First 5 Innings'!$G$13, FALSE)</f>
        <v>2.2095571697634808E-7</v>
      </c>
      <c r="O14" s="1">
        <f>_xlfn.POISSON.DIST($D14,'First 5 Innings'!$G$14, FALSE) * _xlfn.POISSON.DIST(O$4, 'First 5 Innings'!$G$13, FALSE)</f>
        <v>3.4146095827214263E-8</v>
      </c>
      <c r="P14" s="1">
        <f>_xlfn.POISSON.DIST($D14,'First 5 Innings'!$G$14, FALSE) * _xlfn.POISSON.DIST(P$4, 'First 5 Innings'!$G$13, FALSE)</f>
        <v>4.7971597542330161E-9</v>
      </c>
      <c r="Q14" s="1">
        <f>_xlfn.POISSON.DIST($D14,'First 5 Innings'!$G$14, FALSE) * _xlfn.POISSON.DIST(Q$4, 'First 5 Innings'!$G$13, FALSE)</f>
        <v>6.1778697449751524E-10</v>
      </c>
      <c r="R14" s="1">
        <f>_xlfn.POISSON.DIST($D14,'First 5 Innings'!$G$14, FALSE) * _xlfn.POISSON.DIST(R$4, 'First 5 Innings'!$G$13, FALSE)</f>
        <v>7.3439752894555307E-11</v>
      </c>
      <c r="S14" s="1">
        <f>_xlfn.POISSON.DIST($D14,'First 5 Innings'!$G$14, FALSE) * _xlfn.POISSON.DIST(S$4, 'First 5 Innings'!$G$13, FALSE)</f>
        <v>8.1066044563802278E-12</v>
      </c>
      <c r="T14" s="1">
        <f>_xlfn.POISSON.DIST($D14,'First 5 Innings'!$G$14, FALSE) * _xlfn.POISSON.DIST(T$4, 'First 5 Innings'!$G$13, FALSE)</f>
        <v>8.3518663494764443E-13</v>
      </c>
    </row>
    <row r="15" spans="2:20">
      <c r="B15" s="377"/>
      <c r="C15" s="377"/>
      <c r="D15" s="1">
        <v>10</v>
      </c>
      <c r="E15" s="1">
        <f>_xlfn.POISSON.DIST($D15,'First 5 Innings'!$G$14, FALSE) * _xlfn.POISSON.DIST(E$4, 'First 5 Innings'!$G$13, FALSE)</f>
        <v>5.718375053752917E-4</v>
      </c>
      <c r="F15" s="1">
        <f>_xlfn.POISSON.DIST($D15,'First 5 Innings'!$G$14, FALSE) * _xlfn.POISSON.DIST(F$4, 'First 5 Innings'!$G$13, FALSE)</f>
        <v>8.8370731128129259E-4</v>
      </c>
      <c r="G15" s="1">
        <f>_xlfn.POISSON.DIST($D15,'First 5 Innings'!$G$14, FALSE) * _xlfn.POISSON.DIST(G$4, 'First 5 Innings'!$G$13, FALSE)</f>
        <v>6.8283262698857832E-4</v>
      </c>
      <c r="H15" s="1">
        <f>_xlfn.POISSON.DIST($D15,'First 5 Innings'!$G$14, FALSE) * _xlfn.POISSON.DIST(H$4, 'First 5 Innings'!$G$13, FALSE)</f>
        <v>3.5174571982367423E-4</v>
      </c>
      <c r="I15" s="1">
        <f>_xlfn.POISSON.DIST($D15,'First 5 Innings'!$G$14, FALSE) * _xlfn.POISSON.DIST(I$4, 'First 5 Innings'!$G$13, FALSE)</f>
        <v>1.3589536424166531E-4</v>
      </c>
      <c r="J15" s="1">
        <f>_xlfn.POISSON.DIST($D15,'First 5 Innings'!$G$14, FALSE) * _xlfn.POISSON.DIST(J$4, 'First 5 Innings'!$G$13, FALSE)</f>
        <v>4.200204632285489E-5</v>
      </c>
      <c r="K15" s="1">
        <f>_xlfn.POISSON.DIST($D15,'First 5 Innings'!$G$14, FALSE) * _xlfn.POISSON.DIST(K$4, 'First 5 Innings'!$G$13, FALSE)</f>
        <v>1.0818200122522131E-5</v>
      </c>
      <c r="L15" s="1">
        <f>_xlfn.POISSON.DIST($D15,'First 5 Innings'!$G$14, FALSE) * _xlfn.POISSON.DIST(L$4, 'First 5 Innings'!$G$13, FALSE)</f>
        <v>2.3883214707753551E-6</v>
      </c>
      <c r="M15" s="1">
        <f>_xlfn.POISSON.DIST($D15,'First 5 Innings'!$G$14, FALSE) * _xlfn.POISSON.DIST(M$4, 'First 5 Innings'!$G$13, FALSE)</f>
        <v>4.6135858648103229E-7</v>
      </c>
      <c r="N15" s="1">
        <f>_xlfn.POISSON.DIST($D15,'First 5 Innings'!$G$14, FALSE) * _xlfn.POISSON.DIST(N$4, 'First 5 Innings'!$G$13, FALSE)</f>
        <v>7.9219465934764976E-8</v>
      </c>
      <c r="O15" s="1">
        <f>_xlfn.POISSON.DIST($D15,'First 5 Innings'!$G$14, FALSE) * _xlfn.POISSON.DIST(O$4, 'First 5 Innings'!$G$13, FALSE)</f>
        <v>1.2242432611412257E-8</v>
      </c>
      <c r="P15" s="1">
        <f>_xlfn.POISSON.DIST($D15,'First 5 Innings'!$G$14, FALSE) * _xlfn.POISSON.DIST(P$4, 'First 5 Innings'!$G$13, FALSE)</f>
        <v>1.7199303051967086E-9</v>
      </c>
      <c r="Q15" s="1">
        <f>_xlfn.POISSON.DIST($D15,'First 5 Innings'!$G$14, FALSE) * _xlfn.POISSON.DIST(Q$4, 'First 5 Innings'!$G$13, FALSE)</f>
        <v>2.2149575874692675E-10</v>
      </c>
      <c r="R15" s="1">
        <f>_xlfn.POISSON.DIST($D15,'First 5 Innings'!$G$14, FALSE) * _xlfn.POISSON.DIST(R$4, 'First 5 Innings'!$G$13, FALSE)</f>
        <v>2.6330425310111105E-11</v>
      </c>
      <c r="S15" s="1">
        <f>_xlfn.POISSON.DIST($D15,'First 5 Innings'!$G$14, FALSE) * _xlfn.POISSON.DIST(S$4, 'First 5 Innings'!$G$13, FALSE)</f>
        <v>2.9064687004571642E-12</v>
      </c>
      <c r="T15" s="1">
        <f>_xlfn.POISSON.DIST($D15,'First 5 Innings'!$G$14, FALSE) * _xlfn.POISSON.DIST(T$4, 'First 5 Innings'!$G$13, FALSE)</f>
        <v>2.9944026831171897E-13</v>
      </c>
    </row>
    <row r="16" spans="2:20">
      <c r="B16" s="377"/>
      <c r="C16" s="377"/>
      <c r="D16" s="1">
        <v>11</v>
      </c>
      <c r="E16" s="1">
        <f>_xlfn.POISSON.DIST($D16,'First 5 Innings'!$G$14, FALSE) * _xlfn.POISSON.DIST(E$4, 'First 5 Innings'!$G$13, FALSE)</f>
        <v>1.8638313758567702E-4</v>
      </c>
      <c r="F16" s="1">
        <f>_xlfn.POISSON.DIST($D16,'First 5 Innings'!$G$14, FALSE) * _xlfn.POISSON.DIST(F$4, 'First 5 Innings'!$G$13, FALSE)</f>
        <v>2.8803312101033569E-4</v>
      </c>
      <c r="G16" s="1">
        <f>_xlfn.POISSON.DIST($D16,'First 5 Innings'!$G$14, FALSE) * _xlfn.POISSON.DIST(G$4, 'First 5 Innings'!$G$13, FALSE)</f>
        <v>2.2256058105261272E-4</v>
      </c>
      <c r="H16" s="1">
        <f>_xlfn.POISSON.DIST($D16,'First 5 Innings'!$G$14, FALSE) * _xlfn.POISSON.DIST(H$4, 'First 5 Innings'!$G$13, FALSE)</f>
        <v>1.1464702870449675E-4</v>
      </c>
      <c r="I16" s="1">
        <f>_xlfn.POISSON.DIST($D16,'First 5 Innings'!$G$14, FALSE) * _xlfn.POISSON.DIST(I$4, 'First 5 Innings'!$G$13, FALSE)</f>
        <v>4.4293359796481119E-5</v>
      </c>
      <c r="J16" s="1">
        <f>_xlfn.POISSON.DIST($D16,'First 5 Innings'!$G$14, FALSE) * _xlfn.POISSON.DIST(J$4, 'First 5 Innings'!$G$13, FALSE)</f>
        <v>1.3690031005459999E-5</v>
      </c>
      <c r="K16" s="1">
        <f>_xlfn.POISSON.DIST($D16,'First 5 Innings'!$G$14, FALSE) * _xlfn.POISSON.DIST(K$4, 'First 5 Innings'!$G$13, FALSE)</f>
        <v>3.5260542775034167E-6</v>
      </c>
      <c r="L16" s="1">
        <f>_xlfn.POISSON.DIST($D16,'First 5 Innings'!$G$14, FALSE) * _xlfn.POISSON.DIST(L$4, 'First 5 Innings'!$G$13, FALSE)</f>
        <v>7.7844290572407704E-7</v>
      </c>
      <c r="M16" s="1">
        <f>_xlfn.POISSON.DIST($D16,'First 5 Innings'!$G$14, FALSE) * _xlfn.POISSON.DIST(M$4, 'First 5 Innings'!$G$13, FALSE)</f>
        <v>1.5037394380767945E-7</v>
      </c>
      <c r="N16" s="1">
        <f>_xlfn.POISSON.DIST($D16,'First 5 Innings'!$G$14, FALSE) * _xlfn.POISSON.DIST(N$4, 'First 5 Innings'!$G$13, FALSE)</f>
        <v>2.582057399171974E-8</v>
      </c>
      <c r="O16" s="1">
        <f>_xlfn.POISSON.DIST($D16,'First 5 Innings'!$G$14, FALSE) * _xlfn.POISSON.DIST(O$4, 'First 5 Innings'!$G$13, FALSE)</f>
        <v>3.9902646824445644E-9</v>
      </c>
      <c r="P16" s="1">
        <f>_xlfn.POISSON.DIST($D16,'First 5 Innings'!$G$14, FALSE) * _xlfn.POISSON.DIST(P$4, 'First 5 Innings'!$G$13, FALSE)</f>
        <v>5.6058933472869899E-10</v>
      </c>
      <c r="Q16" s="1">
        <f>_xlfn.POISSON.DIST($D16,'First 5 Innings'!$G$14, FALSE) * _xlfn.POISSON.DIST(Q$4, 'First 5 Innings'!$G$13, FALSE)</f>
        <v>7.2193716027910183E-11</v>
      </c>
      <c r="R16" s="1">
        <f>_xlfn.POISSON.DIST($D16,'First 5 Innings'!$G$14, FALSE) * _xlfn.POISSON.DIST(R$4, 'First 5 Innings'!$G$13, FALSE)</f>
        <v>8.5820661239123389E-12</v>
      </c>
      <c r="S16" s="1">
        <f>_xlfn.POISSON.DIST($D16,'First 5 Innings'!$G$14, FALSE) * _xlfn.POISSON.DIST(S$4, 'First 5 Innings'!$G$13, FALSE)</f>
        <v>9.4732638309592472E-13</v>
      </c>
      <c r="T16" s="1">
        <f>_xlfn.POISSON.DIST($D16,'First 5 Innings'!$G$14, FALSE) * _xlfn.POISSON.DIST(T$4, 'First 5 Innings'!$G$13, FALSE)</f>
        <v>9.7598734260718298E-14</v>
      </c>
    </row>
    <row r="17" spans="2:20">
      <c r="B17" s="377"/>
      <c r="C17" s="377"/>
      <c r="D17" s="1">
        <v>12</v>
      </c>
      <c r="E17" s="1">
        <f>_xlfn.POISSON.DIST($D17,'First 5 Innings'!$G$14, FALSE) * _xlfn.POISSON.DIST(E$4, 'First 5 Innings'!$G$13, FALSE)</f>
        <v>5.5686771467287827E-5</v>
      </c>
      <c r="F17" s="1">
        <f>_xlfn.POISSON.DIST($D17,'First 5 Innings'!$G$14, FALSE) * _xlfn.POISSON.DIST(F$4, 'First 5 Innings'!$G$13, FALSE)</f>
        <v>8.6057326818736969E-5</v>
      </c>
      <c r="G17" s="1">
        <f>_xlfn.POISSON.DIST($D17,'First 5 Innings'!$G$14, FALSE) * _xlfn.POISSON.DIST(G$4, 'First 5 Innings'!$G$13, FALSE)</f>
        <v>6.6495716164271989E-5</v>
      </c>
      <c r="H17" s="1">
        <f>_xlfn.POISSON.DIST($D17,'First 5 Innings'!$G$14, FALSE) * _xlfn.POISSON.DIST(H$4, 'First 5 Innings'!$G$13, FALSE)</f>
        <v>3.4253757982457709E-5</v>
      </c>
      <c r="I17" s="1">
        <f>_xlfn.POISSON.DIST($D17,'First 5 Innings'!$G$14, FALSE) * _xlfn.POISSON.DIST(I$4, 'First 5 Innings'!$G$13, FALSE)</f>
        <v>1.3233784109740975E-5</v>
      </c>
      <c r="J17" s="1">
        <f>_xlfn.POISSON.DIST($D17,'First 5 Innings'!$G$14, FALSE) * _xlfn.POISSON.DIST(J$4, 'First 5 Innings'!$G$13, FALSE)</f>
        <v>4.0902499971634784E-6</v>
      </c>
      <c r="K17" s="1">
        <f>_xlfn.POISSON.DIST($D17,'First 5 Innings'!$G$14, FALSE) * _xlfn.POISSON.DIST(K$4, 'First 5 Innings'!$G$13, FALSE)</f>
        <v>1.0534996957132174E-6</v>
      </c>
      <c r="L17" s="1">
        <f>_xlfn.POISSON.DIST($D17,'First 5 Innings'!$G$14, FALSE) * _xlfn.POISSON.DIST(L$4, 'First 5 Innings'!$G$13, FALSE)</f>
        <v>2.3257990370218661E-7</v>
      </c>
      <c r="M17" s="1">
        <f>_xlfn.POISSON.DIST($D17,'First 5 Innings'!$G$14, FALSE) * _xlfn.POISSON.DIST(M$4, 'First 5 Innings'!$G$13, FALSE)</f>
        <v>4.4928095706102822E-8</v>
      </c>
      <c r="N17" s="1">
        <f>_xlfn.POISSON.DIST($D17,'First 5 Innings'!$G$14, FALSE) * _xlfn.POISSON.DIST(N$4, 'First 5 Innings'!$G$13, FALSE)</f>
        <v>7.7145627102136981E-9</v>
      </c>
      <c r="O17" s="1">
        <f>_xlfn.POISSON.DIST($D17,'First 5 Innings'!$G$14, FALSE) * _xlfn.POISSON.DIST(O$4, 'First 5 Innings'!$G$13, FALSE)</f>
        <v>1.1921945318853569E-9</v>
      </c>
      <c r="P17" s="1">
        <f>_xlfn.POISSON.DIST($D17,'First 5 Innings'!$G$14, FALSE) * _xlfn.POISSON.DIST(P$4, 'First 5 Innings'!$G$13, FALSE)</f>
        <v>1.6749052824419747E-10</v>
      </c>
      <c r="Q17" s="1">
        <f>_xlfn.POISSON.DIST($D17,'First 5 Innings'!$G$14, FALSE) * _xlfn.POISSON.DIST(Q$4, 'First 5 Innings'!$G$13, FALSE)</f>
        <v>2.1569735427232403E-11</v>
      </c>
      <c r="R17" s="1">
        <f>_xlfn.POISSON.DIST($D17,'First 5 Innings'!$G$14, FALSE) * _xlfn.POISSON.DIST(R$4, 'First 5 Innings'!$G$13, FALSE)</f>
        <v>2.5641136915606084E-12</v>
      </c>
      <c r="S17" s="1">
        <f>_xlfn.POISSON.DIST($D17,'First 5 Innings'!$G$14, FALSE) * _xlfn.POISSON.DIST(S$4, 'First 5 Innings'!$G$13, FALSE)</f>
        <v>2.8303820014911626E-13</v>
      </c>
      <c r="T17" s="1">
        <f>_xlfn.POISSON.DIST($D17,'First 5 Innings'!$G$14, FALSE) * _xlfn.POISSON.DIST(T$4, 'First 5 Innings'!$G$13, FALSE)</f>
        <v>2.9160140132177033E-14</v>
      </c>
    </row>
    <row r="18" spans="2:20">
      <c r="B18" s="377"/>
      <c r="C18" s="377"/>
      <c r="D18" s="1">
        <v>13</v>
      </c>
      <c r="E18" s="1">
        <f>_xlfn.POISSON.DIST($D18,'First 5 Innings'!$G$14, FALSE) * _xlfn.POISSON.DIST(E$4, 'First 5 Innings'!$G$13, FALSE)</f>
        <v>1.5358024451646031E-5</v>
      </c>
      <c r="F18" s="1">
        <f>_xlfn.POISSON.DIST($D18,'First 5 Innings'!$G$14, FALSE) * _xlfn.POISSON.DIST(F$4, 'First 5 Innings'!$G$13, FALSE)</f>
        <v>2.3734012489875572E-5</v>
      </c>
      <c r="G18" s="1">
        <f>_xlfn.POISSON.DIST($D18,'First 5 Innings'!$G$14, FALSE) * _xlfn.POISSON.DIST(G$4, 'First 5 Innings'!$G$13, FALSE)</f>
        <v>1.8339056258280547E-5</v>
      </c>
      <c r="H18" s="1">
        <f>_xlfn.POISSON.DIST($D18,'First 5 Innings'!$G$14, FALSE) * _xlfn.POISSON.DIST(H$4, 'First 5 Innings'!$G$13, FALSE)</f>
        <v>9.4469483289111323E-6</v>
      </c>
      <c r="I18" s="1">
        <f>_xlfn.POISSON.DIST($D18,'First 5 Innings'!$G$14, FALSE) * _xlfn.POISSON.DIST(I$4, 'First 5 Innings'!$G$13, FALSE)</f>
        <v>3.6497856598599722E-6</v>
      </c>
      <c r="J18" s="1">
        <f>_xlfn.POISSON.DIST($D18,'First 5 Innings'!$G$14, FALSE) * _xlfn.POISSON.DIST(J$4, 'First 5 Innings'!$G$13, FALSE)</f>
        <v>1.1280625149310942E-6</v>
      </c>
      <c r="K18" s="1">
        <f>_xlfn.POISSON.DIST($D18,'First 5 Innings'!$G$14, FALSE) * _xlfn.POISSON.DIST(K$4, 'First 5 Innings'!$G$13, FALSE)</f>
        <v>2.9054789243922491E-7</v>
      </c>
      <c r="L18" s="1">
        <f>_xlfn.POISSON.DIST($D18,'First 5 Innings'!$G$14, FALSE) * _xlfn.POISSON.DIST(L$4, 'First 5 Innings'!$G$13, FALSE)</f>
        <v>6.4143920609905501E-8</v>
      </c>
      <c r="M18" s="1">
        <f>_xlfn.POISSON.DIST($D18,'First 5 Innings'!$G$14, FALSE) * _xlfn.POISSON.DIST(M$4, 'First 5 Innings'!$G$13, FALSE)</f>
        <v>1.2390856468049185E-8</v>
      </c>
      <c r="N18" s="1">
        <f>_xlfn.POISSON.DIST($D18,'First 5 Innings'!$G$14, FALSE) * _xlfn.POISSON.DIST(N$4, 'First 5 Innings'!$G$13, FALSE)</f>
        <v>2.1276227659708697E-9</v>
      </c>
      <c r="O18" s="1">
        <f>_xlfn.POISSON.DIST($D18,'First 5 Innings'!$G$14, FALSE) * _xlfn.POISSON.DIST(O$4, 'First 5 Innings'!$G$13, FALSE)</f>
        <v>3.2879896408736375E-10</v>
      </c>
      <c r="P18" s="1">
        <f>_xlfn.POISSON.DIST($D18,'First 5 Innings'!$G$14, FALSE) * _xlfn.POISSON.DIST(P$4, 'First 5 Innings'!$G$13, FALSE)</f>
        <v>4.6192723341926169E-11</v>
      </c>
      <c r="Q18" s="1">
        <f>_xlfn.POISSON.DIST($D18,'First 5 Innings'!$G$14, FALSE) * _xlfn.POISSON.DIST(Q$4, 'First 5 Innings'!$G$13, FALSE)</f>
        <v>5.9487830839963224E-12</v>
      </c>
      <c r="R18" s="1">
        <f>_xlfn.POISSON.DIST($D18,'First 5 Innings'!$G$14, FALSE) * _xlfn.POISSON.DIST(R$4, 'First 5 Innings'!$G$13, FALSE)</f>
        <v>7.0716473112328091E-13</v>
      </c>
      <c r="S18" s="1">
        <f>_xlfn.POISSON.DIST($D18,'First 5 Innings'!$G$14, FALSE) * _xlfn.POISSON.DIST(S$4, 'First 5 Innings'!$G$13, FALSE)</f>
        <v>7.8059967997848849E-14</v>
      </c>
      <c r="T18" s="1">
        <f>_xlfn.POISSON.DIST($D18,'First 5 Innings'!$G$14, FALSE) * _xlfn.POISSON.DIST(T$4, 'First 5 Innings'!$G$13, FALSE)</f>
        <v>8.0421639352260929E-15</v>
      </c>
    </row>
    <row r="19" spans="2:20">
      <c r="B19" s="377"/>
      <c r="C19" s="377"/>
      <c r="D19" s="1">
        <v>14</v>
      </c>
      <c r="E19" s="1">
        <f>_xlfn.POISSON.DIST($D19,'First 5 Innings'!$G$14, FALSE) * _xlfn.POISSON.DIST(E$4, 'First 5 Innings'!$G$13, FALSE)</f>
        <v>3.9330909233813807E-6</v>
      </c>
      <c r="F19" s="1">
        <f>_xlfn.POISSON.DIST($D19,'First 5 Innings'!$G$14, FALSE) * _xlfn.POISSON.DIST(F$4, 'First 5 Innings'!$G$13, FALSE)</f>
        <v>6.0781273915308265E-6</v>
      </c>
      <c r="G19" s="1">
        <f>_xlfn.POISSON.DIST($D19,'First 5 Innings'!$G$14, FALSE) * _xlfn.POISSON.DIST(G$4, 'First 5 Innings'!$G$13, FALSE)</f>
        <v>4.6965139259882556E-6</v>
      </c>
      <c r="H19" s="1">
        <f>_xlfn.POISSON.DIST($D19,'First 5 Innings'!$G$14, FALSE) * _xlfn.POISSON.DIST(H$4, 'First 5 Innings'!$G$13, FALSE)</f>
        <v>2.4193024853604158E-6</v>
      </c>
      <c r="I19" s="1">
        <f>_xlfn.POISSON.DIST($D19,'First 5 Innings'!$G$14, FALSE) * _xlfn.POISSON.DIST(I$4, 'First 5 Innings'!$G$13, FALSE)</f>
        <v>9.3468654749695088E-7</v>
      </c>
      <c r="J19" s="1">
        <f>_xlfn.POISSON.DIST($D19,'First 5 Innings'!$G$14, FALSE) * _xlfn.POISSON.DIST(J$4, 'First 5 Innings'!$G$13, FALSE)</f>
        <v>2.8888952823660459E-7</v>
      </c>
      <c r="K19" s="1">
        <f>_xlfn.POISSON.DIST($D19,'First 5 Innings'!$G$14, FALSE) * _xlfn.POISSON.DIST(K$4, 'First 5 Innings'!$G$13, FALSE)</f>
        <v>7.4407439717145927E-8</v>
      </c>
      <c r="L19" s="1">
        <f>_xlfn.POISSON.DIST($D19,'First 5 Innings'!$G$14, FALSE) * _xlfn.POISSON.DIST(L$4, 'First 5 Innings'!$G$13, FALSE)</f>
        <v>1.6426844008174247E-8</v>
      </c>
      <c r="M19" s="1">
        <f>_xlfn.POISSON.DIST($D19,'First 5 Innings'!$G$14, FALSE) * _xlfn.POISSON.DIST(M$4, 'First 5 Innings'!$G$13, FALSE)</f>
        <v>3.1732183563610948E-9</v>
      </c>
      <c r="N19" s="1">
        <f>_xlfn.POISSON.DIST($D19,'First 5 Innings'!$G$14, FALSE) * _xlfn.POISSON.DIST(N$4, 'First 5 Innings'!$G$13, FALSE)</f>
        <v>5.4487045619482275E-10</v>
      </c>
      <c r="O19" s="1">
        <f>_xlfn.POISSON.DIST($D19,'First 5 Innings'!$G$14, FALSE) * _xlfn.POISSON.DIST(O$4, 'First 5 Innings'!$G$13, FALSE)</f>
        <v>8.4203292248998184E-11</v>
      </c>
      <c r="P19" s="1">
        <f>_xlfn.POISSON.DIST($D19,'First 5 Innings'!$G$14, FALSE) * _xlfn.POISSON.DIST(P$4, 'First 5 Innings'!$G$13, FALSE)</f>
        <v>1.1829658265905749E-11</v>
      </c>
      <c r="Q19" s="1">
        <f>_xlfn.POISSON.DIST($D19,'First 5 Innings'!$G$14, FALSE) * _xlfn.POISSON.DIST(Q$4, 'First 5 Innings'!$G$13, FALSE)</f>
        <v>1.5234449473951055E-12</v>
      </c>
      <c r="R19" s="1">
        <f>_xlfn.POISSON.DIST($D19,'First 5 Innings'!$G$14, FALSE) * _xlfn.POISSON.DIST(R$4, 'First 5 Innings'!$G$13, FALSE)</f>
        <v>1.8110032277089609E-13</v>
      </c>
      <c r="S19" s="1">
        <f>_xlfn.POISSON.DIST($D19,'First 5 Innings'!$G$14, FALSE) * _xlfn.POISSON.DIST(S$4, 'First 5 Innings'!$G$13, FALSE)</f>
        <v>1.9990653913750941E-14</v>
      </c>
      <c r="T19" s="1">
        <f>_xlfn.POISSON.DIST($D19,'First 5 Innings'!$G$14, FALSE) * _xlfn.POISSON.DIST(T$4, 'First 5 Innings'!$G$13, FALSE)</f>
        <v>2.0595462702621728E-15</v>
      </c>
    </row>
    <row r="20" spans="2:20">
      <c r="B20" s="377"/>
      <c r="C20" s="377"/>
      <c r="D20" s="1">
        <v>15</v>
      </c>
      <c r="E20" s="1">
        <f>_xlfn.POISSON.DIST($D20,'First 5 Innings'!$G$14, FALSE) * _xlfn.POISSON.DIST(E$4, 'First 5 Innings'!$G$13, FALSE)</f>
        <v>9.4008991692061709E-7</v>
      </c>
      <c r="F20" s="1">
        <f>_xlfn.POISSON.DIST($D20,'First 5 Innings'!$G$14, FALSE) * _xlfn.POISSON.DIST(F$4, 'First 5 Innings'!$G$13, FALSE)</f>
        <v>1.452797910307316E-6</v>
      </c>
      <c r="G20" s="1">
        <f>_xlfn.POISSON.DIST($D20,'First 5 Innings'!$G$14, FALSE) * _xlfn.POISSON.DIST(G$4, 'First 5 Innings'!$G$13, FALSE)</f>
        <v>1.122563772998923E-6</v>
      </c>
      <c r="H20" s="1">
        <f>_xlfn.POISSON.DIST($D20,'First 5 Innings'!$G$14, FALSE) * _xlfn.POISSON.DIST(H$4, 'First 5 Innings'!$G$13, FALSE)</f>
        <v>5.7826323285529032E-7</v>
      </c>
      <c r="I20" s="1">
        <f>_xlfn.POISSON.DIST($D20,'First 5 Innings'!$G$14, FALSE) * _xlfn.POISSON.DIST(I$4, 'First 5 Innings'!$G$13, FALSE)</f>
        <v>2.2340937850167848E-7</v>
      </c>
      <c r="J20" s="1">
        <f>_xlfn.POISSON.DIST($D20,'First 5 Innings'!$G$14, FALSE) * _xlfn.POISSON.DIST(J$4, 'First 5 Innings'!$G$13, FALSE)</f>
        <v>6.9050560459888802E-8</v>
      </c>
      <c r="K20" s="1">
        <f>_xlfn.POISSON.DIST($D20,'First 5 Innings'!$G$14, FALSE) * _xlfn.POISSON.DIST(K$4, 'First 5 Innings'!$G$13, FALSE)</f>
        <v>1.7784913998842922E-8</v>
      </c>
      <c r="L20" s="1">
        <f>_xlfn.POISSON.DIST($D20,'First 5 Innings'!$G$14, FALSE) * _xlfn.POISSON.DIST(L$4, 'First 5 Innings'!$G$13, FALSE)</f>
        <v>3.9263547982348616E-9</v>
      </c>
      <c r="M20" s="1">
        <f>_xlfn.POISSON.DIST($D20,'First 5 Innings'!$G$14, FALSE) * _xlfn.POISSON.DIST(M$4, 'First 5 Innings'!$G$13, FALSE)</f>
        <v>7.5846468823502848E-10</v>
      </c>
      <c r="N20" s="1">
        <f>_xlfn.POISSON.DIST($D20,'First 5 Innings'!$G$14, FALSE) * _xlfn.POISSON.DIST(N$4, 'First 5 Innings'!$G$13, FALSE)</f>
        <v>1.3023528615919072E-10</v>
      </c>
      <c r="O20" s="1">
        <f>_xlfn.POISSON.DIST($D20,'First 5 Innings'!$G$14, FALSE) * _xlfn.POISSON.DIST(O$4, 'First 5 Innings'!$G$13, FALSE)</f>
        <v>2.0126324958373552E-11</v>
      </c>
      <c r="P20" s="1">
        <f>_xlfn.POISSON.DIST($D20,'First 5 Innings'!$G$14, FALSE) * _xlfn.POISSON.DIST(P$4, 'First 5 Innings'!$G$13, FALSE)</f>
        <v>2.8275325114614089E-12</v>
      </c>
      <c r="Q20" s="1">
        <f>_xlfn.POISSON.DIST($D20,'First 5 Innings'!$G$14, FALSE) * _xlfn.POISSON.DIST(Q$4, 'First 5 Innings'!$G$13, FALSE)</f>
        <v>3.6413478913386535E-13</v>
      </c>
      <c r="R20" s="1">
        <f>_xlfn.POISSON.DIST($D20,'First 5 Innings'!$G$14, FALSE) * _xlfn.POISSON.DIST(R$4, 'First 5 Innings'!$G$13, FALSE)</f>
        <v>4.3286715386081082E-14</v>
      </c>
      <c r="S20" s="1">
        <f>_xlfn.POISSON.DIST($D20,'First 5 Innings'!$G$14, FALSE) * _xlfn.POISSON.DIST(S$4, 'First 5 Innings'!$G$13, FALSE)</f>
        <v>4.7781789292605755E-15</v>
      </c>
      <c r="T20" s="1">
        <f>_xlfn.POISSON.DIST($D20,'First 5 Innings'!$G$14, FALSE) * _xlfn.POISSON.DIST(T$4, 'First 5 Innings'!$G$13, FALSE)</f>
        <v>4.922740714166778E-16</v>
      </c>
    </row>
    <row r="24" spans="2:20">
      <c r="D24" s="1" t="s">
        <v>738</v>
      </c>
      <c r="E24" s="1" t="e">
        <f>E3</f>
        <v>#REF!</v>
      </c>
      <c r="F24" s="1">
        <f>1-F25</f>
        <v>0.18546337070381236</v>
      </c>
      <c r="H24" s="1" t="s">
        <v>345</v>
      </c>
      <c r="I24" s="1">
        <v>3</v>
      </c>
      <c r="J24" s="1">
        <f>SUM(E9:E20,F8:F20,G7:G20,H6:H20,I5:T20)</f>
        <v>0.75284128752184776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0.81453662929618764</v>
      </c>
      <c r="H25" s="1" t="s">
        <v>348</v>
      </c>
      <c r="I25" s="1">
        <v>3</v>
      </c>
      <c r="J25" s="1">
        <f>SUM(E8,F7,G6,H5)</f>
        <v>0.13309000764579676</v>
      </c>
    </row>
    <row r="26" spans="2:20">
      <c r="H26" s="1" t="s">
        <v>346</v>
      </c>
      <c r="I26" s="1">
        <v>3</v>
      </c>
      <c r="J26" s="1">
        <f>SUM(E5:E7,F5:F6,G5)</f>
        <v>0.11406745751145675</v>
      </c>
    </row>
    <row r="27" spans="2:20">
      <c r="H27" s="1" t="s">
        <v>345</v>
      </c>
      <c r="I27" s="1">
        <v>3.5</v>
      </c>
      <c r="J27" s="1">
        <f>SUM(E9:E20,F8:F20,G7:G20,H6:H20,I5:T20)</f>
        <v>0.75284128752184776</v>
      </c>
    </row>
    <row r="28" spans="2:20">
      <c r="H28" s="1" t="s">
        <v>346</v>
      </c>
      <c r="I28" s="1">
        <v>3.5</v>
      </c>
      <c r="J28" s="1">
        <f>SUM(E5:E8,F5:F7,G5:G6,H5)</f>
        <v>0.24715746515725354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0.58213034498390337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0.12337602979847266</v>
      </c>
      <c r="H30" s="1" t="s">
        <v>348</v>
      </c>
      <c r="I30" s="1">
        <v>4</v>
      </c>
      <c r="J30" s="1">
        <f>SUM(E9,F8,G7,H6,I5)</f>
        <v>0.17071094253794458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0.75245053571174658</v>
      </c>
      <c r="H31" s="1" t="s">
        <v>346</v>
      </c>
      <c r="I31" s="1">
        <v>4</v>
      </c>
      <c r="J31" s="1">
        <f>1-J30-J29</f>
        <v>0.24715871247815202</v>
      </c>
    </row>
    <row r="32" spans="2:20">
      <c r="D32" s="1" t="s">
        <v>348</v>
      </c>
      <c r="F32" s="1">
        <f>1-F31-F30</f>
        <v>0.12417343448978076</v>
      </c>
      <c r="H32" s="1" t="s">
        <v>345</v>
      </c>
      <c r="I32" s="1">
        <v>4.5</v>
      </c>
      <c r="J32" s="1">
        <f>SUM(E10:E20,F9:F20,G8:G20,H7:H20,I6:I20,J5:T20)</f>
        <v>0.58213034498390337</v>
      </c>
    </row>
    <row r="33" spans="8:10">
      <c r="H33" s="1" t="s">
        <v>346</v>
      </c>
      <c r="I33" s="1">
        <v>4.5</v>
      </c>
      <c r="J33" s="1">
        <f>1-J32</f>
        <v>0.41786965501609663</v>
      </c>
    </row>
    <row r="34" spans="8:10">
      <c r="H34" s="1" t="s">
        <v>345</v>
      </c>
      <c r="I34" s="1">
        <v>5</v>
      </c>
      <c r="J34" s="1">
        <f>SUM(E11:E20,F10:F20,G9:G20,H8:H20,I7:I20,J6:J20,K5:T20)</f>
        <v>0.40695730882478315</v>
      </c>
    </row>
    <row r="35" spans="8:10">
      <c r="H35" s="1" t="s">
        <v>348</v>
      </c>
      <c r="I35" s="1">
        <v>5</v>
      </c>
      <c r="J35" s="1">
        <f>SUM(E10,F9,G8,H7,I6,J5)</f>
        <v>0.17517303615912014</v>
      </c>
    </row>
    <row r="36" spans="8:10">
      <c r="H36" s="1" t="s">
        <v>346</v>
      </c>
      <c r="I36" s="1">
        <v>5</v>
      </c>
      <c r="J36" s="1">
        <f>SUM(E5:E9,F5:F8,G5:G7,H5:H6,I5)</f>
        <v>0.41786840769519806</v>
      </c>
    </row>
    <row r="37" spans="8:10">
      <c r="H37" s="1" t="s">
        <v>345</v>
      </c>
      <c r="I37" s="1">
        <v>5.5</v>
      </c>
      <c r="J37" s="1">
        <f>SUM(E11:E20,F10:F20,G9:G20,H8:H20,I7:I20,J6:J20,K5:T20)</f>
        <v>0.40695730882478315</v>
      </c>
    </row>
    <row r="38" spans="8:10">
      <c r="H38" s="1" t="s">
        <v>346</v>
      </c>
      <c r="I38" s="1">
        <v>5.5</v>
      </c>
      <c r="J38" s="1">
        <f>1-J37</f>
        <v>0.59304269117521691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0.25716417439432232</v>
      </c>
    </row>
    <row r="40" spans="8:10">
      <c r="H40" s="1" t="s">
        <v>348</v>
      </c>
      <c r="I40" s="1">
        <v>6</v>
      </c>
      <c r="J40" s="1">
        <f>SUM(E11,F10,G9,H8,I7,J6,K5)</f>
        <v>0.14979313443046083</v>
      </c>
    </row>
    <row r="41" spans="8:10">
      <c r="H41" s="1" t="s">
        <v>346</v>
      </c>
      <c r="I41" s="1">
        <v>6</v>
      </c>
      <c r="J41" s="1">
        <f>SUM(E5:E10,F5:F9,G5:G8,H5:H7,I5:I6,J5)</f>
        <v>0.59304144385431823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0.25716417439432232</v>
      </c>
    </row>
    <row r="43" spans="8:10">
      <c r="H43" s="1" t="s">
        <v>346</v>
      </c>
      <c r="I43" s="1">
        <v>6.5</v>
      </c>
      <c r="J43" s="1">
        <f>1-J42</f>
        <v>0.74283582560567774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Innings'!$G$16, FALSE) * _xlfn.POISSON.DIST(E$4, 'First 5 Innings'!$G$15, FALSE)</f>
        <v>7.4616986538928237E-3</v>
      </c>
      <c r="F5" s="1">
        <f>_xlfn.POISSON.DIST($D5,'First 5 Innings'!$G$16, FALSE) * _xlfn.POISSON.DIST(F$4, 'First 5 Innings'!$G$15, FALSE)</f>
        <v>2.0823689309622112E-2</v>
      </c>
      <c r="G5" s="1">
        <f>_xlfn.POISSON.DIST($D5,'First 5 Innings'!$G$16, FALSE) * _xlfn.POISSON.DIST(G$4, 'First 5 Innings'!$G$15, FALSE)</f>
        <v>2.9056790992051419E-2</v>
      </c>
      <c r="H5" s="1">
        <f>_xlfn.POISSON.DIST($D5,'First 5 Innings'!$G$16, FALSE) * _xlfn.POISSON.DIST(H$4, 'First 5 Innings'!$G$15, FALSE)</f>
        <v>2.703001983949218E-2</v>
      </c>
      <c r="I5" s="1">
        <f>_xlfn.POISSON.DIST($D5,'First 5 Innings'!$G$16, FALSE) * _xlfn.POISSON.DIST(I$4, 'First 5 Innings'!$G$15, FALSE)</f>
        <v>1.885846511895975E-2</v>
      </c>
      <c r="J5" s="1">
        <f>_xlfn.POISSON.DIST($D5,'First 5 Innings'!$G$16, FALSE) * _xlfn.POISSON.DIST(J$4, 'First 5 Innings'!$G$15, FALSE)</f>
        <v>1.0525828948846322E-2</v>
      </c>
      <c r="K5" s="1">
        <f>_xlfn.POISSON.DIST($D5,'First 5 Innings'!$G$16, FALSE) * _xlfn.POISSON.DIST(K$4, 'First 5 Innings'!$G$15, FALSE)</f>
        <v>4.895815325791599E-3</v>
      </c>
      <c r="L5" s="1">
        <f>_xlfn.POISSON.DIST($D5,'First 5 Innings'!$G$16, FALSE) * _xlfn.POISSON.DIST(L$4, 'First 5 Innings'!$G$15, FALSE)</f>
        <v>1.9518523288141463E-3</v>
      </c>
      <c r="M5" s="1">
        <f>_xlfn.POISSON.DIST($D5,'First 5 Innings'!$G$16, FALSE) * _xlfn.POISSON.DIST(M$4, 'First 5 Innings'!$G$15, FALSE)</f>
        <v>6.8088997490342801E-4</v>
      </c>
      <c r="N5" s="1">
        <f>_xlfn.POISSON.DIST($D5,'First 5 Innings'!$G$16, FALSE) * _xlfn.POISSON.DIST(N$4, 'First 5 Innings'!$G$15, FALSE)</f>
        <v>2.1113216453927028E-4</v>
      </c>
      <c r="O5" s="1">
        <f>_xlfn.POISSON.DIST($D5,'First 5 Innings'!$G$16, FALSE) * _xlfn.POISSON.DIST(O$4, 'First 5 Innings'!$G$15, FALSE)</f>
        <v>5.8921578069091239E-5</v>
      </c>
      <c r="P5" s="1">
        <f>_xlfn.POISSON.DIST($D5,'First 5 Innings'!$G$16, FALSE) * _xlfn.POISSON.DIST(P$4, 'First 5 Innings'!$G$15, FALSE)</f>
        <v>1.4948639009762224E-5</v>
      </c>
      <c r="Q5" s="1">
        <f>_xlfn.POISSON.DIST($D5,'First 5 Innings'!$G$16, FALSE) * _xlfn.POISSON.DIST(Q$4, 'First 5 Innings'!$G$15, FALSE)</f>
        <v>3.4764851452265727E-6</v>
      </c>
      <c r="R5" s="1">
        <f>_xlfn.POISSON.DIST($D5,'First 5 Innings'!$G$16, FALSE) * _xlfn.POISSON.DIST(R$4, 'First 5 Innings'!$G$15, FALSE)</f>
        <v>7.463061069154032E-7</v>
      </c>
      <c r="S5" s="1">
        <f>_xlfn.POISSON.DIST($D5,'First 5 Innings'!$G$16, FALSE) * _xlfn.POISSON.DIST(S$4, 'First 5 Innings'!$G$15, FALSE)</f>
        <v>1.4876779615410851E-7</v>
      </c>
      <c r="T5" s="1">
        <f>_xlfn.POISSON.DIST($D5,'First 5 Innings'!$G$16, FALSE) * _xlfn.POISSON.DIST(T$4, 'First 5 Innings'!$G$15, FALSE)</f>
        <v>2.7678187055295179E-8</v>
      </c>
    </row>
    <row r="6" spans="2:20">
      <c r="B6" s="377"/>
      <c r="C6" s="377"/>
      <c r="D6" s="1">
        <v>1</v>
      </c>
      <c r="E6" s="1">
        <f>_xlfn.POISSON.DIST($D6,'First 5 Innings'!$G$16, FALSE) * _xlfn.POISSON.DIST(E$4, 'First 5 Innings'!$G$15, FALSE)</f>
        <v>1.5723503180532603E-2</v>
      </c>
      <c r="F6" s="1">
        <f>_xlfn.POISSON.DIST($D6,'First 5 Innings'!$G$16, FALSE) * _xlfn.POISSON.DIST(F$4, 'First 5 Innings'!$G$15, FALSE)</f>
        <v>4.3880269128725523E-2</v>
      </c>
      <c r="G6" s="1">
        <f>_xlfn.POISSON.DIST($D6,'First 5 Innings'!$G$16, FALSE) * _xlfn.POISSON.DIST(G$4, 'First 5 Innings'!$G$15, FALSE)</f>
        <v>6.1229294664859824E-2</v>
      </c>
      <c r="H6" s="1">
        <f>_xlfn.POISSON.DIST($D6,'First 5 Innings'!$G$16, FALSE) * _xlfn.POISSON.DIST(H$4, 'First 5 Innings'!$G$15, FALSE)</f>
        <v>5.6958424968607591E-2</v>
      </c>
      <c r="I6" s="1">
        <f>_xlfn.POISSON.DIST($D6,'First 5 Innings'!$G$16, FALSE) * _xlfn.POISSON.DIST(I$4, 'First 5 Innings'!$G$15, FALSE)</f>
        <v>3.9739092937400994E-2</v>
      </c>
      <c r="J6" s="1">
        <f>_xlfn.POISSON.DIST($D6,'First 5 Innings'!$G$16, FALSE) * _xlfn.POISSON.DIST(J$4, 'First 5 Innings'!$G$15, FALSE)</f>
        <v>2.2180325503842642E-2</v>
      </c>
      <c r="K6" s="1">
        <f>_xlfn.POISSON.DIST($D6,'First 5 Innings'!$G$16, FALSE) * _xlfn.POISSON.DIST(K$4, 'First 5 Innings'!$G$15, FALSE)</f>
        <v>1.0316601006960227E-2</v>
      </c>
      <c r="L6" s="1">
        <f>_xlfn.POISSON.DIST($D6,'First 5 Innings'!$G$16, FALSE) * _xlfn.POISSON.DIST(L$4, 'First 5 Innings'!$G$15, FALSE)</f>
        <v>4.1129986245193673E-3</v>
      </c>
      <c r="M6" s="1">
        <f>_xlfn.POISSON.DIST($D6,'First 5 Innings'!$G$16, FALSE) * _xlfn.POISSON.DIST(M$4, 'First 5 Innings'!$G$15, FALSE)</f>
        <v>1.4347906800553289E-3</v>
      </c>
      <c r="N6" s="1">
        <f>_xlfn.POISSON.DIST($D6,'First 5 Innings'!$G$16, FALSE) * _xlfn.POISSON.DIST(N$4, 'First 5 Innings'!$G$15, FALSE)</f>
        <v>4.4490368944530046E-4</v>
      </c>
      <c r="O6" s="1">
        <f>_xlfn.POISSON.DIST($D6,'First 5 Innings'!$G$16, FALSE) * _xlfn.POISSON.DIST(O$4, 'First 5 Innings'!$G$15, FALSE)</f>
        <v>1.2416122161245662E-4</v>
      </c>
      <c r="P6" s="1">
        <f>_xlfn.POISSON.DIST($D6,'First 5 Innings'!$G$16, FALSE) * _xlfn.POISSON.DIST(P$4, 'First 5 Innings'!$G$15, FALSE)</f>
        <v>3.1500196391877255E-5</v>
      </c>
      <c r="Q6" s="1">
        <f>_xlfn.POISSON.DIST($D6,'First 5 Innings'!$G$16, FALSE) * _xlfn.POISSON.DIST(Q$4, 'First 5 Innings'!$G$15, FALSE)</f>
        <v>7.3257481672121029E-6</v>
      </c>
      <c r="R6" s="1">
        <f>_xlfn.POISSON.DIST($D6,'First 5 Innings'!$G$16, FALSE) * _xlfn.POISSON.DIST(R$4, 'First 5 Innings'!$G$15, FALSE)</f>
        <v>1.5726374100638931E-6</v>
      </c>
      <c r="S6" s="1">
        <f>_xlfn.POISSON.DIST($D6,'First 5 Innings'!$G$16, FALSE) * _xlfn.POISSON.DIST(S$4, 'First 5 Innings'!$G$15, FALSE)</f>
        <v>3.1348772236595199E-7</v>
      </c>
      <c r="T6" s="1">
        <f>_xlfn.POISSON.DIST($D6,'First 5 Innings'!$G$16, FALSE) * _xlfn.POISSON.DIST(T$4, 'First 5 Innings'!$G$15, FALSE)</f>
        <v>5.8324261321953015E-8</v>
      </c>
    </row>
    <row r="7" spans="2:20">
      <c r="B7" s="377"/>
      <c r="C7" s="377"/>
      <c r="D7" s="1">
        <v>2</v>
      </c>
      <c r="E7" s="1">
        <f>_xlfn.POISSON.DIST($D7,'First 5 Innings'!$G$16, FALSE) * _xlfn.POISSON.DIST(E$4, 'First 5 Innings'!$G$15, FALSE)</f>
        <v>1.656650608231397E-2</v>
      </c>
      <c r="F7" s="1">
        <f>_xlfn.POISSON.DIST($D7,'First 5 Innings'!$G$16, FALSE) * _xlfn.POISSON.DIST(F$4, 'First 5 Innings'!$G$15, FALSE)</f>
        <v>4.6232874256332331E-2</v>
      </c>
      <c r="G7" s="1">
        <f>_xlfn.POISSON.DIST($D7,'First 5 Innings'!$G$16, FALSE) * _xlfn.POISSON.DIST(G$4, 'First 5 Innings'!$G$15, FALSE)</f>
        <v>6.4512053760199972E-2</v>
      </c>
      <c r="H7" s="1">
        <f>_xlfn.POISSON.DIST($D7,'First 5 Innings'!$G$16, FALSE) * _xlfn.POISSON.DIST(H$4, 'First 5 Innings'!$G$15, FALSE)</f>
        <v>6.0012204840569051E-2</v>
      </c>
      <c r="I7" s="1">
        <f>_xlfn.POISSON.DIST($D7,'First 5 Innings'!$G$16, FALSE) * _xlfn.POISSON.DIST(I$4, 'First 5 Innings'!$G$15, FALSE)</f>
        <v>4.1869672253966102E-2</v>
      </c>
      <c r="J7" s="1">
        <f>_xlfn.POISSON.DIST($D7,'First 5 Innings'!$G$16, FALSE) * _xlfn.POISSON.DIST(J$4, 'First 5 Innings'!$G$15, FALSE)</f>
        <v>2.33695057105376E-2</v>
      </c>
      <c r="K7" s="1">
        <f>_xlfn.POISSON.DIST($D7,'First 5 Innings'!$G$16, FALSE) * _xlfn.POISSON.DIST(K$4, 'First 5 Innings'!$G$15, FALSE)</f>
        <v>1.0869717223208765E-2</v>
      </c>
      <c r="L7" s="1">
        <f>_xlfn.POISSON.DIST($D7,'First 5 Innings'!$G$16, FALSE) * _xlfn.POISSON.DIST(L$4, 'First 5 Innings'!$G$15, FALSE)</f>
        <v>4.3335137181141235E-3</v>
      </c>
      <c r="M7" s="1">
        <f>_xlfn.POISSON.DIST($D7,'First 5 Innings'!$G$16, FALSE) * _xlfn.POISSON.DIST(M$4, 'First 5 Innings'!$G$15, FALSE)</f>
        <v>1.5117158215360795E-3</v>
      </c>
      <c r="N7" s="1">
        <f>_xlfn.POISSON.DIST($D7,'First 5 Innings'!$G$16, FALSE) * _xlfn.POISSON.DIST(N$4, 'First 5 Innings'!$G$15, FALSE)</f>
        <v>4.6875684080154424E-4</v>
      </c>
      <c r="O7" s="1">
        <f>_xlfn.POISSON.DIST($D7,'First 5 Innings'!$G$16, FALSE) * _xlfn.POISSON.DIST(O$4, 'First 5 Innings'!$G$15, FALSE)</f>
        <v>1.3081802505544578E-4</v>
      </c>
      <c r="P7" s="1">
        <f>_xlfn.POISSON.DIST($D7,'First 5 Innings'!$G$16, FALSE) * _xlfn.POISSON.DIST(P$4, 'First 5 Innings'!$G$15, FALSE)</f>
        <v>3.3189053935908098E-5</v>
      </c>
      <c r="Q7" s="1">
        <f>_xlfn.POISSON.DIST($D7,'First 5 Innings'!$G$16, FALSE) * _xlfn.POISSON.DIST(Q$4, 'First 5 Innings'!$G$15, FALSE)</f>
        <v>7.718512228234168E-6</v>
      </c>
      <c r="R7" s="1">
        <f>_xlfn.POISSON.DIST($D7,'First 5 Innings'!$G$16, FALSE) * _xlfn.POISSON.DIST(R$4, 'First 5 Innings'!$G$15, FALSE)</f>
        <v>1.6569530924479054E-6</v>
      </c>
      <c r="S7" s="1">
        <f>_xlfn.POISSON.DIST($D7,'First 5 Innings'!$G$16, FALSE) * _xlfn.POISSON.DIST(S$4, 'First 5 Innings'!$G$15, FALSE)</f>
        <v>3.3029511297051684E-7</v>
      </c>
      <c r="T7" s="1">
        <f>_xlfn.POISSON.DIST($D7,'First 5 Innings'!$G$16, FALSE) * _xlfn.POISSON.DIST(T$4, 'First 5 Innings'!$G$15, FALSE)</f>
        <v>6.1451269404956799E-8</v>
      </c>
    </row>
    <row r="8" spans="2:20">
      <c r="B8" s="377"/>
      <c r="C8" s="377"/>
      <c r="D8" s="1">
        <v>3</v>
      </c>
      <c r="E8" s="1">
        <f>_xlfn.POISSON.DIST($D8,'First 5 Innings'!$G$16, FALSE) * _xlfn.POISSON.DIST(E$4, 'First 5 Innings'!$G$15, FALSE)</f>
        <v>1.1636470601756802E-2</v>
      </c>
      <c r="F8" s="1">
        <f>_xlfn.POISSON.DIST($D8,'First 5 Innings'!$G$16, FALSE) * _xlfn.POISSON.DIST(F$4, 'First 5 Innings'!$G$15, FALSE)</f>
        <v>3.2474408269639508E-2</v>
      </c>
      <c r="G8" s="1">
        <f>_xlfn.POISSON.DIST($D8,'First 5 Innings'!$G$16, FALSE) * _xlfn.POISSON.DIST(G$4, 'First 5 Innings'!$G$15, FALSE)</f>
        <v>4.5313876885660513E-2</v>
      </c>
      <c r="H8" s="1">
        <f>_xlfn.POISSON.DIST($D8,'First 5 Innings'!$G$16, FALSE) * _xlfn.POISSON.DIST(H$4, 'First 5 Innings'!$G$15, FALSE)</f>
        <v>4.2153140433118283E-2</v>
      </c>
      <c r="I8" s="1">
        <f>_xlfn.POISSON.DIST($D8,'First 5 Innings'!$G$16, FALSE) * _xlfn.POISSON.DIST(I$4, 'First 5 Innings'!$G$15, FALSE)</f>
        <v>2.9409653904549551E-2</v>
      </c>
      <c r="J8" s="1">
        <f>_xlfn.POISSON.DIST($D8,'First 5 Innings'!$G$16, FALSE) * _xlfn.POISSON.DIST(J$4, 'First 5 Innings'!$G$15, FALSE)</f>
        <v>1.6414961901264985E-2</v>
      </c>
      <c r="K8" s="1">
        <f>_xlfn.POISSON.DIST($D8,'First 5 Innings'!$G$16, FALSE) * _xlfn.POISSON.DIST(K$4, 'First 5 Innings'!$G$15, FALSE)</f>
        <v>7.6349922119251842E-3</v>
      </c>
      <c r="L8" s="1">
        <f>_xlfn.POISSON.DIST($D8,'First 5 Innings'!$G$16, FALSE) * _xlfn.POISSON.DIST(L$4, 'First 5 Innings'!$G$15, FALSE)</f>
        <v>3.0439010333614845E-3</v>
      </c>
      <c r="M8" s="1">
        <f>_xlfn.POISSON.DIST($D8,'First 5 Innings'!$G$16, FALSE) * _xlfn.POISSON.DIST(M$4, 'First 5 Innings'!$G$15, FALSE)</f>
        <v>1.0618434948268915E-3</v>
      </c>
      <c r="N8" s="1">
        <f>_xlfn.POISSON.DIST($D8,'First 5 Innings'!$G$16, FALSE) * _xlfn.POISSON.DIST(N$4, 'First 5 Innings'!$G$15, FALSE)</f>
        <v>3.2925923971276303E-4</v>
      </c>
      <c r="O8" s="1">
        <f>_xlfn.POISSON.DIST($D8,'First 5 Innings'!$G$16, FALSE) * _xlfn.POISSON.DIST(O$4, 'First 5 Innings'!$G$15, FALSE)</f>
        <v>9.1887818419522402E-5</v>
      </c>
      <c r="P8" s="1">
        <f>_xlfn.POISSON.DIST($D8,'First 5 Innings'!$G$16, FALSE) * _xlfn.POISSON.DIST(P$4, 'First 5 Innings'!$G$15, FALSE)</f>
        <v>2.3312305473851096E-5</v>
      </c>
      <c r="Q8" s="1">
        <f>_xlfn.POISSON.DIST($D8,'First 5 Innings'!$G$16, FALSE) * _xlfn.POISSON.DIST(Q$4, 'First 5 Innings'!$G$15, FALSE)</f>
        <v>5.4215560110790694E-6</v>
      </c>
      <c r="R8" s="1">
        <f>_xlfn.POISSON.DIST($D8,'First 5 Innings'!$G$16, FALSE) * _xlfn.POISSON.DIST(R$4, 'First 5 Innings'!$G$15, FALSE)</f>
        <v>1.1638595279510461E-6</v>
      </c>
      <c r="S8" s="1">
        <f>_xlfn.POISSON.DIST($D8,'First 5 Innings'!$G$16, FALSE) * _xlfn.POISSON.DIST(S$4, 'First 5 Innings'!$G$15, FALSE)</f>
        <v>2.3200241214944909E-7</v>
      </c>
      <c r="T8" s="1">
        <f>_xlfn.POISSON.DIST($D8,'First 5 Innings'!$G$16, FALSE) * _xlfn.POISSON.DIST(T$4, 'First 5 Innings'!$G$15, FALSE)</f>
        <v>4.3163952997597719E-8</v>
      </c>
    </row>
    <row r="9" spans="2:20">
      <c r="B9" s="377"/>
      <c r="C9" s="377"/>
      <c r="D9" s="1">
        <v>4</v>
      </c>
      <c r="E9" s="1">
        <f>_xlfn.POISSON.DIST($D9,'First 5 Innings'!$G$16, FALSE) * _xlfn.POISSON.DIST(E$4, 'First 5 Innings'!$G$15, FALSE)</f>
        <v>6.1301752792389435E-3</v>
      </c>
      <c r="F9" s="1">
        <f>_xlfn.POISSON.DIST($D9,'First 5 Innings'!$G$16, FALSE) * _xlfn.POISSON.DIST(F$4, 'First 5 Innings'!$G$15, FALSE)</f>
        <v>1.7107748697650808E-2</v>
      </c>
      <c r="G9" s="1">
        <f>_xlfn.POISSON.DIST($D9,'First 5 Innings'!$G$16, FALSE) * _xlfn.POISSON.DIST(G$4, 'First 5 Innings'!$G$15, FALSE)</f>
        <v>2.3871671866641013E-2</v>
      </c>
      <c r="H9" s="1">
        <f>_xlfn.POISSON.DIST($D9,'First 5 Innings'!$G$16, FALSE) * _xlfn.POISSON.DIST(H$4, 'First 5 Innings'!$G$15, FALSE)</f>
        <v>2.2206573476529622E-2</v>
      </c>
      <c r="I9" s="1">
        <f>_xlfn.POISSON.DIST($D9,'First 5 Innings'!$G$16, FALSE) * _xlfn.POISSON.DIST(I$4, 'First 5 Innings'!$G$15, FALSE)</f>
        <v>1.5493214352247342E-2</v>
      </c>
      <c r="J9" s="1">
        <f>_xlfn.POISSON.DIST($D9,'First 5 Innings'!$G$16, FALSE) * _xlfn.POISSON.DIST(J$4, 'First 5 Innings'!$G$15, FALSE)</f>
        <v>8.6475184014637337E-3</v>
      </c>
      <c r="K9" s="1">
        <f>_xlfn.POISSON.DIST($D9,'First 5 Innings'!$G$16, FALSE) * _xlfn.POISSON.DIST(K$4, 'First 5 Innings'!$G$15, FALSE)</f>
        <v>4.0221680711039201E-3</v>
      </c>
      <c r="L9" s="1">
        <f>_xlfn.POISSON.DIST($D9,'First 5 Innings'!$G$16, FALSE) * _xlfn.POISSON.DIST(L$4, 'First 5 Innings'!$G$15, FALSE)</f>
        <v>1.6035486622847078E-3</v>
      </c>
      <c r="M9" s="1">
        <f>_xlfn.POISSON.DIST($D9,'First 5 Innings'!$G$16, FALSE) * _xlfn.POISSON.DIST(M$4, 'First 5 Innings'!$G$15, FALSE)</f>
        <v>5.5938668735396144E-4</v>
      </c>
      <c r="N9" s="1">
        <f>_xlfn.POISSON.DIST($D9,'First 5 Innings'!$G$16, FALSE) * _xlfn.POISSON.DIST(N$4, 'First 5 Innings'!$G$15, FALSE)</f>
        <v>1.7345610372989398E-4</v>
      </c>
      <c r="O9" s="1">
        <f>_xlfn.POISSON.DIST($D9,'First 5 Innings'!$G$16, FALSE) * _xlfn.POISSON.DIST(O$4, 'First 5 Innings'!$G$15, FALSE)</f>
        <v>4.8407154730706003E-5</v>
      </c>
      <c r="P9" s="1">
        <f>_xlfn.POISSON.DIST($D9,'First 5 Innings'!$G$16, FALSE) * _xlfn.POISSON.DIST(P$4, 'First 5 Innings'!$G$15, FALSE)</f>
        <v>1.2281087935399696E-5</v>
      </c>
      <c r="Q9" s="1">
        <f>_xlfn.POISSON.DIST($D9,'First 5 Innings'!$G$16, FALSE) * _xlfn.POISSON.DIST(Q$4, 'First 5 Innings'!$G$15, FALSE)</f>
        <v>2.8561141751269998E-6</v>
      </c>
      <c r="R9" s="1">
        <f>_xlfn.POISSON.DIST($D9,'First 5 Innings'!$G$16, FALSE) * _xlfn.POISSON.DIST(R$4, 'First 5 Innings'!$G$15, FALSE)</f>
        <v>6.1312945745551603E-7</v>
      </c>
      <c r="S9" s="1">
        <f>_xlfn.POISSON.DIST($D9,'First 5 Innings'!$G$16, FALSE) * _xlfn.POISSON.DIST(S$4, 'First 5 Innings'!$G$15, FALSE)</f>
        <v>1.2222051688659278E-7</v>
      </c>
      <c r="T9" s="1">
        <f>_xlfn.POISSON.DIST($D9,'First 5 Innings'!$G$16, FALSE) * _xlfn.POISSON.DIST(T$4, 'First 5 Innings'!$G$15, FALSE)</f>
        <v>2.2739076707688087E-8</v>
      </c>
    </row>
    <row r="10" spans="2:20">
      <c r="B10" s="377"/>
      <c r="C10" s="377"/>
      <c r="D10" s="1">
        <v>5</v>
      </c>
      <c r="E10" s="1">
        <f>_xlfn.POISSON.DIST($D10,'First 5 Innings'!$G$16, FALSE) * _xlfn.POISSON.DIST(E$4, 'First 5 Innings'!$G$15, FALSE)</f>
        <v>2.5835358668645685E-3</v>
      </c>
      <c r="F10" s="1">
        <f>_xlfn.POISSON.DIST($D10,'First 5 Innings'!$G$16, FALSE) * _xlfn.POISSON.DIST(F$4, 'First 5 Innings'!$G$15, FALSE)</f>
        <v>7.2099867211584331E-3</v>
      </c>
      <c r="G10" s="1">
        <f>_xlfn.POISSON.DIST($D10,'First 5 Innings'!$G$16, FALSE) * _xlfn.POISSON.DIST(G$4, 'First 5 Innings'!$G$15, FALSE)</f>
        <v>1.006061289607132E-2</v>
      </c>
      <c r="H10" s="1">
        <f>_xlfn.POISSON.DIST($D10,'First 5 Innings'!$G$16, FALSE) * _xlfn.POISSON.DIST(H$4, 'First 5 Innings'!$G$15, FALSE)</f>
        <v>9.3588643788176176E-3</v>
      </c>
      <c r="I10" s="1">
        <f>_xlfn.POISSON.DIST($D10,'First 5 Innings'!$G$16, FALSE) * _xlfn.POISSON.DIST(I$4, 'First 5 Innings'!$G$15, FALSE)</f>
        <v>6.5295482019269869E-3</v>
      </c>
      <c r="J10" s="1">
        <f>_xlfn.POISSON.DIST($D10,'First 5 Innings'!$G$16, FALSE) * _xlfn.POISSON.DIST(J$4, 'First 5 Innings'!$G$15, FALSE)</f>
        <v>3.6444592416820017E-3</v>
      </c>
      <c r="K10" s="1">
        <f>_xlfn.POISSON.DIST($D10,'First 5 Innings'!$G$16, FALSE) * _xlfn.POISSON.DIST(K$4, 'First 5 Innings'!$G$15, FALSE)</f>
        <v>1.6951253432258369E-3</v>
      </c>
      <c r="L10" s="1">
        <f>_xlfn.POISSON.DIST($D10,'First 5 Innings'!$G$16, FALSE) * _xlfn.POISSON.DIST(L$4, 'First 5 Innings'!$G$15, FALSE)</f>
        <v>6.7580865057900437E-4</v>
      </c>
      <c r="M10" s="1">
        <f>_xlfn.POISSON.DIST($D10,'First 5 Innings'!$G$16, FALSE) * _xlfn.POISSON.DIST(M$4, 'First 5 Innings'!$G$15, FALSE)</f>
        <v>2.357511008078281E-4</v>
      </c>
      <c r="N10" s="1">
        <f>_xlfn.POISSON.DIST($D10,'First 5 Innings'!$G$16, FALSE) * _xlfn.POISSON.DIST(N$4, 'First 5 Innings'!$G$15, FALSE)</f>
        <v>7.3102324958055221E-5</v>
      </c>
      <c r="O10" s="1">
        <f>_xlfn.POISSON.DIST($D10,'First 5 Innings'!$G$16, FALSE) * _xlfn.POISSON.DIST(O$4, 'First 5 Innings'!$G$15, FALSE)</f>
        <v>2.0400986066938061E-5</v>
      </c>
      <c r="P10" s="1">
        <f>_xlfn.POISSON.DIST($D10,'First 5 Innings'!$G$16, FALSE) * _xlfn.POISSON.DIST(P$4, 'First 5 Innings'!$G$15, FALSE)</f>
        <v>5.1758114115722204E-6</v>
      </c>
      <c r="Q10" s="1">
        <f>_xlfn.POISSON.DIST($D10,'First 5 Innings'!$G$16, FALSE) * _xlfn.POISSON.DIST(Q$4, 'First 5 Innings'!$G$15, FALSE)</f>
        <v>1.2036969703445406E-6</v>
      </c>
      <c r="R10" s="1">
        <f>_xlfn.POISSON.DIST($D10,'First 5 Innings'!$G$16, FALSE) * _xlfn.POISSON.DIST(R$4, 'First 5 Innings'!$G$15, FALSE)</f>
        <v>2.5840075890361759E-7</v>
      </c>
      <c r="S10" s="1">
        <f>_xlfn.POISSON.DIST($D10,'First 5 Innings'!$G$16, FALSE) * _xlfn.POISSON.DIST(S$4, 'First 5 Innings'!$G$15, FALSE)</f>
        <v>5.1509308406339824E-8</v>
      </c>
      <c r="T10" s="1">
        <f>_xlfn.POISSON.DIST($D10,'First 5 Innings'!$G$16, FALSE) * _xlfn.POISSON.DIST(T$4, 'First 5 Innings'!$G$15, FALSE)</f>
        <v>9.5832855632458E-9</v>
      </c>
    </row>
    <row r="11" spans="2:20">
      <c r="B11" s="377"/>
      <c r="C11" s="377"/>
      <c r="D11" s="1">
        <v>6</v>
      </c>
      <c r="E11" s="1">
        <f>_xlfn.POISSON.DIST($D11,'First 5 Innings'!$G$16, FALSE) * _xlfn.POISSON.DIST(E$4, 'First 5 Innings'!$G$15, FALSE)</f>
        <v>9.073500173777941E-4</v>
      </c>
      <c r="F11" s="1">
        <f>_xlfn.POISSON.DIST($D11,'First 5 Innings'!$G$16, FALSE) * _xlfn.POISSON.DIST(F$4, 'First 5 Innings'!$G$15, FALSE)</f>
        <v>2.532181441969393E-3</v>
      </c>
      <c r="G11" s="1">
        <f>_xlfn.POISSON.DIST($D11,'First 5 Innings'!$G$16, FALSE) * _xlfn.POISSON.DIST(G$4, 'First 5 Innings'!$G$15, FALSE)</f>
        <v>3.5333348389546843E-3</v>
      </c>
      <c r="H11" s="1">
        <f>_xlfn.POISSON.DIST($D11,'First 5 Innings'!$G$16, FALSE) * _xlfn.POISSON.DIST(H$4, 'First 5 Innings'!$G$15, FALSE)</f>
        <v>3.286877440204599E-3</v>
      </c>
      <c r="I11" s="1">
        <f>_xlfn.POISSON.DIST($D11,'First 5 Innings'!$G$16, FALSE) * _xlfn.POISSON.DIST(I$4, 'First 5 Innings'!$G$15, FALSE)</f>
        <v>2.2932082153276985E-3</v>
      </c>
      <c r="J11" s="1">
        <f>_xlfn.POISSON.DIST($D11,'First 5 Innings'!$G$16, FALSE) * _xlfn.POISSON.DIST(J$4, 'First 5 Innings'!$G$15, FALSE)</f>
        <v>1.2799513251139905E-3</v>
      </c>
      <c r="K11" s="1">
        <f>_xlfn.POISSON.DIST($D11,'First 5 Innings'!$G$16, FALSE) * _xlfn.POISSON.DIST(K$4, 'First 5 Innings'!$G$15, FALSE)</f>
        <v>5.9533603901545126E-4</v>
      </c>
      <c r="L11" s="1">
        <f>_xlfn.POISSON.DIST($D11,'First 5 Innings'!$G$16, FALSE) * _xlfn.POISSON.DIST(L$4, 'First 5 Innings'!$G$15, FALSE)</f>
        <v>2.3734719487022608E-4</v>
      </c>
      <c r="M11" s="1">
        <f>_xlfn.POISSON.DIST($D11,'First 5 Innings'!$G$16, FALSE) * _xlfn.POISSON.DIST(M$4, 'First 5 Innings'!$G$15, FALSE)</f>
        <v>8.2796901780357674E-5</v>
      </c>
      <c r="N11" s="1">
        <f>_xlfn.POISSON.DIST($D11,'First 5 Innings'!$G$16, FALSE) * _xlfn.POISSON.DIST(N$4, 'First 5 Innings'!$G$15, FALSE)</f>
        <v>2.5673882322194059E-5</v>
      </c>
      <c r="O11" s="1">
        <f>_xlfn.POISSON.DIST($D11,'First 5 Innings'!$G$16, FALSE) * _xlfn.POISSON.DIST(O$4, 'First 5 Innings'!$G$15, FALSE)</f>
        <v>7.1649228097713656E-6</v>
      </c>
      <c r="P11" s="1">
        <f>_xlfn.POISSON.DIST($D11,'First 5 Innings'!$G$16, FALSE) * _xlfn.POISSON.DIST(P$4, 'First 5 Innings'!$G$15, FALSE)</f>
        <v>1.8177694509554963E-6</v>
      </c>
      <c r="Q11" s="1">
        <f>_xlfn.POISSON.DIST($D11,'First 5 Innings'!$G$16, FALSE) * _xlfn.POISSON.DIST(Q$4, 'First 5 Innings'!$G$15, FALSE)</f>
        <v>4.2274406984920329E-7</v>
      </c>
      <c r="R11" s="1">
        <f>_xlfn.POISSON.DIST($D11,'First 5 Innings'!$G$16, FALSE) * _xlfn.POISSON.DIST(R$4, 'First 5 Innings'!$G$15, FALSE)</f>
        <v>9.0751568843585654E-8</v>
      </c>
      <c r="S11" s="1">
        <f>_xlfn.POISSON.DIST($D11,'First 5 Innings'!$G$16, FALSE) * _xlfn.POISSON.DIST(S$4, 'First 5 Innings'!$G$15, FALSE)</f>
        <v>1.8090312767490831E-8</v>
      </c>
      <c r="T11" s="1">
        <f>_xlfn.POISSON.DIST($D11,'First 5 Innings'!$G$16, FALSE) * _xlfn.POISSON.DIST(T$4, 'First 5 Innings'!$G$15, FALSE)</f>
        <v>3.3656952217583671E-9</v>
      </c>
    </row>
    <row r="12" spans="2:20">
      <c r="B12" s="377"/>
      <c r="C12" s="377"/>
      <c r="D12" s="1">
        <v>7</v>
      </c>
      <c r="E12" s="1">
        <f>_xlfn.POISSON.DIST($D12,'First 5 Innings'!$G$16, FALSE) * _xlfn.POISSON.DIST(E$4, 'First 5 Innings'!$G$15, FALSE)</f>
        <v>2.7314195841706866E-4</v>
      </c>
      <c r="F12" s="1">
        <f>_xlfn.POISSON.DIST($D12,'First 5 Innings'!$G$16, FALSE) * _xlfn.POISSON.DIST(F$4, 'First 5 Innings'!$G$15, FALSE)</f>
        <v>7.622692289417746E-4</v>
      </c>
      <c r="G12" s="1">
        <f>_xlfn.POISSON.DIST($D12,'First 5 Innings'!$G$16, FALSE) * _xlfn.POISSON.DIST(G$4, 'First 5 Innings'!$G$15, FALSE)</f>
        <v>1.0636490650481798E-3</v>
      </c>
      <c r="H12" s="1">
        <f>_xlfn.POISSON.DIST($D12,'First 5 Innings'!$G$16, FALSE) * _xlfn.POISSON.DIST(H$4, 'First 5 Innings'!$G$15, FALSE)</f>
        <v>9.8945734710947225E-4</v>
      </c>
      <c r="I12" s="1">
        <f>_xlfn.POISSON.DIST($D12,'First 5 Innings'!$G$16, FALSE) * _xlfn.POISSON.DIST(I$4, 'First 5 Innings'!$G$15, FALSE)</f>
        <v>6.9033049098616553E-4</v>
      </c>
      <c r="J12" s="1">
        <f>_xlfn.POISSON.DIST($D12,'First 5 Innings'!$G$16, FALSE) * _xlfn.POISSON.DIST(J$4, 'First 5 Innings'!$G$15, FALSE)</f>
        <v>3.8530710852964115E-4</v>
      </c>
      <c r="K12" s="1">
        <f>_xlfn.POISSON.DIST($D12,'First 5 Innings'!$G$16, FALSE) * _xlfn.POISSON.DIST(K$4, 'First 5 Innings'!$G$15, FALSE)</f>
        <v>1.792155711672116E-4</v>
      </c>
      <c r="L12" s="1">
        <f>_xlfn.POISSON.DIST($D12,'First 5 Innings'!$G$16, FALSE) * _xlfn.POISSON.DIST(L$4, 'First 5 Innings'!$G$15, FALSE)</f>
        <v>7.1449249341511915E-5</v>
      </c>
      <c r="M12" s="1">
        <f>_xlfn.POISSON.DIST($D12,'First 5 Innings'!$G$16, FALSE) * _xlfn.POISSON.DIST(M$4, 'First 5 Innings'!$G$15, FALSE)</f>
        <v>2.4924568766207696E-5</v>
      </c>
      <c r="N12" s="1">
        <f>_xlfn.POISSON.DIST($D12,'First 5 Innings'!$G$16, FALSE) * _xlfn.POISSON.DIST(N$4, 'First 5 Innings'!$G$15, FALSE)</f>
        <v>7.7286762146317304E-6</v>
      </c>
      <c r="O12" s="1">
        <f>_xlfn.POISSON.DIST($D12,'First 5 Innings'!$G$16, FALSE) * _xlfn.POISSON.DIST(O$4, 'First 5 Innings'!$G$15, FALSE)</f>
        <v>2.1568755283918423E-6</v>
      </c>
      <c r="P12" s="1">
        <f>_xlfn.POISSON.DIST($D12,'First 5 Innings'!$G$16, FALSE) * _xlfn.POISSON.DIST(P$4, 'First 5 Innings'!$G$15, FALSE)</f>
        <v>5.472079112530308E-7</v>
      </c>
      <c r="Q12" s="1">
        <f>_xlfn.POISSON.DIST($D12,'First 5 Innings'!$G$16, FALSE) * _xlfn.POISSON.DIST(Q$4, 'First 5 Innings'!$G$15, FALSE)</f>
        <v>1.2725975746549798E-7</v>
      </c>
      <c r="R12" s="1">
        <f>_xlfn.POISSON.DIST($D12,'First 5 Innings'!$G$16, FALSE) * _xlfn.POISSON.DIST(R$4, 'First 5 Innings'!$G$15, FALSE)</f>
        <v>2.7319183081072657E-8</v>
      </c>
      <c r="S12" s="1">
        <f>_xlfn.POISSON.DIST($D12,'First 5 Innings'!$G$16, FALSE) * _xlfn.POISSON.DIST(S$4, 'First 5 Innings'!$G$15, FALSE)</f>
        <v>5.4457743572537623E-9</v>
      </c>
      <c r="T12" s="1">
        <f>_xlfn.POISSON.DIST($D12,'First 5 Innings'!$G$16, FALSE) * _xlfn.POISSON.DIST(T$4, 'First 5 Innings'!$G$15, FALSE)</f>
        <v>1.013184070864767E-9</v>
      </c>
    </row>
    <row r="13" spans="2:20">
      <c r="B13" s="377"/>
      <c r="C13" s="377"/>
      <c r="D13" s="1">
        <v>8</v>
      </c>
      <c r="E13" s="1">
        <f>_xlfn.POISSON.DIST($D13,'First 5 Innings'!$G$16, FALSE) * _xlfn.POISSON.DIST(E$4, 'First 5 Innings'!$G$15, FALSE)</f>
        <v>7.1946560882405169E-5</v>
      </c>
      <c r="F13" s="1">
        <f>_xlfn.POISSON.DIST($D13,'First 5 Innings'!$G$16, FALSE) * _xlfn.POISSON.DIST(F$4, 'First 5 Innings'!$G$15, FALSE)</f>
        <v>2.0078441923266342E-4</v>
      </c>
      <c r="G13" s="1">
        <f>_xlfn.POISSON.DIST($D13,'First 5 Innings'!$G$16, FALSE) * _xlfn.POISSON.DIST(G$4, 'First 5 Innings'!$G$15, FALSE)</f>
        <v>2.8016893727895342E-4</v>
      </c>
      <c r="H13" s="1">
        <f>_xlfn.POISSON.DIST($D13,'First 5 Innings'!$G$16, FALSE) * _xlfn.POISSON.DIST(H$4, 'First 5 Innings'!$G$15, FALSE)</f>
        <v>2.6062657556132616E-4</v>
      </c>
      <c r="I13" s="1">
        <f>_xlfn.POISSON.DIST($D13,'First 5 Innings'!$G$16, FALSE) * _xlfn.POISSON.DIST(I$4, 'First 5 Innings'!$G$15, FALSE)</f>
        <v>1.8183550043556078E-4</v>
      </c>
      <c r="J13" s="1">
        <f>_xlfn.POISSON.DIST($D13,'First 5 Innings'!$G$16, FALSE) * _xlfn.POISSON.DIST(J$4, 'First 5 Innings'!$G$15, FALSE)</f>
        <v>1.0149125935431165E-4</v>
      </c>
      <c r="K13" s="1">
        <f>_xlfn.POISSON.DIST($D13,'First 5 Innings'!$G$16, FALSE) * _xlfn.POISSON.DIST(K$4, 'First 5 Innings'!$G$15, FALSE)</f>
        <v>4.7206017254839533E-5</v>
      </c>
      <c r="L13" s="1">
        <f>_xlfn.POISSON.DIST($D13,'First 5 Innings'!$G$16, FALSE) * _xlfn.POISSON.DIST(L$4, 'First 5 Innings'!$G$15, FALSE)</f>
        <v>1.8819985759573446E-5</v>
      </c>
      <c r="M13" s="1">
        <f>_xlfn.POISSON.DIST($D13,'First 5 Innings'!$G$16, FALSE) * _xlfn.POISSON.DIST(M$4, 'First 5 Innings'!$G$15, FALSE)</f>
        <v>6.565219838789868E-6</v>
      </c>
      <c r="N13" s="1">
        <f>_xlfn.POISSON.DIST($D13,'First 5 Innings'!$G$16, FALSE) * _xlfn.POISSON.DIST(N$4, 'First 5 Innings'!$G$15, FALSE)</f>
        <v>2.035760734230903E-6</v>
      </c>
      <c r="O13" s="1">
        <f>_xlfn.POISSON.DIST($D13,'First 5 Innings'!$G$16, FALSE) * _xlfn.POISSON.DIST(O$4, 'First 5 Innings'!$G$15, FALSE)</f>
        <v>5.6812866620171499E-7</v>
      </c>
      <c r="P13" s="1">
        <f>_xlfn.POISSON.DIST($D13,'First 5 Innings'!$G$16, FALSE) * _xlfn.POISSON.DIST(P$4, 'First 5 Innings'!$G$15, FALSE)</f>
        <v>1.4413650517283445E-7</v>
      </c>
      <c r="Q13" s="1">
        <f>_xlfn.POISSON.DIST($D13,'First 5 Innings'!$G$16, FALSE) * _xlfn.POISSON.DIST(Q$4, 'First 5 Innings'!$G$15, FALSE)</f>
        <v>3.3520671600337378E-8</v>
      </c>
      <c r="R13" s="1">
        <f>_xlfn.POISSON.DIST($D13,'First 5 Innings'!$G$16, FALSE) * _xlfn.POISSON.DIST(R$4, 'First 5 Innings'!$G$15, FALSE)</f>
        <v>7.1959697447828716E-9</v>
      </c>
      <c r="S13" s="1">
        <f>_xlfn.POISSON.DIST($D13,'First 5 Innings'!$G$16, FALSE) * _xlfn.POISSON.DIST(S$4, 'First 5 Innings'!$G$15, FALSE)</f>
        <v>1.4344362858661952E-9</v>
      </c>
      <c r="T13" s="1">
        <f>_xlfn.POISSON.DIST($D13,'First 5 Innings'!$G$16, FALSE) * _xlfn.POISSON.DIST(T$4, 'First 5 Innings'!$G$15, FALSE)</f>
        <v>2.6687627877460465E-10</v>
      </c>
    </row>
    <row r="14" spans="2:20">
      <c r="B14" s="377"/>
      <c r="C14" s="377"/>
      <c r="D14" s="1">
        <v>9</v>
      </c>
      <c r="E14" s="1">
        <f>_xlfn.POISSON.DIST($D14,'First 5 Innings'!$G$16, FALSE) * _xlfn.POISSON.DIST(E$4, 'First 5 Innings'!$G$15, FALSE)</f>
        <v>1.6845315007799449E-5</v>
      </c>
      <c r="F14" s="1">
        <f>_xlfn.POISSON.DIST($D14,'First 5 Innings'!$G$16, FALSE) * _xlfn.POISSON.DIST(F$4, 'First 5 Innings'!$G$15, FALSE)</f>
        <v>4.7010958538525936E-5</v>
      </c>
      <c r="G14" s="1">
        <f>_xlfn.POISSON.DIST($D14,'First 5 Innings'!$G$16, FALSE) * _xlfn.POISSON.DIST(G$4, 'First 5 Innings'!$G$15, FALSE)</f>
        <v>6.5597770706209778E-5</v>
      </c>
      <c r="H14" s="1">
        <f>_xlfn.POISSON.DIST($D14,'First 5 Innings'!$G$16, FALSE) * _xlfn.POISSON.DIST(H$4, 'First 5 Innings'!$G$15, FALSE)</f>
        <v>6.1022190788389163E-5</v>
      </c>
      <c r="I14" s="1">
        <f>_xlfn.POISSON.DIST($D14,'First 5 Innings'!$G$16, FALSE) * _xlfn.POISSON.DIST(I$4, 'First 5 Innings'!$G$15, FALSE)</f>
        <v>4.2574325261278241E-5</v>
      </c>
      <c r="J14" s="1">
        <f>_xlfn.POISSON.DIST($D14,'First 5 Innings'!$G$16, FALSE) * _xlfn.POISSON.DIST(J$4, 'First 5 Innings'!$G$15, FALSE)</f>
        <v>2.3762806913815321E-5</v>
      </c>
      <c r="K14" s="1">
        <f>_xlfn.POISSON.DIST($D14,'First 5 Innings'!$G$16, FALSE) * _xlfn.POISSON.DIST(K$4, 'First 5 Innings'!$G$15, FALSE)</f>
        <v>1.1052651039444718E-5</v>
      </c>
      <c r="L14" s="1">
        <f>_xlfn.POISSON.DIST($D14,'First 5 Innings'!$G$16, FALSE) * _xlfn.POISSON.DIST(L$4, 'First 5 Innings'!$G$15, FALSE)</f>
        <v>4.4064453487983908E-6</v>
      </c>
      <c r="M14" s="1">
        <f>_xlfn.POISSON.DIST($D14,'First 5 Innings'!$G$16, FALSE) * _xlfn.POISSON.DIST(M$4, 'First 5 Innings'!$G$15, FALSE)</f>
        <v>1.5371575086213142E-6</v>
      </c>
      <c r="N14" s="1">
        <f>_xlfn.POISSON.DIST($D14,'First 5 Innings'!$G$16, FALSE) * _xlfn.POISSON.DIST(N$4, 'First 5 Innings'!$G$15, FALSE)</f>
        <v>4.766458664324449E-7</v>
      </c>
      <c r="O14" s="1">
        <f>_xlfn.POISSON.DIST($D14,'First 5 Innings'!$G$16, FALSE) * _xlfn.POISSON.DIST(O$4, 'First 5 Innings'!$G$15, FALSE)</f>
        <v>1.3301964999788185E-7</v>
      </c>
      <c r="P14" s="1">
        <f>_xlfn.POISSON.DIST($D14,'First 5 Innings'!$G$16, FALSE) * _xlfn.POISSON.DIST(P$4, 'First 5 Innings'!$G$15, FALSE)</f>
        <v>3.3747614951717513E-8</v>
      </c>
      <c r="Q14" s="1">
        <f>_xlfn.POISSON.DIST($D14,'First 5 Innings'!$G$16, FALSE) * _xlfn.POISSON.DIST(Q$4, 'First 5 Innings'!$G$15, FALSE)</f>
        <v>7.8484122862191107E-9</v>
      </c>
      <c r="R14" s="1">
        <f>_xlfn.POISSON.DIST($D14,'First 5 Innings'!$G$16, FALSE) * _xlfn.POISSON.DIST(R$4, 'First 5 Innings'!$G$15, FALSE)</f>
        <v>1.6848390757077333E-9</v>
      </c>
      <c r="S14" s="1">
        <f>_xlfn.POISSON.DIST($D14,'First 5 Innings'!$G$16, FALSE) * _xlfn.POISSON.DIST(S$4, 'First 5 Innings'!$G$15, FALSE)</f>
        <v>3.358538726198268E-10</v>
      </c>
      <c r="T14" s="1">
        <f>_xlfn.POISSON.DIST($D14,'First 5 Innings'!$G$16, FALSE) * _xlfn.POISSON.DIST(T$4, 'First 5 Innings'!$G$15, FALSE)</f>
        <v>6.248547434276234E-11</v>
      </c>
    </row>
    <row r="15" spans="2:20">
      <c r="B15" s="377"/>
      <c r="C15" s="377"/>
      <c r="D15" s="1">
        <v>10</v>
      </c>
      <c r="E15" s="1">
        <f>_xlfn.POISSON.DIST($D15,'First 5 Innings'!$G$16, FALSE) * _xlfn.POISSON.DIST(E$4, 'First 5 Innings'!$G$15, FALSE)</f>
        <v>3.5496925886175386E-6</v>
      </c>
      <c r="F15" s="1">
        <f>_xlfn.POISSON.DIST($D15,'First 5 Innings'!$G$16, FALSE) * _xlfn.POISSON.DIST(F$4, 'First 5 Innings'!$G$15, FALSE)</f>
        <v>9.9062826091853057E-6</v>
      </c>
      <c r="G15" s="1">
        <f>_xlfn.POISSON.DIST($D15,'First 5 Innings'!$G$16, FALSE) * _xlfn.POISSON.DIST(G$4, 'First 5 Innings'!$G$15, FALSE)</f>
        <v>1.3822948422030348E-5</v>
      </c>
      <c r="H15" s="1">
        <f>_xlfn.POISSON.DIST($D15,'First 5 Innings'!$G$16, FALSE) * _xlfn.POISSON.DIST(H$4, 'First 5 Innings'!$G$15, FALSE)</f>
        <v>1.2858769235390322E-5</v>
      </c>
      <c r="I15" s="1">
        <f>_xlfn.POISSON.DIST($D15,'First 5 Innings'!$G$16, FALSE) * _xlfn.POISSON.DIST(I$4, 'First 5 Innings'!$G$15, FALSE)</f>
        <v>8.971382653003521E-6</v>
      </c>
      <c r="J15" s="1">
        <f>_xlfn.POISSON.DIST($D15,'First 5 Innings'!$G$16, FALSE) * _xlfn.POISSON.DIST(J$4, 'First 5 Innings'!$G$15, FALSE)</f>
        <v>5.0073661161970046E-6</v>
      </c>
      <c r="K15" s="1">
        <f>_xlfn.POISSON.DIST($D15,'First 5 Innings'!$G$16, FALSE) * _xlfn.POISSON.DIST(K$4, 'First 5 Innings'!$G$15, FALSE)</f>
        <v>2.3290459965353914E-6</v>
      </c>
      <c r="L15" s="1">
        <f>_xlfn.POISSON.DIST($D15,'First 5 Innings'!$G$16, FALSE) * _xlfn.POISSON.DIST(L$4, 'First 5 Innings'!$G$15, FALSE)</f>
        <v>9.2853867021992657E-7</v>
      </c>
      <c r="M15" s="1">
        <f>_xlfn.POISSON.DIST($D15,'First 5 Innings'!$G$16, FALSE) * _xlfn.POISSON.DIST(M$4, 'First 5 Innings'!$G$15, FALSE)</f>
        <v>3.239141929589638E-7</v>
      </c>
      <c r="N15" s="1">
        <f>_xlfn.POISSON.DIST($D15,'First 5 Innings'!$G$16, FALSE) * _xlfn.POISSON.DIST(N$4, 'First 5 Innings'!$G$15, FALSE)</f>
        <v>1.0044016978531164E-7</v>
      </c>
      <c r="O15" s="1">
        <f>_xlfn.POISSON.DIST($D15,'First 5 Innings'!$G$16, FALSE) * _xlfn.POISSON.DIST(O$4, 'First 5 Innings'!$G$15, FALSE)</f>
        <v>2.8030278182352746E-8</v>
      </c>
      <c r="P15" s="1">
        <f>_xlfn.POISSON.DIST($D15,'First 5 Innings'!$G$16, FALSE) * _xlfn.POISSON.DIST(P$4, 'First 5 Innings'!$G$15, FALSE)</f>
        <v>7.1113932047079642E-9</v>
      </c>
      <c r="Q15" s="1">
        <f>_xlfn.POISSON.DIST($D15,'First 5 Innings'!$G$16, FALSE) * _xlfn.POISSON.DIST(Q$4, 'First 5 Innings'!$G$15, FALSE)</f>
        <v>1.6538397122231179E-9</v>
      </c>
      <c r="R15" s="1">
        <f>_xlfn.POISSON.DIST($D15,'First 5 Innings'!$G$16, FALSE) * _xlfn.POISSON.DIST(R$4, 'First 5 Innings'!$G$15, FALSE)</f>
        <v>3.5503407192349297E-10</v>
      </c>
      <c r="S15" s="1">
        <f>_xlfn.POISSON.DIST($D15,'First 5 Innings'!$G$16, FALSE) * _xlfn.POISSON.DIST(S$4, 'First 5 Innings'!$G$15, FALSE)</f>
        <v>7.0772081254943279E-11</v>
      </c>
      <c r="T15" s="1">
        <f>_xlfn.POISSON.DIST($D15,'First 5 Innings'!$G$16, FALSE) * _xlfn.POISSON.DIST(T$4, 'First 5 Innings'!$G$15, FALSE)</f>
        <v>1.3167116499041935E-11</v>
      </c>
    </row>
    <row r="16" spans="2:20">
      <c r="B16" s="377"/>
      <c r="C16" s="377"/>
      <c r="D16" s="1">
        <v>11</v>
      </c>
      <c r="E16" s="1">
        <f>_xlfn.POISSON.DIST($D16,'First 5 Innings'!$G$16, FALSE) * _xlfn.POISSON.DIST(E$4, 'First 5 Innings'!$G$15, FALSE)</f>
        <v>6.8000117906277794E-7</v>
      </c>
      <c r="F16" s="1">
        <f>_xlfn.POISSON.DIST($D16,'First 5 Innings'!$G$16, FALSE) * _xlfn.POISSON.DIST(F$4, 'First 5 Innings'!$G$15, FALSE)</f>
        <v>1.8977090793652667E-6</v>
      </c>
      <c r="G16" s="1">
        <f>_xlfn.POISSON.DIST($D16,'First 5 Innings'!$G$16, FALSE) * _xlfn.POISSON.DIST(G$4, 'First 5 Innings'!$G$15, FALSE)</f>
        <v>2.6480099305628531E-6</v>
      </c>
      <c r="H16" s="1">
        <f>_xlfn.POISSON.DIST($D16,'First 5 Innings'!$G$16, FALSE) * _xlfn.POISSON.DIST(H$4, 'First 5 Innings'!$G$15, FALSE)</f>
        <v>2.4633057717167051E-6</v>
      </c>
      <c r="I16" s="1">
        <f>_xlfn.POISSON.DIST($D16,'First 5 Innings'!$G$16, FALSE) * _xlfn.POISSON.DIST(I$4, 'First 5 Innings'!$G$15, FALSE)</f>
        <v>1.7186138319210518E-6</v>
      </c>
      <c r="J16" s="1">
        <f>_xlfn.POISSON.DIST($D16,'First 5 Innings'!$G$16, FALSE) * _xlfn.POISSON.DIST(J$4, 'First 5 Innings'!$G$15, FALSE)</f>
        <v>9.5924218168398681E-7</v>
      </c>
      <c r="K16" s="1">
        <f>_xlfn.POISSON.DIST($D16,'First 5 Innings'!$G$16, FALSE) * _xlfn.POISSON.DIST(K$4, 'First 5 Innings'!$G$15, FALSE)</f>
        <v>4.4616652969160821E-7</v>
      </c>
      <c r="L16" s="1">
        <f>_xlfn.POISSON.DIST($D16,'First 5 Innings'!$G$16, FALSE) * _xlfn.POISSON.DIST(L$4, 'First 5 Innings'!$G$15, FALSE)</f>
        <v>1.7787663996020612E-7</v>
      </c>
      <c r="M16" s="1">
        <f>_xlfn.POISSON.DIST($D16,'First 5 Innings'!$G$16, FALSE) * _xlfn.POISSON.DIST(M$4, 'First 5 Innings'!$G$15, FALSE)</f>
        <v>6.2051016427044084E-8</v>
      </c>
      <c r="N16" s="1">
        <f>_xlfn.POISSON.DIST($D16,'First 5 Innings'!$G$16, FALSE) * _xlfn.POISSON.DIST(N$4, 'First 5 Innings'!$G$15, FALSE)</f>
        <v>1.9240943313876474E-8</v>
      </c>
      <c r="O16" s="1">
        <f>_xlfn.POISSON.DIST($D16,'First 5 Innings'!$G$16, FALSE) * _xlfn.POISSON.DIST(O$4, 'First 5 Innings'!$G$15, FALSE)</f>
        <v>5.3696543398088636E-9</v>
      </c>
      <c r="P16" s="1">
        <f>_xlfn.POISSON.DIST($D16,'First 5 Innings'!$G$16, FALSE) * _xlfn.POISSON.DIST(P$4, 'First 5 Innings'!$G$15, FALSE)</f>
        <v>1.3623026905165817E-9</v>
      </c>
      <c r="Q16" s="1">
        <f>_xlfn.POISSON.DIST($D16,'First 5 Innings'!$G$16, FALSE) * _xlfn.POISSON.DIST(Q$4, 'First 5 Innings'!$G$15, FALSE)</f>
        <v>3.1681981642544333E-10</v>
      </c>
      <c r="R16" s="1">
        <f>_xlfn.POISSON.DIST($D16,'First 5 Innings'!$G$16, FALSE) * _xlfn.POISSON.DIST(R$4, 'First 5 Innings'!$G$15, FALSE)</f>
        <v>6.8012533899297179E-11</v>
      </c>
      <c r="S16" s="1">
        <f>_xlfn.POISSON.DIST($D16,'First 5 Innings'!$G$16, FALSE) * _xlfn.POISSON.DIST(S$4, 'First 5 Innings'!$G$15, FALSE)</f>
        <v>1.3557539842296857E-11</v>
      </c>
      <c r="T16" s="1">
        <f>_xlfn.POISSON.DIST($D16,'First 5 Innings'!$G$16, FALSE) * _xlfn.POISSON.DIST(T$4, 'First 5 Innings'!$G$15, FALSE)</f>
        <v>2.5223746903932764E-12</v>
      </c>
    </row>
    <row r="17" spans="2:20">
      <c r="B17" s="377"/>
      <c r="C17" s="377"/>
      <c r="D17" s="1">
        <v>12</v>
      </c>
      <c r="E17" s="1">
        <f>_xlfn.POISSON.DIST($D17,'First 5 Innings'!$G$16, FALSE) * _xlfn.POISSON.DIST(E$4, 'First 5 Innings'!$G$15, FALSE)</f>
        <v>1.1940981535285084E-7</v>
      </c>
      <c r="F17" s="1">
        <f>_xlfn.POISSON.DIST($D17,'First 5 Innings'!$G$16, FALSE) * _xlfn.POISSON.DIST(F$4, 'First 5 Innings'!$G$15, FALSE)</f>
        <v>3.332422027161144E-7</v>
      </c>
      <c r="G17" s="1">
        <f>_xlfn.POISSON.DIST($D17,'First 5 Innings'!$G$16, FALSE) * _xlfn.POISSON.DIST(G$4, 'First 5 Innings'!$G$15, FALSE)</f>
        <v>4.6499680676558666E-7</v>
      </c>
      <c r="H17" s="1">
        <f>_xlfn.POISSON.DIST($D17,'First 5 Innings'!$G$16, FALSE) * _xlfn.POISSON.DIST(H$4, 'First 5 Innings'!$G$15, FALSE)</f>
        <v>4.325623196179019E-7</v>
      </c>
      <c r="I17" s="1">
        <f>_xlfn.POISSON.DIST($D17,'First 5 Innings'!$G$16, FALSE) * _xlfn.POISSON.DIST(I$4, 'First 5 Innings'!$G$15, FALSE)</f>
        <v>3.0179265367656417E-7</v>
      </c>
      <c r="J17" s="1">
        <f>_xlfn.POISSON.DIST($D17,'First 5 Innings'!$G$16, FALSE) * _xlfn.POISSON.DIST(J$4, 'First 5 Innings'!$G$15, FALSE)</f>
        <v>1.684451958618972E-7</v>
      </c>
      <c r="K17" s="1">
        <f>_xlfn.POISSON.DIST($D17,'First 5 Innings'!$G$16, FALSE) * _xlfn.POISSON.DIST(K$4, 'First 5 Innings'!$G$15, FALSE)</f>
        <v>7.8347897867657463E-8</v>
      </c>
      <c r="L17" s="1">
        <f>_xlfn.POISSON.DIST($D17,'First 5 Innings'!$G$16, FALSE) * _xlfn.POISSON.DIST(L$4, 'First 5 Innings'!$G$15, FALSE)</f>
        <v>3.1235558683160514E-8</v>
      </c>
      <c r="M17" s="1">
        <f>_xlfn.POISSON.DIST($D17,'First 5 Innings'!$G$16, FALSE) * _xlfn.POISSON.DIST(M$4, 'First 5 Innings'!$G$15, FALSE)</f>
        <v>1.0896305244973702E-8</v>
      </c>
      <c r="N17" s="1">
        <f>_xlfn.POISSON.DIST($D17,'First 5 Innings'!$G$16, FALSE) * _xlfn.POISSON.DIST(N$4, 'First 5 Innings'!$G$15, FALSE)</f>
        <v>3.378755153765033E-9</v>
      </c>
      <c r="O17" s="1">
        <f>_xlfn.POISSON.DIST($D17,'First 5 Innings'!$G$16, FALSE) * _xlfn.POISSON.DIST(O$4, 'First 5 Innings'!$G$15, FALSE)</f>
        <v>9.4292400214502545E-10</v>
      </c>
      <c r="P17" s="1">
        <f>_xlfn.POISSON.DIST($D17,'First 5 Innings'!$G$16, FALSE) * _xlfn.POISSON.DIST(P$4, 'First 5 Innings'!$G$15, FALSE)</f>
        <v>2.3922357451421262E-10</v>
      </c>
      <c r="Q17" s="1">
        <f>_xlfn.POISSON.DIST($D17,'First 5 Innings'!$G$16, FALSE) * _xlfn.POISSON.DIST(Q$4, 'First 5 Innings'!$G$15, FALSE)</f>
        <v>5.5634309092857737E-11</v>
      </c>
      <c r="R17" s="1">
        <f>_xlfn.POISSON.DIST($D17,'First 5 Innings'!$G$16, FALSE) * _xlfn.POISSON.DIST(R$4, 'First 5 Innings'!$G$15, FALSE)</f>
        <v>1.1943161813025058E-11</v>
      </c>
      <c r="S17" s="1">
        <f>_xlfn.POISSON.DIST($D17,'First 5 Innings'!$G$16, FALSE) * _xlfn.POISSON.DIST(S$4, 'First 5 Innings'!$G$15, FALSE)</f>
        <v>2.3807360620151639E-12</v>
      </c>
      <c r="T17" s="1">
        <f>_xlfn.POISSON.DIST($D17,'First 5 Innings'!$G$16, FALSE) * _xlfn.POISSON.DIST(T$4, 'First 5 Innings'!$G$15, FALSE)</f>
        <v>4.4293496144476376E-13</v>
      </c>
    </row>
    <row r="18" spans="2:20">
      <c r="B18" s="377"/>
      <c r="C18" s="377"/>
      <c r="D18" s="1">
        <v>13</v>
      </c>
      <c r="E18" s="1">
        <f>_xlfn.POISSON.DIST($D18,'First 5 Innings'!$G$16, FALSE) * _xlfn.POISSON.DIST(E$4, 'First 5 Innings'!$G$15, FALSE)</f>
        <v>1.9355673229753802E-8</v>
      </c>
      <c r="F18" s="1">
        <f>_xlfn.POISSON.DIST($D18,'First 5 Innings'!$G$16, FALSE) * _xlfn.POISSON.DIST(F$4, 'First 5 Innings'!$G$15, FALSE)</f>
        <v>5.4016725200324941E-8</v>
      </c>
      <c r="G18" s="1">
        <f>_xlfn.POISSON.DIST($D18,'First 5 Innings'!$G$16, FALSE) * _xlfn.POISSON.DIST(G$4, 'First 5 Innings'!$G$15, FALSE)</f>
        <v>7.5373420669298354E-8</v>
      </c>
      <c r="H18" s="1">
        <f>_xlfn.POISSON.DIST($D18,'First 5 Innings'!$G$16, FALSE) * _xlfn.POISSON.DIST(H$4, 'First 5 Innings'!$G$15, FALSE)</f>
        <v>7.0115968987038077E-8</v>
      </c>
      <c r="I18" s="1">
        <f>_xlfn.POISSON.DIST($D18,'First 5 Innings'!$G$16, FALSE) * _xlfn.POISSON.DIST(I$4, 'First 5 Innings'!$G$15, FALSE)</f>
        <v>4.8918926559284505E-8</v>
      </c>
      <c r="J18" s="1">
        <f>_xlfn.POISSON.DIST($D18,'First 5 Innings'!$G$16, FALSE) * _xlfn.POISSON.DIST(J$4, 'First 5 Innings'!$G$15, FALSE)</f>
        <v>2.7304038270141418E-8</v>
      </c>
      <c r="K18" s="1">
        <f>_xlfn.POISSON.DIST($D18,'First 5 Innings'!$G$16, FALSE) * _xlfn.POISSON.DIST(K$4, 'First 5 Innings'!$G$15, FALSE)</f>
        <v>1.2699762619039152E-8</v>
      </c>
      <c r="L18" s="1">
        <f>_xlfn.POISSON.DIST($D18,'First 5 Innings'!$G$16, FALSE) * _xlfn.POISSON.DIST(L$4, 'First 5 Innings'!$G$15, FALSE)</f>
        <v>5.0631119831609367E-9</v>
      </c>
      <c r="M18" s="1">
        <f>_xlfn.POISSON.DIST($D18,'First 5 Innings'!$G$16, FALSE) * _xlfn.POISSON.DIST(M$4, 'First 5 Innings'!$G$15, FALSE)</f>
        <v>1.7662310515274421E-9</v>
      </c>
      <c r="N18" s="1">
        <f>_xlfn.POISSON.DIST($D18,'First 5 Innings'!$G$16, FALSE) * _xlfn.POISSON.DIST(N$4, 'First 5 Innings'!$G$15, FALSE)</f>
        <v>5.4767759657256015E-10</v>
      </c>
      <c r="O18" s="1">
        <f>_xlfn.POISSON.DIST($D18,'First 5 Innings'!$G$16, FALSE) * _xlfn.POISSON.DIST(O$4, 'First 5 Innings'!$G$15, FALSE)</f>
        <v>1.5284278609827912E-10</v>
      </c>
      <c r="P18" s="1">
        <f>_xlfn.POISSON.DIST($D18,'First 5 Innings'!$G$16, FALSE) * _xlfn.POISSON.DIST(P$4, 'First 5 Innings'!$G$15, FALSE)</f>
        <v>3.8776823525506049E-11</v>
      </c>
      <c r="Q18" s="1">
        <f>_xlfn.POISSON.DIST($D18,'First 5 Innings'!$G$16, FALSE) * _xlfn.POISSON.DIST(Q$4, 'First 5 Innings'!$G$15, FALSE)</f>
        <v>9.0180150097582928E-12</v>
      </c>
      <c r="R18" s="1">
        <f>_xlfn.POISSON.DIST($D18,'First 5 Innings'!$G$16, FALSE) * _xlfn.POISSON.DIST(R$4, 'First 5 Innings'!$G$15, FALSE)</f>
        <v>1.9359207339856926E-12</v>
      </c>
      <c r="S18" s="1">
        <f>_xlfn.POISSON.DIST($D18,'First 5 Innings'!$G$16, FALSE) * _xlfn.POISSON.DIST(S$4, 'First 5 Innings'!$G$15, FALSE)</f>
        <v>3.8590419997292332E-13</v>
      </c>
      <c r="T18" s="1">
        <f>_xlfn.POISSON.DIST($D18,'First 5 Innings'!$G$16, FALSE) * _xlfn.POISSON.DIST(T$4, 'First 5 Innings'!$G$15, FALSE)</f>
        <v>7.1797317083396397E-14</v>
      </c>
    </row>
    <row r="19" spans="2:20">
      <c r="B19" s="377"/>
      <c r="C19" s="377"/>
      <c r="D19" s="1">
        <v>14</v>
      </c>
      <c r="E19" s="1">
        <f>_xlfn.POISSON.DIST($D19,'First 5 Innings'!$G$16, FALSE) * _xlfn.POISSON.DIST(E$4, 'First 5 Innings'!$G$15, FALSE)</f>
        <v>2.913344570012005E-9</v>
      </c>
      <c r="F19" s="1">
        <f>_xlfn.POISSON.DIST($D19,'First 5 Innings'!$G$16, FALSE) * _xlfn.POISSON.DIST(F$4, 'First 5 Innings'!$G$15, FALSE)</f>
        <v>8.1303983170312586E-9</v>
      </c>
      <c r="G19" s="1">
        <f>_xlfn.POISSON.DIST($D19,'First 5 Innings'!$G$16, FALSE) * _xlfn.POISSON.DIST(G$4, 'First 5 Innings'!$G$15, FALSE)</f>
        <v>1.1344929376704719E-8</v>
      </c>
      <c r="H19" s="1">
        <f>_xlfn.POISSON.DIST($D19,'First 5 Innings'!$G$16, FALSE) * _xlfn.POISSON.DIST(H$4, 'First 5 Innings'!$G$15, FALSE)</f>
        <v>1.0553597133759618E-8</v>
      </c>
      <c r="I19" s="1">
        <f>_xlfn.POISSON.DIST($D19,'First 5 Innings'!$G$16, FALSE) * _xlfn.POISSON.DIST(I$4, 'First 5 Innings'!$G$15, FALSE)</f>
        <v>7.3630964612084615E-9</v>
      </c>
      <c r="J19" s="1">
        <f>_xlfn.POISSON.DIST($D19,'First 5 Innings'!$G$16, FALSE) * _xlfn.POISSON.DIST(J$4, 'First 5 Innings'!$G$15, FALSE)</f>
        <v>4.1097031702021706E-9</v>
      </c>
      <c r="K19" s="1">
        <f>_xlfn.POISSON.DIST($D19,'First 5 Innings'!$G$16, FALSE) * _xlfn.POISSON.DIST(K$4, 'First 5 Innings'!$G$15, FALSE)</f>
        <v>1.9115214452858258E-9</v>
      </c>
      <c r="L19" s="1">
        <f>_xlfn.POISSON.DIST($D19,'First 5 Innings'!$G$16, FALSE) * _xlfn.POISSON.DIST(L$4, 'First 5 Innings'!$G$15, FALSE)</f>
        <v>7.6208094796877561E-10</v>
      </c>
      <c r="M19" s="1">
        <f>_xlfn.POISSON.DIST($D19,'First 5 Innings'!$G$16, FALSE) * _xlfn.POISSON.DIST(M$4, 'First 5 Innings'!$G$15, FALSE)</f>
        <v>2.6584658576711867E-10</v>
      </c>
      <c r="N19" s="1">
        <f>_xlfn.POISSON.DIST($D19,'First 5 Innings'!$G$16, FALSE) * _xlfn.POISSON.DIST(N$4, 'First 5 Innings'!$G$15, FALSE)</f>
        <v>8.243441254418144E-11</v>
      </c>
      <c r="O19" s="1">
        <f>_xlfn.POISSON.DIST($D19,'First 5 Innings'!$G$16, FALSE) * _xlfn.POISSON.DIST(O$4, 'First 5 Innings'!$G$15, FALSE)</f>
        <v>2.3005332630870814E-11</v>
      </c>
      <c r="P19" s="1">
        <f>_xlfn.POISSON.DIST($D19,'First 5 Innings'!$G$16, FALSE) * _xlfn.POISSON.DIST(P$4, 'First 5 Innings'!$G$15, FALSE)</f>
        <v>5.8365445065836014E-12</v>
      </c>
      <c r="Q19" s="1">
        <f>_xlfn.POISSON.DIST($D19,'First 5 Innings'!$G$16, FALSE) * _xlfn.POISSON.DIST(Q$4, 'First 5 Innings'!$G$15, FALSE)</f>
        <v>1.3573583697713759E-12</v>
      </c>
      <c r="R19" s="1">
        <f>_xlfn.POISSON.DIST($D19,'First 5 Innings'!$G$16, FALSE) * _xlfn.POISSON.DIST(R$4, 'First 5 Innings'!$G$15, FALSE)</f>
        <v>2.9138765112344334E-13</v>
      </c>
      <c r="S19" s="1">
        <f>_xlfn.POISSON.DIST($D19,'First 5 Innings'!$G$16, FALSE) * _xlfn.POISSON.DIST(S$4, 'First 5 Innings'!$G$15, FALSE)</f>
        <v>5.8084877347882537E-14</v>
      </c>
      <c r="T19" s="1">
        <f>_xlfn.POISSON.DIST($D19,'First 5 Innings'!$G$16, FALSE) * _xlfn.POISSON.DIST(T$4, 'First 5 Innings'!$G$15, FALSE)</f>
        <v>1.0806667450078855E-14</v>
      </c>
    </row>
    <row r="20" spans="2:20">
      <c r="B20" s="377"/>
      <c r="C20" s="377"/>
      <c r="D20" s="1">
        <v>15</v>
      </c>
      <c r="E20" s="1">
        <f>_xlfn.POISSON.DIST($D20,'First 5 Innings'!$G$16, FALSE) * _xlfn.POISSON.DIST(E$4, 'First 5 Innings'!$G$15, FALSE)</f>
        <v>4.0927215760871265E-10</v>
      </c>
      <c r="F20" s="1">
        <f>_xlfn.POISSON.DIST($D20,'First 5 Innings'!$G$16, FALSE) * _xlfn.POISSON.DIST(F$4, 'First 5 Innings'!$G$15, FALSE)</f>
        <v>1.1421737393101832E-9</v>
      </c>
      <c r="G20" s="1">
        <f>_xlfn.POISSON.DIST($D20,'First 5 Innings'!$G$16, FALSE) * _xlfn.POISSON.DIST(G$4, 'First 5 Innings'!$G$15, FALSE)</f>
        <v>1.5937571448691614E-9</v>
      </c>
      <c r="H20" s="1">
        <f>_xlfn.POISSON.DIST($D20,'First 5 Innings'!$G$16, FALSE) * _xlfn.POISSON.DIST(H$4, 'First 5 Innings'!$G$15, FALSE)</f>
        <v>1.482589294080352E-9</v>
      </c>
      <c r="I20" s="1">
        <f>_xlfn.POISSON.DIST($D20,'First 5 Innings'!$G$16, FALSE) * _xlfn.POISSON.DIST(I$4, 'First 5 Innings'!$G$15, FALSE)</f>
        <v>1.034381722772822E-9</v>
      </c>
      <c r="J20" s="1">
        <f>_xlfn.POISSON.DIST($D20,'First 5 Innings'!$G$16, FALSE) * _xlfn.POISSON.DIST(J$4, 'First 5 Innings'!$G$15, FALSE)</f>
        <v>5.7733887742399028E-10</v>
      </c>
      <c r="K20" s="1">
        <f>_xlfn.POISSON.DIST($D20,'First 5 Innings'!$G$16, FALSE) * _xlfn.POISSON.DIST(K$4, 'First 5 Innings'!$G$15, FALSE)</f>
        <v>2.6853414947214119E-10</v>
      </c>
      <c r="L20" s="1">
        <f>_xlfn.POISSON.DIST($D20,'First 5 Innings'!$G$16, FALSE) * _xlfn.POISSON.DIST(L$4, 'First 5 Innings'!$G$15, FALSE)</f>
        <v>1.0705857352341562E-10</v>
      </c>
      <c r="M20" s="1">
        <f>_xlfn.POISSON.DIST($D20,'First 5 Innings'!$G$16, FALSE) * _xlfn.POISSON.DIST(M$4, 'First 5 Innings'!$G$15, FALSE)</f>
        <v>3.7346631383657444E-11</v>
      </c>
      <c r="N20" s="1">
        <f>_xlfn.POISSON.DIST($D20,'First 5 Innings'!$G$16, FALSE) * _xlfn.POISSON.DIST(N$4, 'First 5 Innings'!$G$15, FALSE)</f>
        <v>1.1580542250457124E-11</v>
      </c>
      <c r="O20" s="1">
        <f>_xlfn.POISSON.DIST($D20,'First 5 Innings'!$G$16, FALSE) * _xlfn.POISSON.DIST(O$4, 'First 5 Innings'!$G$15, FALSE)</f>
        <v>3.2318326569602514E-12</v>
      </c>
      <c r="P20" s="1">
        <f>_xlfn.POISSON.DIST($D20,'First 5 Innings'!$G$16, FALSE) * _xlfn.POISSON.DIST(P$4, 'First 5 Innings'!$G$15, FALSE)</f>
        <v>8.1992881575930663E-13</v>
      </c>
      <c r="Q20" s="1">
        <f>_xlfn.POISSON.DIST($D20,'First 5 Innings'!$G$16, FALSE) * _xlfn.POISSON.DIST(Q$4, 'First 5 Innings'!$G$15, FALSE)</f>
        <v>1.9068427207780871E-13</v>
      </c>
      <c r="R20" s="1">
        <f>_xlfn.POISSON.DIST($D20,'First 5 Innings'!$G$16, FALSE) * _xlfn.POISSON.DIST(R$4, 'First 5 Innings'!$G$15, FALSE)</f>
        <v>4.093468857181389E-14</v>
      </c>
      <c r="S20" s="1">
        <f>_xlfn.POISSON.DIST($D20,'First 5 Innings'!$G$16, FALSE) * _xlfn.POISSON.DIST(S$4, 'First 5 Innings'!$G$15, FALSE)</f>
        <v>8.1598734737056417E-15</v>
      </c>
      <c r="T20" s="1">
        <f>_xlfn.POISSON.DIST($D20,'First 5 Innings'!$G$16, FALSE) * _xlfn.POISSON.DIST(T$4, 'First 5 Innings'!$G$15, FALSE)</f>
        <v>1.5181410909576661E-15</v>
      </c>
    </row>
    <row r="24" spans="2:20">
      <c r="D24" s="1" t="s">
        <v>738</v>
      </c>
      <c r="E24" s="1" t="e">
        <f>E3</f>
        <v>#REF!</v>
      </c>
      <c r="F24" s="1">
        <f>1-F25</f>
        <v>0.61840014337076343</v>
      </c>
      <c r="H24" s="1" t="s">
        <v>345</v>
      </c>
      <c r="I24" s="1">
        <v>3</v>
      </c>
      <c r="J24" s="1">
        <f>SUM(E9:E20,F8:F20,G7:G20,H6:H20,I5:T20)</f>
        <v>0.72035883487765229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0.38159985662923657</v>
      </c>
      <c r="H25" s="1" t="s">
        <v>348</v>
      </c>
      <c r="I25" s="1">
        <v>3</v>
      </c>
      <c r="J25" s="1">
        <f>SUM(E8,F7,G6,H5)</f>
        <v>0.14612865936244113</v>
      </c>
    </row>
    <row r="26" spans="2:20">
      <c r="H26" s="1" t="s">
        <v>346</v>
      </c>
      <c r="I26" s="1">
        <v>3</v>
      </c>
      <c r="J26" s="1">
        <f>SUM(E5:E7,F5:F6,G5)</f>
        <v>0.13351245734713846</v>
      </c>
    </row>
    <row r="27" spans="2:20">
      <c r="H27" s="1" t="s">
        <v>345</v>
      </c>
      <c r="I27" s="1">
        <v>3.5</v>
      </c>
      <c r="J27" s="1">
        <f>SUM(E9:E20,F8:F20,G7:G20,H6:H20,I5:T20)</f>
        <v>0.72035883487765229</v>
      </c>
    </row>
    <row r="28" spans="2:20">
      <c r="H28" s="1" t="s">
        <v>346</v>
      </c>
      <c r="I28" s="1">
        <v>3.5</v>
      </c>
      <c r="J28" s="1">
        <f>SUM(E5:E8,F5:F7,G5:G6,H5)</f>
        <v>0.27964111670957958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0.54142530748100659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0.5294907488709264</v>
      </c>
      <c r="H30" s="1" t="s">
        <v>348</v>
      </c>
      <c r="I30" s="1">
        <v>4</v>
      </c>
      <c r="J30" s="1">
        <f>SUM(E9,F8,G7,H6,I5)</f>
        <v>0.17893352739664578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0.2926905105421671</v>
      </c>
      <c r="H31" s="1" t="s">
        <v>346</v>
      </c>
      <c r="I31" s="1">
        <v>4</v>
      </c>
      <c r="J31" s="1">
        <f>1-J30-J29</f>
        <v>0.2796411651223476</v>
      </c>
    </row>
    <row r="32" spans="2:20">
      <c r="D32" s="1" t="s">
        <v>348</v>
      </c>
      <c r="F32" s="1">
        <f>1-F31-F30</f>
        <v>0.1778187405869065</v>
      </c>
      <c r="H32" s="1" t="s">
        <v>345</v>
      </c>
      <c r="I32" s="1">
        <v>4.5</v>
      </c>
      <c r="J32" s="1">
        <f>SUM(E10:E20,F9:F20,G8:G20,H7:H20,I6:I20,J5:T20)</f>
        <v>0.54142530748100659</v>
      </c>
    </row>
    <row r="33" spans="8:10">
      <c r="H33" s="1" t="s">
        <v>346</v>
      </c>
      <c r="I33" s="1">
        <v>4.5</v>
      </c>
      <c r="J33" s="1">
        <f>1-J32</f>
        <v>0.45857469251899341</v>
      </c>
    </row>
    <row r="34" spans="8:10">
      <c r="H34" s="1" t="s">
        <v>345</v>
      </c>
      <c r="I34" s="1">
        <v>5</v>
      </c>
      <c r="J34" s="1">
        <f>SUM(E11:E20,F10:F20,G9:G20,H8:H20,I7:I20,J6:J20,K5:T20)</f>
        <v>0.36614301930401516</v>
      </c>
    </row>
    <row r="35" spans="8:10">
      <c r="H35" s="1" t="s">
        <v>348</v>
      </c>
      <c r="I35" s="1">
        <v>5</v>
      </c>
      <c r="J35" s="1">
        <f>SUM(E10,F9,G8,H7,I6,J5)</f>
        <v>0.17528228817699226</v>
      </c>
    </row>
    <row r="36" spans="8:10">
      <c r="H36" s="1" t="s">
        <v>346</v>
      </c>
      <c r="I36" s="1">
        <v>5</v>
      </c>
      <c r="J36" s="1">
        <f>SUM(E5:E9,F5:F8,G5:G7,H5:H6,I5)</f>
        <v>0.45857464410622528</v>
      </c>
    </row>
    <row r="37" spans="8:10">
      <c r="H37" s="1" t="s">
        <v>345</v>
      </c>
      <c r="I37" s="1">
        <v>5.5</v>
      </c>
      <c r="J37" s="1">
        <f>SUM(E11:E20,F10:F20,G9:G20,H8:H20,I7:I20,J6:J20,K5:T20)</f>
        <v>0.36614301930401516</v>
      </c>
    </row>
    <row r="38" spans="8:10">
      <c r="H38" s="1" t="s">
        <v>346</v>
      </c>
      <c r="I38" s="1">
        <v>5.5</v>
      </c>
      <c r="J38" s="1">
        <f>1-J37</f>
        <v>0.63385698069598484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0.22305505718211904</v>
      </c>
    </row>
    <row r="40" spans="8:10">
      <c r="H40" s="1" t="s">
        <v>348</v>
      </c>
      <c r="I40" s="1">
        <v>6</v>
      </c>
      <c r="J40" s="1">
        <f>SUM(E11,F10,G9,H8,I7,J6,K5)</f>
        <v>0.14308796212189584</v>
      </c>
    </row>
    <row r="41" spans="8:10">
      <c r="H41" s="1" t="s">
        <v>346</v>
      </c>
      <c r="I41" s="1">
        <v>6</v>
      </c>
      <c r="J41" s="1">
        <f>SUM(E5:E10,F5:F9,G5:G8,H5:H7,I5:I6,J5)</f>
        <v>0.6338569322832176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0.22305505718211904</v>
      </c>
    </row>
    <row r="43" spans="8:10">
      <c r="H43" s="1" t="s">
        <v>346</v>
      </c>
      <c r="I43" s="1">
        <v>6.5</v>
      </c>
      <c r="J43" s="1">
        <f>1-J42</f>
        <v>0.77694494281788096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Innings'!$G$18, FALSE) * _xlfn.POISSON.DIST(E$4, 'First 5 Innings'!$G$17, FALSE)</f>
        <v>1.9967683111577608E-2</v>
      </c>
      <c r="F5" s="1">
        <f>_xlfn.POISSON.DIST($D5,'First 5 Innings'!$G$18, FALSE) * _xlfn.POISSON.DIST(F$4, 'First 5 Innings'!$G$17, FALSE)</f>
        <v>5.2353359870525501E-2</v>
      </c>
      <c r="G5" s="1">
        <f>_xlfn.POISSON.DIST($D5,'First 5 Innings'!$G$18, FALSE) * _xlfn.POISSON.DIST(G$4, 'First 5 Innings'!$G$17, FALSE)</f>
        <v>6.8632757100986444E-2</v>
      </c>
      <c r="H5" s="1">
        <f>_xlfn.POISSON.DIST($D5,'First 5 Innings'!$G$18, FALSE) * _xlfn.POISSON.DIST(H$4, 'First 5 Innings'!$G$17, FALSE)</f>
        <v>5.9982846805278302E-2</v>
      </c>
      <c r="I5" s="1">
        <f>_xlfn.POISSON.DIST($D5,'First 5 Innings'!$G$18, FALSE) * _xlfn.POISSON.DIST(I$4, 'First 5 Innings'!$G$17, FALSE)</f>
        <v>3.9317325241336264E-2</v>
      </c>
      <c r="J5" s="1">
        <f>_xlfn.POISSON.DIST($D5,'First 5 Innings'!$G$18, FALSE) * _xlfn.POISSON.DIST(J$4, 'First 5 Innings'!$G$17, FALSE)</f>
        <v>2.0617255051615675E-2</v>
      </c>
      <c r="K5" s="1">
        <f>_xlfn.POISSON.DIST($D5,'First 5 Innings'!$G$18, FALSE) * _xlfn.POISSON.DIST(K$4, 'First 5 Innings'!$G$17, FALSE)</f>
        <v>9.009412586228744E-3</v>
      </c>
      <c r="L5" s="1">
        <f>_xlfn.POISSON.DIST($D5,'First 5 Innings'!$G$18, FALSE) * _xlfn.POISSON.DIST(L$4, 'First 5 Innings'!$G$17, FALSE)</f>
        <v>3.3745457362508403E-3</v>
      </c>
      <c r="M5" s="1">
        <f>_xlfn.POISSON.DIST($D5,'First 5 Innings'!$G$18, FALSE) * _xlfn.POISSON.DIST(M$4, 'First 5 Innings'!$G$17, FALSE)</f>
        <v>1.1059671166046053E-3</v>
      </c>
      <c r="N5" s="1">
        <f>_xlfn.POISSON.DIST($D5,'First 5 Innings'!$G$18, FALSE) * _xlfn.POISSON.DIST(N$4, 'First 5 Innings'!$G$17, FALSE)</f>
        <v>3.2219336134861452E-4</v>
      </c>
      <c r="O5" s="1">
        <f>_xlfn.POISSON.DIST($D5,'First 5 Innings'!$G$18, FALSE) * _xlfn.POISSON.DIST(O$4, 'First 5 Innings'!$G$17, FALSE)</f>
        <v>8.4476025086746125E-5</v>
      </c>
      <c r="P5" s="1">
        <f>_xlfn.POISSON.DIST($D5,'First 5 Innings'!$G$18, FALSE) * _xlfn.POISSON.DIST(P$4, 'First 5 Innings'!$G$17, FALSE)</f>
        <v>2.0135279760368266E-5</v>
      </c>
      <c r="Q5" s="1">
        <f>_xlfn.POISSON.DIST($D5,'First 5 Innings'!$G$18, FALSE) * _xlfn.POISSON.DIST(Q$4, 'First 5 Innings'!$G$17, FALSE)</f>
        <v>4.3993985243463085E-6</v>
      </c>
      <c r="R5" s="1">
        <f>_xlfn.POISSON.DIST($D5,'First 5 Innings'!$G$18, FALSE) * _xlfn.POISSON.DIST(R$4, 'First 5 Innings'!$G$17, FALSE)</f>
        <v>8.8729255040578663E-7</v>
      </c>
      <c r="S5" s="1">
        <f>_xlfn.POISSON.DIST($D5,'First 5 Innings'!$G$18, FALSE) * _xlfn.POISSON.DIST(S$4, 'First 5 Innings'!$G$17, FALSE)</f>
        <v>1.6617117176738877E-7</v>
      </c>
      <c r="T5" s="1">
        <f>_xlfn.POISSON.DIST($D5,'First 5 Innings'!$G$18, FALSE) * _xlfn.POISSON.DIST(T$4, 'First 5 Innings'!$G$17, FALSE)</f>
        <v>2.9045663792613737E-8</v>
      </c>
    </row>
    <row r="6" spans="2:20">
      <c r="B6" s="377"/>
      <c r="C6" s="377"/>
      <c r="D6" s="1">
        <v>1</v>
      </c>
      <c r="E6" s="1">
        <f>_xlfn.POISSON.DIST($D6,'First 5 Innings'!$G$18, FALSE) * _xlfn.POISSON.DIST(E$4, 'First 5 Innings'!$G$17, FALSE)</f>
        <v>2.5792966591881277E-2</v>
      </c>
      <c r="F6" s="1">
        <f>_xlfn.POISSON.DIST($D6,'First 5 Innings'!$G$18, FALSE) * _xlfn.POISSON.DIST(F$4, 'First 5 Innings'!$G$17, FALSE)</f>
        <v>6.7626697327255098E-2</v>
      </c>
      <c r="G6" s="1">
        <f>_xlfn.POISSON.DIST($D6,'First 5 Innings'!$G$18, FALSE) * _xlfn.POISSON.DIST(G$4, 'First 5 Innings'!$G$17, FALSE)</f>
        <v>8.8655373841947077E-2</v>
      </c>
      <c r="H6" s="1">
        <f>_xlfn.POISSON.DIST($D6,'First 5 Innings'!$G$18, FALSE) * _xlfn.POISSON.DIST(H$4, 'First 5 Innings'!$G$17, FALSE)</f>
        <v>7.7481977007007888E-2</v>
      </c>
      <c r="I6" s="1">
        <f>_xlfn.POISSON.DIST($D6,'First 5 Innings'!$G$18, FALSE) * _xlfn.POISSON.DIST(I$4, 'First 5 Innings'!$G$17, FALSE)</f>
        <v>5.078758766178125E-2</v>
      </c>
      <c r="J6" s="1">
        <f>_xlfn.POISSON.DIST($D6,'First 5 Innings'!$G$18, FALSE) * _xlfn.POISSON.DIST(J$4, 'First 5 Innings'!$G$17, FALSE)</f>
        <v>2.6632041774254885E-2</v>
      </c>
      <c r="K6" s="1">
        <f>_xlfn.POISSON.DIST($D6,'First 5 Innings'!$G$18, FALSE) * _xlfn.POISSON.DIST(K$4, 'First 5 Innings'!$G$17, FALSE)</f>
        <v>1.1637778732292433E-2</v>
      </c>
      <c r="L6" s="1">
        <f>_xlfn.POISSON.DIST($D6,'First 5 Innings'!$G$18, FALSE) * _xlfn.POISSON.DIST(L$4, 'First 5 Innings'!$G$17, FALSE)</f>
        <v>4.3590207712894992E-3</v>
      </c>
      <c r="M6" s="1">
        <f>_xlfn.POISSON.DIST($D6,'First 5 Innings'!$G$18, FALSE) * _xlfn.POISSON.DIST(M$4, 'First 5 Innings'!$G$17, FALSE)</f>
        <v>1.4286170674334211E-3</v>
      </c>
      <c r="N6" s="1">
        <f>_xlfn.POISSON.DIST($D6,'First 5 Innings'!$G$18, FALSE) * _xlfn.POISSON.DIST(N$4, 'First 5 Innings'!$G$17, FALSE)</f>
        <v>4.1618862633954155E-4</v>
      </c>
      <c r="O6" s="1">
        <f>_xlfn.POISSON.DIST($D6,'First 5 Innings'!$G$18, FALSE) * _xlfn.POISSON.DIST(O$4, 'First 5 Innings'!$G$17, FALSE)</f>
        <v>1.0912068669669598E-4</v>
      </c>
      <c r="P6" s="1">
        <f>_xlfn.POISSON.DIST($D6,'First 5 Innings'!$G$18, FALSE) * _xlfn.POISSON.DIST(P$4, 'First 5 Innings'!$G$17, FALSE)</f>
        <v>2.6009457145092344E-5</v>
      </c>
      <c r="Q6" s="1">
        <f>_xlfn.POISSON.DIST($D6,'First 5 Innings'!$G$18, FALSE) * _xlfn.POISSON.DIST(Q$4, 'First 5 Innings'!$G$17, FALSE)</f>
        <v>5.6828595750822086E-6</v>
      </c>
      <c r="R6" s="1">
        <f>_xlfn.POISSON.DIST($D6,'First 5 Innings'!$G$18, FALSE) * _xlfn.POISSON.DIST(R$4, 'First 5 Innings'!$G$17, FALSE)</f>
        <v>1.1461473512954513E-6</v>
      </c>
      <c r="S6" s="1">
        <f>_xlfn.POISSON.DIST($D6,'First 5 Innings'!$G$18, FALSE) * _xlfn.POISSON.DIST(S$4, 'First 5 Innings'!$G$17, FALSE)</f>
        <v>2.14649213831168E-7</v>
      </c>
      <c r="T6" s="1">
        <f>_xlfn.POISSON.DIST($D6,'First 5 Innings'!$G$18, FALSE) * _xlfn.POISSON.DIST(T$4, 'First 5 Innings'!$G$17, FALSE)</f>
        <v>3.7519317171430765E-8</v>
      </c>
    </row>
    <row r="7" spans="2:20">
      <c r="B7" s="377"/>
      <c r="C7" s="377"/>
      <c r="D7" s="1">
        <v>2</v>
      </c>
      <c r="E7" s="1">
        <f>_xlfn.POISSON.DIST($D7,'First 5 Innings'!$G$18, FALSE) * _xlfn.POISSON.DIST(E$4, 'First 5 Innings'!$G$17, FALSE)</f>
        <v>1.6658846244013273E-2</v>
      </c>
      <c r="F7" s="1">
        <f>_xlfn.POISSON.DIST($D7,'First 5 Innings'!$G$18, FALSE) * _xlfn.POISSON.DIST(F$4, 'First 5 Innings'!$G$17, FALSE)</f>
        <v>4.367790532166916E-2</v>
      </c>
      <c r="G7" s="1">
        <f>_xlfn.POISSON.DIST($D7,'First 5 Innings'!$G$18, FALSE) * _xlfn.POISSON.DIST(G$4, 'First 5 Innings'!$G$17, FALSE)</f>
        <v>5.7259650078536832E-2</v>
      </c>
      <c r="H7" s="1">
        <f>_xlfn.POISSON.DIST($D7,'First 5 Innings'!$G$18, FALSE) * _xlfn.POISSON.DIST(H$4, 'First 5 Innings'!$G$17, FALSE)</f>
        <v>5.0043112995315643E-2</v>
      </c>
      <c r="I7" s="1">
        <f>_xlfn.POISSON.DIST($D7,'First 5 Innings'!$G$18, FALSE) * _xlfn.POISSON.DIST(I$4, 'First 5 Innings'!$G$17, FALSE)</f>
        <v>3.2802066832757049E-2</v>
      </c>
      <c r="J7" s="1">
        <f>_xlfn.POISSON.DIST($D7,'First 5 Innings'!$G$18, FALSE) * _xlfn.POISSON.DIST(J$4, 'First 5 Innings'!$G$17, FALSE)</f>
        <v>1.7200777874891635E-2</v>
      </c>
      <c r="K7" s="1">
        <f>_xlfn.POISSON.DIST($D7,'First 5 Innings'!$G$18, FALSE) * _xlfn.POISSON.DIST(K$4, 'First 5 Innings'!$G$17, FALSE)</f>
        <v>7.516466391428253E-3</v>
      </c>
      <c r="L7" s="1">
        <f>_xlfn.POISSON.DIST($D7,'First 5 Innings'!$G$18, FALSE) * _xlfn.POISSON.DIST(L$4, 'First 5 Innings'!$G$17, FALSE)</f>
        <v>2.8153510975441258E-3</v>
      </c>
      <c r="M7" s="1">
        <f>_xlfn.POISSON.DIST($D7,'First 5 Innings'!$G$18, FALSE) * _xlfn.POISSON.DIST(M$4, 'First 5 Innings'!$G$17, FALSE)</f>
        <v>9.2269774332346983E-4</v>
      </c>
      <c r="N7" s="1">
        <f>_xlfn.POISSON.DIST($D7,'First 5 Innings'!$G$18, FALSE) * _xlfn.POISSON.DIST(N$4, 'First 5 Innings'!$G$17, FALSE)</f>
        <v>2.6880282692568798E-4</v>
      </c>
      <c r="O7" s="1">
        <f>_xlfn.POISSON.DIST($D7,'First 5 Innings'!$G$18, FALSE) * _xlfn.POISSON.DIST(O$4, 'First 5 Innings'!$G$17, FALSE)</f>
        <v>7.0477536395274155E-5</v>
      </c>
      <c r="P7" s="1">
        <f>_xlfn.POISSON.DIST($D7,'First 5 Innings'!$G$18, FALSE) * _xlfn.POISSON.DIST(P$4, 'First 5 Innings'!$G$17, FALSE)</f>
        <v>1.679867051844783E-5</v>
      </c>
      <c r="Q7" s="1">
        <f>_xlfn.POISSON.DIST($D7,'First 5 Innings'!$G$18, FALSE) * _xlfn.POISSON.DIST(Q$4, 'First 5 Innings'!$G$17, FALSE)</f>
        <v>3.6703759356402177E-6</v>
      </c>
      <c r="R7" s="1">
        <f>_xlfn.POISSON.DIST($D7,'First 5 Innings'!$G$18, FALSE) * _xlfn.POISSON.DIST(R$4, 'First 5 Innings'!$G$17, FALSE)</f>
        <v>7.4025965296384143E-7</v>
      </c>
      <c r="S7" s="1">
        <f>_xlfn.POISSON.DIST($D7,'First 5 Innings'!$G$18, FALSE) * _xlfn.POISSON.DIST(S$4, 'First 5 Innings'!$G$17, FALSE)</f>
        <v>1.3863501264477634E-7</v>
      </c>
      <c r="T7" s="1">
        <f>_xlfn.POISSON.DIST($D7,'First 5 Innings'!$G$18, FALSE) * _xlfn.POISSON.DIST(T$4, 'First 5 Innings'!$G$17, FALSE)</f>
        <v>2.4232518338389551E-8</v>
      </c>
    </row>
    <row r="8" spans="2:20">
      <c r="B8" s="377"/>
      <c r="C8" s="377"/>
      <c r="D8" s="1">
        <v>3</v>
      </c>
      <c r="E8" s="1">
        <f>_xlfn.POISSON.DIST($D8,'First 5 Innings'!$G$18, FALSE) * _xlfn.POISSON.DIST(E$4, 'First 5 Innings'!$G$17, FALSE)</f>
        <v>7.1729414345854444E-3</v>
      </c>
      <c r="F8" s="1">
        <f>_xlfn.POISSON.DIST($D8,'First 5 Innings'!$G$18, FALSE) * _xlfn.POISSON.DIST(F$4, 'First 5 Innings'!$G$17, FALSE)</f>
        <v>1.880676802394354E-2</v>
      </c>
      <c r="G8" s="1">
        <f>_xlfn.POISSON.DIST($D8,'First 5 Innings'!$G$18, FALSE) * _xlfn.POISSON.DIST(G$4, 'First 5 Innings'!$G$17, FALSE)</f>
        <v>2.4654775640648097E-2</v>
      </c>
      <c r="H8" s="1">
        <f>_xlfn.POISSON.DIST($D8,'First 5 Innings'!$G$18, FALSE) * _xlfn.POISSON.DIST(H$4, 'First 5 Innings'!$G$17, FALSE)</f>
        <v>2.1547489751803178E-2</v>
      </c>
      <c r="I8" s="1">
        <f>_xlfn.POISSON.DIST($D8,'First 5 Innings'!$G$18, FALSE) * _xlfn.POISSON.DIST(I$4, 'First 5 Innings'!$G$17, FALSE)</f>
        <v>1.4123865535362609E-2</v>
      </c>
      <c r="J8" s="1">
        <f>_xlfn.POISSON.DIST($D8,'First 5 Innings'!$G$18, FALSE) * _xlfn.POISSON.DIST(J$4, 'First 5 Innings'!$G$17, FALSE)</f>
        <v>7.4062855565552857E-3</v>
      </c>
      <c r="K8" s="1">
        <f>_xlfn.POISSON.DIST($D8,'First 5 Innings'!$G$18, FALSE) * _xlfn.POISSON.DIST(K$4, 'First 5 Innings'!$G$17, FALSE)</f>
        <v>3.2364290078084048E-3</v>
      </c>
      <c r="L8" s="1">
        <f>_xlfn.POISSON.DIST($D8,'First 5 Innings'!$G$18, FALSE) * _xlfn.POISSON.DIST(L$4, 'First 5 Innings'!$G$17, FALSE)</f>
        <v>1.2122297213552321E-3</v>
      </c>
      <c r="M8" s="1">
        <f>_xlfn.POISSON.DIST($D8,'First 5 Innings'!$G$18, FALSE) * _xlfn.POISSON.DIST(M$4, 'First 5 Innings'!$G$17, FALSE)</f>
        <v>3.9729383282241959E-4</v>
      </c>
      <c r="N8" s="1">
        <f>_xlfn.POISSON.DIST($D8,'First 5 Innings'!$G$18, FALSE) * _xlfn.POISSON.DIST(N$4, 'First 5 Innings'!$G$17, FALSE)</f>
        <v>1.157407245824047E-4</v>
      </c>
      <c r="O8" s="1">
        <f>_xlfn.POISSON.DIST($D8,'First 5 Innings'!$G$18, FALSE) * _xlfn.POISSON.DIST(O$4, 'First 5 Innings'!$G$17, FALSE)</f>
        <v>3.0346113627097044E-5</v>
      </c>
      <c r="P8" s="1">
        <f>_xlfn.POISSON.DIST($D8,'First 5 Innings'!$G$18, FALSE) * _xlfn.POISSON.DIST(P$4, 'First 5 Innings'!$G$17, FALSE)</f>
        <v>7.2331467643520778E-6</v>
      </c>
      <c r="Q8" s="1">
        <f>_xlfn.POISSON.DIST($D8,'First 5 Innings'!$G$18, FALSE) * _xlfn.POISSON.DIST(Q$4, 'First 5 Innings'!$G$17, FALSE)</f>
        <v>1.58038505450042E-6</v>
      </c>
      <c r="R8" s="1">
        <f>_xlfn.POISSON.DIST($D8,'First 5 Innings'!$G$18, FALSE) * _xlfn.POISSON.DIST(R$4, 'First 5 Innings'!$G$17, FALSE)</f>
        <v>3.187399090740986E-7</v>
      </c>
      <c r="S8" s="1">
        <f>_xlfn.POISSON.DIST($D8,'First 5 Innings'!$G$18, FALSE) * _xlfn.POISSON.DIST(S$4, 'First 5 Innings'!$G$17, FALSE)</f>
        <v>5.9693259180020379E-8</v>
      </c>
      <c r="T8" s="1">
        <f>_xlfn.POISSON.DIST($D8,'First 5 Innings'!$G$18, FALSE) * _xlfn.POISSON.DIST(T$4, 'First 5 Innings'!$G$17, FALSE)</f>
        <v>1.0434001989558643E-8</v>
      </c>
    </row>
    <row r="9" spans="2:20">
      <c r="B9" s="377"/>
      <c r="C9" s="377"/>
      <c r="D9" s="1">
        <v>4</v>
      </c>
      <c r="E9" s="1">
        <f>_xlfn.POISSON.DIST($D9,'First 5 Innings'!$G$18, FALSE) * _xlfn.POISSON.DIST(E$4, 'First 5 Innings'!$G$17, FALSE)</f>
        <v>2.316385904087572E-3</v>
      </c>
      <c r="F9" s="1">
        <f>_xlfn.POISSON.DIST($D9,'First 5 Innings'!$G$18, FALSE) * _xlfn.POISSON.DIST(F$4, 'First 5 Innings'!$G$17, FALSE)</f>
        <v>6.0733428188969223E-3</v>
      </c>
      <c r="G9" s="1">
        <f>_xlfn.POISSON.DIST($D9,'First 5 Innings'!$G$18, FALSE) * _xlfn.POISSON.DIST(G$4, 'First 5 Innings'!$G$17, FALSE)</f>
        <v>7.961862686773704E-3</v>
      </c>
      <c r="H9" s="1">
        <f>_xlfn.POISSON.DIST($D9,'First 5 Innings'!$G$18, FALSE) * _xlfn.POISSON.DIST(H$4, 'First 5 Innings'!$G$17, FALSE)</f>
        <v>6.9584147570044873E-3</v>
      </c>
      <c r="I9" s="1">
        <f>_xlfn.POISSON.DIST($D9,'First 5 Innings'!$G$18, FALSE) * _xlfn.POISSON.DIST(I$4, 'First 5 Innings'!$G$17, FALSE)</f>
        <v>4.5610748861820366E-3</v>
      </c>
      <c r="J9" s="1">
        <f>_xlfn.POISSON.DIST($D9,'First 5 Innings'!$G$18, FALSE) * _xlfn.POISSON.DIST(J$4, 'First 5 Innings'!$G$17, FALSE)</f>
        <v>2.3917406298805993E-3</v>
      </c>
      <c r="K9" s="1">
        <f>_xlfn.POISSON.DIST($D9,'First 5 Innings'!$G$18, FALSE) * _xlfn.POISSON.DIST(K$4, 'First 5 Innings'!$G$17, FALSE)</f>
        <v>1.0451526199726723E-3</v>
      </c>
      <c r="L9" s="1">
        <f>_xlfn.POISSON.DIST($D9,'First 5 Innings'!$G$18, FALSE) * _xlfn.POISSON.DIST(L$4, 'First 5 Innings'!$G$17, FALSE)</f>
        <v>3.9147006352569652E-4</v>
      </c>
      <c r="M9" s="1">
        <f>_xlfn.POISSON.DIST($D9,'First 5 Innings'!$G$18, FALSE) * _xlfn.POISSON.DIST(M$4, 'First 5 Innings'!$G$17, FALSE)</f>
        <v>1.2829964422872279E-4</v>
      </c>
      <c r="N9" s="1">
        <f>_xlfn.POISSON.DIST($D9,'First 5 Innings'!$G$18, FALSE) * _xlfn.POISSON.DIST(N$4, 'First 5 Innings'!$G$17, FALSE)</f>
        <v>3.7376602806050772E-5</v>
      </c>
      <c r="O9" s="1">
        <f>_xlfn.POISSON.DIST($D9,'First 5 Innings'!$G$18, FALSE) * _xlfn.POISSON.DIST(O$4, 'First 5 Innings'!$G$17, FALSE)</f>
        <v>9.799788620985713E-6</v>
      </c>
      <c r="P9" s="1">
        <f>_xlfn.POISSON.DIST($D9,'First 5 Innings'!$G$18, FALSE) * _xlfn.POISSON.DIST(P$4, 'First 5 Innings'!$G$17, FALSE)</f>
        <v>2.3358282456282338E-6</v>
      </c>
      <c r="Q9" s="1">
        <f>_xlfn.POISSON.DIST($D9,'First 5 Innings'!$G$18, FALSE) * _xlfn.POISSON.DIST(Q$4, 'First 5 Innings'!$G$17, FALSE)</f>
        <v>5.1035989860790138E-7</v>
      </c>
      <c r="R9" s="1">
        <f>_xlfn.POISSON.DIST($D9,'First 5 Innings'!$G$18, FALSE) * _xlfn.POISSON.DIST(R$4, 'First 5 Innings'!$G$17, FALSE)</f>
        <v>1.0293191979645201E-7</v>
      </c>
      <c r="S9" s="1">
        <f>_xlfn.POISSON.DIST($D9,'First 5 Innings'!$G$18, FALSE) * _xlfn.POISSON.DIST(S$4, 'First 5 Innings'!$G$17, FALSE)</f>
        <v>1.9276976592467694E-8</v>
      </c>
      <c r="T9" s="1">
        <f>_xlfn.POISSON.DIST($D9,'First 5 Innings'!$G$18, FALSE) * _xlfn.POISSON.DIST(T$4, 'First 5 Innings'!$G$17, FALSE)</f>
        <v>3.3694928854848743E-9</v>
      </c>
    </row>
    <row r="10" spans="2:20">
      <c r="B10" s="377"/>
      <c r="C10" s="377"/>
      <c r="D10" s="1">
        <v>5</v>
      </c>
      <c r="E10" s="1">
        <f>_xlfn.POISSON.DIST($D10,'First 5 Innings'!$G$18, FALSE) * _xlfn.POISSON.DIST(E$4, 'First 5 Innings'!$G$17, FALSE)</f>
        <v>5.9843161476649635E-4</v>
      </c>
      <c r="F10" s="1">
        <f>_xlfn.POISSON.DIST($D10,'First 5 Innings'!$G$18, FALSE) * _xlfn.POISSON.DIST(F$4, 'First 5 Innings'!$G$17, FALSE)</f>
        <v>1.56903059361977E-3</v>
      </c>
      <c r="G10" s="1">
        <f>_xlfn.POISSON.DIST($D10,'First 5 Innings'!$G$18, FALSE) * _xlfn.POISSON.DIST(G$4, 'First 5 Innings'!$G$17, FALSE)</f>
        <v>2.0569242524690196E-3</v>
      </c>
      <c r="H10" s="1">
        <f>_xlfn.POISSON.DIST($D10,'First 5 Innings'!$G$18, FALSE) * _xlfn.POISSON.DIST(H$4, 'First 5 Innings'!$G$17, FALSE)</f>
        <v>1.7976863750988298E-3</v>
      </c>
      <c r="I10" s="1">
        <f>_xlfn.POISSON.DIST($D10,'First 5 Innings'!$G$18, FALSE) * _xlfn.POISSON.DIST(I$4, 'First 5 Innings'!$G$17, FALSE)</f>
        <v>1.178340536605873E-3</v>
      </c>
      <c r="J10" s="1">
        <f>_xlfn.POISSON.DIST($D10,'First 5 Innings'!$G$18, FALSE) * _xlfn.POISSON.DIST(J$4, 'First 5 Innings'!$G$17, FALSE)</f>
        <v>6.1789929075132795E-4</v>
      </c>
      <c r="K10" s="1">
        <f>_xlfn.POISSON.DIST($D10,'First 5 Innings'!$G$18, FALSE) * _xlfn.POISSON.DIST(K$4, 'First 5 Innings'!$G$17, FALSE)</f>
        <v>2.700121637521565E-4</v>
      </c>
      <c r="L10" s="1">
        <f>_xlfn.POISSON.DIST($D10,'First 5 Innings'!$G$18, FALSE) * _xlfn.POISSON.DIST(L$4, 'First 5 Innings'!$G$17, FALSE)</f>
        <v>1.0113516138870826E-4</v>
      </c>
      <c r="M10" s="1">
        <f>_xlfn.POISSON.DIST($D10,'First 5 Innings'!$G$18, FALSE) * _xlfn.POISSON.DIST(M$4, 'First 5 Innings'!$G$17, FALSE)</f>
        <v>3.3145842898748244E-5</v>
      </c>
      <c r="N10" s="1">
        <f>_xlfn.POISSON.DIST($D10,'First 5 Innings'!$G$18, FALSE) * _xlfn.POISSON.DIST(N$4, 'First 5 Innings'!$G$17, FALSE)</f>
        <v>9.6561374908389692E-6</v>
      </c>
      <c r="O10" s="1">
        <f>_xlfn.POISSON.DIST($D10,'First 5 Innings'!$G$18, FALSE) * _xlfn.POISSON.DIST(O$4, 'First 5 Innings'!$G$17, FALSE)</f>
        <v>2.5317471145365368E-6</v>
      </c>
      <c r="P10" s="1">
        <f>_xlfn.POISSON.DIST($D10,'First 5 Innings'!$G$18, FALSE) * _xlfn.POISSON.DIST(P$4, 'First 5 Innings'!$G$17, FALSE)</f>
        <v>6.0345448760581415E-7</v>
      </c>
      <c r="Q10" s="1">
        <f>_xlfn.POISSON.DIST($D10,'First 5 Innings'!$G$18, FALSE) * _xlfn.POISSON.DIST(Q$4, 'First 5 Innings'!$G$17, FALSE)</f>
        <v>1.3185000724492641E-7</v>
      </c>
      <c r="R10" s="1">
        <f>_xlfn.POISSON.DIST($D10,'First 5 Innings'!$G$18, FALSE) * _xlfn.POISSON.DIST(R$4, 'First 5 Innings'!$G$17, FALSE)</f>
        <v>2.6592164486111269E-8</v>
      </c>
      <c r="S10" s="1">
        <f>_xlfn.POISSON.DIST($D10,'First 5 Innings'!$G$18, FALSE) * _xlfn.POISSON.DIST(S$4, 'First 5 Innings'!$G$17, FALSE)</f>
        <v>4.9801512820854542E-9</v>
      </c>
      <c r="T10" s="1">
        <f>_xlfn.POISSON.DIST($D10,'First 5 Innings'!$G$18, FALSE) * _xlfn.POISSON.DIST(T$4, 'First 5 Innings'!$G$17, FALSE)</f>
        <v>8.7049876484169078E-10</v>
      </c>
    </row>
    <row r="11" spans="2:20">
      <c r="B11" s="377"/>
      <c r="C11" s="377"/>
      <c r="D11" s="1">
        <v>6</v>
      </c>
      <c r="E11" s="1">
        <f>_xlfn.POISSON.DIST($D11,'First 5 Innings'!$G$18, FALSE) * _xlfn.POISSON.DIST(E$4, 'First 5 Innings'!$G$17, FALSE)</f>
        <v>1.2883590083158041E-4</v>
      </c>
      <c r="F11" s="1">
        <f>_xlfn.POISSON.DIST($D11,'First 5 Innings'!$G$18, FALSE) * _xlfn.POISSON.DIST(F$4, 'First 5 Innings'!$G$17, FALSE)</f>
        <v>3.3779543889937848E-4</v>
      </c>
      <c r="G11" s="1">
        <f>_xlfn.POISSON.DIST($D11,'First 5 Innings'!$G$18, FALSE) * _xlfn.POISSON.DIST(G$4, 'First 5 Innings'!$G$17, FALSE)</f>
        <v>4.4283370475434289E-4</v>
      </c>
      <c r="H11" s="1">
        <f>_xlfn.POISSON.DIST($D11,'First 5 Innings'!$G$18, FALSE) * _xlfn.POISSON.DIST(H$4, 'First 5 Innings'!$G$17, FALSE)</f>
        <v>3.8702257339610528E-4</v>
      </c>
      <c r="I11" s="1">
        <f>_xlfn.POISSON.DIST($D11,'First 5 Innings'!$G$18, FALSE) * _xlfn.POISSON.DIST(I$4, 'First 5 Innings'!$G$17, FALSE)</f>
        <v>2.5368406476857289E-4</v>
      </c>
      <c r="J11" s="1">
        <f>_xlfn.POISSON.DIST($D11,'First 5 Innings'!$G$18, FALSE) * _xlfn.POISSON.DIST(J$4, 'First 5 Innings'!$G$17, FALSE)</f>
        <v>1.3302708243147259E-4</v>
      </c>
      <c r="K11" s="1">
        <f>_xlfn.POISSON.DIST($D11,'First 5 Innings'!$G$18, FALSE) * _xlfn.POISSON.DIST(K$4, 'First 5 Innings'!$G$17, FALSE)</f>
        <v>5.8130719524347033E-5</v>
      </c>
      <c r="L11" s="1">
        <f>_xlfn.POISSON.DIST($D11,'First 5 Innings'!$G$18, FALSE) * _xlfn.POISSON.DIST(L$4, 'First 5 Innings'!$G$17, FALSE)</f>
        <v>2.1773314279770543E-5</v>
      </c>
      <c r="M11" s="1">
        <f>_xlfn.POISSON.DIST($D11,'First 5 Innings'!$G$18, FALSE) * _xlfn.POISSON.DIST(M$4, 'First 5 Innings'!$G$17, FALSE)</f>
        <v>7.1359440632970934E-6</v>
      </c>
      <c r="N11" s="1">
        <f>_xlfn.POISSON.DIST($D11,'First 5 Innings'!$G$18, FALSE) * _xlfn.POISSON.DIST(N$4, 'First 5 Innings'!$G$17, FALSE)</f>
        <v>2.0788627162875698E-6</v>
      </c>
      <c r="O11" s="1">
        <f>_xlfn.POISSON.DIST($D11,'First 5 Innings'!$G$18, FALSE) * _xlfn.POISSON.DIST(O$4, 'First 5 Innings'!$G$17, FALSE)</f>
        <v>5.4505796841355407E-7</v>
      </c>
      <c r="P11" s="1">
        <f>_xlfn.POISSON.DIST($D11,'First 5 Innings'!$G$18, FALSE) * _xlfn.POISSON.DIST(P$4, 'First 5 Innings'!$G$17, FALSE)</f>
        <v>1.299172714193768E-7</v>
      </c>
      <c r="Q11" s="1">
        <f>_xlfn.POISSON.DIST($D11,'First 5 Innings'!$G$18, FALSE) * _xlfn.POISSON.DIST(Q$4, 'First 5 Innings'!$G$17, FALSE)</f>
        <v>2.8385890783324858E-8</v>
      </c>
      <c r="R11" s="1">
        <f>_xlfn.POISSON.DIST($D11,'First 5 Innings'!$G$18, FALSE) * _xlfn.POISSON.DIST(R$4, 'First 5 Innings'!$G$17, FALSE)</f>
        <v>5.7250074730201476E-9</v>
      </c>
      <c r="S11" s="1">
        <f>_xlfn.POISSON.DIST($D11,'First 5 Innings'!$G$18, FALSE) * _xlfn.POISSON.DIST(S$4, 'First 5 Innings'!$G$17, FALSE)</f>
        <v>1.0721730952589895E-9</v>
      </c>
      <c r="T11" s="1">
        <f>_xlfn.POISSON.DIST($D11,'First 5 Innings'!$G$18, FALSE) * _xlfn.POISSON.DIST(T$4, 'First 5 Innings'!$G$17, FALSE)</f>
        <v>1.8740903684528433E-10</v>
      </c>
    </row>
    <row r="12" spans="2:20">
      <c r="B12" s="377"/>
      <c r="C12" s="377"/>
      <c r="D12" s="1">
        <v>7</v>
      </c>
      <c r="E12" s="1">
        <f>_xlfn.POISSON.DIST($D12,'First 5 Innings'!$G$18, FALSE) * _xlfn.POISSON.DIST(E$4, 'First 5 Innings'!$G$17, FALSE)</f>
        <v>2.377455946058239E-5</v>
      </c>
      <c r="F12" s="1">
        <f>_xlfn.POISSON.DIST($D12,'First 5 Innings'!$G$18, FALSE) * _xlfn.POISSON.DIST(F$4, 'First 5 Innings'!$G$17, FALSE)</f>
        <v>6.2334626418494729E-5</v>
      </c>
      <c r="G12" s="1">
        <f>_xlfn.POISSON.DIST($D12,'First 5 Innings'!$G$18, FALSE) * _xlfn.POISSON.DIST(G$4, 'First 5 Innings'!$G$17, FALSE)</f>
        <v>8.1717721356215568E-5</v>
      </c>
      <c r="H12" s="1">
        <f>_xlfn.POISSON.DIST($D12,'First 5 Innings'!$G$18, FALSE) * _xlfn.POISSON.DIST(H$4, 'First 5 Innings'!$G$17, FALSE)</f>
        <v>7.1418689390169462E-5</v>
      </c>
      <c r="I12" s="1">
        <f>_xlfn.POISSON.DIST($D12,'First 5 Innings'!$G$18, FALSE) * _xlfn.POISSON.DIST(I$4, 'First 5 Innings'!$G$17, FALSE)</f>
        <v>4.6813247263485492E-5</v>
      </c>
      <c r="J12" s="1">
        <f>_xlfn.POISSON.DIST($D12,'First 5 Innings'!$G$18, FALSE) * _xlfn.POISSON.DIST(J$4, 'First 5 Innings'!$G$17, FALSE)</f>
        <v>2.4547973512982224E-5</v>
      </c>
      <c r="K12" s="1">
        <f>_xlfn.POISSON.DIST($D12,'First 5 Innings'!$G$18, FALSE) * _xlfn.POISSON.DIST(K$4, 'First 5 Innings'!$G$17, FALSE)</f>
        <v>1.0727074044560572E-5</v>
      </c>
      <c r="L12" s="1">
        <f>_xlfn.POISSON.DIST($D12,'First 5 Innings'!$G$18, FALSE) * _xlfn.POISSON.DIST(L$4, 'First 5 Innings'!$G$17, FALSE)</f>
        <v>4.0179092291600228E-6</v>
      </c>
      <c r="M12" s="1">
        <f>_xlfn.POISSON.DIST($D12,'First 5 Innings'!$G$18, FALSE) * _xlfn.POISSON.DIST(M$4, 'First 5 Innings'!$G$17, FALSE)</f>
        <v>1.3168218279625743E-6</v>
      </c>
      <c r="N12" s="1">
        <f>_xlfn.POISSON.DIST($D12,'First 5 Innings'!$G$18, FALSE) * _xlfn.POISSON.DIST(N$4, 'First 5 Innings'!$G$17, FALSE)</f>
        <v>3.8362013180919026E-7</v>
      </c>
      <c r="O12" s="1">
        <f>_xlfn.POISSON.DIST($D12,'First 5 Innings'!$G$18, FALSE) * _xlfn.POISSON.DIST(O$4, 'First 5 Innings'!$G$17, FALSE)</f>
        <v>1.0058153818827393E-7</v>
      </c>
      <c r="P12" s="1">
        <f>_xlfn.POISSON.DIST($D12,'First 5 Innings'!$G$18, FALSE) * _xlfn.POISSON.DIST(P$4, 'First 5 Innings'!$G$17, FALSE)</f>
        <v>2.3974108725752647E-8</v>
      </c>
      <c r="Q12" s="1">
        <f>_xlfn.POISSON.DIST($D12,'First 5 Innings'!$G$18, FALSE) * _xlfn.POISSON.DIST(Q$4, 'First 5 Innings'!$G$17, FALSE)</f>
        <v>5.2381521292885729E-9</v>
      </c>
      <c r="R12" s="1">
        <f>_xlfn.POISSON.DIST($D12,'First 5 Innings'!$G$18, FALSE) * _xlfn.POISSON.DIST(R$4, 'First 5 Innings'!$G$17, FALSE)</f>
        <v>1.0564565443410374E-9</v>
      </c>
      <c r="S12" s="1">
        <f>_xlfn.POISSON.DIST($D12,'First 5 Innings'!$G$18, FALSE) * _xlfn.POISSON.DIST(S$4, 'First 5 Innings'!$G$17, FALSE)</f>
        <v>1.9785201827085193E-10</v>
      </c>
      <c r="T12" s="1">
        <f>_xlfn.POISSON.DIST($D12,'First 5 Innings'!$G$18, FALSE) * _xlfn.POISSON.DIST(T$4, 'First 5 Innings'!$G$17, FALSE)</f>
        <v>3.4583274236217659E-11</v>
      </c>
    </row>
    <row r="13" spans="2:20">
      <c r="B13" s="377"/>
      <c r="C13" s="377"/>
      <c r="D13" s="1">
        <v>8</v>
      </c>
      <c r="E13" s="1">
        <f>_xlfn.POISSON.DIST($D13,'First 5 Innings'!$G$18, FALSE) * _xlfn.POISSON.DIST(E$4, 'First 5 Innings'!$G$17, FALSE)</f>
        <v>3.8388055243871962E-6</v>
      </c>
      <c r="F13" s="1">
        <f>_xlfn.POISSON.DIST($D13,'First 5 Innings'!$G$18, FALSE) * _xlfn.POISSON.DIST(F$4, 'First 5 Innings'!$G$17, FALSE)</f>
        <v>1.00649817992492E-5</v>
      </c>
      <c r="G13" s="1">
        <f>_xlfn.POISSON.DIST($D13,'First 5 Innings'!$G$18, FALSE) * _xlfn.POISSON.DIST(G$4, 'First 5 Innings'!$G$17, FALSE)</f>
        <v>1.3194710955745696E-5</v>
      </c>
      <c r="H13" s="1">
        <f>_xlfn.POISSON.DIST($D13,'First 5 Innings'!$G$18, FALSE) * _xlfn.POISSON.DIST(H$4, 'First 5 Innings'!$G$17, FALSE)</f>
        <v>1.1531757710591024E-5</v>
      </c>
      <c r="I13" s="1">
        <f>_xlfn.POISSON.DIST($D13,'First 5 Innings'!$G$18, FALSE) * _xlfn.POISSON.DIST(I$4, 'First 5 Innings'!$G$17, FALSE)</f>
        <v>7.5587920990721788E-6</v>
      </c>
      <c r="J13" s="1">
        <f>_xlfn.POISSON.DIST($D13,'First 5 Innings'!$G$18, FALSE) * _xlfn.POISSON.DIST(J$4, 'First 5 Innings'!$G$17, FALSE)</f>
        <v>3.9636863299353985E-6</v>
      </c>
      <c r="K13" s="1">
        <f>_xlfn.POISSON.DIST($D13,'First 5 Innings'!$G$18, FALSE) * _xlfn.POISSON.DIST(K$4, 'First 5 Innings'!$G$17, FALSE)</f>
        <v>1.7320678926162062E-6</v>
      </c>
      <c r="L13" s="1">
        <f>_xlfn.POISSON.DIST($D13,'First 5 Innings'!$G$18, FALSE) * _xlfn.POISSON.DIST(L$4, 'First 5 Innings'!$G$17, FALSE)</f>
        <v>6.4875953520646079E-7</v>
      </c>
      <c r="M13" s="1">
        <f>_xlfn.POISSON.DIST($D13,'First 5 Innings'!$G$18, FALSE) * _xlfn.POISSON.DIST(M$4, 'First 5 Innings'!$G$17, FALSE)</f>
        <v>2.1262319986191435E-7</v>
      </c>
      <c r="N13" s="1">
        <f>_xlfn.POISSON.DIST($D13,'First 5 Innings'!$G$18, FALSE) * _xlfn.POISSON.DIST(N$4, 'First 5 Innings'!$G$17, FALSE)</f>
        <v>6.1941971362155779E-8</v>
      </c>
      <c r="O13" s="1">
        <f>_xlfn.POISSON.DIST($D13,'First 5 Innings'!$G$18, FALSE) * _xlfn.POISSON.DIST(O$4, 'First 5 Innings'!$G$17, FALSE)</f>
        <v>1.6240593862051287E-8</v>
      </c>
      <c r="P13" s="1">
        <f>_xlfn.POISSON.DIST($D13,'First 5 Innings'!$G$18, FALSE) * _xlfn.POISSON.DIST(P$4, 'First 5 Innings'!$G$17, FALSE)</f>
        <v>3.8710261349433264E-9</v>
      </c>
      <c r="Q13" s="1">
        <f>_xlfn.POISSON.DIST($D13,'First 5 Innings'!$G$18, FALSE) * _xlfn.POISSON.DIST(Q$4, 'First 5 Innings'!$G$17, FALSE)</f>
        <v>8.4578843047891128E-10</v>
      </c>
      <c r="R13" s="1">
        <f>_xlfn.POISSON.DIST($D13,'First 5 Innings'!$G$18, FALSE) * _xlfn.POISSON.DIST(R$4, 'First 5 Innings'!$G$17, FALSE)</f>
        <v>1.7058281249818102E-10</v>
      </c>
      <c r="S13" s="1">
        <f>_xlfn.POISSON.DIST($D13,'First 5 Innings'!$G$18, FALSE) * _xlfn.POISSON.DIST(S$4, 'First 5 Innings'!$G$17, FALSE)</f>
        <v>3.1946561281548029E-11</v>
      </c>
      <c r="T13" s="1">
        <f>_xlfn.POISSON.DIST($D13,'First 5 Innings'!$G$18, FALSE) * _xlfn.POISSON.DIST(T$4, 'First 5 Innings'!$G$17, FALSE)</f>
        <v>5.5840556965734684E-12</v>
      </c>
    </row>
    <row r="14" spans="2:20">
      <c r="B14" s="377"/>
      <c r="C14" s="377"/>
      <c r="D14" s="1">
        <v>9</v>
      </c>
      <c r="E14" s="1">
        <f>_xlfn.POISSON.DIST($D14,'First 5 Innings'!$G$18, FALSE) * _xlfn.POISSON.DIST(E$4, 'First 5 Innings'!$G$17, FALSE)</f>
        <v>5.5096907276492659E-7</v>
      </c>
      <c r="F14" s="1">
        <f>_xlfn.POISSON.DIST($D14,'First 5 Innings'!$G$18, FALSE) * _xlfn.POISSON.DIST(F$4, 'First 5 Innings'!$G$17, FALSE)</f>
        <v>1.4445883372050849E-6</v>
      </c>
      <c r="G14" s="1">
        <f>_xlfn.POISSON.DIST($D14,'First 5 Innings'!$G$18, FALSE) * _xlfn.POISSON.DIST(G$4, 'First 5 Innings'!$G$17, FALSE)</f>
        <v>1.8937863912366187E-6</v>
      </c>
      <c r="H14" s="1">
        <f>_xlfn.POISSON.DIST($D14,'First 5 Innings'!$G$18, FALSE) * _xlfn.POISSON.DIST(H$4, 'First 5 Innings'!$G$17, FALSE)</f>
        <v>1.6551090730673017E-6</v>
      </c>
      <c r="I14" s="1">
        <f>_xlfn.POISSON.DIST($D14,'First 5 Innings'!$G$18, FALSE) * _xlfn.POISSON.DIST(I$4, 'First 5 Innings'!$G$17, FALSE)</f>
        <v>1.0848845161838389E-6</v>
      </c>
      <c r="J14" s="1">
        <f>_xlfn.POISSON.DIST($D14,'First 5 Innings'!$G$18, FALSE) * _xlfn.POISSON.DIST(J$4, 'First 5 Innings'!$G$17, FALSE)</f>
        <v>5.6889273709278122E-7</v>
      </c>
      <c r="K14" s="1">
        <f>_xlfn.POISSON.DIST($D14,'First 5 Innings'!$G$18, FALSE) * _xlfn.POISSON.DIST(K$4, 'First 5 Innings'!$G$17, FALSE)</f>
        <v>2.4859707914299534E-7</v>
      </c>
      <c r="L14" s="1">
        <f>_xlfn.POISSON.DIST($D14,'First 5 Innings'!$G$18, FALSE) * _xlfn.POISSON.DIST(L$4, 'First 5 Innings'!$G$17, FALSE)</f>
        <v>9.311397446140985E-8</v>
      </c>
      <c r="M14" s="1">
        <f>_xlfn.POISSON.DIST($D14,'First 5 Innings'!$G$18, FALSE) * _xlfn.POISSON.DIST(M$4, 'First 5 Innings'!$G$17, FALSE)</f>
        <v>3.0516994552604109E-8</v>
      </c>
      <c r="N14" s="1">
        <f>_xlfn.POISSON.DIST($D14,'First 5 Innings'!$G$18, FALSE) * _xlfn.POISSON.DIST(N$4, 'First 5 Innings'!$G$17, FALSE)</f>
        <v>8.8902942099643384E-9</v>
      </c>
      <c r="O14" s="1">
        <f>_xlfn.POISSON.DIST($D14,'First 5 Innings'!$G$18, FALSE) * _xlfn.POISSON.DIST(O$4, 'First 5 Innings'!$G$17, FALSE)</f>
        <v>2.3309503137058684E-9</v>
      </c>
      <c r="P14" s="1">
        <f>_xlfn.POISSON.DIST($D14,'First 5 Innings'!$G$18, FALSE) * _xlfn.POISSON.DIST(P$4, 'First 5 Innings'!$G$17, FALSE)</f>
        <v>5.5559357374817572E-10</v>
      </c>
      <c r="Q14" s="1">
        <f>_xlfn.POISSON.DIST($D14,'First 5 Innings'!$G$18, FALSE) * _xlfn.POISSON.DIST(Q$4, 'First 5 Innings'!$G$17, FALSE)</f>
        <v>1.21392778127425E-10</v>
      </c>
      <c r="R14" s="1">
        <f>_xlfn.POISSON.DIST($D14,'First 5 Innings'!$G$18, FALSE) * _xlfn.POISSON.DIST(R$4, 'First 5 Innings'!$G$17, FALSE)</f>
        <v>2.4483098566645794E-11</v>
      </c>
      <c r="S14" s="1">
        <f>_xlfn.POISSON.DIST($D14,'First 5 Innings'!$G$18, FALSE) * _xlfn.POISSON.DIST(S$4, 'First 5 Innings'!$G$17, FALSE)</f>
        <v>4.5851677391581932E-12</v>
      </c>
      <c r="T14" s="1">
        <f>_xlfn.POISSON.DIST($D14,'First 5 Innings'!$G$18, FALSE) * _xlfn.POISSON.DIST(T$4, 'First 5 Innings'!$G$17, FALSE)</f>
        <v>8.0145815406992434E-13</v>
      </c>
    </row>
    <row r="15" spans="2:20">
      <c r="B15" s="377"/>
      <c r="C15" s="377"/>
      <c r="D15" s="1">
        <v>10</v>
      </c>
      <c r="E15" s="1">
        <f>_xlfn.POISSON.DIST($D15,'First 5 Innings'!$G$18, FALSE) * _xlfn.POISSON.DIST(E$4, 'First 5 Innings'!$G$17, FALSE)</f>
        <v>7.1170635108615639E-8</v>
      </c>
      <c r="F15" s="1">
        <f>_xlfn.POISSON.DIST($D15,'First 5 Innings'!$G$18, FALSE) * _xlfn.POISSON.DIST(F$4, 'First 5 Innings'!$G$17, FALSE)</f>
        <v>1.86602614396199E-7</v>
      </c>
      <c r="G15" s="1">
        <f>_xlfn.POISSON.DIST($D15,'First 5 Innings'!$G$18, FALSE) * _xlfn.POISSON.DIST(G$4, 'First 5 Innings'!$G$17, FALSE)</f>
        <v>2.4462712498178412E-7</v>
      </c>
      <c r="H15" s="1">
        <f>_xlfn.POISSON.DIST($D15,'First 5 Innings'!$G$18, FALSE) * _xlfn.POISSON.DIST(H$4, 'First 5 Innings'!$G$17, FALSE)</f>
        <v>2.1379632673954061E-7</v>
      </c>
      <c r="I15" s="1">
        <f>_xlfn.POISSON.DIST($D15,'First 5 Innings'!$G$18, FALSE) * _xlfn.POISSON.DIST(I$4, 'First 5 Innings'!$G$17, FALSE)</f>
        <v>1.4013839224919585E-7</v>
      </c>
      <c r="J15" s="1">
        <f>_xlfn.POISSON.DIST($D15,'First 5 Innings'!$G$18, FALSE) * _xlfn.POISSON.DIST(J$4, 'First 5 Innings'!$G$17, FALSE)</f>
        <v>7.3485898590258113E-8</v>
      </c>
      <c r="K15" s="1">
        <f>_xlfn.POISSON.DIST($D15,'First 5 Innings'!$G$18, FALSE) * _xlfn.POISSON.DIST(K$4, 'First 5 Innings'!$G$17, FALSE)</f>
        <v>3.2112169055090468E-8</v>
      </c>
      <c r="L15" s="1">
        <f>_xlfn.POISSON.DIST($D15,'First 5 Innings'!$G$18, FALSE) * _xlfn.POISSON.DIST(L$4, 'First 5 Innings'!$G$17, FALSE)</f>
        <v>1.2027863318443259E-8</v>
      </c>
      <c r="M15" s="1">
        <f>_xlfn.POISSON.DIST($D15,'First 5 Innings'!$G$18, FALSE) * _xlfn.POISSON.DIST(M$4, 'First 5 Innings'!$G$17, FALSE)</f>
        <v>3.9419887454221132E-9</v>
      </c>
      <c r="N15" s="1">
        <f>_xlfn.POISSON.DIST($D15,'First 5 Innings'!$G$18, FALSE) * _xlfn.POISSON.DIST(N$4, 'First 5 Innings'!$G$17, FALSE)</f>
        <v>1.1483909288236336E-9</v>
      </c>
      <c r="O15" s="1">
        <f>_xlfn.POISSON.DIST($D15,'First 5 Innings'!$G$18, FALSE) * _xlfn.POISSON.DIST(O$4, 'First 5 Innings'!$G$17, FALSE)</f>
        <v>3.010971439840752E-10</v>
      </c>
      <c r="P15" s="1">
        <f>_xlfn.POISSON.DIST($D15,'First 5 Innings'!$G$18, FALSE) * _xlfn.POISSON.DIST(P$4, 'First 5 Innings'!$G$17, FALSE)</f>
        <v>7.1767998351504374E-11</v>
      </c>
      <c r="Q15" s="1">
        <f>_xlfn.POISSON.DIST($D15,'First 5 Innings'!$G$18, FALSE) * _xlfn.POISSON.DIST(Q$4, 'First 5 Innings'!$G$17, FALSE)</f>
        <v>1.568073698505801E-11</v>
      </c>
      <c r="R15" s="1">
        <f>_xlfn.POISSON.DIST($D15,'First 5 Innings'!$G$18, FALSE) * _xlfn.POISSON.DIST(R$4, 'First 5 Innings'!$G$17, FALSE)</f>
        <v>3.1625689363483644E-12</v>
      </c>
      <c r="S15" s="1">
        <f>_xlfn.POISSON.DIST($D15,'First 5 Innings'!$G$18, FALSE) * _xlfn.POISSON.DIST(S$4, 'First 5 Innings'!$G$17, FALSE)</f>
        <v>5.9228242782812916E-13</v>
      </c>
      <c r="T15" s="1">
        <f>_xlfn.POISSON.DIST($D15,'First 5 Innings'!$G$18, FALSE) * _xlfn.POISSON.DIST(T$4, 'First 5 Innings'!$G$17, FALSE)</f>
        <v>1.0352720081345061E-13</v>
      </c>
    </row>
    <row r="16" spans="2:20">
      <c r="B16" s="377"/>
      <c r="C16" s="377"/>
      <c r="D16" s="1">
        <v>11</v>
      </c>
      <c r="E16" s="1">
        <f>_xlfn.POISSON.DIST($D16,'First 5 Innings'!$G$18, FALSE) * _xlfn.POISSON.DIST(E$4, 'First 5 Innings'!$G$17, FALSE)</f>
        <v>8.3576037404665579E-9</v>
      </c>
      <c r="F16" s="1">
        <f>_xlfn.POISSON.DIST($D16,'First 5 Innings'!$G$18, FALSE) * _xlfn.POISSON.DIST(F$4, 'First 5 Innings'!$G$17, FALSE)</f>
        <v>2.1912839553538259E-8</v>
      </c>
      <c r="G16" s="1">
        <f>_xlfn.POISSON.DIST($D16,'First 5 Innings'!$G$18, FALSE) * _xlfn.POISSON.DIST(G$4, 'First 5 Innings'!$G$17, FALSE)</f>
        <v>2.8726687230585641E-8</v>
      </c>
      <c r="H16" s="1">
        <f>_xlfn.POISSON.DIST($D16,'First 5 Innings'!$G$18, FALSE) * _xlfn.POISSON.DIST(H$4, 'First 5 Innings'!$G$17, FALSE)</f>
        <v>2.5106210972116067E-8</v>
      </c>
      <c r="I16" s="1">
        <f>_xlfn.POISSON.DIST($D16,'First 5 Innings'!$G$18, FALSE) * _xlfn.POISSON.DIST(I$4, 'First 5 Innings'!$G$17, FALSE)</f>
        <v>1.6456522405025797E-8</v>
      </c>
      <c r="J16" s="1">
        <f>_xlfn.POISSON.DIST($D16,'First 5 Innings'!$G$18, FALSE) * _xlfn.POISSON.DIST(J$4, 'First 5 Innings'!$G$17, FALSE)</f>
        <v>8.6294863041785444E-9</v>
      </c>
      <c r="K16" s="1">
        <f>_xlfn.POISSON.DIST($D16,'First 5 Innings'!$G$18, FALSE) * _xlfn.POISSON.DIST(K$4, 'First 5 Innings'!$G$17, FALSE)</f>
        <v>3.7709482822477921E-9</v>
      </c>
      <c r="L16" s="1">
        <f>_xlfn.POISSON.DIST($D16,'First 5 Innings'!$G$18, FALSE) * _xlfn.POISSON.DIST(L$4, 'First 5 Innings'!$G$17, FALSE)</f>
        <v>1.4124380835808058E-9</v>
      </c>
      <c r="M16" s="1">
        <f>_xlfn.POISSON.DIST($D16,'First 5 Innings'!$G$18, FALSE) * _xlfn.POISSON.DIST(M$4, 'First 5 Innings'!$G$17, FALSE)</f>
        <v>4.6290973564220252E-10</v>
      </c>
      <c r="N16" s="1">
        <f>_xlfn.POISSON.DIST($D16,'First 5 Innings'!$G$18, FALSE) * _xlfn.POISSON.DIST(N$4, 'First 5 Innings'!$G$17, FALSE)</f>
        <v>1.3485612862111992E-10</v>
      </c>
      <c r="O16" s="1">
        <f>_xlfn.POISSON.DIST($D16,'First 5 Innings'!$G$18, FALSE) * _xlfn.POISSON.DIST(O$4, 'First 5 Innings'!$G$17, FALSE)</f>
        <v>3.5357990173400499E-11</v>
      </c>
      <c r="P16" s="1">
        <f>_xlfn.POISSON.DIST($D16,'First 5 Innings'!$G$18, FALSE) * _xlfn.POISSON.DIST(P$4, 'First 5 Innings'!$G$17, FALSE)</f>
        <v>8.4277524087419631E-12</v>
      </c>
      <c r="Q16" s="1">
        <f>_xlfn.POISSON.DIST($D16,'First 5 Innings'!$G$18, FALSE) * _xlfn.POISSON.DIST(Q$4, 'First 5 Innings'!$G$17, FALSE)</f>
        <v>1.8413968890342008E-12</v>
      </c>
      <c r="R16" s="1">
        <f>_xlfn.POISSON.DIST($D16,'First 5 Innings'!$G$18, FALSE) * _xlfn.POISSON.DIST(R$4, 'First 5 Innings'!$G$17, FALSE)</f>
        <v>3.7138207255802244E-13</v>
      </c>
      <c r="S16" s="1">
        <f>_xlfn.POISSON.DIST($D16,'First 5 Innings'!$G$18, FALSE) * _xlfn.POISSON.DIST(S$4, 'First 5 Innings'!$G$17, FALSE)</f>
        <v>6.9552025588566811E-14</v>
      </c>
      <c r="T16" s="1">
        <f>_xlfn.POISSON.DIST($D16,'First 5 Innings'!$G$18, FALSE) * _xlfn.POISSON.DIST(T$4, 'First 5 Innings'!$G$17, FALSE)</f>
        <v>1.2157251645121048E-14</v>
      </c>
    </row>
    <row r="17" spans="2:20">
      <c r="B17" s="377"/>
      <c r="C17" s="377"/>
      <c r="D17" s="1">
        <v>12</v>
      </c>
      <c r="E17" s="1">
        <f>_xlfn.POISSON.DIST($D17,'First 5 Innings'!$G$18, FALSE) * _xlfn.POISSON.DIST(E$4, 'First 5 Innings'!$G$17, FALSE)</f>
        <v>8.9965117160173685E-10</v>
      </c>
      <c r="F17" s="1">
        <f>_xlfn.POISSON.DIST($D17,'First 5 Innings'!$G$18, FALSE) * _xlfn.POISSON.DIST(F$4, 'First 5 Innings'!$G$17, FALSE)</f>
        <v>2.3587995303018588E-9</v>
      </c>
      <c r="G17" s="1">
        <f>_xlfn.POISSON.DIST($D17,'First 5 Innings'!$G$18, FALSE) * _xlfn.POISSON.DIST(G$4, 'First 5 Innings'!$G$17, FALSE)</f>
        <v>3.0922736499338148E-9</v>
      </c>
      <c r="H17" s="1">
        <f>_xlfn.POISSON.DIST($D17,'First 5 Innings'!$G$18, FALSE) * _xlfn.POISSON.DIST(H$4, 'First 5 Innings'!$G$17, FALSE)</f>
        <v>2.7025488186502253E-9</v>
      </c>
      <c r="I17" s="1">
        <f>_xlfn.POISSON.DIST($D17,'First 5 Innings'!$G$18, FALSE) * _xlfn.POISSON.DIST(I$4, 'First 5 Innings'!$G$17, FALSE)</f>
        <v>1.7714562836339026E-9</v>
      </c>
      <c r="J17" s="1">
        <f>_xlfn.POISSON.DIST($D17,'First 5 Innings'!$G$18, FALSE) * _xlfn.POISSON.DIST(J$4, 'First 5 Innings'!$G$17, FALSE)</f>
        <v>9.2891786987761362E-10</v>
      </c>
      <c r="K17" s="1">
        <f>_xlfn.POISSON.DIST($D17,'First 5 Innings'!$G$18, FALSE) * _xlfn.POISSON.DIST(K$4, 'First 5 Innings'!$G$17, FALSE)</f>
        <v>4.0592233677549266E-10</v>
      </c>
      <c r="L17" s="1">
        <f>_xlfn.POISSON.DIST($D17,'First 5 Innings'!$G$18, FALSE) * _xlfn.POISSON.DIST(L$4, 'First 5 Innings'!$G$17, FALSE)</f>
        <v>1.5204137647203741E-10</v>
      </c>
      <c r="M17" s="1">
        <f>_xlfn.POISSON.DIST($D17,'First 5 Innings'!$G$18, FALSE) * _xlfn.POISSON.DIST(M$4, 'First 5 Innings'!$G$17, FALSE)</f>
        <v>4.9829747730192025E-11</v>
      </c>
      <c r="N17" s="1">
        <f>_xlfn.POISSON.DIST($D17,'First 5 Innings'!$G$18, FALSE) * _xlfn.POISSON.DIST(N$4, 'First 5 Innings'!$G$17, FALSE)</f>
        <v>1.4516538218273108E-11</v>
      </c>
      <c r="O17" s="1">
        <f>_xlfn.POISSON.DIST($D17,'First 5 Innings'!$G$18, FALSE) * _xlfn.POISSON.DIST(O$4, 'First 5 Innings'!$G$17, FALSE)</f>
        <v>3.8060978089883332E-12</v>
      </c>
      <c r="P17" s="1">
        <f>_xlfn.POISSON.DIST($D17,'First 5 Innings'!$G$18, FALSE) * _xlfn.POISSON.DIST(P$4, 'First 5 Innings'!$G$17, FALSE)</f>
        <v>9.0720229912106418E-13</v>
      </c>
      <c r="Q17" s="1">
        <f>_xlfn.POISSON.DIST($D17,'First 5 Innings'!$G$18, FALSE) * _xlfn.POISSON.DIST(Q$4, 'First 5 Innings'!$G$17, FALSE)</f>
        <v>1.9821648884623153E-13</v>
      </c>
      <c r="R17" s="1">
        <f>_xlfn.POISSON.DIST($D17,'First 5 Innings'!$G$18, FALSE) * _xlfn.POISSON.DIST(R$4, 'First 5 Innings'!$G$17, FALSE)</f>
        <v>3.9977286201182641E-14</v>
      </c>
      <c r="S17" s="1">
        <f>_xlfn.POISSON.DIST($D17,'First 5 Innings'!$G$18, FALSE) * _xlfn.POISSON.DIST(S$4, 'First 5 Innings'!$G$17, FALSE)</f>
        <v>7.4869021373984226E-15</v>
      </c>
      <c r="T17" s="1">
        <f>_xlfn.POISSON.DIST($D17,'First 5 Innings'!$G$18, FALSE) * _xlfn.POISSON.DIST(T$4, 'First 5 Innings'!$G$17, FALSE)</f>
        <v>1.30866286864418E-15</v>
      </c>
    </row>
    <row r="18" spans="2:20">
      <c r="B18" s="377"/>
      <c r="C18" s="377"/>
      <c r="D18" s="1">
        <v>13</v>
      </c>
      <c r="E18" s="1">
        <f>_xlfn.POISSON.DIST($D18,'First 5 Innings'!$G$18, FALSE) * _xlfn.POISSON.DIST(E$4, 'First 5 Innings'!$G$17, FALSE)</f>
        <v>8.9393186302413075E-11</v>
      </c>
      <c r="F18" s="1">
        <f>_xlfn.POISSON.DIST($D18,'First 5 Innings'!$G$18, FALSE) * _xlfn.POISSON.DIST(F$4, 'First 5 Innings'!$G$17, FALSE)</f>
        <v>2.3438040489282398E-10</v>
      </c>
      <c r="G18" s="1">
        <f>_xlfn.POISSON.DIST($D18,'First 5 Innings'!$G$18, FALSE) * _xlfn.POISSON.DIST(G$4, 'First 5 Innings'!$G$17, FALSE)</f>
        <v>3.0726152892617731E-10</v>
      </c>
      <c r="H18" s="1">
        <f>_xlfn.POISSON.DIST($D18,'First 5 Innings'!$G$18, FALSE) * _xlfn.POISSON.DIST(H$4, 'First 5 Innings'!$G$17, FALSE)</f>
        <v>2.6853680366673754E-10</v>
      </c>
      <c r="I18" s="1">
        <f>_xlfn.POISSON.DIST($D18,'First 5 Innings'!$G$18, FALSE) * _xlfn.POISSON.DIST(I$4, 'First 5 Innings'!$G$17, FALSE)</f>
        <v>1.7601946908770084E-10</v>
      </c>
      <c r="J18" s="1">
        <f>_xlfn.POISSON.DIST($D18,'First 5 Innings'!$G$18, FALSE) * _xlfn.POISSON.DIST(J$4, 'First 5 Innings'!$G$17, FALSE)</f>
        <v>9.230125055444313E-11</v>
      </c>
      <c r="K18" s="1">
        <f>_xlfn.POISSON.DIST($D18,'First 5 Innings'!$G$18, FALSE) * _xlfn.POISSON.DIST(K$4, 'First 5 Innings'!$G$17, FALSE)</f>
        <v>4.0334178647350332E-11</v>
      </c>
      <c r="L18" s="1">
        <f>_xlfn.POISSON.DIST($D18,'First 5 Innings'!$G$18, FALSE) * _xlfn.POISSON.DIST(L$4, 'First 5 Innings'!$G$17, FALSE)</f>
        <v>1.5107481123424711E-11</v>
      </c>
      <c r="M18" s="1">
        <f>_xlfn.POISSON.DIST($D18,'First 5 Innings'!$G$18, FALSE) * _xlfn.POISSON.DIST(M$4, 'First 5 Innings'!$G$17, FALSE)</f>
        <v>4.9512967501799904E-12</v>
      </c>
      <c r="N18" s="1">
        <f>_xlfn.POISSON.DIST($D18,'First 5 Innings'!$G$18, FALSE) * _xlfn.POISSON.DIST(N$4, 'First 5 Innings'!$G$17, FALSE)</f>
        <v>1.4424252936855535E-12</v>
      </c>
      <c r="O18" s="1">
        <f>_xlfn.POISSON.DIST($D18,'First 5 Innings'!$G$18, FALSE) * _xlfn.POISSON.DIST(O$4, 'First 5 Innings'!$G$17, FALSE)</f>
        <v>3.781901488755238E-13</v>
      </c>
      <c r="P18" s="1">
        <f>_xlfn.POISSON.DIST($D18,'First 5 Innings'!$G$18, FALSE) * _xlfn.POISSON.DIST(P$4, 'First 5 Innings'!$G$17, FALSE)</f>
        <v>9.0143498612824129E-14</v>
      </c>
      <c r="Q18" s="1">
        <f>_xlfn.POISSON.DIST($D18,'First 5 Innings'!$G$18, FALSE) * _xlfn.POISSON.DIST(Q$4, 'First 5 Innings'!$G$17, FALSE)</f>
        <v>1.9695637681540646E-14</v>
      </c>
      <c r="R18" s="1">
        <f>_xlfn.POISSON.DIST($D18,'First 5 Innings'!$G$18, FALSE) * _xlfn.POISSON.DIST(R$4, 'First 5 Innings'!$G$17, FALSE)</f>
        <v>3.9723140546625483E-15</v>
      </c>
      <c r="S18" s="1">
        <f>_xlfn.POISSON.DIST($D18,'First 5 Innings'!$G$18, FALSE) * _xlfn.POISSON.DIST(S$4, 'First 5 Innings'!$G$17, FALSE)</f>
        <v>7.4393060190741571E-16</v>
      </c>
      <c r="T18" s="1">
        <f>_xlfn.POISSON.DIST($D18,'First 5 Innings'!$G$18, FALSE) * _xlfn.POISSON.DIST(T$4, 'First 5 Innings'!$G$17, FALSE)</f>
        <v>1.3003433699250201E-16</v>
      </c>
    </row>
    <row r="19" spans="2:20">
      <c r="B19" s="377"/>
      <c r="C19" s="377"/>
      <c r="D19" s="1">
        <v>14</v>
      </c>
      <c r="E19" s="1">
        <f>_xlfn.POISSON.DIST($D19,'First 5 Innings'!$G$18, FALSE) * _xlfn.POISSON.DIST(E$4, 'First 5 Innings'!$G$17, FALSE)</f>
        <v>8.2480256256208013E-12</v>
      </c>
      <c r="F19" s="1">
        <f>_xlfn.POISSON.DIST($D19,'First 5 Innings'!$G$18, FALSE) * _xlfn.POISSON.DIST(F$4, 'First 5 Innings'!$G$17, FALSE)</f>
        <v>2.1625536191981636E-11</v>
      </c>
      <c r="G19" s="1">
        <f>_xlfn.POISSON.DIST($D19,'First 5 Innings'!$G$18, FALSE) * _xlfn.POISSON.DIST(G$4, 'First 5 Innings'!$G$17, FALSE)</f>
        <v>2.8350046230336983E-11</v>
      </c>
      <c r="H19" s="1">
        <f>_xlfn.POISSON.DIST($D19,'First 5 Innings'!$G$18, FALSE) * _xlfn.POISSON.DIST(H$4, 'First 5 Innings'!$G$17, FALSE)</f>
        <v>2.4777038717164108E-11</v>
      </c>
      <c r="I19" s="1">
        <f>_xlfn.POISSON.DIST($D19,'First 5 Innings'!$G$18, FALSE) * _xlfn.POISSON.DIST(I$4, 'First 5 Innings'!$G$17, FALSE)</f>
        <v>1.6240757844027478E-11</v>
      </c>
      <c r="J19" s="1">
        <f>_xlfn.POISSON.DIST($D19,'First 5 Innings'!$G$18, FALSE) * _xlfn.POISSON.DIST(J$4, 'First 5 Innings'!$G$17, FALSE)</f>
        <v>8.5163434858943209E-12</v>
      </c>
      <c r="K19" s="1">
        <f>_xlfn.POISSON.DIST($D19,'First 5 Innings'!$G$18, FALSE) * _xlfn.POISSON.DIST(K$4, 'First 5 Innings'!$G$17, FALSE)</f>
        <v>3.7215066699410466E-12</v>
      </c>
      <c r="L19" s="1">
        <f>_xlfn.POISSON.DIST($D19,'First 5 Innings'!$G$18, FALSE) * _xlfn.POISSON.DIST(L$4, 'First 5 Innings'!$G$17, FALSE)</f>
        <v>1.3939193421638434E-12</v>
      </c>
      <c r="M19" s="1">
        <f>_xlfn.POISSON.DIST($D19,'First 5 Innings'!$G$18, FALSE) * _xlfn.POISSON.DIST(M$4, 'First 5 Innings'!$G$17, FALSE)</f>
        <v>4.568404390171644E-13</v>
      </c>
      <c r="N19" s="1">
        <f>_xlfn.POISSON.DIST($D19,'First 5 Innings'!$G$18, FALSE) * _xlfn.POISSON.DIST(N$4, 'First 5 Innings'!$G$17, FALSE)</f>
        <v>1.3308800455008397E-13</v>
      </c>
      <c r="O19" s="1">
        <f>_xlfn.POISSON.DIST($D19,'First 5 Innings'!$G$18, FALSE) * _xlfn.POISSON.DIST(O$4, 'First 5 Innings'!$G$17, FALSE)</f>
        <v>3.4894404912810037E-14</v>
      </c>
      <c r="P19" s="1">
        <f>_xlfn.POISSON.DIST($D19,'First 5 Innings'!$G$18, FALSE) * _xlfn.POISSON.DIST(P$4, 'First 5 Innings'!$G$17, FALSE)</f>
        <v>8.3172545615103136E-15</v>
      </c>
      <c r="Q19" s="1">
        <f>_xlfn.POISSON.DIST($D19,'First 5 Innings'!$G$18, FALSE) * _xlfn.POISSON.DIST(Q$4, 'First 5 Innings'!$G$17, FALSE)</f>
        <v>1.8172539880246412E-15</v>
      </c>
      <c r="R19" s="1">
        <f>_xlfn.POISSON.DIST($D19,'First 5 Innings'!$G$18, FALSE) * _xlfn.POISSON.DIST(R$4, 'First 5 Innings'!$G$17, FALSE)</f>
        <v>3.6651281234155921E-16</v>
      </c>
      <c r="S19" s="1">
        <f>_xlfn.POISSON.DIST($D19,'First 5 Innings'!$G$18, FALSE) * _xlfn.POISSON.DIST(S$4, 'First 5 Innings'!$G$17, FALSE)</f>
        <v>6.8640115897180378E-17</v>
      </c>
      <c r="T19" s="1">
        <f>_xlfn.POISSON.DIST($D19,'First 5 Innings'!$G$18, FALSE) * _xlfn.POISSON.DIST(T$4, 'First 5 Innings'!$G$17, FALSE)</f>
        <v>1.1997855631820294E-17</v>
      </c>
    </row>
    <row r="20" spans="2:20">
      <c r="B20" s="377"/>
      <c r="C20" s="377"/>
      <c r="D20" s="1">
        <v>15</v>
      </c>
      <c r="E20" s="1">
        <f>_xlfn.POISSON.DIST($D20,'First 5 Innings'!$G$18, FALSE) * _xlfn.POISSON.DIST(E$4, 'First 5 Innings'!$G$17, FALSE)</f>
        <v>7.1028454068119545E-13</v>
      </c>
      <c r="F20" s="1">
        <f>_xlfn.POISSON.DIST($D20,'First 5 Innings'!$G$18, FALSE) * _xlfn.POISSON.DIST(F$4, 'First 5 Innings'!$G$17, FALSE)</f>
        <v>1.8622982927444685E-12</v>
      </c>
      <c r="G20" s="1">
        <f>_xlfn.POISSON.DIST($D20,'First 5 Innings'!$G$18, FALSE) * _xlfn.POISSON.DIST(G$4, 'First 5 Innings'!$G$17, FALSE)</f>
        <v>2.4413842147210771E-12</v>
      </c>
      <c r="H20" s="1">
        <f>_xlfn.POISSON.DIST($D20,'First 5 Innings'!$G$18, FALSE) * _xlfn.POISSON.DIST(H$4, 'First 5 Innings'!$G$17, FALSE)</f>
        <v>2.1336921541555595E-12</v>
      </c>
      <c r="I20" s="1">
        <f>_xlfn.POISSON.DIST($D20,'First 5 Innings'!$G$18, FALSE) * _xlfn.POISSON.DIST(I$4, 'First 5 Innings'!$G$17, FALSE)</f>
        <v>1.3985843096469934E-12</v>
      </c>
      <c r="J20" s="1">
        <f>_xlfn.POISSON.DIST($D20,'First 5 Innings'!$G$18, FALSE) * _xlfn.POISSON.DIST(J$4, 'First 5 Innings'!$G$17, FALSE)</f>
        <v>7.3339092235257805E-13</v>
      </c>
      <c r="K20" s="1">
        <f>_xlfn.POISSON.DIST($D20,'First 5 Innings'!$G$18, FALSE) * _xlfn.POISSON.DIST(K$4, 'First 5 Innings'!$G$17, FALSE)</f>
        <v>3.2048017012582048E-13</v>
      </c>
      <c r="L20" s="1">
        <f>_xlfn.POISSON.DIST($D20,'First 5 Innings'!$G$18, FALSE) * _xlfn.POISSON.DIST(L$4, 'First 5 Innings'!$G$17, FALSE)</f>
        <v>1.2003834670687748E-13</v>
      </c>
      <c r="M20" s="1">
        <f>_xlfn.POISSON.DIST($D20,'First 5 Innings'!$G$18, FALSE) * _xlfn.POISSON.DIST(M$4, 'First 5 Innings'!$G$17, FALSE)</f>
        <v>3.9341136427116674E-14</v>
      </c>
      <c r="N20" s="1">
        <f>_xlfn.POISSON.DIST($D20,'First 5 Innings'!$G$18, FALSE) * _xlfn.POISSON.DIST(N$4, 'First 5 Innings'!$G$17, FALSE)</f>
        <v>1.1460967323912534E-14</v>
      </c>
      <c r="O20" s="1">
        <f>_xlfn.POISSON.DIST($D20,'First 5 Innings'!$G$18, FALSE) * _xlfn.POISSON.DIST(O$4, 'First 5 Innings'!$G$17, FALSE)</f>
        <v>3.0049562756994282E-15</v>
      </c>
      <c r="P20" s="1">
        <f>_xlfn.POISSON.DIST($D20,'First 5 Innings'!$G$18, FALSE) * _xlfn.POISSON.DIST(P$4, 'First 5 Innings'!$G$17, FALSE)</f>
        <v>7.1624623929393827E-16</v>
      </c>
      <c r="Q20" s="1">
        <f>_xlfn.POISSON.DIST($D20,'First 5 Innings'!$G$18, FALSE) * _xlfn.POISSON.DIST(Q$4, 'First 5 Innings'!$G$17, FALSE)</f>
        <v>1.5649410813851603E-16</v>
      </c>
      <c r="R20" s="1">
        <f>_xlfn.POISSON.DIST($D20,'First 5 Innings'!$G$18, FALSE) * _xlfn.POISSON.DIST(R$4, 'First 5 Innings'!$G$17, FALSE)</f>
        <v>3.1562509185124354E-17</v>
      </c>
      <c r="S20" s="1">
        <f>_xlfn.POISSON.DIST($D20,'First 5 Innings'!$G$18, FALSE) * _xlfn.POISSON.DIST(S$4, 'First 5 Innings'!$G$17, FALSE)</f>
        <v>5.910991964051183E-18</v>
      </c>
      <c r="T20" s="1">
        <f>_xlfn.POISSON.DIST($D20,'First 5 Innings'!$G$18, FALSE) * _xlfn.POISSON.DIST(T$4, 'First 5 Innings'!$G$17, FALSE)</f>
        <v>1.0332037948736802E-18</v>
      </c>
    </row>
    <row r="24" spans="2:20">
      <c r="D24" s="1" t="s">
        <v>738</v>
      </c>
      <c r="E24" s="1" t="e">
        <f>E3</f>
        <v>#REF!</v>
      </c>
      <c r="F24" s="1">
        <f>1-F25</f>
        <v>0.74483820028691117</v>
      </c>
      <c r="H24" s="1" t="s">
        <v>345</v>
      </c>
      <c r="I24" s="1">
        <v>3</v>
      </c>
      <c r="J24" s="1">
        <f>SUM(E9:E20,F8:F20,G7:G20,H6:H20,I5:T20)</f>
        <v>0.54947860190621212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0.25516179971308878</v>
      </c>
      <c r="H25" s="1" t="s">
        <v>348</v>
      </c>
      <c r="I25" s="1">
        <v>3</v>
      </c>
      <c r="J25" s="1">
        <f>SUM(E8,F7,G6,H5)</f>
        <v>0.19948906740347996</v>
      </c>
    </row>
    <row r="26" spans="2:20">
      <c r="H26" s="1" t="s">
        <v>346</v>
      </c>
      <c r="I26" s="1">
        <v>3</v>
      </c>
      <c r="J26" s="1">
        <f>SUM(E5:E7,F5:F6,G5)</f>
        <v>0.25103231024623918</v>
      </c>
    </row>
    <row r="27" spans="2:20">
      <c r="H27" s="1" t="s">
        <v>345</v>
      </c>
      <c r="I27" s="1">
        <v>3.5</v>
      </c>
      <c r="J27" s="1">
        <f>SUM(E9:E20,F8:F20,G7:G20,H6:H20,I5:T20)</f>
        <v>0.54947860190621212</v>
      </c>
    </row>
    <row r="28" spans="2:20">
      <c r="H28" s="1" t="s">
        <v>346</v>
      </c>
      <c r="I28" s="1">
        <v>3.5</v>
      </c>
      <c r="J28" s="1">
        <f>SUM(E5:E8,F5:F7,G5:G6,H5)</f>
        <v>0.45052137764971922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0.35429649565130167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0.65901674739380256</v>
      </c>
      <c r="H30" s="1" t="s">
        <v>348</v>
      </c>
      <c r="I30" s="1">
        <v>4</v>
      </c>
      <c r="J30" s="1">
        <f>SUM(E9,F8,G7,H6,I5)</f>
        <v>0.19518210625491209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0.16934036726404839</v>
      </c>
      <c r="H31" s="1" t="s">
        <v>346</v>
      </c>
      <c r="I31" s="1">
        <v>4</v>
      </c>
      <c r="J31" s="1">
        <f>1-J30-J29</f>
        <v>0.45052139809378627</v>
      </c>
    </row>
    <row r="32" spans="2:20">
      <c r="D32" s="1" t="s">
        <v>348</v>
      </c>
      <c r="F32" s="1">
        <f>1-F31-F30</f>
        <v>0.17164288534214911</v>
      </c>
      <c r="H32" s="1" t="s">
        <v>345</v>
      </c>
      <c r="I32" s="1">
        <v>4.5</v>
      </c>
      <c r="J32" s="1">
        <f>SUM(E10:E20,F9:F20,G8:G20,H7:H20,I6:I20,J5:T20)</f>
        <v>0.35429649565130167</v>
      </c>
    </row>
    <row r="33" spans="8:10">
      <c r="H33" s="1" t="s">
        <v>346</v>
      </c>
      <c r="I33" s="1">
        <v>4.5</v>
      </c>
      <c r="J33" s="1">
        <f>1-J32</f>
        <v>0.64570350434869828</v>
      </c>
    </row>
    <row r="34" spans="8:10">
      <c r="H34" s="1" t="s">
        <v>345</v>
      </c>
      <c r="I34" s="1">
        <v>5</v>
      </c>
      <c r="J34" s="1">
        <f>SUM(E11:E20,F10:F20,G9:G20,H8:H20,I7:I20,J6:J20,K5:T20)</f>
        <v>0.20152198986827682</v>
      </c>
    </row>
    <row r="35" spans="8:10">
      <c r="H35" s="1" t="s">
        <v>348</v>
      </c>
      <c r="I35" s="1">
        <v>5</v>
      </c>
      <c r="J35" s="1">
        <f>SUM(E10,F9,G8,H7,I6,J5)</f>
        <v>0.15277450578302409</v>
      </c>
    </row>
    <row r="36" spans="8:10">
      <c r="H36" s="1" t="s">
        <v>346</v>
      </c>
      <c r="I36" s="1">
        <v>5</v>
      </c>
      <c r="J36" s="1">
        <f>SUM(E5:E9,F5:F8,G5:G7,H5:H6,I5)</f>
        <v>0.64570348390463128</v>
      </c>
    </row>
    <row r="37" spans="8:10">
      <c r="H37" s="1" t="s">
        <v>345</v>
      </c>
      <c r="I37" s="1">
        <v>5.5</v>
      </c>
      <c r="J37" s="1">
        <f>SUM(E11:E20,F10:F20,G9:G20,H8:H20,I7:I20,J6:J20,K5:T20)</f>
        <v>0.20152198986827682</v>
      </c>
    </row>
    <row r="38" spans="8:10">
      <c r="H38" s="1" t="s">
        <v>346</v>
      </c>
      <c r="I38" s="1">
        <v>5.5</v>
      </c>
      <c r="J38" s="1">
        <f>1-J37</f>
        <v>0.79847801013172315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0.10187124974200802</v>
      </c>
    </row>
    <row r="40" spans="8:10">
      <c r="H40" s="1" t="s">
        <v>348</v>
      </c>
      <c r="I40" s="1">
        <v>6</v>
      </c>
      <c r="J40" s="1">
        <f>SUM(E11,F10,G9,H8,I7,J6,K5)</f>
        <v>9.9650740126268914E-2</v>
      </c>
    </row>
    <row r="41" spans="8:10">
      <c r="H41" s="1" t="s">
        <v>346</v>
      </c>
      <c r="I41" s="1">
        <v>6</v>
      </c>
      <c r="J41" s="1">
        <f>SUM(E5:E10,F5:F9,G5:G8,H5:H7,I5:I6,J5)</f>
        <v>0.79847798968765538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0.10187124974200802</v>
      </c>
    </row>
    <row r="43" spans="8:10">
      <c r="H43" s="1" t="s">
        <v>346</v>
      </c>
      <c r="I43" s="1">
        <v>6.5</v>
      </c>
      <c r="J43" s="1">
        <f>1-J42</f>
        <v>0.89812875025799199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Innings'!$G$20, FALSE) * _xlfn.POISSON.DIST(E$4, 'First 5 Innings'!$G$19, FALSE)</f>
        <v>2.0106989556817001E-2</v>
      </c>
      <c r="F5" s="1">
        <f>_xlfn.POISSON.DIST($D5,'First 5 Innings'!$G$20, FALSE) * _xlfn.POISSON.DIST(F$4, 'First 5 Innings'!$G$19, FALSE)</f>
        <v>4.0651292802350046E-2</v>
      </c>
      <c r="G5" s="1">
        <f>_xlfn.POISSON.DIST($D5,'First 5 Innings'!$G$20, FALSE) * _xlfn.POISSON.DIST(G$4, 'First 5 Innings'!$G$19, FALSE)</f>
        <v>4.1093362132426495E-2</v>
      </c>
      <c r="H5" s="1">
        <f>_xlfn.POISSON.DIST($D5,'First 5 Innings'!$G$20, FALSE) * _xlfn.POISSON.DIST(H$4, 'First 5 Innings'!$G$19, FALSE)</f>
        <v>2.7693492546590821E-2</v>
      </c>
      <c r="I5" s="1">
        <f>_xlfn.POISSON.DIST($D5,'First 5 Innings'!$G$20, FALSE) * _xlfn.POISSON.DIST(I$4, 'First 5 Innings'!$G$19, FALSE)</f>
        <v>1.3997325047715604E-2</v>
      </c>
      <c r="J5" s="1">
        <f>_xlfn.POISSON.DIST($D5,'First 5 Innings'!$G$20, FALSE) * _xlfn.POISSON.DIST(J$4, 'First 5 Innings'!$G$19, FALSE)</f>
        <v>5.6598165265514897E-3</v>
      </c>
      <c r="K5" s="1">
        <f>_xlfn.POISSON.DIST($D5,'First 5 Innings'!$G$20, FALSE) * _xlfn.POISSON.DIST(K$4, 'First 5 Innings'!$G$19, FALSE)</f>
        <v>1.9071217181988928E-3</v>
      </c>
      <c r="L5" s="1">
        <f>_xlfn.POISSON.DIST($D5,'First 5 Innings'!$G$20, FALSE) * _xlfn.POISSON.DIST(L$4, 'First 5 Innings'!$G$19, FALSE)</f>
        <v>5.5081743843462671E-4</v>
      </c>
      <c r="M5" s="1">
        <f>_xlfn.POISSON.DIST($D5,'First 5 Innings'!$G$20, FALSE) * _xlfn.POISSON.DIST(M$4, 'First 5 Innings'!$G$19, FALSE)</f>
        <v>1.3920184885941159E-4</v>
      </c>
      <c r="N5" s="1">
        <f>_xlfn.POISSON.DIST($D5,'First 5 Innings'!$G$20, FALSE) * _xlfn.POISSON.DIST(N$4, 'First 5 Innings'!$G$19, FALSE)</f>
        <v>3.1270138402051298E-5</v>
      </c>
      <c r="O5" s="1">
        <f>_xlfn.POISSON.DIST($D5,'First 5 Innings'!$G$20, FALSE) * _xlfn.POISSON.DIST(O$4, 'First 5 Innings'!$G$19, FALSE)</f>
        <v>6.322038157725244E-6</v>
      </c>
      <c r="P5" s="1">
        <f>_xlfn.POISSON.DIST($D5,'First 5 Innings'!$G$20, FALSE) * _xlfn.POISSON.DIST(P$4, 'First 5 Innings'!$G$19, FALSE)</f>
        <v>1.1619614957145649E-6</v>
      </c>
      <c r="Q5" s="1">
        <f>_xlfn.POISSON.DIST($D5,'First 5 Innings'!$G$20, FALSE) * _xlfn.POISSON.DIST(Q$4, 'First 5 Innings'!$G$19, FALSE)</f>
        <v>1.9576624028290933E-7</v>
      </c>
      <c r="R5" s="1">
        <f>_xlfn.POISSON.DIST($D5,'First 5 Innings'!$G$20, FALSE) * _xlfn.POISSON.DIST(R$4, 'First 5 Innings'!$G$19, FALSE)</f>
        <v>3.0445405112899518E-8</v>
      </c>
      <c r="S5" s="1">
        <f>_xlfn.POISSON.DIST($D5,'First 5 Innings'!$G$20, FALSE) * _xlfn.POISSON.DIST(S$4, 'First 5 Innings'!$G$19, FALSE)</f>
        <v>4.3966412569171202E-9</v>
      </c>
      <c r="T5" s="1">
        <f>_xlfn.POISSON.DIST($D5,'First 5 Innings'!$G$20, FALSE) * _xlfn.POISSON.DIST(T$4, 'First 5 Innings'!$G$19, FALSE)</f>
        <v>5.925937696998005E-10</v>
      </c>
    </row>
    <row r="6" spans="2:20">
      <c r="B6" s="377"/>
      <c r="C6" s="377"/>
      <c r="D6" s="1">
        <v>1</v>
      </c>
      <c r="E6" s="1">
        <f>_xlfn.POISSON.DIST($D6,'First 5 Innings'!$G$20, FALSE) * _xlfn.POISSON.DIST(E$4, 'First 5 Innings'!$G$19, FALSE)</f>
        <v>3.7900437696797469E-2</v>
      </c>
      <c r="F6" s="1">
        <f>_xlfn.POISSON.DIST($D6,'First 5 Innings'!$G$20, FALSE) * _xlfn.POISSON.DIST(F$4, 'First 5 Innings'!$G$19, FALSE)</f>
        <v>7.6625184779458205E-2</v>
      </c>
      <c r="G6" s="1">
        <f>_xlfn.POISSON.DIST($D6,'First 5 Innings'!$G$20, FALSE) * _xlfn.POISSON.DIST(G$4, 'First 5 Innings'!$G$19, FALSE)</f>
        <v>7.7458458256568413E-2</v>
      </c>
      <c r="H6" s="1">
        <f>_xlfn.POISSON.DIST($D6,'First 5 Innings'!$G$20, FALSE) * _xlfn.POISSON.DIST(H$4, 'First 5 Innings'!$G$19, FALSE)</f>
        <v>5.2200528870963651E-2</v>
      </c>
      <c r="I6" s="1">
        <f>_xlfn.POISSON.DIST($D6,'First 5 Innings'!$G$20, FALSE) * _xlfn.POISSON.DIST(I$4, 'First 5 Innings'!$G$19, FALSE)</f>
        <v>2.6384096156896221E-2</v>
      </c>
      <c r="J6" s="1">
        <f>_xlfn.POISSON.DIST($D6,'First 5 Innings'!$G$20, FALSE) * _xlfn.POISSON.DIST(J$4, 'First 5 Innings'!$G$19, FALSE)</f>
        <v>1.0668405781667244E-2</v>
      </c>
      <c r="K6" s="1">
        <f>_xlfn.POISSON.DIST($D6,'First 5 Innings'!$G$20, FALSE) * _xlfn.POISSON.DIST(K$4, 'First 5 Innings'!$G$19, FALSE)</f>
        <v>3.5948070523715305E-3</v>
      </c>
      <c r="L6" s="1">
        <f>_xlfn.POISSON.DIST($D6,'First 5 Innings'!$G$20, FALSE) * _xlfn.POISSON.DIST(L$4, 'First 5 Innings'!$G$19, FALSE)</f>
        <v>1.0382569677430077E-3</v>
      </c>
      <c r="M6" s="1">
        <f>_xlfn.POISSON.DIST($D6,'First 5 Innings'!$G$20, FALSE) * _xlfn.POISSON.DIST(M$4, 'First 5 Innings'!$G$19, FALSE)</f>
        <v>2.6238691700053402E-4</v>
      </c>
      <c r="N6" s="1">
        <f>_xlfn.POISSON.DIST($D6,'First 5 Innings'!$G$20, FALSE) * _xlfn.POISSON.DIST(N$4, 'First 5 Innings'!$G$19, FALSE)</f>
        <v>5.8942286160156158E-5</v>
      </c>
      <c r="O6" s="1">
        <f>_xlfn.POISSON.DIST($D6,'First 5 Innings'!$G$20, FALSE) * _xlfn.POISSON.DIST(O$4, 'First 5 Innings'!$G$19, FALSE)</f>
        <v>1.1916652795614847E-5</v>
      </c>
      <c r="P6" s="1">
        <f>_xlfn.POISSON.DIST($D6,'First 5 Innings'!$G$20, FALSE) * _xlfn.POISSON.DIST(P$4, 'First 5 Innings'!$G$19, FALSE)</f>
        <v>2.1902258988082422E-6</v>
      </c>
      <c r="Q6" s="1">
        <f>_xlfn.POISSON.DIST($D6,'First 5 Innings'!$G$20, FALSE) * _xlfn.POISSON.DIST(Q$4, 'First 5 Innings'!$G$19, FALSE)</f>
        <v>3.6900731320383884E-7</v>
      </c>
      <c r="R6" s="1">
        <f>_xlfn.POISSON.DIST($D6,'First 5 Innings'!$G$20, FALSE) * _xlfn.POISSON.DIST(R$4, 'First 5 Innings'!$G$19, FALSE)</f>
        <v>5.738771467377597E-8</v>
      </c>
      <c r="S6" s="1">
        <f>_xlfn.POISSON.DIST($D6,'First 5 Innings'!$G$20, FALSE) * _xlfn.POISSON.DIST(S$4, 'First 5 Innings'!$G$19, FALSE)</f>
        <v>8.2873981488920317E-9</v>
      </c>
      <c r="T6" s="1">
        <f>_xlfn.POISSON.DIST($D6,'First 5 Innings'!$G$20, FALSE) * _xlfn.POISSON.DIST(T$4, 'First 5 Innings'!$G$19, FALSE)</f>
        <v>1.1170027807769475E-9</v>
      </c>
    </row>
    <row r="7" spans="2:20">
      <c r="B7" s="377"/>
      <c r="C7" s="377"/>
      <c r="D7" s="1">
        <v>2</v>
      </c>
      <c r="E7" s="1">
        <f>_xlfn.POISSON.DIST($D7,'First 5 Innings'!$G$20, FALSE) * _xlfn.POISSON.DIST(E$4, 'First 5 Innings'!$G$19, FALSE)</f>
        <v>3.5719996112541376E-2</v>
      </c>
      <c r="F7" s="1">
        <f>_xlfn.POISSON.DIST($D7,'First 5 Innings'!$G$20, FALSE) * _xlfn.POISSON.DIST(F$4, 'First 5 Innings'!$G$19, FALSE)</f>
        <v>7.2216878452469394E-2</v>
      </c>
      <c r="G7" s="1">
        <f>_xlfn.POISSON.DIST($D7,'First 5 Innings'!$G$20, FALSE) * _xlfn.POISSON.DIST(G$4, 'First 5 Innings'!$G$19, FALSE)</f>
        <v>7.3002213059979101E-2</v>
      </c>
      <c r="H7" s="1">
        <f>_xlfn.POISSON.DIST($D7,'First 5 Innings'!$G$20, FALSE) * _xlfn.POISSON.DIST(H$4, 'First 5 Innings'!$G$19, FALSE)</f>
        <v>4.9197391947296214E-2</v>
      </c>
      <c r="I7" s="1">
        <f>_xlfn.POISSON.DIST($D7,'First 5 Innings'!$G$20, FALSE) * _xlfn.POISSON.DIST(I$4, 'First 5 Innings'!$G$19, FALSE)</f>
        <v>2.4866198635929888E-2</v>
      </c>
      <c r="J7" s="1">
        <f>_xlfn.POISSON.DIST($D7,'First 5 Innings'!$G$20, FALSE) * _xlfn.POISSON.DIST(J$4, 'First 5 Innings'!$G$19, FALSE)</f>
        <v>1.0054644120386194E-2</v>
      </c>
      <c r="K7" s="1">
        <f>_xlfn.POISSON.DIST($D7,'First 5 Innings'!$G$20, FALSE) * _xlfn.POISSON.DIST(K$4, 'First 5 Innings'!$G$19, FALSE)</f>
        <v>3.3879950137593678E-3</v>
      </c>
      <c r="L7" s="1">
        <f>_xlfn.POISSON.DIST($D7,'First 5 Innings'!$G$20, FALSE) * _xlfn.POISSON.DIST(L$4, 'First 5 Innings'!$G$19, FALSE)</f>
        <v>9.7852523889804571E-4</v>
      </c>
      <c r="M7" s="1">
        <f>_xlfn.POISSON.DIST($D7,'First 5 Innings'!$G$20, FALSE) * _xlfn.POISSON.DIST(M$4, 'First 5 Innings'!$G$19, FALSE)</f>
        <v>2.4729159410295549E-4</v>
      </c>
      <c r="N7" s="1">
        <f>_xlfn.POISSON.DIST($D7,'First 5 Innings'!$G$20, FALSE) * _xlfn.POISSON.DIST(N$4, 'First 5 Innings'!$G$19, FALSE)</f>
        <v>5.5551290709315064E-5</v>
      </c>
      <c r="O7" s="1">
        <f>_xlfn.POISSON.DIST($D7,'First 5 Innings'!$G$20, FALSE) * _xlfn.POISSON.DIST(O$4, 'First 5 Innings'!$G$19, FALSE)</f>
        <v>1.1231078515218191E-5</v>
      </c>
      <c r="P7" s="1">
        <f>_xlfn.POISSON.DIST($D7,'First 5 Innings'!$G$20, FALSE) * _xlfn.POISSON.DIST(P$4, 'First 5 Innings'!$G$19, FALSE)</f>
        <v>2.0642205036494498E-6</v>
      </c>
      <c r="Q7" s="1">
        <f>_xlfn.POISSON.DIST($D7,'First 5 Innings'!$G$20, FALSE) * _xlfn.POISSON.DIST(Q$4, 'First 5 Innings'!$G$19, FALSE)</f>
        <v>3.4777803619545617E-7</v>
      </c>
      <c r="R7" s="1">
        <f>_xlfn.POISSON.DIST($D7,'First 5 Innings'!$G$20, FALSE) * _xlfn.POISSON.DIST(R$4, 'First 5 Innings'!$G$19, FALSE)</f>
        <v>5.408615492659928E-8</v>
      </c>
      <c r="S7" s="1">
        <f>_xlfn.POISSON.DIST($D7,'First 5 Innings'!$G$20, FALSE) * _xlfn.POISSON.DIST(S$4, 'First 5 Innings'!$G$19, FALSE)</f>
        <v>7.8106177039353764E-9</v>
      </c>
      <c r="T7" s="1">
        <f>_xlfn.POISSON.DIST($D7,'First 5 Innings'!$G$20, FALSE) * _xlfn.POISSON.DIST(T$4, 'First 5 Innings'!$G$19, FALSE)</f>
        <v>1.0527407442163106E-9</v>
      </c>
    </row>
    <row r="8" spans="2:20">
      <c r="B8" s="377"/>
      <c r="C8" s="377"/>
      <c r="D8" s="1">
        <v>3</v>
      </c>
      <c r="E8" s="1">
        <f>_xlfn.POISSON.DIST($D8,'First 5 Innings'!$G$20, FALSE) * _xlfn.POISSON.DIST(E$4, 'First 5 Innings'!$G$19, FALSE)</f>
        <v>2.2443331349491415E-2</v>
      </c>
      <c r="F8" s="1">
        <f>_xlfn.POISSON.DIST($D8,'First 5 Innings'!$G$20, FALSE) * _xlfn.POISSON.DIST(F$4, 'First 5 Innings'!$G$19, FALSE)</f>
        <v>4.5374790272321872E-2</v>
      </c>
      <c r="G8" s="1">
        <f>_xlfn.POISSON.DIST($D8,'First 5 Innings'!$G$20, FALSE) * _xlfn.POISSON.DIST(G$4, 'First 5 Innings'!$G$19, FALSE)</f>
        <v>4.5868226071167736E-2</v>
      </c>
      <c r="H8" s="1">
        <f>_xlfn.POISSON.DIST($D8,'First 5 Innings'!$G$20, FALSE) * _xlfn.POISSON.DIST(H$4, 'First 5 Innings'!$G$19, FALSE)</f>
        <v>3.0911351880475113E-2</v>
      </c>
      <c r="I8" s="1">
        <f>_xlfn.POISSON.DIST($D8,'First 5 Innings'!$G$20, FALSE) * _xlfn.POISSON.DIST(I$4, 'First 5 Innings'!$G$19, FALSE)</f>
        <v>1.5623751291297106E-2</v>
      </c>
      <c r="J8" s="1">
        <f>_xlfn.POISSON.DIST($D8,'First 5 Innings'!$G$20, FALSE) * _xlfn.POISSON.DIST(J$4, 'First 5 Innings'!$G$19, FALSE)</f>
        <v>6.3174617624276097E-3</v>
      </c>
      <c r="K8" s="1">
        <f>_xlfn.POISSON.DIST($D8,'First 5 Innings'!$G$20, FALSE) * _xlfn.POISSON.DIST(K$4, 'First 5 Innings'!$G$19, FALSE)</f>
        <v>2.1287206881170162E-3</v>
      </c>
      <c r="L8" s="1">
        <f>_xlfn.POISSON.DIST($D8,'First 5 Innings'!$G$20, FALSE) * _xlfn.POISSON.DIST(L$4, 'First 5 Innings'!$G$19, FALSE)</f>
        <v>6.1481994850269301E-4</v>
      </c>
      <c r="M8" s="1">
        <f>_xlfn.POISSON.DIST($D8,'First 5 Innings'!$G$20, FALSE) * _xlfn.POISSON.DIST(M$4, 'First 5 Innings'!$G$19, FALSE)</f>
        <v>1.5537647789519028E-4</v>
      </c>
      <c r="N8" s="1">
        <f>_xlfn.POISSON.DIST($D8,'First 5 Innings'!$G$20, FALSE) * _xlfn.POISSON.DIST(N$4, 'First 5 Innings'!$G$19, FALSE)</f>
        <v>3.4903587905020599E-5</v>
      </c>
      <c r="O8" s="1">
        <f>_xlfn.POISSON.DIST($D8,'First 5 Innings'!$G$20, FALSE) * _xlfn.POISSON.DIST(O$4, 'First 5 Innings'!$G$19, FALSE)</f>
        <v>7.0566305700323432E-6</v>
      </c>
      <c r="P8" s="1">
        <f>_xlfn.POISSON.DIST($D8,'First 5 Innings'!$G$20, FALSE) * _xlfn.POISSON.DIST(P$4, 'First 5 Innings'!$G$19, FALSE)</f>
        <v>1.2969761977536382E-6</v>
      </c>
      <c r="Q8" s="1">
        <f>_xlfn.POISSON.DIST($D8,'First 5 Innings'!$G$20, FALSE) * _xlfn.POISSON.DIST(Q$4, 'First 5 Innings'!$G$19, FALSE)</f>
        <v>2.185133973088419E-7</v>
      </c>
      <c r="R8" s="1">
        <f>_xlfn.POISSON.DIST($D8,'First 5 Innings'!$G$20, FALSE) * _xlfn.POISSON.DIST(R$4, 'First 5 Innings'!$G$19, FALSE)</f>
        <v>3.3983024315375031E-8</v>
      </c>
      <c r="S8" s="1">
        <f>_xlfn.POISSON.DIST($D8,'First 5 Innings'!$G$20, FALSE) * _xlfn.POISSON.DIST(S$4, 'First 5 Innings'!$G$19, FALSE)</f>
        <v>4.9075112052455829E-9</v>
      </c>
      <c r="T8" s="1">
        <f>_xlfn.POISSON.DIST($D8,'First 5 Innings'!$G$20, FALSE) * _xlfn.POISSON.DIST(T$4, 'First 5 Innings'!$G$19, FALSE)</f>
        <v>6.6145050164944858E-10</v>
      </c>
    </row>
    <row r="9" spans="2:20">
      <c r="B9" s="377"/>
      <c r="C9" s="377"/>
      <c r="D9" s="1">
        <v>4</v>
      </c>
      <c r="E9" s="1">
        <f>_xlfn.POISSON.DIST($D9,'First 5 Innings'!$G$20, FALSE) * _xlfn.POISSON.DIST(E$4, 'First 5 Innings'!$G$19, FALSE)</f>
        <v>1.0576074542590991E-2</v>
      </c>
      <c r="F9" s="1">
        <f>_xlfn.POISSON.DIST($D9,'First 5 Innings'!$G$20, FALSE) * _xlfn.POISSON.DIST(F$4, 'First 5 Innings'!$G$19, FALSE)</f>
        <v>2.1382171692857145E-2</v>
      </c>
      <c r="G9" s="1">
        <f>_xlfn.POISSON.DIST($D9,'First 5 Innings'!$G$20, FALSE) * _xlfn.POISSON.DIST(G$4, 'First 5 Innings'!$G$19, FALSE)</f>
        <v>2.1614695720119929E-2</v>
      </c>
      <c r="H9" s="1">
        <f>_xlfn.POISSON.DIST($D9,'First 5 Innings'!$G$20, FALSE) * _xlfn.POISSON.DIST(H$4, 'First 5 Innings'!$G$19, FALSE)</f>
        <v>1.4566498912719271E-2</v>
      </c>
      <c r="I9" s="1">
        <f>_xlfn.POISSON.DIST($D9,'First 5 Innings'!$G$20, FALSE) * _xlfn.POISSON.DIST(I$4, 'First 5 Innings'!$G$19, FALSE)</f>
        <v>7.3624523792188666E-3</v>
      </c>
      <c r="J9" s="1">
        <f>_xlfn.POISSON.DIST($D9,'First 5 Innings'!$G$20, FALSE) * _xlfn.POISSON.DIST(J$4, 'First 5 Innings'!$G$19, FALSE)</f>
        <v>2.9770066430408388E-3</v>
      </c>
      <c r="K9" s="1">
        <f>_xlfn.POISSON.DIST($D9,'First 5 Innings'!$G$20, FALSE) * _xlfn.POISSON.DIST(K$4, 'First 5 Innings'!$G$19, FALSE)</f>
        <v>1.0031268677228404E-3</v>
      </c>
      <c r="L9" s="1">
        <f>_xlfn.POISSON.DIST($D9,'First 5 Innings'!$G$20, FALSE) * _xlfn.POISSON.DIST(L$4, 'First 5 Innings'!$G$19, FALSE)</f>
        <v>2.8972443994076599E-4</v>
      </c>
      <c r="M9" s="1">
        <f>_xlfn.POISSON.DIST($D9,'First 5 Innings'!$G$20, FALSE) * _xlfn.POISSON.DIST(M$4, 'First 5 Innings'!$G$19, FALSE)</f>
        <v>7.3218774289584762E-5</v>
      </c>
      <c r="N9" s="1">
        <f>_xlfn.POISSON.DIST($D9,'First 5 Innings'!$G$20, FALSE) * _xlfn.POISSON.DIST(N$4, 'First 5 Innings'!$G$19, FALSE)</f>
        <v>1.6447778707136554E-5</v>
      </c>
      <c r="O9" s="1">
        <f>_xlfn.POISSON.DIST($D9,'First 5 Innings'!$G$20, FALSE) * _xlfn.POISSON.DIST(O$4, 'First 5 Innings'!$G$19, FALSE)</f>
        <v>3.3253285693649767E-6</v>
      </c>
      <c r="P9" s="1">
        <f>_xlfn.POISSON.DIST($D9,'First 5 Innings'!$G$20, FALSE) * _xlfn.POISSON.DIST(P$4, 'First 5 Innings'!$G$19, FALSE)</f>
        <v>6.111800754445284E-7</v>
      </c>
      <c r="Q9" s="1">
        <f>_xlfn.POISSON.DIST($D9,'First 5 Innings'!$G$20, FALSE) * _xlfn.POISSON.DIST(Q$4, 'First 5 Innings'!$G$19, FALSE)</f>
        <v>1.0297107601833286E-7</v>
      </c>
      <c r="R9" s="1">
        <f>_xlfn.POISSON.DIST($D9,'First 5 Innings'!$G$20, FALSE) * _xlfn.POISSON.DIST(R$4, 'First 5 Innings'!$G$19, FALSE)</f>
        <v>1.6013977281061397E-8</v>
      </c>
      <c r="S9" s="1">
        <f>_xlfn.POISSON.DIST($D9,'First 5 Innings'!$G$20, FALSE) * _xlfn.POISSON.DIST(S$4, 'First 5 Innings'!$G$19, FALSE)</f>
        <v>2.3125891391544238E-9</v>
      </c>
      <c r="T9" s="1">
        <f>_xlfn.POISSON.DIST($D9,'First 5 Innings'!$G$20, FALSE) * _xlfn.POISSON.DIST(T$4, 'First 5 Innings'!$G$19, FALSE)</f>
        <v>3.1169837056463984E-10</v>
      </c>
    </row>
    <row r="10" spans="2:20">
      <c r="B10" s="377"/>
      <c r="C10" s="377"/>
      <c r="D10" s="1">
        <v>5</v>
      </c>
      <c r="E10" s="1">
        <f>_xlfn.POISSON.DIST($D10,'First 5 Innings'!$G$20, FALSE) * _xlfn.POISSON.DIST(E$4, 'First 5 Innings'!$G$19, FALSE)</f>
        <v>3.9870499076502175E-3</v>
      </c>
      <c r="F10" s="1">
        <f>_xlfn.POISSON.DIST($D10,'First 5 Innings'!$G$20, FALSE) * _xlfn.POISSON.DIST(F$4, 'First 5 Innings'!$G$19, FALSE)</f>
        <v>8.0608155067410925E-3</v>
      </c>
      <c r="G10" s="1">
        <f>_xlfn.POISSON.DIST($D10,'First 5 Innings'!$G$20, FALSE) * _xlfn.POISSON.DIST(G$4, 'First 5 Innings'!$G$19, FALSE)</f>
        <v>8.1484742025729976E-3</v>
      </c>
      <c r="H10" s="1">
        <f>_xlfn.POISSON.DIST($D10,'First 5 Innings'!$G$20, FALSE) * _xlfn.POISSON.DIST(H$4, 'First 5 Innings'!$G$19, FALSE)</f>
        <v>5.4913907717708092E-3</v>
      </c>
      <c r="I10" s="1">
        <f>_xlfn.POISSON.DIST($D10,'First 5 Innings'!$G$20, FALSE) * _xlfn.POISSON.DIST(I$4, 'First 5 Innings'!$G$19, FALSE)</f>
        <v>2.7755539127896755E-3</v>
      </c>
      <c r="J10" s="1">
        <f>_xlfn.POISSON.DIST($D10,'First 5 Innings'!$G$20, FALSE) * _xlfn.POISSON.DIST(J$4, 'First 5 Innings'!$G$19, FALSE)</f>
        <v>1.1222948565094175E-3</v>
      </c>
      <c r="K10" s="1">
        <f>_xlfn.POISSON.DIST($D10,'First 5 Innings'!$G$20, FALSE) * _xlfn.POISSON.DIST(K$4, 'First 5 Innings'!$G$19, FALSE)</f>
        <v>3.7816648031453607E-4</v>
      </c>
      <c r="L10" s="1">
        <f>_xlfn.POISSON.DIST($D10,'First 5 Innings'!$G$20, FALSE) * _xlfn.POISSON.DIST(L$4, 'First 5 Innings'!$G$19, FALSE)</f>
        <v>1.0922254725587886E-4</v>
      </c>
      <c r="M10" s="1">
        <f>_xlfn.POISSON.DIST($D10,'First 5 Innings'!$G$20, FALSE) * _xlfn.POISSON.DIST(M$4, 'First 5 Innings'!$G$19, FALSE)</f>
        <v>2.7602576560323011E-5</v>
      </c>
      <c r="N10" s="1">
        <f>_xlfn.POISSON.DIST($D10,'First 5 Innings'!$G$20, FALSE) * _xlfn.POISSON.DIST(N$4, 'First 5 Innings'!$G$19, FALSE)</f>
        <v>6.2006100951019085E-6</v>
      </c>
      <c r="O10" s="1">
        <f>_xlfn.POISSON.DIST($D10,'First 5 Innings'!$G$20, FALSE) * _xlfn.POISSON.DIST(O$4, 'First 5 Innings'!$G$19, FALSE)</f>
        <v>1.2536079347777718E-6</v>
      </c>
      <c r="P10" s="1">
        <f>_xlfn.POISSON.DIST($D10,'First 5 Innings'!$G$20, FALSE) * _xlfn.POISSON.DIST(P$4, 'First 5 Innings'!$G$19, FALSE)</f>
        <v>2.3040736461770214E-7</v>
      </c>
      <c r="Q10" s="1">
        <f>_xlfn.POISSON.DIST($D10,'First 5 Innings'!$G$20, FALSE) * _xlfn.POISSON.DIST(Q$4, 'First 5 Innings'!$G$19, FALSE)</f>
        <v>3.8818828051580498E-8</v>
      </c>
      <c r="R10" s="1">
        <f>_xlfn.POISSON.DIST($D10,'First 5 Innings'!$G$20, FALSE) * _xlfn.POISSON.DIST(R$4, 'First 5 Innings'!$G$19, FALSE)</f>
        <v>6.0370722977077763E-9</v>
      </c>
      <c r="S10" s="1">
        <f>_xlfn.POISSON.DIST($D10,'First 5 Innings'!$G$20, FALSE) * _xlfn.POISSON.DIST(S$4, 'First 5 Innings'!$G$19, FALSE)</f>
        <v>8.7181763673912884E-10</v>
      </c>
      <c r="T10" s="1">
        <f>_xlfn.POISSON.DIST($D10,'First 5 Innings'!$G$20, FALSE) * _xlfn.POISSON.DIST(T$4, 'First 5 Innings'!$G$19, FALSE)</f>
        <v>1.1750644859486896E-10</v>
      </c>
    </row>
    <row r="11" spans="2:20">
      <c r="B11" s="377"/>
      <c r="C11" s="377"/>
      <c r="D11" s="1">
        <v>6</v>
      </c>
      <c r="E11" s="1">
        <f>_xlfn.POISSON.DIST($D11,'First 5 Innings'!$G$20, FALSE) * _xlfn.POISSON.DIST(E$4, 'First 5 Innings'!$G$19, FALSE)</f>
        <v>1.252557277755911E-3</v>
      </c>
      <c r="F11" s="1">
        <f>_xlfn.POISSON.DIST($D11,'First 5 Innings'!$G$20, FALSE) * _xlfn.POISSON.DIST(F$4, 'First 5 Innings'!$G$19, FALSE)</f>
        <v>2.5323568456575318E-3</v>
      </c>
      <c r="G11" s="1">
        <f>_xlfn.POISSON.DIST($D11,'First 5 Innings'!$G$20, FALSE) * _xlfn.POISSON.DIST(G$4, 'First 5 Innings'!$G$19, FALSE)</f>
        <v>2.5598953866755834E-3</v>
      </c>
      <c r="H11" s="1">
        <f>_xlfn.POISSON.DIST($D11,'First 5 Innings'!$G$20, FALSE) * _xlfn.POISSON.DIST(H$4, 'First 5 Innings'!$G$19, FALSE)</f>
        <v>1.7251556001306534E-3</v>
      </c>
      <c r="I11" s="1">
        <f>_xlfn.POISSON.DIST($D11,'First 5 Innings'!$G$20, FALSE) * _xlfn.POISSON.DIST(I$4, 'First 5 Innings'!$G$19, FALSE)</f>
        <v>8.7195804762762942E-4</v>
      </c>
      <c r="J11" s="1">
        <f>_xlfn.POISSON.DIST($D11,'First 5 Innings'!$G$20, FALSE) * _xlfn.POISSON.DIST(J$4, 'First 5 Innings'!$G$19, FALSE)</f>
        <v>3.525761209087483E-4</v>
      </c>
      <c r="K11" s="1">
        <f>_xlfn.POISSON.DIST($D11,'First 5 Innings'!$G$20, FALSE) * _xlfn.POISSON.DIST(K$4, 'First 5 Innings'!$G$19, FALSE)</f>
        <v>1.1880342310549904E-4</v>
      </c>
      <c r="L11" s="1">
        <f>_xlfn.POISSON.DIST($D11,'First 5 Innings'!$G$20, FALSE) * _xlfn.POISSON.DIST(L$4, 'First 5 Innings'!$G$19, FALSE)</f>
        <v>3.4312963125414694E-5</v>
      </c>
      <c r="M11" s="1">
        <f>_xlfn.POISSON.DIST($D11,'First 5 Innings'!$G$20, FALSE) * _xlfn.POISSON.DIST(M$4, 'First 5 Innings'!$G$19, FALSE)</f>
        <v>8.6715263054792097E-6</v>
      </c>
      <c r="N11" s="1">
        <f>_xlfn.POISSON.DIST($D11,'First 5 Innings'!$G$20, FALSE) * _xlfn.POISSON.DIST(N$4, 'First 5 Innings'!$G$19, FALSE)</f>
        <v>1.9479613952773301E-6</v>
      </c>
      <c r="O11" s="1">
        <f>_xlfn.POISSON.DIST($D11,'First 5 Innings'!$G$20, FALSE) * _xlfn.POISSON.DIST(O$4, 'First 5 Innings'!$G$19, FALSE)</f>
        <v>3.9382896590924993E-7</v>
      </c>
      <c r="P11" s="1">
        <f>_xlfn.POISSON.DIST($D11,'First 5 Innings'!$G$20, FALSE) * _xlfn.POISSON.DIST(P$4, 'First 5 Innings'!$G$19, FALSE)</f>
        <v>7.23839500595941E-8</v>
      </c>
      <c r="Q11" s="1">
        <f>_xlfn.POISSON.DIST($D11,'First 5 Innings'!$G$20, FALSE) * _xlfn.POISSON.DIST(Q$4, 'First 5 Innings'!$G$19, FALSE)</f>
        <v>1.2195183585905623E-8</v>
      </c>
      <c r="R11" s="1">
        <f>_xlfn.POISSON.DIST($D11,'First 5 Innings'!$G$20, FALSE) * _xlfn.POISSON.DIST(R$4, 'First 5 Innings'!$G$19, FALSE)</f>
        <v>1.89658494826543E-9</v>
      </c>
      <c r="S11" s="1">
        <f>_xlfn.POISSON.DIST($D11,'First 5 Innings'!$G$20, FALSE) * _xlfn.POISSON.DIST(S$4, 'First 5 Innings'!$G$19, FALSE)</f>
        <v>2.7388709724406987E-10</v>
      </c>
      <c r="T11" s="1">
        <f>_xlfn.POISSON.DIST($D11,'First 5 Innings'!$G$20, FALSE) * _xlfn.POISSON.DIST(T$4, 'First 5 Innings'!$G$19, FALSE)</f>
        <v>3.6915403814821354E-11</v>
      </c>
    </row>
    <row r="12" spans="2:20">
      <c r="B12" s="377"/>
      <c r="C12" s="377"/>
      <c r="D12" s="1">
        <v>7</v>
      </c>
      <c r="E12" s="1">
        <f>_xlfn.POISSON.DIST($D12,'First 5 Innings'!$G$20, FALSE) * _xlfn.POISSON.DIST(E$4, 'First 5 Innings'!$G$19, FALSE)</f>
        <v>3.3728476737698962E-4</v>
      </c>
      <c r="F12" s="1">
        <f>_xlfn.POISSON.DIST($D12,'First 5 Innings'!$G$20, FALSE) * _xlfn.POISSON.DIST(F$4, 'First 5 Innings'!$G$19, FALSE)</f>
        <v>6.819052547707709E-4</v>
      </c>
      <c r="G12" s="1">
        <f>_xlfn.POISSON.DIST($D12,'First 5 Innings'!$G$20, FALSE) * _xlfn.POISSON.DIST(G$4, 'First 5 Innings'!$G$19, FALSE)</f>
        <v>6.8932074831036874E-4</v>
      </c>
      <c r="H12" s="1">
        <f>_xlfn.POISSON.DIST($D12,'First 5 Innings'!$G$20, FALSE) * _xlfn.POISSON.DIST(H$4, 'First 5 Innings'!$G$19, FALSE)</f>
        <v>4.6454458858892082E-4</v>
      </c>
      <c r="I12" s="1">
        <f>_xlfn.POISSON.DIST($D12,'First 5 Innings'!$G$20, FALSE) * _xlfn.POISSON.DIST(I$4, 'First 5 Innings'!$G$19, FALSE)</f>
        <v>2.347981784781028E-4</v>
      </c>
      <c r="J12" s="1">
        <f>_xlfn.POISSON.DIST($D12,'First 5 Innings'!$G$20, FALSE) * _xlfn.POISSON.DIST(J$4, 'First 5 Innings'!$G$19, FALSE)</f>
        <v>9.4940612325883976E-5</v>
      </c>
      <c r="K12" s="1">
        <f>_xlfn.POISSON.DIST($D12,'First 5 Innings'!$G$20, FALSE) * _xlfn.POISSON.DIST(K$4, 'First 5 Innings'!$G$19, FALSE)</f>
        <v>3.1991020001511636E-5</v>
      </c>
      <c r="L12" s="1">
        <f>_xlfn.POISSON.DIST($D12,'First 5 Innings'!$G$20, FALSE) * _xlfn.POISSON.DIST(L$4, 'First 5 Innings'!$G$19, FALSE)</f>
        <v>9.2396890675573749E-6</v>
      </c>
      <c r="M12" s="1">
        <f>_xlfn.POISSON.DIST($D12,'First 5 Innings'!$G$20, FALSE) * _xlfn.POISSON.DIST(M$4, 'First 5 Innings'!$G$19, FALSE)</f>
        <v>2.335041905618115E-6</v>
      </c>
      <c r="N12" s="1">
        <f>_xlfn.POISSON.DIST($D12,'First 5 Innings'!$G$20, FALSE) * _xlfn.POISSON.DIST(N$4, 'First 5 Innings'!$G$19, FALSE)</f>
        <v>5.2454104713086431E-7</v>
      </c>
      <c r="O12" s="1">
        <f>_xlfn.POISSON.DIST($D12,'First 5 Innings'!$G$20, FALSE) * _xlfn.POISSON.DIST(O$4, 'First 5 Innings'!$G$19, FALSE)</f>
        <v>1.0604905141823553E-7</v>
      </c>
      <c r="P12" s="1">
        <f>_xlfn.POISSON.DIST($D12,'First 5 Innings'!$G$20, FALSE) * _xlfn.POISSON.DIST(P$4, 'First 5 Innings'!$G$19, FALSE)</f>
        <v>1.9491327216123882E-8</v>
      </c>
      <c r="Q12" s="1">
        <f>_xlfn.POISSON.DIST($D12,'First 5 Innings'!$G$20, FALSE) * _xlfn.POISSON.DIST(Q$4, 'First 5 Innings'!$G$19, FALSE)</f>
        <v>3.2838814894446841E-9</v>
      </c>
      <c r="R12" s="1">
        <f>_xlfn.POISSON.DIST($D12,'First 5 Innings'!$G$20, FALSE) * _xlfn.POISSON.DIST(R$4, 'First 5 Innings'!$G$19, FALSE)</f>
        <v>5.1070655565745974E-10</v>
      </c>
      <c r="S12" s="1">
        <f>_xlfn.POISSON.DIST($D12,'First 5 Innings'!$G$20, FALSE) * _xlfn.POISSON.DIST(S$4, 'First 5 Innings'!$G$19, FALSE)</f>
        <v>7.3751474301462616E-11</v>
      </c>
      <c r="T12" s="1">
        <f>_xlfn.POISSON.DIST($D12,'First 5 Innings'!$G$20, FALSE) * _xlfn.POISSON.DIST(T$4, 'First 5 Innings'!$G$19, FALSE)</f>
        <v>9.9404662839985621E-12</v>
      </c>
    </row>
    <row r="13" spans="2:20">
      <c r="B13" s="377"/>
      <c r="C13" s="377"/>
      <c r="D13" s="1">
        <v>8</v>
      </c>
      <c r="E13" s="1">
        <f>_xlfn.POISSON.DIST($D13,'First 5 Innings'!$G$20, FALSE) * _xlfn.POISSON.DIST(E$4, 'First 5 Innings'!$G$19, FALSE)</f>
        <v>7.9470128260177879E-5</v>
      </c>
      <c r="F13" s="1">
        <f>_xlfn.POISSON.DIST($D13,'First 5 Innings'!$G$20, FALSE) * _xlfn.POISSON.DIST(F$4, 'First 5 Innings'!$G$19, FALSE)</f>
        <v>1.6066867910862994E-4</v>
      </c>
      <c r="G13" s="1">
        <f>_xlfn.POISSON.DIST($D13,'First 5 Innings'!$G$20, FALSE) * _xlfn.POISSON.DIST(G$4, 'First 5 Innings'!$G$19, FALSE)</f>
        <v>1.624158977194416E-4</v>
      </c>
      <c r="H13" s="1">
        <f>_xlfn.POISSON.DIST($D13,'First 5 Innings'!$G$20, FALSE) * _xlfn.POISSON.DIST(H$4, 'First 5 Innings'!$G$19, FALSE)</f>
        <v>1.0945474450220221E-4</v>
      </c>
      <c r="I13" s="1">
        <f>_xlfn.POISSON.DIST($D13,'First 5 Innings'!$G$20, FALSE) * _xlfn.POISSON.DIST(I$4, 'First 5 Innings'!$G$19, FALSE)</f>
        <v>5.5322514277838573E-5</v>
      </c>
      <c r="J13" s="1">
        <f>_xlfn.POISSON.DIST($D13,'First 5 Innings'!$G$20, FALSE) * _xlfn.POISSON.DIST(J$4, 'First 5 Innings'!$G$19, FALSE)</f>
        <v>2.2369651310711875E-5</v>
      </c>
      <c r="K13" s="1">
        <f>_xlfn.POISSON.DIST($D13,'First 5 Innings'!$G$20, FALSE) * _xlfn.POISSON.DIST(K$4, 'First 5 Innings'!$G$19, FALSE)</f>
        <v>7.5376379504634865E-6</v>
      </c>
      <c r="L13" s="1">
        <f>_xlfn.POISSON.DIST($D13,'First 5 Innings'!$G$20, FALSE) * _xlfn.POISSON.DIST(L$4, 'First 5 Innings'!$G$19, FALSE)</f>
        <v>2.1770306468131424E-6</v>
      </c>
      <c r="M13" s="1">
        <f>_xlfn.POISSON.DIST($D13,'First 5 Innings'!$G$20, FALSE) * _xlfn.POISSON.DIST(M$4, 'First 5 Innings'!$G$19, FALSE)</f>
        <v>5.5017628330944177E-7</v>
      </c>
      <c r="N13" s="1">
        <f>_xlfn.POISSON.DIST($D13,'First 5 Innings'!$G$20, FALSE) * _xlfn.POISSON.DIST(N$4, 'First 5 Innings'!$G$19, FALSE)</f>
        <v>1.2359094843623725E-7</v>
      </c>
      <c r="O13" s="1">
        <f>_xlfn.POISSON.DIST($D13,'First 5 Innings'!$G$20, FALSE) * _xlfn.POISSON.DIST(O$4, 'First 5 Innings'!$G$19, FALSE)</f>
        <v>2.4986991804042962E-8</v>
      </c>
      <c r="P13" s="1">
        <f>_xlfn.POISSON.DIST($D13,'First 5 Innings'!$G$20, FALSE) * _xlfn.POISSON.DIST(P$4, 'First 5 Innings'!$G$19, FALSE)</f>
        <v>4.5924940099507613E-9</v>
      </c>
      <c r="Q13" s="1">
        <f>_xlfn.POISSON.DIST($D13,'First 5 Innings'!$G$20, FALSE) * _xlfn.POISSON.DIST(Q$4, 'First 5 Innings'!$G$19, FALSE)</f>
        <v>7.7373930992175925E-10</v>
      </c>
      <c r="R13" s="1">
        <f>_xlfn.POISSON.DIST($D13,'First 5 Innings'!$G$20, FALSE) * _xlfn.POISSON.DIST(R$4, 'First 5 Innings'!$G$19, FALSE)</f>
        <v>1.2033130282473844E-10</v>
      </c>
      <c r="S13" s="1">
        <f>_xlfn.POISSON.DIST($D13,'First 5 Innings'!$G$20, FALSE) * _xlfn.POISSON.DIST(S$4, 'First 5 Innings'!$G$19, FALSE)</f>
        <v>1.7377123691931964E-11</v>
      </c>
      <c r="T13" s="1">
        <f>_xlfn.POISSON.DIST($D13,'First 5 Innings'!$G$20, FALSE) * _xlfn.POISSON.DIST(T$4, 'First 5 Innings'!$G$19, FALSE)</f>
        <v>2.3421458866903846E-12</v>
      </c>
    </row>
    <row r="14" spans="2:20">
      <c r="B14" s="377"/>
      <c r="C14" s="377"/>
      <c r="D14" s="1">
        <v>9</v>
      </c>
      <c r="E14" s="1">
        <f>_xlfn.POISSON.DIST($D14,'First 5 Innings'!$G$20, FALSE) * _xlfn.POISSON.DIST(E$4, 'First 5 Innings'!$G$19, FALSE)</f>
        <v>1.6644033361690237E-5</v>
      </c>
      <c r="F14" s="1">
        <f>_xlfn.POISSON.DIST($D14,'First 5 Innings'!$G$20, FALSE) * _xlfn.POISSON.DIST(F$4, 'First 5 Innings'!$G$19, FALSE)</f>
        <v>3.3650063411345427E-5</v>
      </c>
      <c r="G14" s="1">
        <f>_xlfn.POISSON.DIST($D14,'First 5 Innings'!$G$20, FALSE) * _xlfn.POISSON.DIST(G$4, 'First 5 Innings'!$G$19, FALSE)</f>
        <v>3.4015996693261214E-5</v>
      </c>
      <c r="H14" s="1">
        <f>_xlfn.POISSON.DIST($D14,'First 5 Innings'!$G$20, FALSE) * _xlfn.POISSON.DIST(H$4, 'First 5 Innings'!$G$19, FALSE)</f>
        <v>2.292393958552115E-5</v>
      </c>
      <c r="I14" s="1">
        <f>_xlfn.POISSON.DIST($D14,'First 5 Innings'!$G$20, FALSE) * _xlfn.POISSON.DIST(I$4, 'First 5 Innings'!$G$19, FALSE)</f>
        <v>1.1586614913698752E-5</v>
      </c>
      <c r="J14" s="1">
        <f>_xlfn.POISSON.DIST($D14,'First 5 Innings'!$G$20, FALSE) * _xlfn.POISSON.DIST(J$4, 'First 5 Innings'!$G$19, FALSE)</f>
        <v>4.6850462035989269E-6</v>
      </c>
      <c r="K14" s="1">
        <f>_xlfn.POISSON.DIST($D14,'First 5 Innings'!$G$20, FALSE) * _xlfn.POISSON.DIST(K$4, 'First 5 Innings'!$G$19, FALSE)</f>
        <v>1.5786648425320646E-6</v>
      </c>
      <c r="L14" s="1">
        <f>_xlfn.POISSON.DIST($D14,'First 5 Innings'!$G$20, FALSE) * _xlfn.POISSON.DIST(L$4, 'First 5 Innings'!$G$19, FALSE)</f>
        <v>4.5595208549747616E-7</v>
      </c>
      <c r="M14" s="1">
        <f>_xlfn.POISSON.DIST($D14,'First 5 Innings'!$G$20, FALSE) * _xlfn.POISSON.DIST(M$4, 'First 5 Innings'!$G$19, FALSE)</f>
        <v>1.1522760331068567E-7</v>
      </c>
      <c r="N14" s="1">
        <f>_xlfn.POISSON.DIST($D14,'First 5 Innings'!$G$20, FALSE) * _xlfn.POISSON.DIST(N$4, 'First 5 Innings'!$G$19, FALSE)</f>
        <v>2.5884592286564232E-8</v>
      </c>
      <c r="O14" s="1">
        <f>_xlfn.POISSON.DIST($D14,'First 5 Innings'!$G$20, FALSE) * _xlfn.POISSON.DIST(O$4, 'First 5 Innings'!$G$19, FALSE)</f>
        <v>5.2332157289743466E-9</v>
      </c>
      <c r="P14" s="1">
        <f>_xlfn.POISSON.DIST($D14,'First 5 Innings'!$G$20, FALSE) * _xlfn.POISSON.DIST(P$4, 'First 5 Innings'!$G$19, FALSE)</f>
        <v>9.6184094814511071E-10</v>
      </c>
      <c r="Q14" s="1">
        <f>_xlfn.POISSON.DIST($D14,'First 5 Innings'!$G$20, FALSE) * _xlfn.POISSON.DIST(Q$4, 'First 5 Innings'!$G$19, FALSE)</f>
        <v>1.6205010825485381E-10</v>
      </c>
      <c r="R14" s="1">
        <f>_xlfn.POISSON.DIST($D14,'First 5 Innings'!$G$20, FALSE) * _xlfn.POISSON.DIST(R$4, 'First 5 Innings'!$G$19, FALSE)</f>
        <v>2.5201899915319384E-11</v>
      </c>
      <c r="S14" s="1">
        <f>_xlfn.POISSON.DIST($D14,'First 5 Innings'!$G$20, FALSE) * _xlfn.POISSON.DIST(S$4, 'First 5 Innings'!$G$19, FALSE)</f>
        <v>3.6394231743509464E-12</v>
      </c>
      <c r="T14" s="1">
        <f>_xlfn.POISSON.DIST($D14,'First 5 Innings'!$G$20, FALSE) * _xlfn.POISSON.DIST(T$4, 'First 5 Innings'!$G$19, FALSE)</f>
        <v>4.905334259483561E-13</v>
      </c>
    </row>
    <row r="15" spans="2:20">
      <c r="B15" s="377"/>
      <c r="C15" s="377"/>
      <c r="D15" s="1">
        <v>10</v>
      </c>
      <c r="E15" s="1">
        <f>_xlfn.POISSON.DIST($D15,'First 5 Innings'!$G$20, FALSE) * _xlfn.POISSON.DIST(E$4, 'First 5 Innings'!$G$19, FALSE)</f>
        <v>3.1372978419551069E-6</v>
      </c>
      <c r="F15" s="1">
        <f>_xlfn.POISSON.DIST($D15,'First 5 Innings'!$G$20, FALSE) * _xlfn.POISSON.DIST(F$4, 'First 5 Innings'!$G$19, FALSE)</f>
        <v>6.3428298314433091E-6</v>
      </c>
      <c r="G15" s="1">
        <f>_xlfn.POISSON.DIST($D15,'First 5 Innings'!$G$20, FALSE) * _xlfn.POISSON.DIST(G$4, 'First 5 Innings'!$G$19, FALSE)</f>
        <v>6.4118060027057637E-6</v>
      </c>
      <c r="H15" s="1">
        <f>_xlfn.POISSON.DIST($D15,'First 5 Innings'!$G$20, FALSE) * _xlfn.POISSON.DIST(H$4, 'First 5 Innings'!$G$19, FALSE)</f>
        <v>4.3210215113063909E-6</v>
      </c>
      <c r="I15" s="1">
        <f>_xlfn.POISSON.DIST($D15,'First 5 Innings'!$G$20, FALSE) * _xlfn.POISSON.DIST(I$4, 'First 5 Innings'!$G$19, FALSE)</f>
        <v>2.1840055937391163E-6</v>
      </c>
      <c r="J15" s="1">
        <f>_xlfn.POISSON.DIST($D15,'First 5 Innings'!$G$20, FALSE) * _xlfn.POISSON.DIST(J$4, 'First 5 Innings'!$G$19, FALSE)</f>
        <v>8.8310237215952244E-7</v>
      </c>
      <c r="K15" s="1">
        <f>_xlfn.POISSON.DIST($D15,'First 5 Innings'!$G$20, FALSE) * _xlfn.POISSON.DIST(K$4, 'First 5 Innings'!$G$19, FALSE)</f>
        <v>2.9756860587927124E-7</v>
      </c>
      <c r="L15" s="1">
        <f>_xlfn.POISSON.DIST($D15,'First 5 Innings'!$G$20, FALSE) * _xlfn.POISSON.DIST(L$4, 'First 5 Innings'!$G$19, FALSE)</f>
        <v>8.5944161657273685E-8</v>
      </c>
      <c r="M15" s="1">
        <f>_xlfn.POISSON.DIST($D15,'First 5 Innings'!$G$20, FALSE) * _xlfn.POISSON.DIST(M$4, 'First 5 Innings'!$G$19, FALSE)</f>
        <v>2.1719693979486341E-8</v>
      </c>
      <c r="N15" s="1">
        <f>_xlfn.POISSON.DIST($D15,'First 5 Innings'!$G$20, FALSE) * _xlfn.POISSON.DIST(N$4, 'First 5 Innings'!$G$19, FALSE)</f>
        <v>4.8790863221556865E-9</v>
      </c>
      <c r="O15" s="1">
        <f>_xlfn.POISSON.DIST($D15,'First 5 Innings'!$G$20, FALSE) * _xlfn.POISSON.DIST(O$4, 'First 5 Innings'!$G$19, FALSE)</f>
        <v>9.864289536204967E-10</v>
      </c>
      <c r="P15" s="1">
        <f>_xlfn.POISSON.DIST($D15,'First 5 Innings'!$G$20, FALSE) * _xlfn.POISSON.DIST(P$4, 'First 5 Innings'!$G$19, FALSE)</f>
        <v>1.8130109843839364E-10</v>
      </c>
      <c r="Q15" s="1">
        <f>_xlfn.POISSON.DIST($D15,'First 5 Innings'!$G$20, FALSE) * _xlfn.POISSON.DIST(Q$4, 'First 5 Innings'!$G$19, FALSE)</f>
        <v>3.0545447961353718E-11</v>
      </c>
      <c r="R15" s="1">
        <f>_xlfn.POISSON.DIST($D15,'First 5 Innings'!$G$20, FALSE) * _xlfn.POISSON.DIST(R$4, 'First 5 Innings'!$G$19, FALSE)</f>
        <v>4.7504030122582485E-12</v>
      </c>
      <c r="S15" s="1">
        <f>_xlfn.POISSON.DIST($D15,'First 5 Innings'!$G$20, FALSE) * _xlfn.POISSON.DIST(S$4, 'First 5 Innings'!$G$19, FALSE)</f>
        <v>6.8600886712552883E-13</v>
      </c>
      <c r="T15" s="1">
        <f>_xlfn.POISSON.DIST($D15,'First 5 Innings'!$G$20, FALSE) * _xlfn.POISSON.DIST(T$4, 'First 5 Innings'!$G$19, FALSE)</f>
        <v>9.2462531478508103E-14</v>
      </c>
    </row>
    <row r="16" spans="2:20">
      <c r="B16" s="377"/>
      <c r="C16" s="377"/>
      <c r="D16" s="1">
        <v>11</v>
      </c>
      <c r="E16" s="1">
        <f>_xlfn.POISSON.DIST($D16,'First 5 Innings'!$G$20, FALSE) * _xlfn.POISSON.DIST(E$4, 'First 5 Innings'!$G$19, FALSE)</f>
        <v>5.3760121148339524E-7</v>
      </c>
      <c r="F16" s="1">
        <f>_xlfn.POISSON.DIST($D16,'First 5 Innings'!$G$20, FALSE) * _xlfn.POISSON.DIST(F$4, 'First 5 Innings'!$G$19, FALSE)</f>
        <v>1.0868948928011077E-6</v>
      </c>
      <c r="G16" s="1">
        <f>_xlfn.POISSON.DIST($D16,'First 5 Innings'!$G$20, FALSE) * _xlfn.POISSON.DIST(G$4, 'First 5 Innings'!$G$19, FALSE)</f>
        <v>1.0987145143678868E-6</v>
      </c>
      <c r="H16" s="1">
        <f>_xlfn.POISSON.DIST($D16,'First 5 Innings'!$G$20, FALSE) * _xlfn.POISSON.DIST(H$4, 'First 5 Innings'!$G$19, FALSE)</f>
        <v>7.4044178026670386E-7</v>
      </c>
      <c r="I16" s="1">
        <f>_xlfn.POISSON.DIST($D16,'First 5 Innings'!$G$20, FALSE) * _xlfn.POISSON.DIST(I$4, 'First 5 Innings'!$G$19, FALSE)</f>
        <v>3.7424691955576913E-7</v>
      </c>
      <c r="J16" s="1">
        <f>_xlfn.POISSON.DIST($D16,'First 5 Innings'!$G$20, FALSE) * _xlfn.POISSON.DIST(J$4, 'First 5 Innings'!$G$19, FALSE)</f>
        <v>1.513266922852819E-7</v>
      </c>
      <c r="K16" s="1">
        <f>_xlfn.POISSON.DIST($D16,'First 5 Innings'!$G$20, FALSE) * _xlfn.POISSON.DIST(K$4, 'First 5 Innings'!$G$19, FALSE)</f>
        <v>5.0990773295667968E-8</v>
      </c>
      <c r="L16" s="1">
        <f>_xlfn.POISSON.DIST($D16,'First 5 Innings'!$G$20, FALSE) * _xlfn.POISSON.DIST(L$4, 'First 5 Innings'!$G$19, FALSE)</f>
        <v>1.4727223156498845E-8</v>
      </c>
      <c r="M16" s="1">
        <f>_xlfn.POISSON.DIST($D16,'First 5 Innings'!$G$20, FALSE) * _xlfn.POISSON.DIST(M$4, 'First 5 Innings'!$G$19, FALSE)</f>
        <v>3.7218442062688761E-9</v>
      </c>
      <c r="N16" s="1">
        <f>_xlfn.POISSON.DIST($D16,'First 5 Innings'!$G$20, FALSE) * _xlfn.POISSON.DIST(N$4, 'First 5 Innings'!$G$19, FALSE)</f>
        <v>8.3607067287189817E-10</v>
      </c>
      <c r="O16" s="1">
        <f>_xlfn.POISSON.DIST($D16,'First 5 Innings'!$G$20, FALSE) * _xlfn.POISSON.DIST(O$4, 'First 5 Innings'!$G$19, FALSE)</f>
        <v>1.6903253284304056E-10</v>
      </c>
      <c r="P16" s="1">
        <f>_xlfn.POISSON.DIST($D16,'First 5 Innings'!$G$20, FALSE) * _xlfn.POISSON.DIST(P$4, 'First 5 Innings'!$G$19, FALSE)</f>
        <v>3.1067401016350628E-11</v>
      </c>
      <c r="Q16" s="1">
        <f>_xlfn.POISSON.DIST($D16,'First 5 Innings'!$G$20, FALSE) * _xlfn.POISSON.DIST(Q$4, 'First 5 Innings'!$G$19, FALSE)</f>
        <v>5.234208116846607E-12</v>
      </c>
      <c r="R16" s="1">
        <f>_xlfn.POISSON.DIST($D16,'First 5 Innings'!$G$20, FALSE) * _xlfn.POISSON.DIST(R$4, 'First 5 Innings'!$G$19, FALSE)</f>
        <v>8.1401975300914015E-13</v>
      </c>
      <c r="S16" s="1">
        <f>_xlfn.POISSON.DIST($D16,'First 5 Innings'!$G$20, FALSE) * _xlfn.POISSON.DIST(S$4, 'First 5 Innings'!$G$19, FALSE)</f>
        <v>1.1755313541579683E-13</v>
      </c>
      <c r="T16" s="1">
        <f>_xlfn.POISSON.DIST($D16,'First 5 Innings'!$G$20, FALSE) * _xlfn.POISSON.DIST(T$4, 'First 5 Innings'!$G$19, FALSE)</f>
        <v>1.5844198238025888E-14</v>
      </c>
    </row>
    <row r="17" spans="2:20">
      <c r="B17" s="377"/>
      <c r="C17" s="377"/>
      <c r="D17" s="1">
        <v>12</v>
      </c>
      <c r="E17" s="1">
        <f>_xlfn.POISSON.DIST($D17,'First 5 Innings'!$G$20, FALSE) * _xlfn.POISSON.DIST(E$4, 'First 5 Innings'!$G$19, FALSE)</f>
        <v>8.4445432785011016E-8</v>
      </c>
      <c r="F17" s="1">
        <f>_xlfn.POISSON.DIST($D17,'First 5 Innings'!$G$20, FALSE) * _xlfn.POISSON.DIST(F$4, 'First 5 Innings'!$G$19, FALSE)</f>
        <v>1.7072749773228999E-7</v>
      </c>
      <c r="G17" s="1">
        <f>_xlfn.POISSON.DIST($D17,'First 5 Innings'!$G$20, FALSE) * _xlfn.POISSON.DIST(G$4, 'First 5 Innings'!$G$19, FALSE)</f>
        <v>1.7258410266033249E-7</v>
      </c>
      <c r="H17" s="1">
        <f>_xlfn.POISSON.DIST($D17,'First 5 Innings'!$G$20, FALSE) * _xlfn.POISSON.DIST(H$4, 'First 5 Innings'!$G$19, FALSE)</f>
        <v>1.1630726503423643E-7</v>
      </c>
      <c r="I17" s="1">
        <f>_xlfn.POISSON.DIST($D17,'First 5 Innings'!$G$20, FALSE) * _xlfn.POISSON.DIST(I$4, 'First 5 Innings'!$G$19, FALSE)</f>
        <v>5.8786033988169794E-8</v>
      </c>
      <c r="J17" s="1">
        <f>_xlfn.POISSON.DIST($D17,'First 5 Innings'!$G$20, FALSE) * _xlfn.POISSON.DIST(J$4, 'First 5 Innings'!$G$19, FALSE)</f>
        <v>2.3770125046210978E-8</v>
      </c>
      <c r="K17" s="1">
        <f>_xlfn.POISSON.DIST($D17,'First 5 Innings'!$G$20, FALSE) * _xlfn.POISSON.DIST(K$4, 'First 5 Innings'!$G$19, FALSE)</f>
        <v>8.009539091464754E-9</v>
      </c>
      <c r="L17" s="1">
        <f>_xlfn.POISSON.DIST($D17,'First 5 Innings'!$G$20, FALSE) * _xlfn.POISSON.DIST(L$4, 'First 5 Innings'!$G$19, FALSE)</f>
        <v>2.3133257637950716E-9</v>
      </c>
      <c r="M17" s="1">
        <f>_xlfn.POISSON.DIST($D17,'First 5 Innings'!$G$20, FALSE) * _xlfn.POISSON.DIST(M$4, 'First 5 Innings'!$G$19, FALSE)</f>
        <v>5.846206036060404E-10</v>
      </c>
      <c r="N17" s="1">
        <f>_xlfn.POISSON.DIST($D17,'First 5 Innings'!$G$20, FALSE) * _xlfn.POISSON.DIST(N$4, 'First 5 Innings'!$G$19, FALSE)</f>
        <v>1.3132847973818878E-10</v>
      </c>
      <c r="O17" s="1">
        <f>_xlfn.POISSON.DIST($D17,'First 5 Innings'!$G$20, FALSE) * _xlfn.POISSON.DIST(O$4, 'First 5 Innings'!$G$19, FALSE)</f>
        <v>2.6551326681893144E-11</v>
      </c>
      <c r="P17" s="1">
        <f>_xlfn.POISSON.DIST($D17,'First 5 Innings'!$G$20, FALSE) * _xlfn.POISSON.DIST(P$4, 'First 5 Innings'!$G$19, FALSE)</f>
        <v>4.8800115555771058E-12</v>
      </c>
      <c r="Q17" s="1">
        <f>_xlfn.POISSON.DIST($D17,'First 5 Innings'!$G$20, FALSE) * _xlfn.POISSON.DIST(Q$4, 'First 5 Innings'!$G$19, FALSE)</f>
        <v>8.2218001052176085E-13</v>
      </c>
      <c r="R17" s="1">
        <f>_xlfn.POISSON.DIST($D17,'First 5 Innings'!$G$20, FALSE) * _xlfn.POISSON.DIST(R$4, 'First 5 Innings'!$G$19, FALSE)</f>
        <v>1.2786476084890256E-13</v>
      </c>
      <c r="S17" s="1">
        <f>_xlfn.POISSON.DIST($D17,'First 5 Innings'!$G$20, FALSE) * _xlfn.POISSON.DIST(S$4, 'First 5 Innings'!$G$19, FALSE)</f>
        <v>1.846503538939398E-14</v>
      </c>
      <c r="T17" s="1">
        <f>_xlfn.POISSON.DIST($D17,'First 5 Innings'!$G$20, FALSE) * _xlfn.POISSON.DIST(T$4, 'First 5 Innings'!$G$19, FALSE)</f>
        <v>2.4887782035493626E-15</v>
      </c>
    </row>
    <row r="18" spans="2:20">
      <c r="B18" s="377"/>
      <c r="C18" s="377"/>
      <c r="D18" s="1">
        <v>13</v>
      </c>
      <c r="E18" s="1">
        <f>_xlfn.POISSON.DIST($D18,'First 5 Innings'!$G$20, FALSE) * _xlfn.POISSON.DIST(E$4, 'First 5 Innings'!$G$19, FALSE)</f>
        <v>1.2244187926651075E-8</v>
      </c>
      <c r="F18" s="1">
        <f>_xlfn.POISSON.DIST($D18,'First 5 Innings'!$G$20, FALSE) * _xlfn.POISSON.DIST(F$4, 'First 5 Innings'!$G$19, FALSE)</f>
        <v>2.4754678820855082E-8</v>
      </c>
      <c r="G18" s="1">
        <f>_xlfn.POISSON.DIST($D18,'First 5 Innings'!$G$20, FALSE) * _xlfn.POISSON.DIST(G$4, 'First 5 Innings'!$G$19, FALSE)</f>
        <v>2.5023877744879474E-8</v>
      </c>
      <c r="H18" s="1">
        <f>_xlfn.POISSON.DIST($D18,'First 5 Innings'!$G$20, FALSE) * _xlfn.POISSON.DIST(H$4, 'First 5 Innings'!$G$19, FALSE)</f>
        <v>1.6864002745294455E-8</v>
      </c>
      <c r="I18" s="1">
        <f>_xlfn.POISSON.DIST($D18,'First 5 Innings'!$G$20, FALSE) * _xlfn.POISSON.DIST(I$4, 'First 5 Innings'!$G$19, FALSE)</f>
        <v>8.5236965916931131E-9</v>
      </c>
      <c r="J18" s="1">
        <f>_xlfn.POISSON.DIST($D18,'First 5 Innings'!$G$20, FALSE) * _xlfn.POISSON.DIST(J$4, 'First 5 Innings'!$G$19, FALSE)</f>
        <v>3.4465555863367324E-9</v>
      </c>
      <c r="K18" s="1">
        <f>_xlfn.POISSON.DIST($D18,'First 5 Innings'!$G$20, FALSE) * _xlfn.POISSON.DIST(K$4, 'First 5 Innings'!$G$19, FALSE)</f>
        <v>1.161345245176598E-9</v>
      </c>
      <c r="L18" s="1">
        <f>_xlfn.POISSON.DIST($D18,'First 5 Innings'!$G$20, FALSE) * _xlfn.POISSON.DIST(L$4, 'First 5 Innings'!$G$19, FALSE)</f>
        <v>3.3542128275406402E-10</v>
      </c>
      <c r="M18" s="1">
        <f>_xlfn.POISSON.DIST($D18,'First 5 Innings'!$G$20, FALSE) * _xlfn.POISSON.DIST(M$4, 'First 5 Innings'!$G$19, FALSE)</f>
        <v>8.4767219496269993E-11</v>
      </c>
      <c r="N18" s="1">
        <f>_xlfn.POISSON.DIST($D18,'First 5 Innings'!$G$20, FALSE) * _xlfn.POISSON.DIST(N$4, 'First 5 Innings'!$G$19, FALSE)</f>
        <v>1.9042007755820179E-11</v>
      </c>
      <c r="O18" s="1">
        <f>_xlfn.POISSON.DIST($D18,'First 5 Innings'!$G$20, FALSE) * _xlfn.POISSON.DIST(O$4, 'First 5 Innings'!$G$19, FALSE)</f>
        <v>3.8498166552437798E-12</v>
      </c>
      <c r="P18" s="1">
        <f>_xlfn.POISSON.DIST($D18,'First 5 Innings'!$G$20, FALSE) * _xlfn.POISSON.DIST(P$4, 'First 5 Innings'!$G$19, FALSE)</f>
        <v>7.0757856997235745E-13</v>
      </c>
      <c r="Q18" s="1">
        <f>_xlfn.POISSON.DIST($D18,'First 5 Innings'!$G$20, FALSE) * _xlfn.POISSON.DIST(Q$4, 'First 5 Innings'!$G$19, FALSE)</f>
        <v>1.1921220871700318E-13</v>
      </c>
      <c r="R18" s="1">
        <f>_xlfn.POISSON.DIST($D18,'First 5 Innings'!$G$20, FALSE) * _xlfn.POISSON.DIST(R$4, 'First 5 Innings'!$G$19, FALSE)</f>
        <v>1.8539784916682341E-14</v>
      </c>
      <c r="S18" s="1">
        <f>_xlfn.POISSON.DIST($D18,'First 5 Innings'!$G$20, FALSE) * _xlfn.POISSON.DIST(S$4, 'First 5 Innings'!$G$19, FALSE)</f>
        <v>2.677342704318915E-15</v>
      </c>
      <c r="T18" s="1">
        <f>_xlfn.POISSON.DIST($D18,'First 5 Innings'!$G$20, FALSE) * _xlfn.POISSON.DIST(T$4, 'First 5 Innings'!$G$19, FALSE)</f>
        <v>3.6086105579673686E-16</v>
      </c>
    </row>
    <row r="19" spans="2:20">
      <c r="B19" s="377"/>
      <c r="C19" s="377"/>
      <c r="D19" s="1">
        <v>14</v>
      </c>
      <c r="E19" s="1">
        <f>_xlfn.POISSON.DIST($D19,'First 5 Innings'!$G$20, FALSE) * _xlfn.POISSON.DIST(E$4, 'First 5 Innings'!$G$19, FALSE)</f>
        <v>1.6485386137229511E-9</v>
      </c>
      <c r="F19" s="1">
        <f>_xlfn.POISSON.DIST($D19,'First 5 Innings'!$G$20, FALSE) * _xlfn.POISSON.DIST(F$4, 'First 5 Innings'!$G$19, FALSE)</f>
        <v>3.3329318490500395E-9</v>
      </c>
      <c r="G19" s="1">
        <f>_xlfn.POISSON.DIST($D19,'First 5 Innings'!$G$20, FALSE) * _xlfn.POISSON.DIST(G$4, 'First 5 Innings'!$G$19, FALSE)</f>
        <v>3.3691763777754542E-9</v>
      </c>
      <c r="H19" s="1">
        <f>_xlfn.POISSON.DIST($D19,'First 5 Innings'!$G$20, FALSE) * _xlfn.POISSON.DIST(H$4, 'First 5 Innings'!$G$19, FALSE)</f>
        <v>2.2705433691552011E-9</v>
      </c>
      <c r="I19" s="1">
        <f>_xlfn.POISSON.DIST($D19,'First 5 Innings'!$G$20, FALSE) * _xlfn.POISSON.DIST(I$4, 'First 5 Innings'!$G$19, FALSE)</f>
        <v>1.14761738771418E-9</v>
      </c>
      <c r="J19" s="1">
        <f>_xlfn.POISSON.DIST($D19,'First 5 Innings'!$G$20, FALSE) * _xlfn.POISSON.DIST(J$4, 'First 5 Innings'!$G$19, FALSE)</f>
        <v>4.6403893851151322E-10</v>
      </c>
      <c r="K19" s="1">
        <f>_xlfn.POISSON.DIST($D19,'First 5 Innings'!$G$20, FALSE) * _xlfn.POISSON.DIST(K$4, 'First 5 Innings'!$G$19, FALSE)</f>
        <v>1.5636173603395629E-10</v>
      </c>
      <c r="L19" s="1">
        <f>_xlfn.POISSON.DIST($D19,'First 5 Innings'!$G$20, FALSE) * _xlfn.POISSON.DIST(L$4, 'First 5 Innings'!$G$19, FALSE)</f>
        <v>4.5160605161978943E-11</v>
      </c>
      <c r="M19" s="1">
        <f>_xlfn.POISSON.DIST($D19,'First 5 Innings'!$G$20, FALSE) * _xlfn.POISSON.DIST(M$4, 'First 5 Innings'!$G$19, FALSE)</f>
        <v>1.1412927942192332E-11</v>
      </c>
      <c r="N19" s="1">
        <f>_xlfn.POISSON.DIST($D19,'First 5 Innings'!$G$20, FALSE) * _xlfn.POISSON.DIST(N$4, 'First 5 Innings'!$G$19, FALSE)</f>
        <v>2.5637866109481882E-12</v>
      </c>
      <c r="O19" s="1">
        <f>_xlfn.POISSON.DIST($D19,'First 5 Innings'!$G$20, FALSE) * _xlfn.POISSON.DIST(O$4, 'First 5 Innings'!$G$19, FALSE)</f>
        <v>5.1833338804846074E-13</v>
      </c>
      <c r="P19" s="1">
        <f>_xlfn.POISSON.DIST($D19,'First 5 Innings'!$G$20, FALSE) * _xlfn.POISSON.DIST(P$4, 'First 5 Innings'!$G$19, FALSE)</f>
        <v>9.5267289413561083E-14</v>
      </c>
      <c r="Q19" s="1">
        <f>_xlfn.POISSON.DIST($D19,'First 5 Innings'!$G$20, FALSE) * _xlfn.POISSON.DIST(Q$4, 'First 5 Innings'!$G$19, FALSE)</f>
        <v>1.6050548266203527E-14</v>
      </c>
      <c r="R19" s="1">
        <f>_xlfn.POISSON.DIST($D19,'First 5 Innings'!$G$20, FALSE) * _xlfn.POISSON.DIST(R$4, 'First 5 Innings'!$G$19, FALSE)</f>
        <v>2.4961681010092651E-15</v>
      </c>
      <c r="S19" s="1">
        <f>_xlfn.POISSON.DIST($D19,'First 5 Innings'!$G$20, FALSE) * _xlfn.POISSON.DIST(S$4, 'First 5 Innings'!$G$19, FALSE)</f>
        <v>3.6047330020410427E-16</v>
      </c>
      <c r="T19" s="1">
        <f>_xlfn.POISSON.DIST($D19,'First 5 Innings'!$G$20, FALSE) * _xlfn.POISSON.DIST(T$4, 'First 5 Innings'!$G$19, FALSE)</f>
        <v>4.8585777042419445E-17</v>
      </c>
    </row>
    <row r="20" spans="2:20">
      <c r="B20" s="377"/>
      <c r="C20" s="377"/>
      <c r="D20" s="1">
        <v>15</v>
      </c>
      <c r="E20" s="1">
        <f>_xlfn.POISSON.DIST($D20,'First 5 Innings'!$G$20, FALSE) * _xlfn.POISSON.DIST(E$4, 'First 5 Innings'!$G$19, FALSE)</f>
        <v>2.0715958777624403E-10</v>
      </c>
      <c r="F20" s="1">
        <f>_xlfn.POISSON.DIST($D20,'First 5 Innings'!$G$20, FALSE) * _xlfn.POISSON.DIST(F$4, 'First 5 Innings'!$G$19, FALSE)</f>
        <v>4.1882475920673577E-10</v>
      </c>
      <c r="G20" s="1">
        <f>_xlfn.POISSON.DIST($D20,'First 5 Innings'!$G$20, FALSE) * _xlfn.POISSON.DIST(G$4, 'First 5 Innings'!$G$19, FALSE)</f>
        <v>4.23379339589263E-10</v>
      </c>
      <c r="H20" s="1">
        <f>_xlfn.POISSON.DIST($D20,'First 5 Innings'!$G$20, FALSE) * _xlfn.POISSON.DIST(H$4, 'First 5 Innings'!$G$19, FALSE)</f>
        <v>2.8532229968216196E-10</v>
      </c>
      <c r="I20" s="1">
        <f>_xlfn.POISSON.DIST($D20,'First 5 Innings'!$G$20, FALSE) * _xlfn.POISSON.DIST(I$4, 'First 5 Innings'!$G$19, FALSE)</f>
        <v>1.442125425420417E-10</v>
      </c>
      <c r="J20" s="1">
        <f>_xlfn.POISSON.DIST($D20,'First 5 Innings'!$G$20, FALSE) * _xlfn.POISSON.DIST(J$4, 'First 5 Innings'!$G$19, FALSE)</f>
        <v>5.8312322449685909E-11</v>
      </c>
      <c r="K20" s="1">
        <f>_xlfn.POISSON.DIST($D20,'First 5 Innings'!$G$20, FALSE) * _xlfn.POISSON.DIST(K$4, 'First 5 Innings'!$G$19, FALSE)</f>
        <v>1.964881654037856E-11</v>
      </c>
      <c r="L20" s="1">
        <f>_xlfn.POISSON.DIST($D20,'First 5 Innings'!$G$20, FALSE) * _xlfn.POISSON.DIST(L$4, 'First 5 Innings'!$G$19, FALSE)</f>
        <v>5.6749974014582153E-12</v>
      </c>
      <c r="M20" s="1">
        <f>_xlfn.POISSON.DIST($D20,'First 5 Innings'!$G$20, FALSE) * _xlfn.POISSON.DIST(M$4, 'First 5 Innings'!$G$19, FALSE)</f>
        <v>1.4341777791210889E-12</v>
      </c>
      <c r="N20" s="1">
        <f>_xlfn.POISSON.DIST($D20,'First 5 Innings'!$G$20, FALSE) * _xlfn.POISSON.DIST(N$4, 'First 5 Innings'!$G$19, FALSE)</f>
        <v>3.2217199709435364E-13</v>
      </c>
      <c r="O20" s="1">
        <f>_xlfn.POISSON.DIST($D20,'First 5 Innings'!$G$20, FALSE) * _xlfn.POISSON.DIST(O$4, 'First 5 Innings'!$G$19, FALSE)</f>
        <v>6.5135102147403304E-14</v>
      </c>
      <c r="P20" s="1">
        <f>_xlfn.POISSON.DIST($D20,'First 5 Innings'!$G$20, FALSE) * _xlfn.POISSON.DIST(P$4, 'First 5 Innings'!$G$19, FALSE)</f>
        <v>1.1971531779230833E-14</v>
      </c>
      <c r="Q20" s="1">
        <f>_xlfn.POISSON.DIST($D20,'First 5 Innings'!$G$20, FALSE) * _xlfn.POISSON.DIST(Q$4, 'First 5 Innings'!$G$19, FALSE)</f>
        <v>2.0169530363018998E-15</v>
      </c>
      <c r="R20" s="1">
        <f>_xlfn.POISSON.DIST($D20,'First 5 Innings'!$G$20, FALSE) * _xlfn.POISSON.DIST(R$4, 'First 5 Innings'!$G$19, FALSE)</f>
        <v>3.1367488181395581E-16</v>
      </c>
      <c r="S20" s="1">
        <f>_xlfn.POISSON.DIST($D20,'First 5 Innings'!$G$20, FALSE) * _xlfn.POISSON.DIST(S$4, 'First 5 Innings'!$G$19, FALSE)</f>
        <v>4.5297998877916644E-17</v>
      </c>
      <c r="T20" s="1">
        <f>_xlfn.POISSON.DIST($D20,'First 5 Innings'!$G$20, FALSE) * _xlfn.POISSON.DIST(T$4, 'First 5 Innings'!$G$19, FALSE)</f>
        <v>6.1054132794414553E-18</v>
      </c>
    </row>
    <row r="24" spans="2:20">
      <c r="D24" s="1" t="s">
        <v>738</v>
      </c>
      <c r="E24" s="1" t="e">
        <f>E3</f>
        <v>#REF!</v>
      </c>
      <c r="F24" s="1">
        <f>1-F25</f>
        <v>0.52666121124043319</v>
      </c>
      <c r="H24" s="1" t="s">
        <v>345</v>
      </c>
      <c r="I24" s="1">
        <v>3</v>
      </c>
      <c r="J24" s="1">
        <f>SUM(E9:E20,F8:F20,G7:G20,H6:H20,I5:T20)</f>
        <v>0.5480905755482145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0.47333878875956681</v>
      </c>
      <c r="H25" s="1" t="s">
        <v>348</v>
      </c>
      <c r="I25" s="1">
        <v>3</v>
      </c>
      <c r="J25" s="1">
        <f>SUM(E8,F7,G6,H5)</f>
        <v>0.19981216060512003</v>
      </c>
    </row>
    <row r="26" spans="2:20">
      <c r="H26" s="1" t="s">
        <v>346</v>
      </c>
      <c r="I26" s="1">
        <v>3</v>
      </c>
      <c r="J26" s="1">
        <f>SUM(E5:E7,F5:F6,G5)</f>
        <v>0.2520972630803906</v>
      </c>
    </row>
    <row r="27" spans="2:20">
      <c r="H27" s="1" t="s">
        <v>345</v>
      </c>
      <c r="I27" s="1">
        <v>3.5</v>
      </c>
      <c r="J27" s="1">
        <f>SUM(E9:E20,F8:F20,G7:G20,H6:H20,I5:T20)</f>
        <v>0.5480905755482145</v>
      </c>
    </row>
    <row r="28" spans="2:20">
      <c r="H28" s="1" t="s">
        <v>346</v>
      </c>
      <c r="I28" s="1">
        <v>3.5</v>
      </c>
      <c r="J28" s="1">
        <f>SUM(E5:E8,F5:F7,G5:G6,H5)</f>
        <v>0.45190942368551057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0.35293964375464287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0.42203165712223606</v>
      </c>
      <c r="H30" s="1" t="s">
        <v>348</v>
      </c>
      <c r="I30" s="1">
        <v>4</v>
      </c>
      <c r="J30" s="1">
        <f>SUM(E9,F8,G7,H6,I5)</f>
        <v>0.19515093179357124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0.36870923540764494</v>
      </c>
      <c r="H31" s="1" t="s">
        <v>346</v>
      </c>
      <c r="I31" s="1">
        <v>4</v>
      </c>
      <c r="J31" s="1">
        <f>1-J30-J29</f>
        <v>0.45190942445178589</v>
      </c>
    </row>
    <row r="32" spans="2:20">
      <c r="D32" s="1" t="s">
        <v>348</v>
      </c>
      <c r="F32" s="1">
        <f>1-F31-F30</f>
        <v>0.20925910747011905</v>
      </c>
      <c r="H32" s="1" t="s">
        <v>345</v>
      </c>
      <c r="I32" s="1">
        <v>4.5</v>
      </c>
      <c r="J32" s="1">
        <f>SUM(E10:E20,F9:F20,G8:G20,H7:H20,I6:I20,J5:T20)</f>
        <v>0.35293964375464287</v>
      </c>
    </row>
    <row r="33" spans="8:10">
      <c r="H33" s="1" t="s">
        <v>346</v>
      </c>
      <c r="I33" s="1">
        <v>4.5</v>
      </c>
      <c r="J33" s="1">
        <f>1-J32</f>
        <v>0.64706035624535718</v>
      </c>
    </row>
    <row r="34" spans="8:10">
      <c r="H34" s="1" t="s">
        <v>345</v>
      </c>
      <c r="I34" s="1">
        <v>5</v>
      </c>
      <c r="J34" s="1">
        <f>SUM(E11:E20,F10:F20,G9:G20,H8:H20,I7:I20,J6:J20,K5:T20)</f>
        <v>0.20046089145222398</v>
      </c>
    </row>
    <row r="35" spans="8:10">
      <c r="H35" s="1" t="s">
        <v>348</v>
      </c>
      <c r="I35" s="1">
        <v>5</v>
      </c>
      <c r="J35" s="1">
        <f>SUM(E10,F9,G8,H7,I6,J5)</f>
        <v>0.152478752302419</v>
      </c>
    </row>
    <row r="36" spans="8:10">
      <c r="H36" s="1" t="s">
        <v>346</v>
      </c>
      <c r="I36" s="1">
        <v>5</v>
      </c>
      <c r="J36" s="1">
        <f>SUM(E5:E9,F5:F8,G5:G7,H5:H6,I5)</f>
        <v>0.64706035547908181</v>
      </c>
    </row>
    <row r="37" spans="8:10">
      <c r="H37" s="1" t="s">
        <v>345</v>
      </c>
      <c r="I37" s="1">
        <v>5.5</v>
      </c>
      <c r="J37" s="1">
        <f>SUM(E11:E20,F10:F20,G9:G20,H8:H20,I7:I20,J6:J20,K5:T20)</f>
        <v>0.20046089145222398</v>
      </c>
    </row>
    <row r="38" spans="8:10">
      <c r="H38" s="1" t="s">
        <v>346</v>
      </c>
      <c r="I38" s="1">
        <v>5.5</v>
      </c>
      <c r="J38" s="1">
        <f>1-J37</f>
        <v>0.79953910854777599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0.10117974493133612</v>
      </c>
    </row>
    <row r="40" spans="8:10">
      <c r="H40" s="1" t="s">
        <v>348</v>
      </c>
      <c r="I40" s="1">
        <v>6</v>
      </c>
      <c r="J40" s="1">
        <f>SUM(E11,F10,G9,H8,I7,J6,K5)</f>
        <v>9.9281146520888056E-2</v>
      </c>
    </row>
    <row r="41" spans="8:10">
      <c r="H41" s="1" t="s">
        <v>346</v>
      </c>
      <c r="I41" s="1">
        <v>6</v>
      </c>
      <c r="J41" s="1">
        <f>SUM(E5:E10,F5:F9,G5:G8,H5:H7,I5:I6,J5)</f>
        <v>0.79953910778150072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0.10117974493133612</v>
      </c>
    </row>
    <row r="43" spans="8:10">
      <c r="H43" s="1" t="s">
        <v>346</v>
      </c>
      <c r="I43" s="1">
        <v>6.5</v>
      </c>
      <c r="J43" s="1">
        <f>1-J42</f>
        <v>0.89882025506866392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Innings'!$G$22, FALSE) * _xlfn.POISSON.DIST(E$4, 'First 5 Innings'!$G$21, FALSE)</f>
        <v>7.402755106803602E-3</v>
      </c>
      <c r="F5" s="1">
        <f>_xlfn.POISSON.DIST($D5,'First 5 Innings'!$G$22, FALSE) * _xlfn.POISSON.DIST(F$4, 'First 5 Innings'!$G$21, FALSE)</f>
        <v>1.6657492329170936E-2</v>
      </c>
      <c r="G5" s="1">
        <f>_xlfn.POISSON.DIST($D5,'First 5 Innings'!$G$22, FALSE) * _xlfn.POISSON.DIST(G$4, 'First 5 Innings'!$G$21, FALSE)</f>
        <v>1.8741133989517912E-2</v>
      </c>
      <c r="H5" s="1">
        <f>_xlfn.POISSON.DIST($D5,'First 5 Innings'!$G$22, FALSE) * _xlfn.POISSON.DIST(H$4, 'First 5 Innings'!$G$21, FALSE)</f>
        <v>1.4056941916280411E-2</v>
      </c>
      <c r="I5" s="1">
        <f>_xlfn.POISSON.DIST($D5,'First 5 Innings'!$G$22, FALSE) * _xlfn.POISSON.DIST(I$4, 'First 5 Innings'!$G$21, FALSE)</f>
        <v>7.9076438016584052E-3</v>
      </c>
      <c r="J5" s="1">
        <f>_xlfn.POISSON.DIST($D5,'First 5 Innings'!$G$22, FALSE) * _xlfn.POISSON.DIST(J$4, 'First 5 Innings'!$G$21, FALSE)</f>
        <v>3.5587160203876117E-3</v>
      </c>
      <c r="K5" s="1">
        <f>_xlfn.POISSON.DIST($D5,'First 5 Innings'!$G$22, FALSE) * _xlfn.POISSON.DIST(K$4, 'First 5 Innings'!$G$21, FALSE)</f>
        <v>1.3346221318065504E-3</v>
      </c>
      <c r="L5" s="1">
        <f>_xlfn.POISSON.DIST($D5,'First 5 Innings'!$G$22, FALSE) * _xlfn.POISSON.DIST(L$4, 'First 5 Innings'!$G$21, FALSE)</f>
        <v>4.2901899557595168E-4</v>
      </c>
      <c r="M5" s="1">
        <f>_xlfn.POISSON.DIST($D5,'First 5 Innings'!$G$22, FALSE) * _xlfn.POISSON.DIST(M$4, 'First 5 Innings'!$G$21, FALSE)</f>
        <v>1.2067096176981232E-4</v>
      </c>
      <c r="N5" s="1">
        <f>_xlfn.POISSON.DIST($D5,'First 5 Innings'!$G$22, FALSE) * _xlfn.POISSON.DIST(N$4, 'First 5 Innings'!$G$21, FALSE)</f>
        <v>3.0170082940350701E-5</v>
      </c>
      <c r="O5" s="1">
        <f>_xlfn.POISSON.DIST($D5,'First 5 Innings'!$G$22, FALSE) * _xlfn.POISSON.DIST(O$4, 'First 5 Innings'!$G$21, FALSE)</f>
        <v>6.7887957645317677E-6</v>
      </c>
      <c r="P5" s="1">
        <f>_xlfn.POISSON.DIST($D5,'First 5 Innings'!$G$22, FALSE) * _xlfn.POISSON.DIST(P$4, 'First 5 Innings'!$G$21, FALSE)</f>
        <v>1.3887251403573501E-6</v>
      </c>
      <c r="Q5" s="1">
        <f>_xlfn.POISSON.DIST($D5,'First 5 Innings'!$G$22, FALSE) * _xlfn.POISSON.DIST(Q$4, 'First 5 Innings'!$G$21, FALSE)</f>
        <v>2.6040618255277424E-7</v>
      </c>
      <c r="R5" s="1">
        <f>_xlfn.POISSON.DIST($D5,'First 5 Innings'!$G$22, FALSE) * _xlfn.POISSON.DIST(R$4, 'First 5 Innings'!$G$21, FALSE)</f>
        <v>4.5073800494742587E-8</v>
      </c>
      <c r="S5" s="1">
        <f>_xlfn.POISSON.DIST($D5,'First 5 Innings'!$G$22, FALSE) * _xlfn.POISSON.DIST(S$4, 'First 5 Innings'!$G$21, FALSE)</f>
        <v>7.244566141305457E-9</v>
      </c>
      <c r="T5" s="1">
        <f>_xlfn.POISSON.DIST($D5,'First 5 Innings'!$G$22, FALSE) * _xlfn.POISSON.DIST(T$4, 'First 5 Innings'!$G$21, FALSE)</f>
        <v>1.0867693013020536E-9</v>
      </c>
    </row>
    <row r="6" spans="2:20">
      <c r="B6" s="377"/>
      <c r="C6" s="377"/>
      <c r="D6" s="1">
        <v>1</v>
      </c>
      <c r="E6" s="1">
        <f>_xlfn.POISSON.DIST($D6,'First 5 Innings'!$G$22, FALSE) * _xlfn.POISSON.DIST(E$4, 'First 5 Innings'!$G$21, FALSE)</f>
        <v>1.9659706426523597E-2</v>
      </c>
      <c r="F6" s="1">
        <f>_xlfn.POISSON.DIST($D6,'First 5 Innings'!$G$22, FALSE) * _xlfn.POISSON.DIST(F$4, 'First 5 Innings'!$G$21, FALSE)</f>
        <v>4.4237774216331044E-2</v>
      </c>
      <c r="G6" s="1">
        <f>_xlfn.POISSON.DIST($D6,'First 5 Innings'!$G$22, FALSE) * _xlfn.POISSON.DIST(G$4, 'First 5 Innings'!$G$21, FALSE)</f>
        <v>4.9771360394650986E-2</v>
      </c>
      <c r="H6" s="1">
        <f>_xlfn.POISSON.DIST($D6,'First 5 Innings'!$G$22, FALSE) * _xlfn.POISSON.DIST(H$4, 'First 5 Innings'!$G$21, FALSE)</f>
        <v>3.7331418821997614E-2</v>
      </c>
      <c r="I6" s="1">
        <f>_xlfn.POISSON.DIST($D6,'First 5 Innings'!$G$22, FALSE) * _xlfn.POISSON.DIST(I$4, 'First 5 Innings'!$G$21, FALSE)</f>
        <v>2.1000553634854653E-2</v>
      </c>
      <c r="J6" s="1">
        <f>_xlfn.POISSON.DIST($D6,'First 5 Innings'!$G$22, FALSE) * _xlfn.POISSON.DIST(J$4, 'First 5 Innings'!$G$21, FALSE)</f>
        <v>9.4509829390257809E-3</v>
      </c>
      <c r="K6" s="1">
        <f>_xlfn.POISSON.DIST($D6,'First 5 Innings'!$G$22, FALSE) * _xlfn.POISSON.DIST(K$4, 'First 5 Innings'!$G$21, FALSE)</f>
        <v>3.5443937997547991E-3</v>
      </c>
      <c r="L6" s="1">
        <f>_xlfn.POISSON.DIST($D6,'First 5 Innings'!$G$22, FALSE) * _xlfn.POISSON.DIST(L$4, 'First 5 Innings'!$G$21, FALSE)</f>
        <v>1.1393578988819308E-3</v>
      </c>
      <c r="M6" s="1">
        <f>_xlfn.POISSON.DIST($D6,'First 5 Innings'!$G$22, FALSE) * _xlfn.POISSON.DIST(M$4, 'First 5 Innings'!$G$21, FALSE)</f>
        <v>3.2046929128054193E-4</v>
      </c>
      <c r="N6" s="1">
        <f>_xlfn.POISSON.DIST($D6,'First 5 Innings'!$G$22, FALSE) * _xlfn.POISSON.DIST(N$4, 'First 5 Innings'!$G$21, FALSE)</f>
        <v>8.0123543858155442E-5</v>
      </c>
      <c r="O6" s="1">
        <f>_xlfn.POISSON.DIST($D6,'First 5 Innings'!$G$22, FALSE) * _xlfn.POISSON.DIST(O$4, 'First 5 Innings'!$G$21, FALSE)</f>
        <v>1.8029197210327529E-5</v>
      </c>
      <c r="P6" s="1">
        <f>_xlfn.POISSON.DIST($D6,'First 5 Innings'!$G$22, FALSE) * _xlfn.POISSON.DIST(P$4, 'First 5 Innings'!$G$21, FALSE)</f>
        <v>3.6880766920772613E-6</v>
      </c>
      <c r="Q6" s="1">
        <f>_xlfn.POISSON.DIST($D6,'First 5 Innings'!$G$22, FALSE) * _xlfn.POISSON.DIST(Q$4, 'First 5 Innings'!$G$21, FALSE)</f>
        <v>6.9156807523378681E-7</v>
      </c>
      <c r="R6" s="1">
        <f>_xlfn.POISSON.DIST($D6,'First 5 Innings'!$G$22, FALSE) * _xlfn.POISSON.DIST(R$4, 'First 5 Innings'!$G$21, FALSE)</f>
        <v>1.1970376872793165E-7</v>
      </c>
      <c r="S6" s="1">
        <f>_xlfn.POISSON.DIST($D6,'First 5 Innings'!$G$22, FALSE) * _xlfn.POISSON.DIST(S$4, 'First 5 Innings'!$G$21, FALSE)</f>
        <v>1.92395995100121E-8</v>
      </c>
      <c r="T6" s="1">
        <f>_xlfn.POISSON.DIST($D6,'First 5 Innings'!$G$22, FALSE) * _xlfn.POISSON.DIST(T$4, 'First 5 Innings'!$G$21, FALSE)</f>
        <v>2.8861640171400818E-9</v>
      </c>
    </row>
    <row r="7" spans="2:20">
      <c r="B7" s="377"/>
      <c r="C7" s="377"/>
      <c r="D7" s="1">
        <v>2</v>
      </c>
      <c r="E7" s="1">
        <f>_xlfn.POISSON.DIST($D7,'First 5 Innings'!$G$22, FALSE) * _xlfn.POISSON.DIST(E$4, 'First 5 Innings'!$G$21, FALSE)</f>
        <v>2.6105419617479413E-2</v>
      </c>
      <c r="F7" s="1">
        <f>_xlfn.POISSON.DIST($D7,'First 5 Innings'!$G$22, FALSE) * _xlfn.POISSON.DIST(F$4, 'First 5 Innings'!$G$21, FALSE)</f>
        <v>5.8741755029596512E-2</v>
      </c>
      <c r="G7" s="1">
        <f>_xlfn.POISSON.DIST($D7,'First 5 Innings'!$G$22, FALSE) * _xlfn.POISSON.DIST(G$4, 'First 5 Innings'!$G$21, FALSE)</f>
        <v>6.6089605808265062E-2</v>
      </c>
      <c r="H7" s="1">
        <f>_xlfn.POISSON.DIST($D7,'First 5 Innings'!$G$22, FALSE) * _xlfn.POISSON.DIST(H$4, 'First 5 Innings'!$G$21, FALSE)</f>
        <v>4.9571053205011949E-2</v>
      </c>
      <c r="I7" s="1">
        <f>_xlfn.POISSON.DIST($D7,'First 5 Innings'!$G$22, FALSE) * _xlfn.POISSON.DIST(I$4, 'First 5 Innings'!$G$21, FALSE)</f>
        <v>2.7885882573385191E-2</v>
      </c>
      <c r="J7" s="1">
        <f>_xlfn.POISSON.DIST($D7,'First 5 Innings'!$G$22, FALSE) * _xlfn.POISSON.DIST(J$4, 'First 5 Innings'!$G$21, FALSE)</f>
        <v>1.2549621549182734E-2</v>
      </c>
      <c r="K7" s="1">
        <f>_xlfn.POISSON.DIST($D7,'First 5 Innings'!$G$22, FALSE) * _xlfn.POISSON.DIST(K$4, 'First 5 Innings'!$G$21, FALSE)</f>
        <v>4.7064735060010215E-3</v>
      </c>
      <c r="L7" s="1">
        <f>_xlfn.POISSON.DIST($D7,'First 5 Innings'!$G$22, FALSE) * _xlfn.POISSON.DIST(L$4, 'First 5 Innings'!$G$21, FALSE)</f>
        <v>1.5129125226750384E-3</v>
      </c>
      <c r="M7" s="1">
        <f>_xlfn.POISSON.DIST($D7,'First 5 Innings'!$G$22, FALSE) * _xlfn.POISSON.DIST(M$4, 'First 5 Innings'!$G$21, FALSE)</f>
        <v>4.2553968721058516E-4</v>
      </c>
      <c r="N7" s="1">
        <f>_xlfn.POISSON.DIST($D7,'First 5 Innings'!$G$22, FALSE) * _xlfn.POISSON.DIST(N$4, 'First 5 Innings'!$G$21, FALSE)</f>
        <v>1.0639318249608923E-4</v>
      </c>
      <c r="O7" s="1">
        <f>_xlfn.POISSON.DIST($D7,'First 5 Innings'!$G$22, FALSE) * _xlfn.POISSON.DIST(O$4, 'First 5 Innings'!$G$21, FALSE)</f>
        <v>2.3940324861967714E-5</v>
      </c>
      <c r="P7" s="1">
        <f>_xlfn.POISSON.DIST($D7,'First 5 Innings'!$G$22, FALSE) * _xlfn.POISSON.DIST(P$4, 'First 5 Innings'!$G$21, FALSE)</f>
        <v>4.8972648695419597E-6</v>
      </c>
      <c r="Q7" s="1">
        <f>_xlfn.POISSON.DIST($D7,'First 5 Innings'!$G$22, FALSE) * _xlfn.POISSON.DIST(Q$4, 'First 5 Innings'!$G$21, FALSE)</f>
        <v>9.18308463328513E-7</v>
      </c>
      <c r="R7" s="1">
        <f>_xlfn.POISSON.DIST($D7,'First 5 Innings'!$G$22, FALSE) * _xlfn.POISSON.DIST(R$4, 'First 5 Innings'!$G$21, FALSE)</f>
        <v>1.5895034466132365E-7</v>
      </c>
      <c r="S7" s="1">
        <f>_xlfn.POISSON.DIST($D7,'First 5 Innings'!$G$22, FALSE) * _xlfn.POISSON.DIST(S$4, 'First 5 Innings'!$G$21, FALSE)</f>
        <v>2.5547574698445324E-8</v>
      </c>
      <c r="T7" s="1">
        <f>_xlfn.POISSON.DIST($D7,'First 5 Innings'!$G$22, FALSE) * _xlfn.POISSON.DIST(T$4, 'First 5 Innings'!$G$21, FALSE)</f>
        <v>3.832433766694601E-9</v>
      </c>
    </row>
    <row r="8" spans="2:20">
      <c r="B8" s="377"/>
      <c r="C8" s="377"/>
      <c r="D8" s="1">
        <v>3</v>
      </c>
      <c r="E8" s="1">
        <f>_xlfn.POISSON.DIST($D8,'First 5 Innings'!$G$22, FALSE) * _xlfn.POISSON.DIST(E$4, 'First 5 Innings'!$G$21, FALSE)</f>
        <v>2.3109634112177542E-2</v>
      </c>
      <c r="F8" s="1">
        <f>_xlfn.POISSON.DIST($D8,'First 5 Innings'!$G$22, FALSE) * _xlfn.POISSON.DIST(F$4, 'First 5 Innings'!$G$21, FALSE)</f>
        <v>5.2000714247557943E-2</v>
      </c>
      <c r="G8" s="1">
        <f>_xlfn.POISSON.DIST($D8,'First 5 Innings'!$G$22, FALSE) * _xlfn.POISSON.DIST(G$4, 'First 5 Innings'!$G$21, FALSE)</f>
        <v>5.850534606325232E-2</v>
      </c>
      <c r="H8" s="1">
        <f>_xlfn.POISSON.DIST($D8,'First 5 Innings'!$G$22, FALSE) * _xlfn.POISSON.DIST(H$4, 'First 5 Innings'!$G$21, FALSE)</f>
        <v>4.3882416713044256E-2</v>
      </c>
      <c r="I8" s="1">
        <f>_xlfn.POISSON.DIST($D8,'First 5 Innings'!$G$22, FALSE) * _xlfn.POISSON.DIST(I$4, 'First 5 Innings'!$G$21, FALSE)</f>
        <v>2.4685776080557109E-2</v>
      </c>
      <c r="J8" s="1">
        <f>_xlfn.POISSON.DIST($D8,'First 5 Innings'!$G$22, FALSE) * _xlfn.POISSON.DIST(J$4, 'First 5 Innings'!$G$21, FALSE)</f>
        <v>1.1109461808984859E-2</v>
      </c>
      <c r="K8" s="1">
        <f>_xlfn.POISSON.DIST($D8,'First 5 Innings'!$G$22, FALSE) * _xlfn.POISSON.DIST(K$4, 'First 5 Innings'!$G$21, FALSE)</f>
        <v>4.1663716682613788E-3</v>
      </c>
      <c r="L8" s="1">
        <f>_xlfn.POISSON.DIST($D8,'First 5 Innings'!$G$22, FALSE) * _xlfn.POISSON.DIST(L$4, 'First 5 Innings'!$G$21, FALSE)</f>
        <v>1.3392948803374743E-3</v>
      </c>
      <c r="M8" s="1">
        <f>_xlfn.POISSON.DIST($D8,'First 5 Innings'!$G$22, FALSE) * _xlfn.POISSON.DIST(M$4, 'First 5 Innings'!$G$21, FALSE)</f>
        <v>3.7670593370054474E-4</v>
      </c>
      <c r="N8" s="1">
        <f>_xlfn.POISSON.DIST($D8,'First 5 Innings'!$G$22, FALSE) * _xlfn.POISSON.DIST(N$4, 'First 5 Innings'!$G$21, FALSE)</f>
        <v>9.4183796144325395E-5</v>
      </c>
      <c r="O8" s="1">
        <f>_xlfn.POISSON.DIST($D8,'First 5 Innings'!$G$22, FALSE) * _xlfn.POISSON.DIST(O$4, 'First 5 Innings'!$G$21, FALSE)</f>
        <v>2.1192999622051661E-5</v>
      </c>
      <c r="P8" s="1">
        <f>_xlfn.POISSON.DIST($D8,'First 5 Innings'!$G$22, FALSE) * _xlfn.POISSON.DIST(P$4, 'First 5 Innings'!$G$21, FALSE)</f>
        <v>4.3352683444229186E-6</v>
      </c>
      <c r="Q8" s="1">
        <f>_xlfn.POISSON.DIST($D8,'First 5 Innings'!$G$22, FALSE) * _xlfn.POISSON.DIST(Q$4, 'First 5 Innings'!$G$21, FALSE)</f>
        <v>8.1292593264536047E-7</v>
      </c>
      <c r="R8" s="1">
        <f>_xlfn.POISSON.DIST($D8,'First 5 Innings'!$G$22, FALSE) * _xlfn.POISSON.DIST(R$4, 'First 5 Innings'!$G$21, FALSE)</f>
        <v>1.4070964424062276E-7</v>
      </c>
      <c r="S8" s="1">
        <f>_xlfn.POISSON.DIST($D8,'First 5 Innings'!$G$22, FALSE) * _xlfn.POISSON.DIST(S$4, 'First 5 Innings'!$G$21, FALSE)</f>
        <v>2.2615805927872729E-8</v>
      </c>
      <c r="T8" s="1">
        <f>_xlfn.POISSON.DIST($D8,'First 5 Innings'!$G$22, FALSE) * _xlfn.POISSON.DIST(T$4, 'First 5 Innings'!$G$21, FALSE)</f>
        <v>3.3926343037276963E-9</v>
      </c>
    </row>
    <row r="9" spans="2:20">
      <c r="B9" s="377"/>
      <c r="C9" s="377"/>
      <c r="D9" s="1">
        <v>4</v>
      </c>
      <c r="E9" s="1">
        <f>_xlfn.POISSON.DIST($D9,'First 5 Innings'!$G$22, FALSE) * _xlfn.POISSON.DIST(E$4, 'First 5 Innings'!$G$21, FALSE)</f>
        <v>1.5343227477977383E-2</v>
      </c>
      <c r="F9" s="1">
        <f>_xlfn.POISSON.DIST($D9,'First 5 Innings'!$G$22, FALSE) * _xlfn.POISSON.DIST(F$4, 'First 5 Innings'!$G$21, FALSE)</f>
        <v>3.4524942448013581E-2</v>
      </c>
      <c r="G9" s="1">
        <f>_xlfn.POISSON.DIST($D9,'First 5 Innings'!$G$22, FALSE) * _xlfn.POISSON.DIST(G$4, 'First 5 Innings'!$G$21, FALSE)</f>
        <v>3.8843576188566729E-2</v>
      </c>
      <c r="H9" s="1">
        <f>_xlfn.POISSON.DIST($D9,'First 5 Innings'!$G$22, FALSE) * _xlfn.POISSON.DIST(H$4, 'First 5 Innings'!$G$21, FALSE)</f>
        <v>2.9134944267977077E-2</v>
      </c>
      <c r="I9" s="1">
        <f>_xlfn.POISSON.DIST($D9,'First 5 Innings'!$G$22, FALSE) * _xlfn.POISSON.DIST(I$4, 'First 5 Innings'!$G$21, FALSE)</f>
        <v>1.6389678695726936E-2</v>
      </c>
      <c r="J9" s="1">
        <f>_xlfn.POISSON.DIST($D9,'First 5 Innings'!$G$22, FALSE) * _xlfn.POISSON.DIST(J$4, 'First 5 Innings'!$G$21, FALSE)</f>
        <v>7.3759281027879261E-3</v>
      </c>
      <c r="K9" s="1">
        <f>_xlfn.POISSON.DIST($D9,'First 5 Innings'!$G$22, FALSE) * _xlfn.POISSON.DIST(K$4, 'First 5 Innings'!$G$21, FALSE)</f>
        <v>2.766187813862838E-3</v>
      </c>
      <c r="L9" s="1">
        <f>_xlfn.POISSON.DIST($D9,'First 5 Innings'!$G$22, FALSE) * _xlfn.POISSON.DIST(L$4, 'First 5 Innings'!$G$21, FALSE)</f>
        <v>8.8920083759699549E-4</v>
      </c>
      <c r="M9" s="1">
        <f>_xlfn.POISSON.DIST($D9,'First 5 Innings'!$G$22, FALSE) * _xlfn.POISSON.DIST(M$4, 'First 5 Innings'!$G$21, FALSE)</f>
        <v>2.5010715466177087E-4</v>
      </c>
      <c r="N9" s="1">
        <f>_xlfn.POISSON.DIST($D9,'First 5 Innings'!$G$22, FALSE) * _xlfn.POISSON.DIST(N$4, 'First 5 Innings'!$G$21, FALSE)</f>
        <v>6.2531643814315175E-5</v>
      </c>
      <c r="O9" s="1">
        <f>_xlfn.POISSON.DIST($D9,'First 5 Innings'!$G$22, FALSE) * _xlfn.POISSON.DIST(O$4, 'First 5 Innings'!$G$21, FALSE)</f>
        <v>1.407071235154176E-5</v>
      </c>
      <c r="P9" s="1">
        <f>_xlfn.POISSON.DIST($D9,'First 5 Innings'!$G$22, FALSE) * _xlfn.POISSON.DIST(P$4, 'First 5 Innings'!$G$21, FALSE)</f>
        <v>2.878323735619178E-6</v>
      </c>
      <c r="Q9" s="1">
        <f>_xlfn.POISSON.DIST($D9,'First 5 Innings'!$G$22, FALSE) * _xlfn.POISSON.DIST(Q$4, 'First 5 Innings'!$G$21, FALSE)</f>
        <v>5.3972760653757526E-7</v>
      </c>
      <c r="R9" s="1">
        <f>_xlfn.POISSON.DIST($D9,'First 5 Innings'!$G$22, FALSE) * _xlfn.POISSON.DIST(R$4, 'First 5 Innings'!$G$21, FALSE)</f>
        <v>9.3421646982783649E-8</v>
      </c>
      <c r="S9" s="1">
        <f>_xlfn.POISSON.DIST($D9,'First 5 Innings'!$G$22, FALSE) * _xlfn.POISSON.DIST(S$4, 'First 5 Innings'!$G$21, FALSE)</f>
        <v>1.5015359103686131E-8</v>
      </c>
      <c r="T9" s="1">
        <f>_xlfn.POISSON.DIST($D9,'First 5 Innings'!$G$22, FALSE) * _xlfn.POISSON.DIST(T$4, 'First 5 Innings'!$G$21, FALSE)</f>
        <v>2.2524787549212561E-9</v>
      </c>
    </row>
    <row r="10" spans="2:20">
      <c r="B10" s="377"/>
      <c r="C10" s="377"/>
      <c r="D10" s="1">
        <v>5</v>
      </c>
      <c r="E10" s="1">
        <f>_xlfn.POISSON.DIST($D10,'First 5 Innings'!$G$22, FALSE) * _xlfn.POISSON.DIST(E$4, 'First 5 Innings'!$G$21, FALSE)</f>
        <v>8.1494887646675254E-3</v>
      </c>
      <c r="F10" s="1">
        <f>_xlfn.POISSON.DIST($D10,'First 5 Innings'!$G$22, FALSE) * _xlfn.POISSON.DIST(F$4, 'First 5 Innings'!$G$21, FALSE)</f>
        <v>1.8337773521557011E-2</v>
      </c>
      <c r="G10" s="1">
        <f>_xlfn.POISSON.DIST($D10,'First 5 Innings'!$G$22, FALSE) * _xlfn.POISSON.DIST(G$4, 'First 5 Innings'!$G$21, FALSE)</f>
        <v>2.0631597112315082E-2</v>
      </c>
      <c r="H10" s="1">
        <f>_xlfn.POISSON.DIST($D10,'First 5 Innings'!$G$22, FALSE) * _xlfn.POISSON.DIST(H$4, 'First 5 Innings'!$G$21, FALSE)</f>
        <v>1.5474899352948492E-2</v>
      </c>
      <c r="I10" s="1">
        <f>_xlfn.POISSON.DIST($D10,'First 5 Innings'!$G$22, FALSE) * _xlfn.POISSON.DIST(I$4, 'First 5 Innings'!$G$21, FALSE)</f>
        <v>8.7053067927886103E-3</v>
      </c>
      <c r="J10" s="1">
        <f>_xlfn.POISSON.DIST($D10,'First 5 Innings'!$G$22, FALSE) * _xlfn.POISSON.DIST(J$4, 'First 5 Innings'!$G$21, FALSE)</f>
        <v>3.9176922384122573E-3</v>
      </c>
      <c r="K10" s="1">
        <f>_xlfn.POISSON.DIST($D10,'First 5 Innings'!$G$22, FALSE) * _xlfn.POISSON.DIST(K$4, 'First 5 Innings'!$G$21, FALSE)</f>
        <v>1.4692486663834012E-3</v>
      </c>
      <c r="L10" s="1">
        <f>_xlfn.POISSON.DIST($D10,'First 5 Innings'!$G$22, FALSE) * _xlfn.POISSON.DIST(L$4, 'First 5 Innings'!$G$21, FALSE)</f>
        <v>4.7229517035648751E-4</v>
      </c>
      <c r="M10" s="1">
        <f>_xlfn.POISSON.DIST($D10,'First 5 Innings'!$G$22, FALSE) * _xlfn.POISSON.DIST(M$4, 'First 5 Innings'!$G$21, FALSE)</f>
        <v>1.3284333102697089E-4</v>
      </c>
      <c r="N10" s="1">
        <f>_xlfn.POISSON.DIST($D10,'First 5 Innings'!$G$22, FALSE) * _xlfn.POISSON.DIST(N$4, 'First 5 Innings'!$G$21, FALSE)</f>
        <v>3.3213411548020084E-5</v>
      </c>
      <c r="O10" s="1">
        <f>_xlfn.POISSON.DIST($D10,'First 5 Innings'!$G$22, FALSE) * _xlfn.POISSON.DIST(O$4, 'First 5 Innings'!$G$21, FALSE)</f>
        <v>7.4735978713961153E-6</v>
      </c>
      <c r="P10" s="1">
        <f>_xlfn.POISSON.DIST($D10,'First 5 Innings'!$G$22, FALSE) * _xlfn.POISSON.DIST(P$4, 'First 5 Innings'!$G$21, FALSE)</f>
        <v>1.5288091751342886E-6</v>
      </c>
      <c r="Q10" s="1">
        <f>_xlfn.POISSON.DIST($D10,'First 5 Innings'!$G$22, FALSE) * _xlfn.POISSON.DIST(Q$4, 'First 5 Innings'!$G$21, FALSE)</f>
        <v>2.8667397858580771E-7</v>
      </c>
      <c r="R10" s="1">
        <f>_xlfn.POISSON.DIST($D10,'First 5 Innings'!$G$22, FALSE) * _xlfn.POISSON.DIST(R$4, 'First 5 Innings'!$G$21, FALSE)</f>
        <v>4.9620502828085196E-8</v>
      </c>
      <c r="S10" s="1">
        <f>_xlfn.POISSON.DIST($D10,'First 5 Innings'!$G$22, FALSE) * _xlfn.POISSON.DIST(S$4, 'First 5 Innings'!$G$21, FALSE)</f>
        <v>7.9753428989159107E-9</v>
      </c>
      <c r="T10" s="1">
        <f>_xlfn.POISSON.DIST($D10,'First 5 Innings'!$G$22, FALSE) * _xlfn.POISSON.DIST(T$4, 'First 5 Innings'!$G$21, FALSE)</f>
        <v>1.1963943265672628E-9</v>
      </c>
    </row>
    <row r="11" spans="2:20">
      <c r="B11" s="377"/>
      <c r="C11" s="377"/>
      <c r="D11" s="1">
        <v>6</v>
      </c>
      <c r="E11" s="1">
        <f>_xlfn.POISSON.DIST($D11,'First 5 Innings'!$G$22, FALSE) * _xlfn.POISSON.DIST(E$4, 'First 5 Innings'!$G$21, FALSE)</f>
        <v>3.6071380255973157E-3</v>
      </c>
      <c r="F11" s="1">
        <f>_xlfn.POISSON.DIST($D11,'First 5 Innings'!$G$22, FALSE) * _xlfn.POISSON.DIST(F$4, 'First 5 Innings'!$G$21, FALSE)</f>
        <v>8.1166907623926865E-3</v>
      </c>
      <c r="G11" s="1">
        <f>_xlfn.POISSON.DIST($D11,'First 5 Innings'!$G$22, FALSE) * _xlfn.POISSON.DIST(G$4, 'First 5 Innings'!$G$21, FALSE)</f>
        <v>9.1319861431420294E-3</v>
      </c>
      <c r="H11" s="1">
        <f>_xlfn.POISSON.DIST($D11,'First 5 Innings'!$G$22, FALSE) * _xlfn.POISSON.DIST(H$4, 'First 5 Innings'!$G$21, FALSE)</f>
        <v>6.8495214252361864E-3</v>
      </c>
      <c r="I11" s="1">
        <f>_xlfn.POISSON.DIST($D11,'First 5 Innings'!$G$22, FALSE) * _xlfn.POISSON.DIST(I$4, 'First 5 Innings'!$G$21, FALSE)</f>
        <v>3.8531549724812072E-3</v>
      </c>
      <c r="J11" s="1">
        <f>_xlfn.POISSON.DIST($D11,'First 5 Innings'!$G$22, FALSE) * _xlfn.POISSON.DIST(J$4, 'First 5 Innings'!$G$21, FALSE)</f>
        <v>1.7340543749238292E-3</v>
      </c>
      <c r="K11" s="1">
        <f>_xlfn.POISSON.DIST($D11,'First 5 Innings'!$G$22, FALSE) * _xlfn.POISSON.DIST(K$4, 'First 5 Innings'!$G$21, FALSE)</f>
        <v>6.503208835070927E-4</v>
      </c>
      <c r="L11" s="1">
        <f>_xlfn.POISSON.DIST($D11,'First 5 Innings'!$G$22, FALSE) * _xlfn.POISSON.DIST(L$4, 'First 5 Innings'!$G$21, FALSE)</f>
        <v>2.0904794368022559E-4</v>
      </c>
      <c r="M11" s="1">
        <f>_xlfn.POISSON.DIST($D11,'First 5 Innings'!$G$22, FALSE) * _xlfn.POISSON.DIST(M$4, 'First 5 Innings'!$G$21, FALSE)</f>
        <v>5.8799299518262186E-5</v>
      </c>
      <c r="N11" s="1">
        <f>_xlfn.POISSON.DIST($D11,'First 5 Innings'!$G$22, FALSE) * _xlfn.POISSON.DIST(N$4, 'First 5 Innings'!$G$21, FALSE)</f>
        <v>1.4700966307739176E-5</v>
      </c>
      <c r="O11" s="1">
        <f>_xlfn.POISSON.DIST($D11,'First 5 Innings'!$G$22, FALSE) * _xlfn.POISSON.DIST(O$4, 'First 5 Innings'!$G$21, FALSE)</f>
        <v>3.3079742605223285E-6</v>
      </c>
      <c r="P11" s="1">
        <f>_xlfn.POISSON.DIST($D11,'First 5 Innings'!$G$22, FALSE) * _xlfn.POISSON.DIST(P$4, 'First 5 Innings'!$G$21, FALSE)</f>
        <v>6.7668363853912722E-7</v>
      </c>
      <c r="Q11" s="1">
        <f>_xlfn.POISSON.DIST($D11,'First 5 Innings'!$G$22, FALSE) * _xlfn.POISSON.DIST(Q$4, 'First 5 Innings'!$G$21, FALSE)</f>
        <v>1.2688803420275953E-7</v>
      </c>
      <c r="R11" s="1">
        <f>_xlfn.POISSON.DIST($D11,'First 5 Innings'!$G$22, FALSE) * _xlfn.POISSON.DIST(R$4, 'First 5 Innings'!$G$21, FALSE)</f>
        <v>2.1963095817305224E-8</v>
      </c>
      <c r="S11" s="1">
        <f>_xlfn.POISSON.DIST($D11,'First 5 Innings'!$G$22, FALSE) * _xlfn.POISSON.DIST(S$4, 'First 5 Innings'!$G$21, FALSE)</f>
        <v>3.5300573408460621E-9</v>
      </c>
      <c r="T11" s="1">
        <f>_xlfn.POISSON.DIST($D11,'First 5 Innings'!$G$22, FALSE) * _xlfn.POISSON.DIST(T$4, 'First 5 Innings'!$G$21, FALSE)</f>
        <v>5.295497169932878E-10</v>
      </c>
    </row>
    <row r="12" spans="2:20">
      <c r="B12" s="377"/>
      <c r="C12" s="377"/>
      <c r="D12" s="1">
        <v>7</v>
      </c>
      <c r="E12" s="1">
        <f>_xlfn.POISSON.DIST($D12,'First 5 Innings'!$G$22, FALSE) * _xlfn.POISSON.DIST(E$4, 'First 5 Innings'!$G$21, FALSE)</f>
        <v>1.368511232836571E-3</v>
      </c>
      <c r="F12" s="1">
        <f>_xlfn.POISSON.DIST($D12,'First 5 Innings'!$G$22, FALSE) * _xlfn.POISSON.DIST(F$4, 'First 5 Innings'!$G$21, FALSE)</f>
        <v>3.0793893671301515E-3</v>
      </c>
      <c r="G12" s="1">
        <f>_xlfn.POISSON.DIST($D12,'First 5 Innings'!$G$22, FALSE) * _xlfn.POISSON.DIST(G$4, 'First 5 Innings'!$G$21, FALSE)</f>
        <v>3.4645820388113186E-3</v>
      </c>
      <c r="H12" s="1">
        <f>_xlfn.POISSON.DIST($D12,'First 5 Innings'!$G$22, FALSE) * _xlfn.POISSON.DIST(H$4, 'First 5 Innings'!$G$21, FALSE)</f>
        <v>2.5986382953666638E-3</v>
      </c>
      <c r="I12" s="1">
        <f>_xlfn.POISSON.DIST($D12,'First 5 Innings'!$G$22, FALSE) * _xlfn.POISSON.DIST(I$4, 'First 5 Innings'!$G$21, FALSE)</f>
        <v>1.461847543476642E-3</v>
      </c>
      <c r="J12" s="1">
        <f>_xlfn.POISSON.DIST($D12,'First 5 Innings'!$G$22, FALSE) * _xlfn.POISSON.DIST(J$4, 'First 5 Innings'!$G$21, FALSE)</f>
        <v>6.578824745802999E-4</v>
      </c>
      <c r="K12" s="1">
        <f>_xlfn.POISSON.DIST($D12,'First 5 Innings'!$G$22, FALSE) * _xlfn.POISSON.DIST(K$4, 'First 5 Innings'!$G$21, FALSE)</f>
        <v>2.4672508446091048E-4</v>
      </c>
      <c r="L12" s="1">
        <f>_xlfn.POISSON.DIST($D12,'First 5 Innings'!$G$22, FALSE) * _xlfn.POISSON.DIST(L$4, 'First 5 Innings'!$G$21, FALSE)</f>
        <v>7.9310649356258581E-5</v>
      </c>
      <c r="M12" s="1">
        <f>_xlfn.POISSON.DIST($D12,'First 5 Innings'!$G$22, FALSE) * _xlfn.POISSON.DIST(M$4, 'First 5 Innings'!$G$21, FALSE)</f>
        <v>2.230785218160288E-5</v>
      </c>
      <c r="N12" s="1">
        <f>_xlfn.POISSON.DIST($D12,'First 5 Innings'!$G$22, FALSE) * _xlfn.POISSON.DIST(N$4, 'First 5 Innings'!$G$21, FALSE)</f>
        <v>5.5773960915625252E-6</v>
      </c>
      <c r="O12" s="1">
        <f>_xlfn.POISSON.DIST($D12,'First 5 Innings'!$G$22, FALSE) * _xlfn.POISSON.DIST(O$4, 'First 5 Innings'!$G$21, FALSE)</f>
        <v>1.2550115635537452E-6</v>
      </c>
      <c r="P12" s="1">
        <f>_xlfn.POISSON.DIST($D12,'First 5 Innings'!$G$22, FALSE) * _xlfn.POISSON.DIST(P$4, 'First 5 Innings'!$G$21, FALSE)</f>
        <v>2.5672684378751229E-7</v>
      </c>
      <c r="Q12" s="1">
        <f>_xlfn.POISSON.DIST($D12,'First 5 Innings'!$G$22, FALSE) * _xlfn.POISSON.DIST(Q$4, 'First 5 Innings'!$G$21, FALSE)</f>
        <v>4.8140020949232362E-8</v>
      </c>
      <c r="R12" s="1">
        <f>_xlfn.POISSON.DIST($D12,'First 5 Innings'!$G$22, FALSE) * _xlfn.POISSON.DIST(R$4, 'First 5 Innings'!$G$21, FALSE)</f>
        <v>8.332573669362412E-9</v>
      </c>
      <c r="S12" s="1">
        <f>_xlfn.POISSON.DIST($D12,'First 5 Innings'!$G$22, FALSE) * _xlfn.POISSON.DIST(S$4, 'First 5 Innings'!$G$21, FALSE)</f>
        <v>1.3392676102836588E-9</v>
      </c>
      <c r="T12" s="1">
        <f>_xlfn.POISSON.DIST($D12,'First 5 Innings'!$G$22, FALSE) * _xlfn.POISSON.DIST(T$4, 'First 5 Innings'!$G$21, FALSE)</f>
        <v>2.0090574048126074E-10</v>
      </c>
    </row>
    <row r="13" spans="2:20">
      <c r="B13" s="377"/>
      <c r="C13" s="377"/>
      <c r="D13" s="1">
        <v>8</v>
      </c>
      <c r="E13" s="1">
        <f>_xlfn.POISSON.DIST($D13,'First 5 Innings'!$G$22, FALSE) * _xlfn.POISSON.DIST(E$4, 'First 5 Innings'!$G$21, FALSE)</f>
        <v>4.5429925566225831E-4</v>
      </c>
      <c r="F13" s="1">
        <f>_xlfn.POISSON.DIST($D13,'First 5 Innings'!$G$22, FALSE) * _xlfn.POISSON.DIST(F$4, 'First 5 Innings'!$G$21, FALSE)</f>
        <v>1.0222526960789414E-3</v>
      </c>
      <c r="G13" s="1">
        <f>_xlfn.POISSON.DIST($D13,'First 5 Innings'!$G$22, FALSE) * _xlfn.POISSON.DIST(G$4, 'First 5 Innings'!$G$21, FALSE)</f>
        <v>1.1501235822159853E-3</v>
      </c>
      <c r="H13" s="1">
        <f>_xlfn.POISSON.DIST($D13,'First 5 Innings'!$G$22, FALSE) * _xlfn.POISSON.DIST(H$4, 'First 5 Innings'!$G$21, FALSE)</f>
        <v>8.626596662078686E-4</v>
      </c>
      <c r="I13" s="1">
        <f>_xlfn.POISSON.DIST($D13,'First 5 Innings'!$G$22, FALSE) * _xlfn.POISSON.DIST(I$4, 'First 5 Innings'!$G$21, FALSE)</f>
        <v>4.852837411619907E-4</v>
      </c>
      <c r="J13" s="1">
        <f>_xlfn.POISSON.DIST($D13,'First 5 Innings'!$G$22, FALSE) * _xlfn.POISSON.DIST(J$4, 'First 5 Innings'!$G$21, FALSE)</f>
        <v>2.1839464035350512E-4</v>
      </c>
      <c r="K13" s="1">
        <f>_xlfn.POISSON.DIST($D13,'First 5 Innings'!$G$22, FALSE) * _xlfn.POISSON.DIST(K$4, 'First 5 Innings'!$G$21, FALSE)</f>
        <v>8.1904349437798867E-5</v>
      </c>
      <c r="L13" s="1">
        <f>_xlfn.POISSON.DIST($D13,'First 5 Innings'!$G$22, FALSE) * _xlfn.POISSON.DIST(L$4, 'First 5 Innings'!$G$21, FALSE)</f>
        <v>2.6328442254694644E-5</v>
      </c>
      <c r="M13" s="1">
        <f>_xlfn.POISSON.DIST($D13,'First 5 Innings'!$G$22, FALSE) * _xlfn.POISSON.DIST(M$4, 'First 5 Innings'!$G$21, FALSE)</f>
        <v>7.4054493659652251E-6</v>
      </c>
      <c r="N13" s="1">
        <f>_xlfn.POISSON.DIST($D13,'First 5 Innings'!$G$22, FALSE) * _xlfn.POISSON.DIST(N$4, 'First 5 Innings'!$G$21, FALSE)</f>
        <v>1.8515060981110952E-6</v>
      </c>
      <c r="O13" s="1">
        <f>_xlfn.POISSON.DIST($D13,'First 5 Innings'!$G$22, FALSE) * _xlfn.POISSON.DIST(O$4, 'First 5 Innings'!$G$21, FALSE)</f>
        <v>4.1662121982602786E-7</v>
      </c>
      <c r="P13" s="1">
        <f>_xlfn.POISSON.DIST($D13,'First 5 Innings'!$G$22, FALSE) * _xlfn.POISSON.DIST(P$4, 'First 5 Innings'!$G$21, FALSE)</f>
        <v>8.5224593881806935E-8</v>
      </c>
      <c r="Q13" s="1">
        <f>_xlfn.POISSON.DIST($D13,'First 5 Innings'!$G$22, FALSE) * _xlfn.POISSON.DIST(Q$4, 'First 5 Innings'!$G$21, FALSE)</f>
        <v>1.5980852155280421E-8</v>
      </c>
      <c r="R13" s="1">
        <f>_xlfn.POISSON.DIST($D13,'First 5 Innings'!$G$22, FALSE) * _xlfn.POISSON.DIST(R$4, 'First 5 Innings'!$G$21, FALSE)</f>
        <v>2.7661314901273755E-9</v>
      </c>
      <c r="S13" s="1">
        <f>_xlfn.POISSON.DIST($D13,'First 5 Innings'!$G$22, FALSE) * _xlfn.POISSON.DIST(S$4, 'First 5 Innings'!$G$21, FALSE)</f>
        <v>4.4459136606670202E-10</v>
      </c>
      <c r="T13" s="1">
        <f>_xlfn.POISSON.DIST($D13,'First 5 Innings'!$G$22, FALSE) * _xlfn.POISSON.DIST(T$4, 'First 5 Innings'!$G$21, FALSE)</f>
        <v>6.6693883227929117E-11</v>
      </c>
    </row>
    <row r="14" spans="2:20">
      <c r="B14" s="377"/>
      <c r="C14" s="377"/>
      <c r="D14" s="1">
        <v>9</v>
      </c>
      <c r="E14" s="1">
        <f>_xlfn.POISSON.DIST($D14,'First 5 Innings'!$G$22, FALSE) * _xlfn.POISSON.DIST(E$4, 'First 5 Innings'!$G$21, FALSE)</f>
        <v>1.3405504463090854E-4</v>
      </c>
      <c r="F14" s="1">
        <f>_xlfn.POISSON.DIST($D14,'First 5 Innings'!$G$22, FALSE) * _xlfn.POISSON.DIST(F$4, 'First 5 Innings'!$G$21, FALSE)</f>
        <v>3.0164727124010058E-4</v>
      </c>
      <c r="G14" s="1">
        <f>_xlfn.POISSON.DIST($D14,'First 5 Innings'!$G$22, FALSE) * _xlfn.POISSON.DIST(G$4, 'First 5 Innings'!$G$21, FALSE)</f>
        <v>3.3937953061417055E-4</v>
      </c>
      <c r="H14" s="1">
        <f>_xlfn.POISSON.DIST($D14,'First 5 Innings'!$G$22, FALSE) * _xlfn.POISSON.DIST(H$4, 'First 5 Innings'!$G$21, FALSE)</f>
        <v>2.5455441234698852E-4</v>
      </c>
      <c r="I14" s="1">
        <f>_xlfn.POISSON.DIST($D14,'First 5 Innings'!$G$22, FALSE) * _xlfn.POISSON.DIST(I$4, 'First 5 Innings'!$G$21, FALSE)</f>
        <v>1.4319797527577032E-4</v>
      </c>
      <c r="J14" s="1">
        <f>_xlfn.POISSON.DIST($D14,'First 5 Innings'!$G$22, FALSE) * _xlfn.POISSON.DIST(J$4, 'First 5 Innings'!$G$21, FALSE)</f>
        <v>6.4444092511359516E-5</v>
      </c>
      <c r="K14" s="1">
        <f>_xlfn.POISSON.DIST($D14,'First 5 Innings'!$G$22, FALSE) * _xlfn.POISSON.DIST(K$4, 'First 5 Innings'!$G$21, FALSE)</f>
        <v>2.4168411201431361E-5</v>
      </c>
      <c r="L14" s="1">
        <f>_xlfn.POISSON.DIST($D14,'First 5 Innings'!$G$22, FALSE) * _xlfn.POISSON.DIST(L$4, 'First 5 Innings'!$G$21, FALSE)</f>
        <v>7.7690210968325037E-6</v>
      </c>
      <c r="M14" s="1">
        <f>_xlfn.POISSON.DIST($D14,'First 5 Innings'!$G$22, FALSE) * _xlfn.POISSON.DIST(M$4, 'First 5 Innings'!$G$21, FALSE)</f>
        <v>2.1852068496551465E-6</v>
      </c>
      <c r="N14" s="1">
        <f>_xlfn.POISSON.DIST($D14,'First 5 Innings'!$G$22, FALSE) * _xlfn.POISSON.DIST(N$4, 'First 5 Innings'!$G$21, FALSE)</f>
        <v>5.4634413225014245E-7</v>
      </c>
      <c r="O14" s="1">
        <f>_xlfn.POISSON.DIST($D14,'First 5 Innings'!$G$22, FALSE) * _xlfn.POISSON.DIST(O$4, 'First 5 Innings'!$G$21, FALSE)</f>
        <v>1.2293697496058118E-7</v>
      </c>
      <c r="P14" s="1">
        <f>_xlfn.POISSON.DIST($D14,'First 5 Innings'!$G$22, FALSE) * _xlfn.POISSON.DIST(P$4, 'First 5 Innings'!$G$21, FALSE)</f>
        <v>2.5148152003511673E-8</v>
      </c>
      <c r="Q14" s="1">
        <f>_xlfn.POISSON.DIST($D14,'First 5 Innings'!$G$22, FALSE) * _xlfn.POISSON.DIST(Q$4, 'First 5 Innings'!$G$21, FALSE)</f>
        <v>4.7156446377907719E-9</v>
      </c>
      <c r="R14" s="1">
        <f>_xlfn.POISSON.DIST($D14,'First 5 Innings'!$G$22, FALSE) * _xlfn.POISSON.DIST(R$4, 'First 5 Innings'!$G$21, FALSE)</f>
        <v>8.162326390419239E-10</v>
      </c>
      <c r="S14" s="1">
        <f>_xlfn.POISSON.DIST($D14,'First 5 Innings'!$G$22, FALSE) * _xlfn.POISSON.DIST(S$4, 'First 5 Innings'!$G$21, FALSE)</f>
        <v>1.3119043158832909E-10</v>
      </c>
      <c r="T14" s="1">
        <f>_xlfn.POISSON.DIST($D14,'First 5 Innings'!$G$22, FALSE) * _xlfn.POISSON.DIST(T$4, 'First 5 Innings'!$G$21, FALSE)</f>
        <v>1.9680092761092761E-11</v>
      </c>
    </row>
    <row r="15" spans="2:20">
      <c r="B15" s="377"/>
      <c r="C15" s="377"/>
      <c r="D15" s="1">
        <v>10</v>
      </c>
      <c r="E15" s="1">
        <f>_xlfn.POISSON.DIST($D15,'First 5 Innings'!$G$22, FALSE) * _xlfn.POISSON.DIST(E$4, 'First 5 Innings'!$G$21, FALSE)</f>
        <v>3.5601377925037734E-5</v>
      </c>
      <c r="F15" s="1">
        <f>_xlfn.POISSON.DIST($D15,'First 5 Innings'!$G$22, FALSE) * _xlfn.POISSON.DIST(F$4, 'First 5 Innings'!$G$21, FALSE)</f>
        <v>8.0109320264991557E-5</v>
      </c>
      <c r="G15" s="1">
        <f>_xlfn.POISSON.DIST($D15,'First 5 Innings'!$G$22, FALSE) * _xlfn.POISSON.DIST(G$4, 'First 5 Innings'!$G$21, FALSE)</f>
        <v>9.0129983266823042E-5</v>
      </c>
      <c r="H15" s="1">
        <f>_xlfn.POISSON.DIST($D15,'First 5 Innings'!$G$22, FALSE) * _xlfn.POISSON.DIST(H$4, 'First 5 Innings'!$G$21, FALSE)</f>
        <v>6.7602736334187384E-5</v>
      </c>
      <c r="I15" s="1">
        <f>_xlfn.POISSON.DIST($D15,'First 5 Innings'!$G$22, FALSE) * _xlfn.POISSON.DIST(I$4, 'First 5 Innings'!$G$21, FALSE)</f>
        <v>3.8029491914528613E-5</v>
      </c>
      <c r="J15" s="1">
        <f>_xlfn.POISSON.DIST($D15,'First 5 Innings'!$G$22, FALSE) * _xlfn.POISSON.DIST(J$4, 'First 5 Innings'!$G$21, FALSE)</f>
        <v>1.7114600191659013E-5</v>
      </c>
      <c r="K15" s="1">
        <f>_xlfn.POISSON.DIST($D15,'First 5 Innings'!$G$22, FALSE) * _xlfn.POISSON.DIST(K$4, 'First 5 Innings'!$G$21, FALSE)</f>
        <v>6.4184734218609756E-6</v>
      </c>
      <c r="L15" s="1">
        <f>_xlfn.POISSON.DIST($D15,'First 5 Innings'!$G$22, FALSE) * _xlfn.POISSON.DIST(L$4, 'First 5 Innings'!$G$21, FALSE)</f>
        <v>2.0632409391041554E-6</v>
      </c>
      <c r="M15" s="1">
        <f>_xlfn.POISSON.DIST($D15,'First 5 Innings'!$G$22, FALSE) * _xlfn.POISSON.DIST(M$4, 'First 5 Innings'!$G$21, FALSE)</f>
        <v>5.8033157284867137E-7</v>
      </c>
      <c r="N15" s="1">
        <f>_xlfn.POISSON.DIST($D15,'First 5 Innings'!$G$22, FALSE) * _xlfn.POISSON.DIST(N$4, 'First 5 Innings'!$G$21, FALSE)</f>
        <v>1.450941587682667E-7</v>
      </c>
      <c r="O15" s="1">
        <f>_xlfn.POISSON.DIST($D15,'First 5 Innings'!$G$22, FALSE) * _xlfn.POISSON.DIST(O$4, 'First 5 Innings'!$G$21, FALSE)</f>
        <v>3.2648720669803334E-8</v>
      </c>
      <c r="P15" s="1">
        <f>_xlfn.POISSON.DIST($D15,'First 5 Innings'!$G$22, FALSE) * _xlfn.POISSON.DIST(P$4, 'First 5 Innings'!$G$21, FALSE)</f>
        <v>6.6786659618692651E-9</v>
      </c>
      <c r="Q15" s="1">
        <f>_xlfn.POISSON.DIST($D15,'First 5 Innings'!$G$22, FALSE) * _xlfn.POISSON.DIST(Q$4, 'First 5 Innings'!$G$21, FALSE)</f>
        <v>1.252347103925836E-9</v>
      </c>
      <c r="R15" s="1">
        <f>_xlfn.POISSON.DIST($D15,'First 5 Innings'!$G$22, FALSE) * _xlfn.POISSON.DIST(R$4, 'First 5 Innings'!$G$21, FALSE)</f>
        <v>2.1676921399929495E-10</v>
      </c>
      <c r="S15" s="1">
        <f>_xlfn.POISSON.DIST($D15,'First 5 Innings'!$G$22, FALSE) * _xlfn.POISSON.DIST(S$4, 'First 5 Innings'!$G$21, FALSE)</f>
        <v>3.4840614525057868E-11</v>
      </c>
      <c r="T15" s="1">
        <f>_xlfn.POISSON.DIST($D15,'First 5 Innings'!$G$22, FALSE) * _xlfn.POISSON.DIST(T$4, 'First 5 Innings'!$G$21, FALSE)</f>
        <v>5.2264979801134573E-12</v>
      </c>
    </row>
    <row r="16" spans="2:20">
      <c r="B16" s="377"/>
      <c r="C16" s="377"/>
      <c r="D16" s="1">
        <v>11</v>
      </c>
      <c r="E16" s="1">
        <f>_xlfn.POISSON.DIST($D16,'First 5 Innings'!$G$22, FALSE) * _xlfn.POISSON.DIST(E$4, 'First 5 Innings'!$G$21, FALSE)</f>
        <v>8.5952352540977862E-6</v>
      </c>
      <c r="F16" s="1">
        <f>_xlfn.POISSON.DIST($D16,'First 5 Innings'!$G$22, FALSE) * _xlfn.POISSON.DIST(F$4, 'First 5 Innings'!$G$21, FALSE)</f>
        <v>1.9340780999356103E-5</v>
      </c>
      <c r="G16" s="1">
        <f>_xlfn.POISSON.DIST($D16,'First 5 Innings'!$G$22, FALSE) * _xlfn.POISSON.DIST(G$4, 'First 5 Innings'!$G$21, FALSE)</f>
        <v>2.1760068142795621E-5</v>
      </c>
      <c r="H16" s="1">
        <f>_xlfn.POISSON.DIST($D16,'First 5 Innings'!$G$22, FALSE) * _xlfn.POISSON.DIST(H$4, 'First 5 Innings'!$G$21, FALSE)</f>
        <v>1.6321318344378909E-5</v>
      </c>
      <c r="I16" s="1">
        <f>_xlfn.POISSON.DIST($D16,'First 5 Innings'!$G$22, FALSE) * _xlfn.POISSON.DIST(I$4, 'First 5 Innings'!$G$21, FALSE)</f>
        <v>9.1814544450342827E-6</v>
      </c>
      <c r="J16" s="1">
        <f>_xlfn.POISSON.DIST($D16,'First 5 Innings'!$G$22, FALSE) * _xlfn.POISSON.DIST(J$4, 'First 5 Innings'!$G$21, FALSE)</f>
        <v>4.1319753195193315E-6</v>
      </c>
      <c r="K16" s="1">
        <f>_xlfn.POISSON.DIST($D16,'First 5 Innings'!$G$22, FALSE) * _xlfn.POISSON.DIST(K$4, 'First 5 Innings'!$G$21, FALSE)</f>
        <v>1.5496110613817103E-6</v>
      </c>
      <c r="L16" s="1">
        <f>_xlfn.POISSON.DIST($D16,'First 5 Innings'!$G$22, FALSE) * _xlfn.POISSON.DIST(L$4, 'First 5 Innings'!$G$21, FALSE)</f>
        <v>4.9812794591340432E-7</v>
      </c>
      <c r="M16" s="1">
        <f>_xlfn.POISSON.DIST($D16,'First 5 Innings'!$G$22, FALSE) * _xlfn.POISSON.DIST(M$4, 'First 5 Innings'!$G$21, FALSE)</f>
        <v>1.4010936330941554E-7</v>
      </c>
      <c r="N16" s="1">
        <f>_xlfn.POISSON.DIST($D16,'First 5 Innings'!$G$22, FALSE) * _xlfn.POISSON.DIST(N$4, 'First 5 Innings'!$G$21, FALSE)</f>
        <v>3.5030060668848273E-8</v>
      </c>
      <c r="O16" s="1">
        <f>_xlfn.POISSON.DIST($D16,'First 5 Innings'!$G$22, FALSE) * _xlfn.POISSON.DIST(O$4, 'First 5 Innings'!$G$21, FALSE)</f>
        <v>7.8823756623455818E-9</v>
      </c>
      <c r="P16" s="1">
        <f>_xlfn.POISSON.DIST($D16,'First 5 Innings'!$G$22, FALSE) * _xlfn.POISSON.DIST(P$4, 'First 5 Innings'!$G$21, FALSE)</f>
        <v>1.6124293067159637E-9</v>
      </c>
      <c r="Q16" s="1">
        <f>_xlfn.POISSON.DIST($D16,'First 5 Innings'!$G$22, FALSE) * _xlfn.POISSON.DIST(Q$4, 'First 5 Innings'!$G$21, FALSE)</f>
        <v>3.023539707001158E-10</v>
      </c>
      <c r="R16" s="1">
        <f>_xlfn.POISSON.DIST($D16,'First 5 Innings'!$G$22, FALSE) * _xlfn.POISSON.DIST(R$4, 'First 5 Innings'!$G$21, FALSE)</f>
        <v>5.2334558344705771E-11</v>
      </c>
      <c r="S16" s="1">
        <f>_xlfn.POISSON.DIST($D16,'First 5 Innings'!$G$22, FALSE) * _xlfn.POISSON.DIST(S$4, 'First 5 Innings'!$G$21, FALSE)</f>
        <v>8.4115642622248697E-12</v>
      </c>
      <c r="T16" s="1">
        <f>_xlfn.POISSON.DIST($D16,'First 5 Innings'!$G$22, FALSE) * _xlfn.POISSON.DIST(T$4, 'First 5 Innings'!$G$21, FALSE)</f>
        <v>1.2618326118930536E-12</v>
      </c>
    </row>
    <row r="17" spans="2:20">
      <c r="B17" s="377"/>
      <c r="C17" s="377"/>
      <c r="D17" s="1">
        <v>12</v>
      </c>
      <c r="E17" s="1">
        <f>_xlfn.POISSON.DIST($D17,'First 5 Innings'!$G$22, FALSE) * _xlfn.POISSON.DIST(E$4, 'First 5 Innings'!$G$21, FALSE)</f>
        <v>1.9022174776429532E-6</v>
      </c>
      <c r="F17" s="1">
        <f>_xlfn.POISSON.DIST($D17,'First 5 Innings'!$G$22, FALSE) * _xlfn.POISSON.DIST(F$4, 'First 5 Innings'!$G$21, FALSE)</f>
        <v>4.2803216620161829E-6</v>
      </c>
      <c r="G17" s="1">
        <f>_xlfn.POISSON.DIST($D17,'First 5 Innings'!$G$22, FALSE) * _xlfn.POISSON.DIST(G$4, 'First 5 Innings'!$G$21, FALSE)</f>
        <v>4.8157357782840918E-6</v>
      </c>
      <c r="H17" s="1">
        <f>_xlfn.POISSON.DIST($D17,'First 5 Innings'!$G$22, FALSE) * _xlfn.POISSON.DIST(H$4, 'First 5 Innings'!$G$21, FALSE)</f>
        <v>3.6120822868752277E-6</v>
      </c>
      <c r="I17" s="1">
        <f>_xlfn.POISSON.DIST($D17,'First 5 Innings'!$G$22, FALSE) * _xlfn.POISSON.DIST(I$4, 'First 5 Innings'!$G$21, FALSE)</f>
        <v>2.0319540535205571E-6</v>
      </c>
      <c r="J17" s="1">
        <f>_xlfn.POISSON.DIST($D17,'First 5 Innings'!$G$22, FALSE) * _xlfn.POISSON.DIST(J$4, 'First 5 Innings'!$G$21, FALSE)</f>
        <v>9.1445032481592365E-7</v>
      </c>
      <c r="K17" s="1">
        <f>_xlfn.POISSON.DIST($D17,'First 5 Innings'!$G$22, FALSE) * _xlfn.POISSON.DIST(K$4, 'First 5 Innings'!$G$21, FALSE)</f>
        <v>3.4294549914777714E-7</v>
      </c>
      <c r="L17" s="1">
        <f>_xlfn.POISSON.DIST($D17,'First 5 Innings'!$G$22, FALSE) * _xlfn.POISSON.DIST(L$4, 'First 5 Innings'!$G$21, FALSE)</f>
        <v>1.1024104132194835E-7</v>
      </c>
      <c r="M17" s="1">
        <f>_xlfn.POISSON.DIST($D17,'First 5 Innings'!$G$22, FALSE) * _xlfn.POISSON.DIST(M$4, 'First 5 Innings'!$G$21, FALSE)</f>
        <v>3.1007700404888121E-8</v>
      </c>
      <c r="N17" s="1">
        <f>_xlfn.POISSON.DIST($D17,'First 5 Innings'!$G$22, FALSE) * _xlfn.POISSON.DIST(N$4, 'First 5 Innings'!$G$21, FALSE)</f>
        <v>7.7525270312302369E-9</v>
      </c>
      <c r="O17" s="1">
        <f>_xlfn.POISSON.DIST($D17,'First 5 Innings'!$G$22, FALSE) * _xlfn.POISSON.DIST(O$4, 'First 5 Innings'!$G$21, FALSE)</f>
        <v>1.7444540267949984E-9</v>
      </c>
      <c r="P17" s="1">
        <f>_xlfn.POISSON.DIST($D17,'First 5 Innings'!$G$22, FALSE) * _xlfn.POISSON.DIST(P$4, 'First 5 Innings'!$G$21, FALSE)</f>
        <v>3.5684784860734673E-10</v>
      </c>
      <c r="Q17" s="1">
        <f>_xlfn.POISSON.DIST($D17,'First 5 Innings'!$G$22, FALSE) * _xlfn.POISSON.DIST(Q$4, 'First 5 Innings'!$G$21, FALSE)</f>
        <v>6.6914167035312469E-11</v>
      </c>
      <c r="R17" s="1">
        <f>_xlfn.POISSON.DIST($D17,'First 5 Innings'!$G$22, FALSE) * _xlfn.POISSON.DIST(R$4, 'First 5 Innings'!$G$21, FALSE)</f>
        <v>1.1582197418105899E-11</v>
      </c>
      <c r="S17" s="1">
        <f>_xlfn.POISSON.DIST($D17,'First 5 Innings'!$G$22, FALSE) * _xlfn.POISSON.DIST(S$4, 'First 5 Innings'!$G$21, FALSE)</f>
        <v>1.8615691229966845E-12</v>
      </c>
      <c r="T17" s="1">
        <f>_xlfn.POISSON.DIST($D17,'First 5 Innings'!$G$22, FALSE) * _xlfn.POISSON.DIST(T$4, 'First 5 Innings'!$G$21, FALSE)</f>
        <v>2.7925705082458192E-13</v>
      </c>
    </row>
    <row r="18" spans="2:20">
      <c r="B18" s="377"/>
      <c r="C18" s="377"/>
      <c r="D18" s="1">
        <v>13</v>
      </c>
      <c r="E18" s="1">
        <f>_xlfn.POISSON.DIST($D18,'First 5 Innings'!$G$22, FALSE) * _xlfn.POISSON.DIST(E$4, 'First 5 Innings'!$G$21, FALSE)</f>
        <v>3.8859791056287098E-7</v>
      </c>
      <c r="F18" s="1">
        <f>_xlfn.POISSON.DIST($D18,'First 5 Innings'!$G$22, FALSE) * _xlfn.POISSON.DIST(F$4, 'First 5 Innings'!$G$21, FALSE)</f>
        <v>8.7441319089209334E-7</v>
      </c>
      <c r="G18" s="1">
        <f>_xlfn.POISSON.DIST($D18,'First 5 Innings'!$G$22, FALSE) * _xlfn.POISSON.DIST(G$4, 'First 5 Innings'!$G$21, FALSE)</f>
        <v>9.8379122432567563E-7</v>
      </c>
      <c r="H18" s="1">
        <f>_xlfn.POISSON.DIST($D18,'First 5 Innings'!$G$22, FALSE) * _xlfn.POISSON.DIST(H$4, 'First 5 Innings'!$G$21, FALSE)</f>
        <v>7.3790071112170455E-7</v>
      </c>
      <c r="I18" s="1">
        <f>_xlfn.POISSON.DIST($D18,'First 5 Innings'!$G$22, FALSE) * _xlfn.POISSON.DIST(I$4, 'First 5 Innings'!$G$21, FALSE)</f>
        <v>4.1510137975193982E-7</v>
      </c>
      <c r="J18" s="1">
        <f>_xlfn.POISSON.DIST($D18,'First 5 Innings'!$G$22, FALSE) * _xlfn.POISSON.DIST(J$4, 'First 5 Innings'!$G$21, FALSE)</f>
        <v>1.868101254002391E-7</v>
      </c>
      <c r="K18" s="1">
        <f>_xlfn.POISSON.DIST($D18,'First 5 Innings'!$G$22, FALSE) * _xlfn.POISSON.DIST(K$4, 'First 5 Innings'!$G$21, FALSE)</f>
        <v>7.0059236639387811E-8</v>
      </c>
      <c r="L18" s="1">
        <f>_xlfn.POISSON.DIST($D18,'First 5 Innings'!$G$22, FALSE) * _xlfn.POISSON.DIST(L$4, 'First 5 Innings'!$G$21, FALSE)</f>
        <v>2.2520788931593039E-8</v>
      </c>
      <c r="M18" s="1">
        <f>_xlfn.POISSON.DIST($D18,'First 5 Innings'!$G$22, FALSE) * _xlfn.POISSON.DIST(M$4, 'First 5 Innings'!$G$21, FALSE)</f>
        <v>6.3344637142276914E-9</v>
      </c>
      <c r="N18" s="1">
        <f>_xlfn.POISSON.DIST($D18,'First 5 Innings'!$G$22, FALSE) * _xlfn.POISSON.DIST(N$4, 'First 5 Innings'!$G$21, FALSE)</f>
        <v>1.5837388949086905E-9</v>
      </c>
      <c r="O18" s="1">
        <f>_xlfn.POISSON.DIST($D18,'First 5 Innings'!$G$22, FALSE) * _xlfn.POISSON.DIST(O$4, 'First 5 Innings'!$G$21, FALSE)</f>
        <v>3.5636892093195423E-10</v>
      </c>
      <c r="P18" s="1">
        <f>_xlfn.POISSON.DIST($D18,'First 5 Innings'!$G$22, FALSE) * _xlfn.POISSON.DIST(P$4, 'First 5 Innings'!$G$21, FALSE)</f>
        <v>7.2899303043676022E-11</v>
      </c>
      <c r="Q18" s="1">
        <f>_xlfn.POISSON.DIST($D18,'First 5 Innings'!$G$22, FALSE) * _xlfn.POISSON.DIST(Q$4, 'First 5 Innings'!$G$21, FALSE)</f>
        <v>1.3669680676679221E-11</v>
      </c>
      <c r="R18" s="1">
        <f>_xlfn.POISSON.DIST($D18,'First 5 Innings'!$G$22, FALSE) * _xlfn.POISSON.DIST(R$4, 'First 5 Innings'!$G$21, FALSE)</f>
        <v>2.3660899814565979E-12</v>
      </c>
      <c r="S18" s="1">
        <f>_xlfn.POISSON.DIST($D18,'First 5 Innings'!$G$22, FALSE) * _xlfn.POISSON.DIST(S$4, 'First 5 Innings'!$G$21, FALSE)</f>
        <v>3.8029398849874861E-13</v>
      </c>
      <c r="T18" s="1">
        <f>_xlfn.POISSON.DIST($D18,'First 5 Innings'!$G$22, FALSE) * _xlfn.POISSON.DIST(T$4, 'First 5 Innings'!$G$21, FALSE)</f>
        <v>5.7048527697709959E-14</v>
      </c>
    </row>
    <row r="19" spans="2:20">
      <c r="B19" s="377"/>
      <c r="C19" s="377"/>
      <c r="D19" s="1">
        <v>14</v>
      </c>
      <c r="E19" s="1">
        <f>_xlfn.POISSON.DIST($D19,'First 5 Innings'!$G$22, FALSE) * _xlfn.POISSON.DIST(E$4, 'First 5 Innings'!$G$21, FALSE)</f>
        <v>7.3715034175057318E-8</v>
      </c>
      <c r="F19" s="1">
        <f>_xlfn.POISSON.DIST($D19,'First 5 Innings'!$G$22, FALSE) * _xlfn.POISSON.DIST(F$4, 'First 5 Innings'!$G$21, FALSE)</f>
        <v>1.6587170568253238E-7</v>
      </c>
      <c r="G19" s="1">
        <f>_xlfn.POISSON.DIST($D19,'First 5 Innings'!$G$22, FALSE) * _xlfn.POISSON.DIST(G$4, 'First 5 Innings'!$G$21, FALSE)</f>
        <v>1.8662015865511371E-7</v>
      </c>
      <c r="H19" s="1">
        <f>_xlfn.POISSON.DIST($D19,'First 5 Innings'!$G$22, FALSE) * _xlfn.POISSON.DIST(H$4, 'First 5 Innings'!$G$21, FALSE)</f>
        <v>1.3997598715687155E-7</v>
      </c>
      <c r="I19" s="1">
        <f>_xlfn.POISSON.DIST($D19,'First 5 Innings'!$G$22, FALSE) * _xlfn.POISSON.DIST(I$4, 'First 5 Innings'!$G$21, FALSE)</f>
        <v>7.8742606593550032E-8</v>
      </c>
      <c r="J19" s="1">
        <f>_xlfn.POISSON.DIST($D19,'First 5 Innings'!$G$22, FALSE) * _xlfn.POISSON.DIST(J$4, 'First 5 Innings'!$G$21, FALSE)</f>
        <v>3.5436924398741498E-8</v>
      </c>
      <c r="K19" s="1">
        <f>_xlfn.POISSON.DIST($D19,'First 5 Innings'!$G$22, FALSE) * _xlfn.POISSON.DIST(K$4, 'First 5 Innings'!$G$21, FALSE)</f>
        <v>1.328987851651187E-8</v>
      </c>
      <c r="L19" s="1">
        <f>_xlfn.POISSON.DIST($D19,'First 5 Innings'!$G$22, FALSE) * _xlfn.POISSON.DIST(L$4, 'First 5 Innings'!$G$21, FALSE)</f>
        <v>4.2720783633061856E-9</v>
      </c>
      <c r="M19" s="1">
        <f>_xlfn.POISSON.DIST($D19,'First 5 Innings'!$G$22, FALSE) * _xlfn.POISSON.DIST(M$4, 'First 5 Innings'!$G$21, FALSE)</f>
        <v>1.2016153367850084E-9</v>
      </c>
      <c r="N19" s="1">
        <f>_xlfn.POISSON.DIST($D19,'First 5 Innings'!$G$22, FALSE) * _xlfn.POISSON.DIST(N$4, 'First 5 Innings'!$G$21, FALSE)</f>
        <v>3.0042716028364616E-10</v>
      </c>
      <c r="O19" s="1">
        <f>_xlfn.POISSON.DIST($D19,'First 5 Innings'!$G$22, FALSE) * _xlfn.POISSON.DIST(O$4, 'First 5 Innings'!$G$21, FALSE)</f>
        <v>6.7601359841015254E-11</v>
      </c>
      <c r="P19" s="1">
        <f>_xlfn.POISSON.DIST($D19,'First 5 Innings'!$G$22, FALSE) * _xlfn.POISSON.DIST(P$4, 'First 5 Innings'!$G$21, FALSE)</f>
        <v>1.3828624573453588E-11</v>
      </c>
      <c r="Q19" s="1">
        <f>_xlfn.POISSON.DIST($D19,'First 5 Innings'!$G$22, FALSE) * _xlfn.POISSON.DIST(Q$4, 'First 5 Innings'!$G$21, FALSE)</f>
        <v>2.5930684413201461E-12</v>
      </c>
      <c r="R19" s="1">
        <f>_xlfn.POISSON.DIST($D19,'First 5 Innings'!$G$22, FALSE) * _xlfn.POISSON.DIST(R$4, 'First 5 Innings'!$G$21, FALSE)</f>
        <v>4.4883515609154348E-13</v>
      </c>
      <c r="S19" s="1">
        <f>_xlfn.POISSON.DIST($D19,'First 5 Innings'!$G$22, FALSE) * _xlfn.POISSON.DIST(S$4, 'First 5 Innings'!$G$21, FALSE)</f>
        <v>7.2139822672100053E-14</v>
      </c>
      <c r="T19" s="1">
        <f>_xlfn.POISSON.DIST($D19,'First 5 Innings'!$G$22, FALSE) * _xlfn.POISSON.DIST(T$4, 'First 5 Innings'!$G$21, FALSE)</f>
        <v>1.0821813639661904E-14</v>
      </c>
    </row>
    <row r="20" spans="2:20">
      <c r="B20" s="377"/>
      <c r="C20" s="377"/>
      <c r="D20" s="1">
        <v>15</v>
      </c>
      <c r="E20" s="1">
        <f>_xlfn.POISSON.DIST($D20,'First 5 Innings'!$G$22, FALSE) * _xlfn.POISSON.DIST(E$4, 'First 5 Innings'!$G$21, FALSE)</f>
        <v>1.3051140286682902E-8</v>
      </c>
      <c r="F20" s="1">
        <f>_xlfn.POISSON.DIST($D20,'First 5 Innings'!$G$22, FALSE) * _xlfn.POISSON.DIST(F$4, 'First 5 Innings'!$G$21, FALSE)</f>
        <v>2.93673458159585E-8</v>
      </c>
      <c r="G20" s="1">
        <f>_xlfn.POISSON.DIST($D20,'First 5 Innings'!$G$22, FALSE) * _xlfn.POISSON.DIST(G$4, 'First 5 Innings'!$G$21, FALSE)</f>
        <v>3.3040829434425411E-8</v>
      </c>
      <c r="H20" s="1">
        <f>_xlfn.POISSON.DIST($D20,'First 5 Innings'!$G$22, FALSE) * _xlfn.POISSON.DIST(H$4, 'First 5 Innings'!$G$21, FALSE)</f>
        <v>2.4782546268823378E-8</v>
      </c>
      <c r="I20" s="1">
        <f>_xlfn.POISSON.DIST($D20,'First 5 Innings'!$G$22, FALSE) * _xlfn.POISSON.DIST(I$4, 'First 5 Innings'!$G$21, FALSE)</f>
        <v>1.3941264718822256E-8</v>
      </c>
      <c r="J20" s="1">
        <f>_xlfn.POISSON.DIST($D20,'First 5 Innings'!$G$22, FALSE) * _xlfn.POISSON.DIST(J$4, 'First 5 Innings'!$G$21, FALSE)</f>
        <v>6.2740562604669203E-9</v>
      </c>
      <c r="K20" s="1">
        <f>_xlfn.POISSON.DIST($D20,'First 5 Innings'!$G$22, FALSE) * _xlfn.POISSON.DIST(K$4, 'First 5 Innings'!$G$21, FALSE)</f>
        <v>2.3529537882335897E-9</v>
      </c>
      <c r="L20" s="1">
        <f>_xlfn.POISSON.DIST($D20,'First 5 Innings'!$G$22, FALSE) * _xlfn.POISSON.DIST(L$4, 'First 5 Innings'!$G$21, FALSE)</f>
        <v>7.5636530131430758E-10</v>
      </c>
      <c r="M20" s="1">
        <f>_xlfn.POISSON.DIST($D20,'First 5 Innings'!$G$22, FALSE) * _xlfn.POISSON.DIST(M$4, 'First 5 Innings'!$G$21, FALSE)</f>
        <v>2.1274425911230571E-10</v>
      </c>
      <c r="N20" s="1">
        <f>_xlfn.POISSON.DIST($D20,'First 5 Innings'!$G$22, FALSE) * _xlfn.POISSON.DIST(N$4, 'First 5 Innings'!$G$21, FALSE)</f>
        <v>5.319019462814468E-11</v>
      </c>
      <c r="O20" s="1">
        <f>_xlfn.POISSON.DIST($D20,'First 5 Innings'!$G$22, FALSE) * _xlfn.POISSON.DIST(O$4, 'First 5 Innings'!$G$21, FALSE)</f>
        <v>1.1968723079750722E-11</v>
      </c>
      <c r="P20" s="1">
        <f>_xlfn.POISSON.DIST($D20,'First 5 Innings'!$G$22, FALSE) * _xlfn.POISSON.DIST(P$4, 'First 5 Innings'!$G$21, FALSE)</f>
        <v>2.4483379991578624E-12</v>
      </c>
      <c r="Q20" s="1">
        <f>_xlfn.POISSON.DIST($D20,'First 5 Innings'!$G$22, FALSE) * _xlfn.POISSON.DIST(Q$4, 'First 5 Innings'!$G$21, FALSE)</f>
        <v>4.5909902070004807E-13</v>
      </c>
      <c r="R20" s="1">
        <f>_xlfn.POISSON.DIST($D20,'First 5 Innings'!$G$22, FALSE) * _xlfn.POISSON.DIST(R$4, 'First 5 Innings'!$G$21, FALSE)</f>
        <v>7.9465615844861625E-14</v>
      </c>
      <c r="S20" s="1">
        <f>_xlfn.POISSON.DIST($D20,'First 5 Innings'!$G$22, FALSE) * _xlfn.POISSON.DIST(S$4, 'First 5 Innings'!$G$21, FALSE)</f>
        <v>1.2772251366174902E-14</v>
      </c>
      <c r="T20" s="1">
        <f>_xlfn.POISSON.DIST($D20,'First 5 Innings'!$G$22, FALSE) * _xlfn.POISSON.DIST(T$4, 'First 5 Innings'!$G$21, FALSE)</f>
        <v>1.9159864679999813E-15</v>
      </c>
    </row>
    <row r="24" spans="2:20">
      <c r="D24" s="1" t="s">
        <v>738</v>
      </c>
      <c r="E24" s="1" t="e">
        <f>E3</f>
        <v>#REF!</v>
      </c>
      <c r="F24" s="1">
        <f>1-F25</f>
        <v>0.42921821131234483</v>
      </c>
      <c r="H24" s="1" t="s">
        <v>345</v>
      </c>
      <c r="I24" s="1">
        <v>3</v>
      </c>
      <c r="J24" s="1">
        <f>SUM(E9:E20,F8:F20,G7:G20,H6:H20,I5:T20)</f>
        <v>0.7215160000389842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0.57078178868765517</v>
      </c>
      <c r="H25" s="1" t="s">
        <v>348</v>
      </c>
      <c r="I25" s="1">
        <v>3</v>
      </c>
      <c r="J25" s="1">
        <f>SUM(E8,F7,G6,H5)</f>
        <v>0.14567969145270546</v>
      </c>
    </row>
    <row r="26" spans="2:20">
      <c r="H26" s="1" t="s">
        <v>346</v>
      </c>
      <c r="I26" s="1">
        <v>3</v>
      </c>
      <c r="J26" s="1">
        <f>SUM(E5:E7,F5:F6,G5)</f>
        <v>0.1328042816858265</v>
      </c>
    </row>
    <row r="27" spans="2:20">
      <c r="H27" s="1" t="s">
        <v>345</v>
      </c>
      <c r="I27" s="1">
        <v>3.5</v>
      </c>
      <c r="J27" s="1">
        <f>SUM(E9:E20,F8:F20,G7:G20,H6:H20,I5:T20)</f>
        <v>0.7215160000389842</v>
      </c>
    </row>
    <row r="28" spans="2:20">
      <c r="H28" s="1" t="s">
        <v>346</v>
      </c>
      <c r="I28" s="1">
        <v>3.5</v>
      </c>
      <c r="J28" s="1">
        <f>SUM(E5:E8,F5:F7,G5:G6,H5)</f>
        <v>0.27848397313853196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0.54284338988152825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0.33788941427213692</v>
      </c>
      <c r="H30" s="1" t="s">
        <v>348</v>
      </c>
      <c r="I30" s="1">
        <v>4</v>
      </c>
      <c r="J30" s="1">
        <f>SUM(E9,F8,G7,H6,I5)</f>
        <v>0.17867261015745639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0.47945301846993066</v>
      </c>
      <c r="H31" s="1" t="s">
        <v>346</v>
      </c>
      <c r="I31" s="1">
        <v>4</v>
      </c>
      <c r="J31" s="1">
        <f>1-J30-J29</f>
        <v>0.27848399996101536</v>
      </c>
    </row>
    <row r="32" spans="2:20">
      <c r="D32" s="1" t="s">
        <v>348</v>
      </c>
      <c r="F32" s="1">
        <f>1-F31-F30</f>
        <v>0.18265756725793247</v>
      </c>
      <c r="H32" s="1" t="s">
        <v>345</v>
      </c>
      <c r="I32" s="1">
        <v>4.5</v>
      </c>
      <c r="J32" s="1">
        <f>SUM(E10:E20,F9:F20,G8:G20,H7:H20,I6:I20,J5:T20)</f>
        <v>0.54284338988152825</v>
      </c>
    </row>
    <row r="33" spans="8:10">
      <c r="H33" s="1" t="s">
        <v>346</v>
      </c>
      <c r="I33" s="1">
        <v>4.5</v>
      </c>
      <c r="J33" s="1">
        <f>1-J32</f>
        <v>0.45715661011847175</v>
      </c>
    </row>
    <row r="34" spans="8:10">
      <c r="H34" s="1" t="s">
        <v>345</v>
      </c>
      <c r="I34" s="1">
        <v>5</v>
      </c>
      <c r="J34" s="1">
        <f>SUM(E11:E20,F10:F20,G9:G20,H8:H20,I7:I20,J6:J20,K5:T20)</f>
        <v>0.36753328974534061</v>
      </c>
    </row>
    <row r="35" spans="8:10">
      <c r="H35" s="1" t="s">
        <v>348</v>
      </c>
      <c r="I35" s="1">
        <v>5</v>
      </c>
      <c r="J35" s="1">
        <f>SUM(E10,F9,G8,H7,I6,J5)</f>
        <v>0.17531010013618764</v>
      </c>
    </row>
    <row r="36" spans="8:10">
      <c r="H36" s="1" t="s">
        <v>346</v>
      </c>
      <c r="I36" s="1">
        <v>5</v>
      </c>
      <c r="J36" s="1">
        <f>SUM(E5:E9,F5:F8,G5:G7,H5:H6,I5)</f>
        <v>0.45715658329598841</v>
      </c>
    </row>
    <row r="37" spans="8:10">
      <c r="H37" s="1" t="s">
        <v>345</v>
      </c>
      <c r="I37" s="1">
        <v>5.5</v>
      </c>
      <c r="J37" s="1">
        <f>SUM(E11:E20,F10:F20,G9:G20,H8:H20,I7:I20,J6:J20,K5:T20)</f>
        <v>0.36753328974534061</v>
      </c>
    </row>
    <row r="38" spans="8:10">
      <c r="H38" s="1" t="s">
        <v>346</v>
      </c>
      <c r="I38" s="1">
        <v>5.5</v>
      </c>
      <c r="J38" s="1">
        <f>1-J37</f>
        <v>0.63246671025465939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0.22419089765235736</v>
      </c>
    </row>
    <row r="40" spans="8:10">
      <c r="H40" s="1" t="s">
        <v>348</v>
      </c>
      <c r="I40" s="1">
        <v>6</v>
      </c>
      <c r="J40" s="1">
        <f>SUM(E11,F10,G9,H8,I7,J6,K5)</f>
        <v>0.14334239209298283</v>
      </c>
    </row>
    <row r="41" spans="8:10">
      <c r="H41" s="1" t="s">
        <v>346</v>
      </c>
      <c r="I41" s="1">
        <v>6</v>
      </c>
      <c r="J41" s="1">
        <f>SUM(E5:E10,F5:F9,G5:G8,H5:H7,I5:I6,J5)</f>
        <v>0.63246668343217605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0.22419089765235736</v>
      </c>
    </row>
    <row r="43" spans="8:10">
      <c r="H43" s="1" t="s">
        <v>346</v>
      </c>
      <c r="I43" s="1">
        <v>6.5</v>
      </c>
      <c r="J43" s="1">
        <f>1-J42</f>
        <v>0.77580910234764267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Innings'!$G$24, FALSE) * _xlfn.POISSON.DIST(E$4, 'First 5 Innings'!$G$23, FALSE)</f>
        <v>3.6559998427679485E-2</v>
      </c>
      <c r="F5" s="1">
        <f>_xlfn.POISSON.DIST($D5,'First 5 Innings'!$G$24, FALSE) * _xlfn.POISSON.DIST(F$4, 'First 5 Innings'!$G$23, FALSE)</f>
        <v>6.5040232734594222E-2</v>
      </c>
      <c r="G5" s="1">
        <f>_xlfn.POISSON.DIST($D5,'First 5 Innings'!$G$24, FALSE) * _xlfn.POISSON.DIST(G$4, 'First 5 Innings'!$G$23, FALSE)</f>
        <v>5.7853283042915614E-2</v>
      </c>
      <c r="H5" s="1">
        <f>_xlfn.POISSON.DIST($D5,'First 5 Innings'!$G$24, FALSE) * _xlfn.POISSON.DIST(H$4, 'First 5 Innings'!$G$23, FALSE)</f>
        <v>3.4306994487567077E-2</v>
      </c>
      <c r="I5" s="1">
        <f>_xlfn.POISSON.DIST($D5,'First 5 Innings'!$G$24, FALSE) * _xlfn.POISSON.DIST(I$4, 'First 5 Innings'!$G$23, FALSE)</f>
        <v>1.5258034750122326E-2</v>
      </c>
      <c r="J5" s="1">
        <f>_xlfn.POISSON.DIST($D5,'First 5 Innings'!$G$24, FALSE) * _xlfn.POISSON.DIST(J$4, 'First 5 Innings'!$G$23, FALSE)</f>
        <v>5.428808391135756E-3</v>
      </c>
      <c r="K5" s="1">
        <f>_xlfn.POISSON.DIST($D5,'First 5 Innings'!$G$24, FALSE) * _xlfn.POISSON.DIST(K$4, 'First 5 Innings'!$G$23, FALSE)</f>
        <v>1.6096415773897814E-3</v>
      </c>
      <c r="L5" s="1">
        <f>_xlfn.POISSON.DIST($D5,'First 5 Innings'!$G$24, FALSE) * _xlfn.POISSON.DIST(L$4, 'First 5 Innings'!$G$23, FALSE)</f>
        <v>4.0907888135015833E-4</v>
      </c>
      <c r="M5" s="1">
        <f>_xlfn.POISSON.DIST($D5,'First 5 Innings'!$G$24, FALSE) * _xlfn.POISSON.DIST(M$4, 'First 5 Innings'!$G$23, FALSE)</f>
        <v>9.0968909990700266E-5</v>
      </c>
      <c r="N5" s="1">
        <f>_xlfn.POISSON.DIST($D5,'First 5 Innings'!$G$24, FALSE) * _xlfn.POISSON.DIST(N$4, 'First 5 Innings'!$G$23, FALSE)</f>
        <v>1.7981519972835872E-5</v>
      </c>
      <c r="O5" s="1">
        <f>_xlfn.POISSON.DIST($D5,'First 5 Innings'!$G$24, FALSE) * _xlfn.POISSON.DIST(O$4, 'First 5 Innings'!$G$23, FALSE)</f>
        <v>3.1989121834030443E-6</v>
      </c>
      <c r="P5" s="1">
        <f>_xlfn.POISSON.DIST($D5,'First 5 Innings'!$G$24, FALSE) * _xlfn.POISSON.DIST(P$4, 'First 5 Innings'!$G$23, FALSE)</f>
        <v>5.17351307573915E-7</v>
      </c>
      <c r="Q5" s="1">
        <f>_xlfn.POISSON.DIST($D5,'First 5 Innings'!$G$24, FALSE) * _xlfn.POISSON.DIST(Q$4, 'First 5 Innings'!$G$23, FALSE)</f>
        <v>7.6697326078746013E-8</v>
      </c>
      <c r="R5" s="1">
        <f>_xlfn.POISSON.DIST($D5,'First 5 Innings'!$G$24, FALSE) * _xlfn.POISSON.DIST(R$4, 'First 5 Innings'!$G$23, FALSE)</f>
        <v>1.0495733363106474E-8</v>
      </c>
      <c r="S5" s="1">
        <f>_xlfn.POISSON.DIST($D5,'First 5 Innings'!$G$24, FALSE) * _xlfn.POISSON.DIST(S$4, 'First 5 Innings'!$G$23, FALSE)</f>
        <v>1.3337077407293599E-9</v>
      </c>
      <c r="T5" s="1">
        <f>_xlfn.POISSON.DIST($D5,'First 5 Innings'!$G$24, FALSE) * _xlfn.POISSON.DIST(T$4, 'First 5 Innings'!$G$23, FALSE)</f>
        <v>1.5817772718373165E-10</v>
      </c>
    </row>
    <row r="6" spans="2:20">
      <c r="B6" s="377"/>
      <c r="C6" s="377"/>
      <c r="D6" s="1">
        <v>1</v>
      </c>
      <c r="E6" s="1">
        <f>_xlfn.POISSON.DIST($D6,'First 5 Innings'!$G$24, FALSE) * _xlfn.POISSON.DIST(E$4, 'First 5 Innings'!$G$23, FALSE)</f>
        <v>5.5929511099635933E-2</v>
      </c>
      <c r="F6" s="1">
        <f>_xlfn.POISSON.DIST($D6,'First 5 Innings'!$G$24, FALSE) * _xlfn.POISSON.DIST(F$4, 'First 5 Innings'!$G$23, FALSE)</f>
        <v>9.9498593410724048E-2</v>
      </c>
      <c r="G6" s="1">
        <f>_xlfn.POISSON.DIST($D6,'First 5 Innings'!$G$24, FALSE) * _xlfn.POISSON.DIST(G$4, 'First 5 Innings'!$G$23, FALSE)</f>
        <v>8.8503992758637073E-2</v>
      </c>
      <c r="H6" s="1">
        <f>_xlfn.POISSON.DIST($D6,'First 5 Innings'!$G$24, FALSE) * _xlfn.POISSON.DIST(H$4, 'First 5 Innings'!$G$23, FALSE)</f>
        <v>5.2482864100312242E-2</v>
      </c>
      <c r="I6" s="1">
        <f>_xlfn.POISSON.DIST($D6,'First 5 Innings'!$G$24, FALSE) * _xlfn.POISSON.DIST(I$4, 'First 5 Innings'!$G$23, FALSE)</f>
        <v>2.3341752205041387E-2</v>
      </c>
      <c r="J6" s="1">
        <f>_xlfn.POISSON.DIST($D6,'First 5 Innings'!$G$24, FALSE) * _xlfn.POISSON.DIST(J$4, 'First 5 Innings'!$G$23, FALSE)</f>
        <v>8.3049948640026728E-3</v>
      </c>
      <c r="K6" s="1">
        <f>_xlfn.POISSON.DIST($D6,'First 5 Innings'!$G$24, FALSE) * _xlfn.POISSON.DIST(K$4, 'First 5 Innings'!$G$23, FALSE)</f>
        <v>2.4624308080084174E-3</v>
      </c>
      <c r="L6" s="1">
        <f>_xlfn.POISSON.DIST($D6,'First 5 Innings'!$G$24, FALSE) * _xlfn.POISSON.DIST(L$4, 'First 5 Innings'!$G$23, FALSE)</f>
        <v>6.2580915807092198E-4</v>
      </c>
      <c r="M6" s="1">
        <f>_xlfn.POISSON.DIST($D6,'First 5 Innings'!$G$24, FALSE) * _xlfn.POISSON.DIST(M$4, 'First 5 Innings'!$G$23, FALSE)</f>
        <v>1.3916430196546879E-4</v>
      </c>
      <c r="N6" s="1">
        <f>_xlfn.POISSON.DIST($D6,'First 5 Innings'!$G$24, FALSE) * _xlfn.POISSON.DIST(N$4, 'First 5 Innings'!$G$23, FALSE)</f>
        <v>2.7508141798705273E-5</v>
      </c>
      <c r="O6" s="1">
        <f>_xlfn.POISSON.DIST($D6,'First 5 Innings'!$G$24, FALSE) * _xlfn.POISSON.DIST(O$4, 'First 5 Innings'!$G$23, FALSE)</f>
        <v>4.8936980897938473E-6</v>
      </c>
      <c r="P6" s="1">
        <f>_xlfn.POISSON.DIST($D6,'First 5 Innings'!$G$24, FALSE) * _xlfn.POISSON.DIST(P$4, 'First 5 Innings'!$G$23, FALSE)</f>
        <v>7.9144439124099267E-7</v>
      </c>
      <c r="Q6" s="1">
        <f>_xlfn.POISSON.DIST($D6,'First 5 Innings'!$G$24, FALSE) * _xlfn.POISSON.DIST(Q$4, 'First 5 Innings'!$G$23, FALSE)</f>
        <v>1.1733162294082438E-7</v>
      </c>
      <c r="R6" s="1">
        <f>_xlfn.POISSON.DIST($D6,'First 5 Innings'!$G$24, FALSE) * _xlfn.POISSON.DIST(R$4, 'First 5 Innings'!$G$23, FALSE)</f>
        <v>1.60563802209097E-8</v>
      </c>
      <c r="S6" s="1">
        <f>_xlfn.POISSON.DIST($D6,'First 5 Innings'!$G$24, FALSE) * _xlfn.POISSON.DIST(S$4, 'First 5 Innings'!$G$23, FALSE)</f>
        <v>2.0403070321884488E-9</v>
      </c>
      <c r="T6" s="1">
        <f>_xlfn.POISSON.DIST($D6,'First 5 Innings'!$G$24, FALSE) * _xlfn.POISSON.DIST(T$4, 'First 5 Innings'!$G$23, FALSE)</f>
        <v>2.4198039739355704E-10</v>
      </c>
    </row>
    <row r="7" spans="2:20">
      <c r="B7" s="377"/>
      <c r="C7" s="377"/>
      <c r="D7" s="1">
        <v>2</v>
      </c>
      <c r="E7" s="1">
        <f>_xlfn.POISSON.DIST($D7,'First 5 Innings'!$G$24, FALSE) * _xlfn.POISSON.DIST(E$4, 'First 5 Innings'!$G$23, FALSE)</f>
        <v>4.2780502548873403E-2</v>
      </c>
      <c r="F7" s="1">
        <f>_xlfn.POISSON.DIST($D7,'First 5 Innings'!$G$24, FALSE) * _xlfn.POISSON.DIST(F$4, 'First 5 Innings'!$G$23, FALSE)</f>
        <v>7.6106508805947826E-2</v>
      </c>
      <c r="G7" s="1">
        <f>_xlfn.POISSON.DIST($D7,'First 5 Innings'!$G$24, FALSE) * _xlfn.POISSON.DIST(G$4, 'First 5 Innings'!$G$23, FALSE)</f>
        <v>6.7696734932141969E-2</v>
      </c>
      <c r="H7" s="1">
        <f>_xlfn.POISSON.DIST($D7,'First 5 Innings'!$G$24, FALSE) * _xlfn.POISSON.DIST(H$4, 'First 5 Innings'!$G$23, FALSE)</f>
        <v>4.014416105686644E-2</v>
      </c>
      <c r="I7" s="1">
        <f>_xlfn.POISSON.DIST($D7,'First 5 Innings'!$G$24, FALSE) * _xlfn.POISSON.DIST(I$4, 'First 5 Innings'!$G$23, FALSE)</f>
        <v>1.7854114403468201E-2</v>
      </c>
      <c r="J7" s="1">
        <f>_xlfn.POISSON.DIST($D7,'First 5 Innings'!$G$24, FALSE) * _xlfn.POISSON.DIST(J$4, 'First 5 Innings'!$G$23, FALSE)</f>
        <v>6.3524934683392865E-3</v>
      </c>
      <c r="K7" s="1">
        <f>_xlfn.POISSON.DIST($D7,'First 5 Innings'!$G$24, FALSE) * _xlfn.POISSON.DIST(K$4, 'First 5 Innings'!$G$23, FALSE)</f>
        <v>1.8835141839656491E-3</v>
      </c>
      <c r="L7" s="1">
        <f>_xlfn.POISSON.DIST($D7,'First 5 Innings'!$G$24, FALSE) * _xlfn.POISSON.DIST(L$4, 'First 5 Innings'!$G$23, FALSE)</f>
        <v>4.7868164329681882E-4</v>
      </c>
      <c r="M7" s="1">
        <f>_xlfn.POISSON.DIST($D7,'First 5 Innings'!$G$24, FALSE) * _xlfn.POISSON.DIST(M$4, 'First 5 Innings'!$G$23, FALSE)</f>
        <v>1.0644682311526016E-4</v>
      </c>
      <c r="N7" s="1">
        <f>_xlfn.POISSON.DIST($D7,'First 5 Innings'!$G$24, FALSE) * _xlfn.POISSON.DIST(N$4, 'First 5 Innings'!$G$23, FALSE)</f>
        <v>2.104098725693925E-5</v>
      </c>
      <c r="O7" s="1">
        <f>_xlfn.POISSON.DIST($D7,'First 5 Innings'!$G$24, FALSE) * _xlfn.POISSON.DIST(O$4, 'First 5 Innings'!$G$23, FALSE)</f>
        <v>3.7431913758531919E-6</v>
      </c>
      <c r="P7" s="1">
        <f>_xlfn.POISSON.DIST($D7,'First 5 Innings'!$G$24, FALSE) * _xlfn.POISSON.DIST(P$4, 'First 5 Innings'!$G$23, FALSE)</f>
        <v>6.0537609092379927E-7</v>
      </c>
      <c r="Q7" s="1">
        <f>_xlfn.POISSON.DIST($D7,'First 5 Innings'!$G$24, FALSE) * _xlfn.POISSON.DIST(Q$4, 'First 5 Innings'!$G$23, FALSE)</f>
        <v>8.9746999313857113E-8</v>
      </c>
      <c r="R7" s="1">
        <f>_xlfn.POISSON.DIST($D7,'First 5 Innings'!$G$24, FALSE) * _xlfn.POISSON.DIST(R$4, 'First 5 Innings'!$G$23, FALSE)</f>
        <v>1.2281530831596689E-8</v>
      </c>
      <c r="S7" s="1">
        <f>_xlfn.POISSON.DIST($D7,'First 5 Innings'!$G$24, FALSE) * _xlfn.POISSON.DIST(S$4, 'First 5 Innings'!$G$23, FALSE)</f>
        <v>1.5606315606000432E-9</v>
      </c>
      <c r="T7" s="1">
        <f>_xlfn.POISSON.DIST($D7,'First 5 Innings'!$G$24, FALSE) * _xlfn.POISSON.DIST(T$4, 'First 5 Innings'!$G$23, FALSE)</f>
        <v>1.850908903714671E-10</v>
      </c>
    </row>
    <row r="8" spans="2:20">
      <c r="B8" s="377"/>
      <c r="C8" s="377"/>
      <c r="D8" s="1">
        <v>3</v>
      </c>
      <c r="E8" s="1">
        <f>_xlfn.POISSON.DIST($D8,'First 5 Innings'!$G$24, FALSE) * _xlfn.POISSON.DIST(E$4, 'First 5 Innings'!$G$23, FALSE)</f>
        <v>2.1815214214594678E-2</v>
      </c>
      <c r="F8" s="1">
        <f>_xlfn.POISSON.DIST($D8,'First 5 Innings'!$G$24, FALSE) * _xlfn.POISSON.DIST(F$4, 'First 5 Innings'!$G$23, FALSE)</f>
        <v>3.8809263421577325E-2</v>
      </c>
      <c r="G8" s="1">
        <f>_xlfn.POISSON.DIST($D8,'First 5 Innings'!$G$24, FALSE) * _xlfn.POISSON.DIST(G$4, 'First 5 Innings'!$G$23, FALSE)</f>
        <v>3.4520837441920207E-2</v>
      </c>
      <c r="H8" s="1">
        <f>_xlfn.POISSON.DIST($D8,'First 5 Innings'!$G$24, FALSE) * _xlfn.POISSON.DIST(H$4, 'First 5 Innings'!$G$23, FALSE)</f>
        <v>2.0470855196716087E-2</v>
      </c>
      <c r="I8" s="1">
        <f>_xlfn.POISSON.DIST($D8,'First 5 Innings'!$G$24, FALSE) * _xlfn.POISSON.DIST(I$4, 'First 5 Innings'!$G$23, FALSE)</f>
        <v>9.1044122232686597E-3</v>
      </c>
      <c r="J8" s="1">
        <f>_xlfn.POISSON.DIST($D8,'First 5 Innings'!$G$24, FALSE) * _xlfn.POISSON.DIST(J$4, 'First 5 Innings'!$G$23, FALSE)</f>
        <v>3.2393496464964856E-3</v>
      </c>
      <c r="K8" s="1">
        <f>_xlfn.POISSON.DIST($D8,'First 5 Innings'!$G$24, FALSE) * _xlfn.POISSON.DIST(K$4, 'First 5 Innings'!$G$23, FALSE)</f>
        <v>9.6046710420236007E-4</v>
      </c>
      <c r="L8" s="1">
        <f>_xlfn.POISSON.DIST($D8,'First 5 Innings'!$G$24, FALSE) * _xlfn.POISSON.DIST(L$4, 'First 5 Innings'!$G$23, FALSE)</f>
        <v>2.4409583728439156E-4</v>
      </c>
      <c r="M8" s="1">
        <f>_xlfn.POISSON.DIST($D8,'First 5 Innings'!$G$24, FALSE) * _xlfn.POISSON.DIST(M$4, 'First 5 Innings'!$G$23, FALSE)</f>
        <v>5.4280808087038733E-5</v>
      </c>
      <c r="N8" s="1">
        <f>_xlfn.POISSON.DIST($D8,'First 5 Innings'!$G$24, FALSE) * _xlfn.POISSON.DIST(N$4, 'First 5 Innings'!$G$23, FALSE)</f>
        <v>1.0729505661423663E-5</v>
      </c>
      <c r="O8" s="1">
        <f>_xlfn.POISSON.DIST($D8,'First 5 Innings'!$G$24, FALSE) * _xlfn.POISSON.DIST(O$4, 'First 5 Innings'!$G$23, FALSE)</f>
        <v>1.9087789260346401E-6</v>
      </c>
      <c r="P8" s="1">
        <f>_xlfn.POISSON.DIST($D8,'First 5 Innings'!$G$24, FALSE) * _xlfn.POISSON.DIST(P$4, 'First 5 Innings'!$G$23, FALSE)</f>
        <v>3.087015887391535E-7</v>
      </c>
      <c r="Q8" s="1">
        <f>_xlfn.POISSON.DIST($D8,'First 5 Innings'!$G$24, FALSE) * _xlfn.POISSON.DIST(Q$4, 'First 5 Innings'!$G$23, FALSE)</f>
        <v>4.5765007386535093E-8</v>
      </c>
      <c r="R8" s="1">
        <f>_xlfn.POISSON.DIST($D8,'First 5 Innings'!$G$24, FALSE) * _xlfn.POISSON.DIST(R$4, 'First 5 Innings'!$G$23, FALSE)</f>
        <v>6.2627648113377882E-9</v>
      </c>
      <c r="S8" s="1">
        <f>_xlfn.POISSON.DIST($D8,'First 5 Innings'!$G$24, FALSE) * _xlfn.POISSON.DIST(S$4, 'First 5 Innings'!$G$23, FALSE)</f>
        <v>7.9581841671104225E-10</v>
      </c>
      <c r="T8" s="1">
        <f>_xlfn.POISSON.DIST($D8,'First 5 Innings'!$G$24, FALSE) * _xlfn.POISSON.DIST(T$4, 'First 5 Innings'!$G$23, FALSE)</f>
        <v>9.438405773776837E-11</v>
      </c>
    </row>
    <row r="9" spans="2:20">
      <c r="B9" s="377"/>
      <c r="C9" s="377"/>
      <c r="D9" s="1">
        <v>4</v>
      </c>
      <c r="E9" s="1">
        <f>_xlfn.POISSON.DIST($D9,'First 5 Innings'!$G$24, FALSE) * _xlfn.POISSON.DIST(E$4, 'First 5 Innings'!$G$23, FALSE)</f>
        <v>8.3432324810520497E-3</v>
      </c>
      <c r="F9" s="1">
        <f>_xlfn.POISSON.DIST($D9,'First 5 Innings'!$G$24, FALSE) * _xlfn.POISSON.DIST(F$4, 'First 5 Innings'!$G$23, FALSE)</f>
        <v>1.4842609564108062E-2</v>
      </c>
      <c r="G9" s="1">
        <f>_xlfn.POISSON.DIST($D9,'First 5 Innings'!$G$24, FALSE) * _xlfn.POISSON.DIST(G$4, 'First 5 Innings'!$G$23, FALSE)</f>
        <v>1.3202500300265681E-2</v>
      </c>
      <c r="H9" s="1">
        <f>_xlfn.POISSON.DIST($D9,'First 5 Innings'!$G$24, FALSE) * _xlfn.POISSON.DIST(H$4, 'First 5 Innings'!$G$23, FALSE)</f>
        <v>7.8290821402015789E-3</v>
      </c>
      <c r="I9" s="1">
        <f>_xlfn.POISSON.DIST($D9,'First 5 Innings'!$G$24, FALSE) * _xlfn.POISSON.DIST(I$4, 'First 5 Innings'!$G$23, FALSE)</f>
        <v>3.481984042643228E-3</v>
      </c>
      <c r="J9" s="1">
        <f>_xlfn.POISSON.DIST($D9,'First 5 Innings'!$G$24, FALSE) * _xlfn.POISSON.DIST(J$4, 'First 5 Innings'!$G$23, FALSE)</f>
        <v>1.2388898372610411E-3</v>
      </c>
      <c r="K9" s="1">
        <f>_xlfn.POISSON.DIST($D9,'First 5 Innings'!$G$24, FALSE) * _xlfn.POISSON.DIST(K$4, 'First 5 Innings'!$G$23, FALSE)</f>
        <v>3.673308115123646E-4</v>
      </c>
      <c r="L9" s="1">
        <f>_xlfn.POISSON.DIST($D9,'First 5 Innings'!$G$24, FALSE) * _xlfn.POISSON.DIST(L$4, 'First 5 Innings'!$G$23, FALSE)</f>
        <v>9.3354495540926341E-5</v>
      </c>
      <c r="M9" s="1">
        <f>_xlfn.POISSON.DIST($D9,'First 5 Innings'!$G$24, FALSE) * _xlfn.POISSON.DIST(M$4, 'First 5 Innings'!$G$23, FALSE)</f>
        <v>2.0759704519727024E-5</v>
      </c>
      <c r="N9" s="1">
        <f>_xlfn.POISSON.DIST($D9,'First 5 Innings'!$G$24, FALSE) * _xlfn.POISSON.DIST(N$4, 'First 5 Innings'!$G$23, FALSE)</f>
        <v>4.1035013114898722E-6</v>
      </c>
      <c r="O9" s="1">
        <f>_xlfn.POISSON.DIST($D9,'First 5 Innings'!$G$24, FALSE) * _xlfn.POISSON.DIST(O$4, 'First 5 Innings'!$G$23, FALSE)</f>
        <v>7.300128331623513E-7</v>
      </c>
      <c r="P9" s="1">
        <f>_xlfn.POISSON.DIST($D9,'First 5 Innings'!$G$24, FALSE) * _xlfn.POISSON.DIST(P$4, 'First 5 Innings'!$G$23, FALSE)</f>
        <v>1.1806297645235985E-7</v>
      </c>
      <c r="Q9" s="1">
        <f>_xlfn.POISSON.DIST($D9,'First 5 Innings'!$G$24, FALSE) * _xlfn.POISSON.DIST(Q$4, 'First 5 Innings'!$G$23, FALSE)</f>
        <v>1.7502835056622013E-8</v>
      </c>
      <c r="R9" s="1">
        <f>_xlfn.POISSON.DIST($D9,'First 5 Innings'!$G$24, FALSE) * _xlfn.POISSON.DIST(R$4, 'First 5 Innings'!$G$23, FALSE)</f>
        <v>2.3951954943530253E-9</v>
      </c>
      <c r="S9" s="1">
        <f>_xlfn.POISSON.DIST($D9,'First 5 Innings'!$G$24, FALSE) * _xlfn.POISSON.DIST(S$4, 'First 5 Innings'!$G$23, FALSE)</f>
        <v>3.0436089226577173E-10</v>
      </c>
      <c r="T9" s="1">
        <f>_xlfn.POISSON.DIST($D9,'First 5 Innings'!$G$24, FALSE) * _xlfn.POISSON.DIST(T$4, 'First 5 Innings'!$G$23, FALSE)</f>
        <v>3.6097199342851929E-11</v>
      </c>
    </row>
    <row r="10" spans="2:20">
      <c r="B10" s="377"/>
      <c r="C10" s="377"/>
      <c r="D10" s="1">
        <v>5</v>
      </c>
      <c r="E10" s="1">
        <f>_xlfn.POISSON.DIST($D10,'First 5 Innings'!$G$24, FALSE) * _xlfn.POISSON.DIST(E$4, 'First 5 Innings'!$G$23, FALSE)</f>
        <v>2.5526965739832005E-3</v>
      </c>
      <c r="F10" s="1">
        <f>_xlfn.POISSON.DIST($D10,'First 5 Innings'!$G$24, FALSE) * _xlfn.POISSON.DIST(F$4, 'First 5 Innings'!$G$23, FALSE)</f>
        <v>4.541246893133598E-3</v>
      </c>
      <c r="G10" s="1">
        <f>_xlfn.POISSON.DIST($D10,'First 5 Innings'!$G$24, FALSE) * _xlfn.POISSON.DIST(G$4, 'First 5 Innings'!$G$23, FALSE)</f>
        <v>4.0394388339339065E-3</v>
      </c>
      <c r="H10" s="1">
        <f>_xlfn.POISSON.DIST($D10,'First 5 Innings'!$G$24, FALSE) * _xlfn.POISSON.DIST(H$4, 'First 5 Innings'!$G$23, FALSE)</f>
        <v>2.3953870639603185E-3</v>
      </c>
      <c r="I10" s="1">
        <f>_xlfn.POISSON.DIST($D10,'First 5 Innings'!$G$24, FALSE) * _xlfn.POISSON.DIST(I$4, 'First 5 Innings'!$G$23, FALSE)</f>
        <v>1.0653483235071911E-3</v>
      </c>
      <c r="J10" s="1">
        <f>_xlfn.POISSON.DIST($D10,'First 5 Innings'!$G$24, FALSE) * _xlfn.POISSON.DIST(J$4, 'First 5 Innings'!$G$23, FALSE)</f>
        <v>3.7905090746315684E-4</v>
      </c>
      <c r="K10" s="1">
        <f>_xlfn.POISSON.DIST($D10,'First 5 Innings'!$G$24, FALSE) * _xlfn.POISSON.DIST(K$4, 'First 5 Innings'!$G$23, FALSE)</f>
        <v>1.1238858634175847E-4</v>
      </c>
      <c r="L10" s="1">
        <f>_xlfn.POISSON.DIST($D10,'First 5 Innings'!$G$24, FALSE) * _xlfn.POISSON.DIST(L$4, 'First 5 Innings'!$G$23, FALSE)</f>
        <v>2.8562754480887151E-5</v>
      </c>
      <c r="M10" s="1">
        <f>_xlfn.POISSON.DIST($D10,'First 5 Innings'!$G$24, FALSE) * _xlfn.POISSON.DIST(M$4, 'First 5 Innings'!$G$23, FALSE)</f>
        <v>6.3516420913310685E-6</v>
      </c>
      <c r="N10" s="1">
        <f>_xlfn.POISSON.DIST($D10,'First 5 Innings'!$G$24, FALSE) * _xlfn.POISSON.DIST(N$4, 'First 5 Innings'!$G$23, FALSE)</f>
        <v>1.255507833800037E-6</v>
      </c>
      <c r="O10" s="1">
        <f>_xlfn.POISSON.DIST($D10,'First 5 Innings'!$G$24, FALSE) * _xlfn.POISSON.DIST(O$4, 'First 5 Innings'!$G$23, FALSE)</f>
        <v>2.233548282886064E-7</v>
      </c>
      <c r="P10" s="1">
        <f>_xlfn.POISSON.DIST($D10,'First 5 Innings'!$G$24, FALSE) * _xlfn.POISSON.DIST(P$4, 'First 5 Innings'!$G$23, FALSE)</f>
        <v>3.6122564747973508E-8</v>
      </c>
      <c r="Q10" s="1">
        <f>_xlfn.POISSON.DIST($D10,'First 5 Innings'!$G$24, FALSE) * _xlfn.POISSON.DIST(Q$4, 'First 5 Innings'!$G$23, FALSE)</f>
        <v>5.3551698559882593E-9</v>
      </c>
      <c r="R10" s="1">
        <f>_xlfn.POISSON.DIST($D10,'First 5 Innings'!$G$24, FALSE) * _xlfn.POISSON.DIST(R$4, 'First 5 Innings'!$G$23, FALSE)</f>
        <v>7.328343476393203E-10</v>
      </c>
      <c r="S10" s="1">
        <f>_xlfn.POISSON.DIST($D10,'First 5 Innings'!$G$24, FALSE) * _xlfn.POISSON.DIST(S$4, 'First 5 Innings'!$G$23, FALSE)</f>
        <v>9.3122301063260823E-11</v>
      </c>
      <c r="T10" s="1">
        <f>_xlfn.POISSON.DIST($D10,'First 5 Innings'!$G$24, FALSE) * _xlfn.POISSON.DIST(T$4, 'First 5 Innings'!$G$23, FALSE)</f>
        <v>1.1044304147361793E-11</v>
      </c>
    </row>
    <row r="11" spans="2:20">
      <c r="B11" s="377"/>
      <c r="C11" s="377"/>
      <c r="D11" s="1">
        <v>6</v>
      </c>
      <c r="E11" s="1">
        <f>_xlfn.POISSON.DIST($D11,'First 5 Innings'!$G$24, FALSE) * _xlfn.POISSON.DIST(E$4, 'First 5 Innings'!$G$23, FALSE)</f>
        <v>6.5085283328178184E-4</v>
      </c>
      <c r="F11" s="1">
        <f>_xlfn.POISSON.DIST($D11,'First 5 Innings'!$G$24, FALSE) * _xlfn.POISSON.DIST(F$4, 'First 5 Innings'!$G$23, FALSE)</f>
        <v>1.1578671108631114E-3</v>
      </c>
      <c r="G11" s="1">
        <f>_xlfn.POISSON.DIST($D11,'First 5 Innings'!$G$24, FALSE) * _xlfn.POISSON.DIST(G$4, 'First 5 Innings'!$G$23, FALSE)</f>
        <v>1.0299227243573063E-3</v>
      </c>
      <c r="H11" s="1">
        <f>_xlfn.POISSON.DIST($D11,'First 5 Innings'!$G$24, FALSE) * _xlfn.POISSON.DIST(H$4, 'First 5 Innings'!$G$23, FALSE)</f>
        <v>6.1074413358591455E-4</v>
      </c>
      <c r="I11" s="1">
        <f>_xlfn.POISSON.DIST($D11,'First 5 Innings'!$G$24, FALSE) * _xlfn.POISSON.DIST(I$4, 'First 5 Innings'!$G$23, FALSE)</f>
        <v>2.7162843475153062E-4</v>
      </c>
      <c r="J11" s="1">
        <f>_xlfn.POISSON.DIST($D11,'First 5 Innings'!$G$24, FALSE) * _xlfn.POISSON.DIST(J$4, 'First 5 Innings'!$G$23, FALSE)</f>
        <v>9.6645390445080652E-5</v>
      </c>
      <c r="K11" s="1">
        <f>_xlfn.POISSON.DIST($D11,'First 5 Innings'!$G$24, FALSE) * _xlfn.POISSON.DIST(K$4, 'First 5 Innings'!$G$23, FALSE)</f>
        <v>2.8655356298350662E-5</v>
      </c>
      <c r="L11" s="1">
        <f>_xlfn.POISSON.DIST($D11,'First 5 Innings'!$G$24, FALSE) * _xlfn.POISSON.DIST(L$4, 'First 5 Innings'!$G$23, FALSE)</f>
        <v>7.2825536217998055E-6</v>
      </c>
      <c r="M11" s="1">
        <f>_xlfn.POISSON.DIST($D11,'First 5 Innings'!$G$24, FALSE) * _xlfn.POISSON.DIST(M$4, 'First 5 Innings'!$G$23, FALSE)</f>
        <v>1.6194577503913923E-6</v>
      </c>
      <c r="N11" s="1">
        <f>_xlfn.POISSON.DIST($D11,'First 5 Innings'!$G$24, FALSE) * _xlfn.POISSON.DIST(N$4, 'First 5 Innings'!$G$23, FALSE)</f>
        <v>3.201127933356972E-7</v>
      </c>
      <c r="O11" s="1">
        <f>_xlfn.POISSON.DIST($D11,'First 5 Innings'!$G$24, FALSE) * _xlfn.POISSON.DIST(O$4, 'First 5 Innings'!$G$23, FALSE)</f>
        <v>5.6948062022103081E-8</v>
      </c>
      <c r="P11" s="1">
        <f>_xlfn.POISSON.DIST($D11,'First 5 Innings'!$G$24, FALSE) * _xlfn.POISSON.DIST(P$4, 'First 5 Innings'!$G$23, FALSE)</f>
        <v>9.2100541252099059E-9</v>
      </c>
      <c r="Q11" s="1">
        <f>_xlfn.POISSON.DIST($D11,'First 5 Innings'!$G$24, FALSE) * _xlfn.POISSON.DIST(Q$4, 'First 5 Innings'!$G$23, FALSE)</f>
        <v>1.3653904302603917E-9</v>
      </c>
      <c r="R11" s="1">
        <f>_xlfn.POISSON.DIST($D11,'First 5 Innings'!$G$24, FALSE) * _xlfn.POISSON.DIST(R$4, 'First 5 Innings'!$G$23, FALSE)</f>
        <v>1.8684841604304079E-10</v>
      </c>
      <c r="S11" s="1">
        <f>_xlfn.POISSON.DIST($D11,'First 5 Innings'!$G$24, FALSE) * _xlfn.POISSON.DIST(S$4, 'First 5 Innings'!$G$23, FALSE)</f>
        <v>2.3743093521753308E-11</v>
      </c>
      <c r="T11" s="1">
        <f>_xlfn.POISSON.DIST($D11,'First 5 Innings'!$G$24, FALSE) * _xlfn.POISSON.DIST(T$4, 'First 5 Innings'!$G$23, FALSE)</f>
        <v>2.8159306982262054E-12</v>
      </c>
    </row>
    <row r="12" spans="2:20">
      <c r="B12" s="377"/>
      <c r="C12" s="377"/>
      <c r="D12" s="1">
        <v>7</v>
      </c>
      <c r="E12" s="1">
        <f>_xlfn.POISSON.DIST($D12,'First 5 Innings'!$G$24, FALSE) * _xlfn.POISSON.DIST(E$4, 'First 5 Innings'!$G$23, FALSE)</f>
        <v>1.4223930262888146E-4</v>
      </c>
      <c r="F12" s="1">
        <f>_xlfn.POISSON.DIST($D12,'First 5 Innings'!$G$24, FALSE) * _xlfn.POISSON.DIST(F$4, 'First 5 Innings'!$G$23, FALSE)</f>
        <v>2.530437019927416E-4</v>
      </c>
      <c r="G12" s="1">
        <f>_xlfn.POISSON.DIST($D12,'First 5 Innings'!$G$24, FALSE) * _xlfn.POISSON.DIST(G$4, 'First 5 Innings'!$G$23, FALSE)</f>
        <v>2.2508235745944248E-4</v>
      </c>
      <c r="H12" s="1">
        <f>_xlfn.POISSON.DIST($D12,'First 5 Innings'!$G$24, FALSE) * _xlfn.POISSON.DIST(H$4, 'First 5 Innings'!$G$23, FALSE)</f>
        <v>1.3347382880383099E-4</v>
      </c>
      <c r="I12" s="1">
        <f>_xlfn.POISSON.DIST($D12,'First 5 Innings'!$G$24, FALSE) * _xlfn.POISSON.DIST(I$4, 'First 5 Innings'!$G$23, FALSE)</f>
        <v>5.936248128231636E-5</v>
      </c>
      <c r="J12" s="1">
        <f>_xlfn.POISSON.DIST($D12,'First 5 Innings'!$G$24, FALSE) * _xlfn.POISSON.DIST(J$4, 'First 5 Innings'!$G$23, FALSE)</f>
        <v>2.1121169389229151E-5</v>
      </c>
      <c r="K12" s="1">
        <f>_xlfn.POISSON.DIST($D12,'First 5 Innings'!$G$24, FALSE) * _xlfn.POISSON.DIST(K$4, 'First 5 Innings'!$G$23, FALSE)</f>
        <v>6.2624262936793365E-6</v>
      </c>
      <c r="L12" s="1">
        <f>_xlfn.POISSON.DIST($D12,'First 5 Innings'!$G$24, FALSE) * _xlfn.POISSON.DIST(L$4, 'First 5 Innings'!$G$23, FALSE)</f>
        <v>1.5915508015830808E-6</v>
      </c>
      <c r="M12" s="1">
        <f>_xlfn.POISSON.DIST($D12,'First 5 Innings'!$G$24, FALSE) * _xlfn.POISSON.DIST(M$4, 'First 5 Innings'!$G$23, FALSE)</f>
        <v>3.5392108518774824E-7</v>
      </c>
      <c r="N12" s="1">
        <f>_xlfn.POISSON.DIST($D12,'First 5 Innings'!$G$24, FALSE) * _xlfn.POISSON.DIST(N$4, 'First 5 Innings'!$G$23, FALSE)</f>
        <v>6.9958396365987416E-8</v>
      </c>
      <c r="O12" s="1">
        <f>_xlfn.POISSON.DIST($D12,'First 5 Innings'!$G$24, FALSE) * _xlfn.POISSON.DIST(O$4, 'First 5 Innings'!$G$23, FALSE)</f>
        <v>1.2445597858499737E-8</v>
      </c>
      <c r="P12" s="1">
        <f>_xlfn.POISSON.DIST($D12,'First 5 Innings'!$G$24, FALSE) * _xlfn.POISSON.DIST(P$4, 'First 5 Innings'!$G$23, FALSE)</f>
        <v>2.0127924608372129E-9</v>
      </c>
      <c r="Q12" s="1">
        <f>_xlfn.POISSON.DIST($D12,'First 5 Innings'!$G$24, FALSE) * _xlfn.POISSON.DIST(Q$4, 'First 5 Innings'!$G$23, FALSE)</f>
        <v>2.9839646181935545E-10</v>
      </c>
      <c r="R12" s="1">
        <f>_xlfn.POISSON.DIST($D12,'First 5 Innings'!$G$24, FALSE) * _xlfn.POISSON.DIST(R$4, 'First 5 Innings'!$G$23, FALSE)</f>
        <v>4.0834405315966153E-11</v>
      </c>
      <c r="S12" s="1">
        <f>_xlfn.POISSON.DIST($D12,'First 5 Innings'!$G$24, FALSE) * _xlfn.POISSON.DIST(S$4, 'First 5 Innings'!$G$23, FALSE)</f>
        <v>5.1888858618894112E-12</v>
      </c>
      <c r="T12" s="1">
        <f>_xlfn.POISSON.DIST($D12,'First 5 Innings'!$G$24, FALSE) * _xlfn.POISSON.DIST(T$4, 'First 5 Innings'!$G$23, FALSE)</f>
        <v>6.1540182094213245E-13</v>
      </c>
    </row>
    <row r="13" spans="2:20">
      <c r="B13" s="377"/>
      <c r="C13" s="377"/>
      <c r="D13" s="1">
        <v>8</v>
      </c>
      <c r="E13" s="1">
        <f>_xlfn.POISSON.DIST($D13,'First 5 Innings'!$G$24, FALSE) * _xlfn.POISSON.DIST(E$4, 'First 5 Innings'!$G$23, FALSE)</f>
        <v>2.7199723048823748E-5</v>
      </c>
      <c r="F13" s="1">
        <f>_xlfn.POISSON.DIST($D13,'First 5 Innings'!$G$24, FALSE) * _xlfn.POISSON.DIST(F$4, 'First 5 Innings'!$G$23, FALSE)</f>
        <v>4.838830397959317E-5</v>
      </c>
      <c r="G13" s="1">
        <f>_xlfn.POISSON.DIST($D13,'First 5 Innings'!$G$24, FALSE) * _xlfn.POISSON.DIST(G$4, 'First 5 Innings'!$G$23, FALSE)</f>
        <v>4.3041393432915251E-5</v>
      </c>
      <c r="H13" s="1">
        <f>_xlfn.POISSON.DIST($D13,'First 5 Innings'!$G$24, FALSE) * _xlfn.POISSON.DIST(H$4, 'First 5 Innings'!$G$23, FALSE)</f>
        <v>2.5523544552257666E-5</v>
      </c>
      <c r="I13" s="1">
        <f>_xlfn.POISSON.DIST($D13,'First 5 Innings'!$G$24, FALSE) * _xlfn.POISSON.DIST(I$4, 'First 5 Innings'!$G$23, FALSE)</f>
        <v>1.1351595659764843E-5</v>
      </c>
      <c r="J13" s="1">
        <f>_xlfn.POISSON.DIST($D13,'First 5 Innings'!$G$24, FALSE) * _xlfn.POISSON.DIST(J$4, 'First 5 Innings'!$G$23, FALSE)</f>
        <v>4.0388974582730939E-6</v>
      </c>
      <c r="K13" s="1">
        <f>_xlfn.POISSON.DIST($D13,'First 5 Innings'!$G$24, FALSE) * _xlfn.POISSON.DIST(K$4, 'First 5 Innings'!$G$23, FALSE)</f>
        <v>1.1975330141077564E-6</v>
      </c>
      <c r="L13" s="1">
        <f>_xlfn.POISSON.DIST($D13,'First 5 Innings'!$G$24, FALSE) * _xlfn.POISSON.DIST(L$4, 'First 5 Innings'!$G$23, FALSE)</f>
        <v>3.0434444081985626E-7</v>
      </c>
      <c r="M13" s="1">
        <f>_xlfn.POISSON.DIST($D13,'First 5 Innings'!$G$24, FALSE) * _xlfn.POISSON.DIST(M$4, 'First 5 Innings'!$G$23, FALSE)</f>
        <v>6.7678590377813423E-8</v>
      </c>
      <c r="N13" s="1">
        <f>_xlfn.POISSON.DIST($D13,'First 5 Innings'!$G$24, FALSE) * _xlfn.POISSON.DIST(N$4, 'First 5 Innings'!$G$23, FALSE)</f>
        <v>1.337780044562961E-8</v>
      </c>
      <c r="O13" s="1">
        <f>_xlfn.POISSON.DIST($D13,'First 5 Innings'!$G$24, FALSE) * _xlfn.POISSON.DIST(O$4, 'First 5 Innings'!$G$23, FALSE)</f>
        <v>2.3799105357782561E-9</v>
      </c>
      <c r="P13" s="1">
        <f>_xlfn.POISSON.DIST($D13,'First 5 Innings'!$G$24, FALSE) * _xlfn.POISSON.DIST(P$4, 'First 5 Innings'!$G$23, FALSE)</f>
        <v>3.8489641384403297E-10</v>
      </c>
      <c r="Q13" s="1">
        <f>_xlfn.POISSON.DIST($D13,'First 5 Innings'!$G$24, FALSE) * _xlfn.POISSON.DIST(Q$4, 'First 5 Innings'!$G$23, FALSE)</f>
        <v>5.7060889432309239E-11</v>
      </c>
      <c r="R13" s="1">
        <f>_xlfn.POISSON.DIST($D13,'First 5 Innings'!$G$24, FALSE) * _xlfn.POISSON.DIST(R$4, 'First 5 Innings'!$G$23, FALSE)</f>
        <v>7.8085627174058777E-12</v>
      </c>
      <c r="S13" s="1">
        <f>_xlfn.POISSON.DIST($D13,'First 5 Innings'!$G$24, FALSE) * _xlfn.POISSON.DIST(S$4, 'First 5 Innings'!$G$23, FALSE)</f>
        <v>9.922451514233704E-13</v>
      </c>
      <c r="T13" s="1">
        <f>_xlfn.POISSON.DIST($D13,'First 5 Innings'!$G$24, FALSE) * _xlfn.POISSON.DIST(T$4, 'First 5 Innings'!$G$23, FALSE)</f>
        <v>1.1768026687420672E-13</v>
      </c>
    </row>
    <row r="14" spans="2:20">
      <c r="B14" s="377"/>
      <c r="C14" s="377"/>
      <c r="D14" s="1">
        <v>9</v>
      </c>
      <c r="E14" s="1">
        <f>_xlfn.POISSON.DIST($D14,'First 5 Innings'!$G$24, FALSE) * _xlfn.POISSON.DIST(E$4, 'First 5 Innings'!$G$23, FALSE)</f>
        <v>4.6233505883500774E-6</v>
      </c>
      <c r="F14" s="1">
        <f>_xlfn.POISSON.DIST($D14,'First 5 Innings'!$G$24, FALSE) * _xlfn.POISSON.DIST(F$4, 'First 5 Innings'!$G$23, FALSE)</f>
        <v>8.2249401316234745E-6</v>
      </c>
      <c r="G14" s="1">
        <f>_xlfn.POISSON.DIST($D14,'First 5 Innings'!$G$24, FALSE) * _xlfn.POISSON.DIST(G$4, 'First 5 Innings'!$G$23, FALSE)</f>
        <v>7.3160837444659736E-6</v>
      </c>
      <c r="H14" s="1">
        <f>_xlfn.POISSON.DIST($D14,'First 5 Innings'!$G$24, FALSE) * _xlfn.POISSON.DIST(H$4, 'First 5 Innings'!$G$23, FALSE)</f>
        <v>4.3384373624187685E-6</v>
      </c>
      <c r="I14" s="1">
        <f>_xlfn.POISSON.DIST($D14,'First 5 Innings'!$G$24, FALSE) * _xlfn.POISSON.DIST(I$4, 'First 5 Innings'!$G$23, FALSE)</f>
        <v>1.9295198843782189E-6</v>
      </c>
      <c r="J14" s="1">
        <f>_xlfn.POISSON.DIST($D14,'First 5 Innings'!$G$24, FALSE) * _xlfn.POISSON.DIST(J$4, 'First 5 Innings'!$G$23, FALSE)</f>
        <v>6.8652312769780453E-7</v>
      </c>
      <c r="K14" s="1">
        <f>_xlfn.POISSON.DIST($D14,'First 5 Innings'!$G$24, FALSE) * _xlfn.POISSON.DIST(K$4, 'First 5 Innings'!$G$23, FALSE)</f>
        <v>2.0355409337828416E-7</v>
      </c>
      <c r="L14" s="1">
        <f>_xlfn.POISSON.DIST($D14,'First 5 Innings'!$G$24, FALSE) * _xlfn.POISSON.DIST(L$4, 'First 5 Innings'!$G$23, FALSE)</f>
        <v>5.1731815320318393E-8</v>
      </c>
      <c r="M14" s="1">
        <f>_xlfn.POISSON.DIST($D14,'First 5 Innings'!$G$24, FALSE) * _xlfn.POISSON.DIST(M$4, 'First 5 Innings'!$G$23, FALSE)</f>
        <v>1.1503861641543406E-8</v>
      </c>
      <c r="N14" s="1">
        <f>_xlfn.POISSON.DIST($D14,'First 5 Innings'!$G$24, FALSE) * _xlfn.POISSON.DIST(N$4, 'First 5 Innings'!$G$23, FALSE)</f>
        <v>2.2739298282600087E-9</v>
      </c>
      <c r="O14" s="1">
        <f>_xlfn.POISSON.DIST($D14,'First 5 Innings'!$G$24, FALSE) * _xlfn.POISSON.DIST(O$4, 'First 5 Innings'!$G$23, FALSE)</f>
        <v>4.0453208865620343E-10</v>
      </c>
      <c r="P14" s="1">
        <f>_xlfn.POISSON.DIST($D14,'First 5 Innings'!$G$24, FALSE) * _xlfn.POISSON.DIST(P$4, 'First 5 Innings'!$G$23, FALSE)</f>
        <v>6.5423866934431882E-11</v>
      </c>
      <c r="Q14" s="1">
        <f>_xlfn.POISSON.DIST($D14,'First 5 Innings'!$G$24, FALSE) * _xlfn.POISSON.DIST(Q$4, 'First 5 Innings'!$G$23, FALSE)</f>
        <v>9.699087606704665E-12</v>
      </c>
      <c r="R14" s="1">
        <f>_xlfn.POISSON.DIST($D14,'First 5 Innings'!$G$24, FALSE) * _xlfn.POISSON.DIST(R$4, 'First 5 Innings'!$G$23, FALSE)</f>
        <v>1.3272827436104415E-12</v>
      </c>
      <c r="S14" s="1">
        <f>_xlfn.POISSON.DIST($D14,'First 5 Innings'!$G$24, FALSE) * _xlfn.POISSON.DIST(S$4, 'First 5 Innings'!$G$23, FALSE)</f>
        <v>1.6865970276190506E-13</v>
      </c>
      <c r="T14" s="1">
        <f>_xlfn.POISSON.DIST($D14,'First 5 Innings'!$G$24, FALSE) * _xlfn.POISSON.DIST(T$4, 'First 5 Innings'!$G$23, FALSE)</f>
        <v>2.0003039373358121E-14</v>
      </c>
    </row>
    <row r="15" spans="2:20">
      <c r="B15" s="377"/>
      <c r="C15" s="377"/>
      <c r="D15" s="1">
        <v>10</v>
      </c>
      <c r="E15" s="1">
        <f>_xlfn.POISSON.DIST($D15,'First 5 Innings'!$G$24, FALSE) * _xlfn.POISSON.DIST(E$4, 'First 5 Innings'!$G$23, FALSE)</f>
        <v>7.0728049553979754E-7</v>
      </c>
      <c r="F15" s="1">
        <f>_xlfn.POISSON.DIST($D15,'First 5 Innings'!$G$24, FALSE) * _xlfn.POISSON.DIST(F$4, 'First 5 Innings'!$G$23, FALSE)</f>
        <v>1.2582519151237107E-6</v>
      </c>
      <c r="G15" s="1">
        <f>_xlfn.POISSON.DIST($D15,'First 5 Innings'!$G$24, FALSE) * _xlfn.POISSON.DIST(G$4, 'First 5 Innings'!$G$23, FALSE)</f>
        <v>1.1192150016127524E-6</v>
      </c>
      <c r="H15" s="1">
        <f>_xlfn.POISSON.DIST($D15,'First 5 Innings'!$G$24, FALSE) * _xlfn.POISSON.DIST(H$4, 'First 5 Innings'!$G$23, FALSE)</f>
        <v>6.6369445036072071E-7</v>
      </c>
      <c r="I15" s="1">
        <f>_xlfn.POISSON.DIST($D15,'First 5 Innings'!$G$24, FALSE) * _xlfn.POISSON.DIST(I$4, 'First 5 Innings'!$G$23, FALSE)</f>
        <v>2.9517808651927055E-7</v>
      </c>
      <c r="J15" s="1">
        <f>_xlfn.POISSON.DIST($D15,'First 5 Innings'!$G$24, FALSE) * _xlfn.POISSON.DIST(J$4, 'First 5 Innings'!$G$23, FALSE)</f>
        <v>1.0502435596840969E-7</v>
      </c>
      <c r="K15" s="1">
        <f>_xlfn.POISSON.DIST($D15,'First 5 Innings'!$G$24, FALSE) * _xlfn.POISSON.DIST(K$4, 'First 5 Innings'!$G$23, FALSE)</f>
        <v>3.11397194053426E-8</v>
      </c>
      <c r="L15" s="1">
        <f>_xlfn.POISSON.DIST($D15,'First 5 Innings'!$G$24, FALSE) * _xlfn.POISSON.DIST(L$4, 'First 5 Innings'!$G$23, FALSE)</f>
        <v>7.9139367166151835E-9</v>
      </c>
      <c r="M15" s="1">
        <f>_xlfn.POISSON.DIST($D15,'First 5 Innings'!$G$24, FALSE) * _xlfn.POISSON.DIST(M$4, 'First 5 Innings'!$G$23, FALSE)</f>
        <v>1.7598615564552559E-9</v>
      </c>
      <c r="N15" s="1">
        <f>_xlfn.POISSON.DIST($D15,'First 5 Innings'!$G$24, FALSE) * _xlfn.POISSON.DIST(N$4, 'First 5 Innings'!$G$23, FALSE)</f>
        <v>3.4786594376101981E-10</v>
      </c>
      <c r="O15" s="1">
        <f>_xlfn.POISSON.DIST($D15,'First 5 Innings'!$G$24, FALSE) * _xlfn.POISSON.DIST(O$4, 'First 5 Innings'!$G$23, FALSE)</f>
        <v>6.1885347143577734E-11</v>
      </c>
      <c r="P15" s="1">
        <f>_xlfn.POISSON.DIST($D15,'First 5 Innings'!$G$24, FALSE) * _xlfn.POISSON.DIST(P$4, 'First 5 Innings'!$G$23, FALSE)</f>
        <v>1.0008547727726633E-11</v>
      </c>
      <c r="Q15" s="1">
        <f>_xlfn.POISSON.DIST($D15,'First 5 Innings'!$G$24, FALSE) * _xlfn.POISSON.DIST(Q$4, 'First 5 Innings'!$G$23, FALSE)</f>
        <v>1.4837670987010496E-12</v>
      </c>
      <c r="R15" s="1">
        <f>_xlfn.POISSON.DIST($D15,'First 5 Innings'!$G$24, FALSE) * _xlfn.POISSON.DIST(R$4, 'First 5 Innings'!$G$23, FALSE)</f>
        <v>2.0304780671137213E-13</v>
      </c>
      <c r="S15" s="1">
        <f>_xlfn.POISSON.DIST($D15,'First 5 Innings'!$G$24, FALSE) * _xlfn.POISSON.DIST(S$4, 'First 5 Innings'!$G$23, FALSE)</f>
        <v>2.5801573094547818E-14</v>
      </c>
      <c r="T15" s="1">
        <f>_xlfn.POISSON.DIST($D15,'First 5 Innings'!$G$24, FALSE) * _xlfn.POISSON.DIST(T$4, 'First 5 Innings'!$G$23, FALSE)</f>
        <v>3.0600663587875751E-15</v>
      </c>
    </row>
    <row r="16" spans="2:20">
      <c r="B16" s="377"/>
      <c r="C16" s="377"/>
      <c r="D16" s="1">
        <v>11</v>
      </c>
      <c r="E16" s="1">
        <f>_xlfn.POISSON.DIST($D16,'First 5 Innings'!$G$24, FALSE) * _xlfn.POISSON.DIST(E$4, 'First 5 Innings'!$G$23, FALSE)</f>
        <v>9.8363472317229731E-8</v>
      </c>
      <c r="F16" s="1">
        <f>_xlfn.POISSON.DIST($D16,'First 5 Innings'!$G$24, FALSE) * _xlfn.POISSON.DIST(F$4, 'First 5 Innings'!$G$23, FALSE)</f>
        <v>1.7498860523067865E-7</v>
      </c>
      <c r="G16" s="1">
        <f>_xlfn.POISSON.DIST($D16,'First 5 Innings'!$G$24, FALSE) * _xlfn.POISSON.DIST(G$4, 'First 5 Innings'!$G$23, FALSE)</f>
        <v>1.5565235365941121E-7</v>
      </c>
      <c r="H16" s="1">
        <f>_xlfn.POISSON.DIST($D16,'First 5 Innings'!$G$24, FALSE) * _xlfn.POISSON.DIST(H$4, 'First 5 Innings'!$G$23, FALSE)</f>
        <v>9.230183937891774E-8</v>
      </c>
      <c r="I16" s="1">
        <f>_xlfn.POISSON.DIST($D16,'First 5 Innings'!$G$24, FALSE) * _xlfn.POISSON.DIST(I$4, 'First 5 Innings'!$G$23, FALSE)</f>
        <v>4.1051240243563833E-8</v>
      </c>
      <c r="J16" s="1">
        <f>_xlfn.POISSON.DIST($D16,'First 5 Innings'!$G$24, FALSE) * _xlfn.POISSON.DIST(J$4, 'First 5 Innings'!$G$23, FALSE)</f>
        <v>1.4606030275229415E-8</v>
      </c>
      <c r="K16" s="1">
        <f>_xlfn.POISSON.DIST($D16,'First 5 Innings'!$G$24, FALSE) * _xlfn.POISSON.DIST(K$4, 'First 5 Innings'!$G$23, FALSE)</f>
        <v>4.3306876790883701E-9</v>
      </c>
      <c r="L16" s="1">
        <f>_xlfn.POISSON.DIST($D16,'First 5 Innings'!$G$24, FALSE) * _xlfn.POISSON.DIST(L$4, 'First 5 Innings'!$G$23, FALSE)</f>
        <v>1.1006132645450332E-9</v>
      </c>
      <c r="M16" s="1">
        <f>_xlfn.POISSON.DIST($D16,'First 5 Innings'!$G$24, FALSE) * _xlfn.POISSON.DIST(M$4, 'First 5 Innings'!$G$23, FALSE)</f>
        <v>2.4474885788901693E-10</v>
      </c>
      <c r="N16" s="1">
        <f>_xlfn.POISSON.DIST($D16,'First 5 Innings'!$G$24, FALSE) * _xlfn.POISSON.DIST(N$4, 'First 5 Innings'!$G$23, FALSE)</f>
        <v>4.8378687585792065E-11</v>
      </c>
      <c r="O16" s="1">
        <f>_xlfn.POISSON.DIST($D16,'First 5 Innings'!$G$24, FALSE) * _xlfn.POISSON.DIST(O$4, 'First 5 Innings'!$G$23, FALSE)</f>
        <v>8.6065679302433688E-12</v>
      </c>
      <c r="P16" s="1">
        <f>_xlfn.POISSON.DIST($D16,'First 5 Innings'!$G$24, FALSE) * _xlfn.POISSON.DIST(P$4, 'First 5 Innings'!$G$23, FALSE)</f>
        <v>1.391916663275944E-12</v>
      </c>
      <c r="Q16" s="1">
        <f>_xlfn.POISSON.DIST($D16,'First 5 Innings'!$G$24, FALSE) * _xlfn.POISSON.DIST(Q$4, 'First 5 Innings'!$G$23, FALSE)</f>
        <v>2.0635163115435387E-13</v>
      </c>
      <c r="R16" s="1">
        <f>_xlfn.POISSON.DIST($D16,'First 5 Innings'!$G$24, FALSE) * _xlfn.POISSON.DIST(R$4, 'First 5 Innings'!$G$23, FALSE)</f>
        <v>2.8238425123380832E-14</v>
      </c>
      <c r="S16" s="1">
        <f>_xlfn.POISSON.DIST($D16,'First 5 Innings'!$G$24, FALSE) * _xlfn.POISSON.DIST(S$4, 'First 5 Innings'!$G$23, FALSE)</f>
        <v>3.588296774520241E-15</v>
      </c>
      <c r="T16" s="1">
        <f>_xlfn.POISSON.DIST($D16,'First 5 Innings'!$G$24, FALSE) * _xlfn.POISSON.DIST(T$4, 'First 5 Innings'!$G$23, FALSE)</f>
        <v>4.2557196822141248E-16</v>
      </c>
    </row>
    <row r="17" spans="2:20">
      <c r="B17" s="377"/>
      <c r="C17" s="377"/>
      <c r="D17" s="1">
        <v>12</v>
      </c>
      <c r="E17" s="1">
        <f>_xlfn.POISSON.DIST($D17,'First 5 Innings'!$G$24, FALSE) * _xlfn.POISSON.DIST(E$4, 'First 5 Innings'!$G$23, FALSE)</f>
        <v>1.2539709047598805E-8</v>
      </c>
      <c r="F17" s="1">
        <f>_xlfn.POISSON.DIST($D17,'First 5 Innings'!$G$24, FALSE) * _xlfn.POISSON.DIST(F$4, 'First 5 Innings'!$G$23, FALSE)</f>
        <v>2.2308140863114624E-8</v>
      </c>
      <c r="G17" s="1">
        <f>_xlfn.POISSON.DIST($D17,'First 5 Innings'!$G$24, FALSE) * _xlfn.POISSON.DIST(G$4, 'First 5 Innings'!$G$23, FALSE)</f>
        <v>1.9843089934525184E-8</v>
      </c>
      <c r="H17" s="1">
        <f>_xlfn.POISSON.DIST($D17,'First 5 Innings'!$G$24, FALSE) * _xlfn.POISSON.DIST(H$4, 'First 5 Innings'!$G$23, FALSE)</f>
        <v>1.1766951522786829E-8</v>
      </c>
      <c r="I17" s="1">
        <f>_xlfn.POISSON.DIST($D17,'First 5 Innings'!$G$24, FALSE) * _xlfn.POISSON.DIST(I$4, 'First 5 Innings'!$G$23, FALSE)</f>
        <v>5.233351330229528E-9</v>
      </c>
      <c r="J17" s="1">
        <f>_xlfn.POISSON.DIST($D17,'First 5 Innings'!$G$24, FALSE) * _xlfn.POISSON.DIST(J$4, 'First 5 Innings'!$G$23, FALSE)</f>
        <v>1.8620262753749307E-9</v>
      </c>
      <c r="K17" s="1">
        <f>_xlfn.POISSON.DIST($D17,'First 5 Innings'!$G$24, FALSE) * _xlfn.POISSON.DIST(K$4, 'First 5 Innings'!$G$23, FALSE)</f>
        <v>5.5209075272017149E-10</v>
      </c>
      <c r="L17" s="1">
        <f>_xlfn.POISSON.DIST($D17,'First 5 Innings'!$G$24, FALSE) * _xlfn.POISSON.DIST(L$4, 'First 5 Innings'!$G$23, FALSE)</f>
        <v>1.4030991165919942E-10</v>
      </c>
      <c r="M17" s="1">
        <f>_xlfn.POISSON.DIST($D17,'First 5 Innings'!$G$24, FALSE) * _xlfn.POISSON.DIST(M$4, 'First 5 Innings'!$G$23, FALSE)</f>
        <v>3.1201414461685161E-11</v>
      </c>
      <c r="N17" s="1">
        <f>_xlfn.POISSON.DIST($D17,'First 5 Innings'!$G$24, FALSE) * _xlfn.POISSON.DIST(N$4, 'First 5 Innings'!$G$23, FALSE)</f>
        <v>6.1674791682221728E-12</v>
      </c>
      <c r="O17" s="1">
        <f>_xlfn.POISSON.DIST($D17,'First 5 Innings'!$G$24, FALSE) * _xlfn.POISSON.DIST(O$4, 'First 5 Innings'!$G$23, FALSE)</f>
        <v>1.0971944686497422E-12</v>
      </c>
      <c r="P17" s="1">
        <f>_xlfn.POISSON.DIST($D17,'First 5 Innings'!$G$24, FALSE) * _xlfn.POISSON.DIST(P$4, 'First 5 Innings'!$G$23, FALSE)</f>
        <v>1.7744625687565874E-13</v>
      </c>
      <c r="Q17" s="1">
        <f>_xlfn.POISSON.DIST($D17,'First 5 Innings'!$G$24, FALSE) * _xlfn.POISSON.DIST(Q$4, 'First 5 Innings'!$G$23, FALSE)</f>
        <v>2.6306405774572994E-14</v>
      </c>
      <c r="R17" s="1">
        <f>_xlfn.POISSON.DIST($D17,'First 5 Innings'!$G$24, FALSE) * _xlfn.POISSON.DIST(R$4, 'First 5 Innings'!$G$23, FALSE)</f>
        <v>3.5999302044522703E-15</v>
      </c>
      <c r="S17" s="1">
        <f>_xlfn.POISSON.DIST($D17,'First 5 Innings'!$G$24, FALSE) * _xlfn.POISSON.DIST(S$4, 'First 5 Innings'!$G$23, FALSE)</f>
        <v>4.5744824241060637E-16</v>
      </c>
      <c r="T17" s="1">
        <f>_xlfn.POISSON.DIST($D17,'First 5 Innings'!$G$24, FALSE) * _xlfn.POISSON.DIST(T$4, 'First 5 Innings'!$G$23, FALSE)</f>
        <v>5.4253357822705758E-17</v>
      </c>
    </row>
    <row r="18" spans="2:20">
      <c r="B18" s="377"/>
      <c r="C18" s="377"/>
      <c r="D18" s="1">
        <v>13</v>
      </c>
      <c r="E18" s="1">
        <f>_xlfn.POISSON.DIST($D18,'First 5 Innings'!$G$24, FALSE) * _xlfn.POISSON.DIST(E$4, 'First 5 Innings'!$G$23, FALSE)</f>
        <v>1.475635049920279E-9</v>
      </c>
      <c r="F18" s="1">
        <f>_xlfn.POISSON.DIST($D18,'First 5 Innings'!$G$24, FALSE) * _xlfn.POISSON.DIST(F$4, 'First 5 Innings'!$G$23, FALSE)</f>
        <v>2.6251545734607194E-9</v>
      </c>
      <c r="G18" s="1">
        <f>_xlfn.POISSON.DIST($D18,'First 5 Innings'!$G$24, FALSE) * _xlfn.POISSON.DIST(G$4, 'First 5 Innings'!$G$23, FALSE)</f>
        <v>2.3350748326742581E-9</v>
      </c>
      <c r="H18" s="1">
        <f>_xlfn.POISSON.DIST($D18,'First 5 Innings'!$G$24, FALSE) * _xlfn.POISSON.DIST(H$4, 'First 5 Innings'!$G$23, FALSE)</f>
        <v>1.3846992806473434E-9</v>
      </c>
      <c r="I18" s="1">
        <f>_xlfn.POISSON.DIST($D18,'First 5 Innings'!$G$24, FALSE) * _xlfn.POISSON.DIST(I$4, 'First 5 Innings'!$G$23, FALSE)</f>
        <v>6.1584496275951256E-10</v>
      </c>
      <c r="J18" s="1">
        <f>_xlfn.POISSON.DIST($D18,'First 5 Innings'!$G$24, FALSE) * _xlfn.POISSON.DIST(J$4, 'First 5 Innings'!$G$23, FALSE)</f>
        <v>2.1911762269650916E-10</v>
      </c>
      <c r="K18" s="1">
        <f>_xlfn.POISSON.DIST($D18,'First 5 Innings'!$G$24, FALSE) * _xlfn.POISSON.DIST(K$4, 'First 5 Innings'!$G$23, FALSE)</f>
        <v>6.4968370666204285E-11</v>
      </c>
      <c r="L18" s="1">
        <f>_xlfn.POISSON.DIST($D18,'First 5 Innings'!$G$24, FALSE) * _xlfn.POISSON.DIST(L$4, 'First 5 Innings'!$G$23, FALSE)</f>
        <v>1.6511246210706892E-11</v>
      </c>
      <c r="M18" s="1">
        <f>_xlfn.POISSON.DIST($D18,'First 5 Innings'!$G$24, FALSE) * _xlfn.POISSON.DIST(M$4, 'First 5 Innings'!$G$23, FALSE)</f>
        <v>3.6716881238618962E-12</v>
      </c>
      <c r="N18" s="1">
        <f>_xlfn.POISSON.DIST($D18,'First 5 Innings'!$G$24, FALSE) * _xlfn.POISSON.DIST(N$4, 'First 5 Innings'!$G$23, FALSE)</f>
        <v>7.2577030262313171E-13</v>
      </c>
      <c r="O18" s="1">
        <f>_xlfn.POISSON.DIST($D18,'First 5 Innings'!$G$24, FALSE) * _xlfn.POISSON.DIST(O$4, 'First 5 Innings'!$G$23, FALSE)</f>
        <v>1.2911452796651972E-13</v>
      </c>
      <c r="P18" s="1">
        <f>_xlfn.POISSON.DIST($D18,'First 5 Innings'!$G$24, FALSE) * _xlfn.POISSON.DIST(P$4, 'First 5 Innings'!$G$23, FALSE)</f>
        <v>2.0881339042951678E-14</v>
      </c>
      <c r="Q18" s="1">
        <f>_xlfn.POISSON.DIST($D18,'First 5 Innings'!$G$24, FALSE) * _xlfn.POISSON.DIST(Q$4, 'First 5 Innings'!$G$23, FALSE)</f>
        <v>3.0956583004466454E-15</v>
      </c>
      <c r="R18" s="1">
        <f>_xlfn.POISSON.DIST($D18,'First 5 Innings'!$G$24, FALSE) * _xlfn.POISSON.DIST(R$4, 'First 5 Innings'!$G$23, FALSE)</f>
        <v>4.2362890293484616E-16</v>
      </c>
      <c r="S18" s="1">
        <f>_xlfn.POISSON.DIST($D18,'First 5 Innings'!$G$24, FALSE) * _xlfn.POISSON.DIST(S$4, 'First 5 Innings'!$G$23, FALSE)</f>
        <v>5.3831126181893205E-17</v>
      </c>
      <c r="T18" s="1">
        <f>_xlfn.POISSON.DIST($D18,'First 5 Innings'!$G$24, FALSE) * _xlfn.POISSON.DIST(T$4, 'First 5 Innings'!$G$23, FALSE)</f>
        <v>6.3843711265678288E-18</v>
      </c>
    </row>
    <row r="19" spans="2:20">
      <c r="B19" s="377"/>
      <c r="C19" s="377"/>
      <c r="D19" s="1">
        <v>14</v>
      </c>
      <c r="E19" s="1">
        <f>_xlfn.POISSON.DIST($D19,'First 5 Innings'!$G$24, FALSE) * _xlfn.POISSON.DIST(E$4, 'First 5 Innings'!$G$23, FALSE)</f>
        <v>1.6124482348571291E-10</v>
      </c>
      <c r="F19" s="1">
        <f>_xlfn.POISSON.DIST($D19,'First 5 Innings'!$G$24, FALSE) * _xlfn.POISSON.DIST(F$4, 'First 5 Innings'!$G$23, FALSE)</f>
        <v>2.8685452127425004E-10</v>
      </c>
      <c r="G19" s="1">
        <f>_xlfn.POISSON.DIST($D19,'First 5 Innings'!$G$24, FALSE) * _xlfn.POISSON.DIST(G$4, 'First 5 Innings'!$G$23, FALSE)</f>
        <v>2.5515707914421842E-10</v>
      </c>
      <c r="H19" s="1">
        <f>_xlfn.POISSON.DIST($D19,'First 5 Innings'!$G$24, FALSE) * _xlfn.POISSON.DIST(H$4, 'First 5 Innings'!$G$23, FALSE)</f>
        <v>1.5130813753769061E-10</v>
      </c>
      <c r="I19" s="1">
        <f>_xlfn.POISSON.DIST($D19,'First 5 Innings'!$G$24, FALSE) * _xlfn.POISSON.DIST(I$4, 'First 5 Innings'!$G$23, FALSE)</f>
        <v>6.7294289546787202E-11</v>
      </c>
      <c r="J19" s="1">
        <f>_xlfn.POISSON.DIST($D19,'First 5 Innings'!$G$24, FALSE) * _xlfn.POISSON.DIST(J$4, 'First 5 Innings'!$G$23, FALSE)</f>
        <v>2.3943306575847763E-11</v>
      </c>
      <c r="K19" s="1">
        <f>_xlfn.POISSON.DIST($D19,'First 5 Innings'!$G$24, FALSE) * _xlfn.POISSON.DIST(K$4, 'First 5 Innings'!$G$23, FALSE)</f>
        <v>7.0991899120263055E-12</v>
      </c>
      <c r="L19" s="1">
        <f>_xlfn.POISSON.DIST($D19,'First 5 Innings'!$G$24, FALSE) * _xlfn.POISSON.DIST(L$4, 'First 5 Innings'!$G$23, FALSE)</f>
        <v>1.8042082836934595E-12</v>
      </c>
      <c r="M19" s="1">
        <f>_xlfn.POISSON.DIST($D19,'First 5 Innings'!$G$24, FALSE) * _xlfn.POISSON.DIST(M$4, 'First 5 Innings'!$G$23, FALSE)</f>
        <v>4.0121078952325289E-13</v>
      </c>
      <c r="N19" s="1">
        <f>_xlfn.POISSON.DIST($D19,'First 5 Innings'!$G$24, FALSE) * _xlfn.POISSON.DIST(N$4, 'First 5 Innings'!$G$23, FALSE)</f>
        <v>7.9305993947461239E-14</v>
      </c>
      <c r="O19" s="1">
        <f>_xlfn.POISSON.DIST($D19,'First 5 Innings'!$G$24, FALSE) * _xlfn.POISSON.DIST(O$4, 'First 5 Innings'!$G$23, FALSE)</f>
        <v>1.4108535354000545E-14</v>
      </c>
      <c r="P19" s="1">
        <f>_xlfn.POISSON.DIST($D19,'First 5 Innings'!$G$24, FALSE) * _xlfn.POISSON.DIST(P$4, 'First 5 Innings'!$G$23, FALSE)</f>
        <v>2.2817347882242094E-15</v>
      </c>
      <c r="Q19" s="1">
        <f>_xlfn.POISSON.DIST($D19,'First 5 Innings'!$G$24, FALSE) * _xlfn.POISSON.DIST(Q$4, 'First 5 Innings'!$G$23, FALSE)</f>
        <v>3.3826715911537093E-16</v>
      </c>
      <c r="R19" s="1">
        <f>_xlfn.POISSON.DIST($D19,'First 5 Innings'!$G$24, FALSE) * _xlfn.POISSON.DIST(R$4, 'First 5 Innings'!$G$23, FALSE)</f>
        <v>4.629055651725391E-17</v>
      </c>
      <c r="S19" s="1">
        <f>_xlfn.POISSON.DIST($D19,'First 5 Innings'!$G$24, FALSE) * _xlfn.POISSON.DIST(S$4, 'First 5 Innings'!$G$23, FALSE)</f>
        <v>5.8822067419077935E-18</v>
      </c>
      <c r="T19" s="1">
        <f>_xlfn.POISSON.DIST($D19,'First 5 Innings'!$G$24, FALSE) * _xlfn.POISSON.DIST(T$4, 'First 5 Innings'!$G$23, FALSE)</f>
        <v>6.9762967166327971E-19</v>
      </c>
    </row>
    <row r="20" spans="2:20">
      <c r="B20" s="377"/>
      <c r="C20" s="377"/>
      <c r="D20" s="1">
        <v>15</v>
      </c>
      <c r="E20" s="1">
        <f>_xlfn.POISSON.DIST($D20,'First 5 Innings'!$G$24, FALSE) * _xlfn.POISSON.DIST(E$4, 'First 5 Innings'!$G$23, FALSE)</f>
        <v>1.6444829563733006E-11</v>
      </c>
      <c r="F20" s="1">
        <f>_xlfn.POISSON.DIST($D20,'First 5 Innings'!$G$24, FALSE) * _xlfn.POISSON.DIST(F$4, 'First 5 Innings'!$G$23, FALSE)</f>
        <v>2.9255349784045865E-11</v>
      </c>
      <c r="G20" s="1">
        <f>_xlfn.POISSON.DIST($D20,'First 5 Innings'!$G$24, FALSE) * _xlfn.POISSON.DIST(G$4, 'First 5 Innings'!$G$23, FALSE)</f>
        <v>2.6022631845160554E-11</v>
      </c>
      <c r="H20" s="1">
        <f>_xlfn.POISSON.DIST($D20,'First 5 Innings'!$G$24, FALSE) * _xlfn.POISSON.DIST(H$4, 'First 5 Innings'!$G$23, FALSE)</f>
        <v>1.5431419624045569E-11</v>
      </c>
      <c r="I20" s="1">
        <f>_xlfn.POISSON.DIST($D20,'First 5 Innings'!$G$24, FALSE) * _xlfn.POISSON.DIST(I$4, 'First 5 Innings'!$G$23, FALSE)</f>
        <v>6.8631234062994217E-12</v>
      </c>
      <c r="J20" s="1">
        <f>_xlfn.POISSON.DIST($D20,'First 5 Innings'!$G$24, FALSE) * _xlfn.POISSON.DIST(J$4, 'First 5 Innings'!$G$23, FALSE)</f>
        <v>2.4418991402034793E-12</v>
      </c>
      <c r="K20" s="1">
        <f>_xlfn.POISSON.DIST($D20,'First 5 Innings'!$G$24, FALSE) * _xlfn.POISSON.DIST(K$4, 'First 5 Innings'!$G$23, FALSE)</f>
        <v>7.2402304533013097E-13</v>
      </c>
      <c r="L20" s="1">
        <f>_xlfn.POISSON.DIST($D20,'First 5 Innings'!$G$24, FALSE) * _xlfn.POISSON.DIST(L$4, 'First 5 Innings'!$G$23, FALSE)</f>
        <v>1.84005272736356E-13</v>
      </c>
      <c r="M20" s="1">
        <f>_xlfn.POISSON.DIST($D20,'First 5 Innings'!$G$24, FALSE) * _xlfn.POISSON.DIST(M$4, 'First 5 Innings'!$G$23, FALSE)</f>
        <v>4.091816971367921E-14</v>
      </c>
      <c r="N20" s="1">
        <f>_xlfn.POISSON.DIST($D20,'First 5 Innings'!$G$24, FALSE) * _xlfn.POISSON.DIST(N$4, 'First 5 Innings'!$G$23, FALSE)</f>
        <v>8.0881576577495365E-15</v>
      </c>
      <c r="O20" s="1">
        <f>_xlfn.POISSON.DIST($D20,'First 5 Innings'!$G$24, FALSE) * _xlfn.POISSON.DIST(O$4, 'First 5 Innings'!$G$23, FALSE)</f>
        <v>1.4388831484627344E-15</v>
      </c>
      <c r="P20" s="1">
        <f>_xlfn.POISSON.DIST($D20,'First 5 Innings'!$G$24, FALSE) * _xlfn.POISSON.DIST(P$4, 'First 5 Innings'!$G$23, FALSE)</f>
        <v>2.3270663138722246E-16</v>
      </c>
      <c r="Q20" s="1">
        <f>_xlfn.POISSON.DIST($D20,'First 5 Innings'!$G$24, FALSE) * _xlfn.POISSON.DIST(Q$4, 'First 5 Innings'!$G$23, FALSE)</f>
        <v>3.4498755733099948E-17</v>
      </c>
      <c r="R20" s="1">
        <f>_xlfn.POISSON.DIST($D20,'First 5 Innings'!$G$24, FALSE) * _xlfn.POISSON.DIST(R$4, 'First 5 Innings'!$G$23, FALSE)</f>
        <v>4.7210217102196785E-18</v>
      </c>
      <c r="S20" s="1">
        <f>_xlfn.POISSON.DIST($D20,'First 5 Innings'!$G$24, FALSE) * _xlfn.POISSON.DIST(S$4, 'First 5 Innings'!$G$23, FALSE)</f>
        <v>5.999069318208891E-19</v>
      </c>
      <c r="T20" s="1">
        <f>_xlfn.POISSON.DIST($D20,'First 5 Innings'!$G$24, FALSE) * _xlfn.POISSON.DIST(T$4, 'First 5 Innings'!$G$23, FALSE)</f>
        <v>7.1148957226041817E-20</v>
      </c>
    </row>
    <row r="24" spans="2:20">
      <c r="D24" s="1" t="s">
        <v>738</v>
      </c>
      <c r="E24" s="1" t="e">
        <f>E3</f>
        <v>#REF!</v>
      </c>
      <c r="F24" s="1">
        <f>1-F25</f>
        <v>0.55231631991707264</v>
      </c>
      <c r="H24" s="1" t="s">
        <v>345</v>
      </c>
      <c r="I24" s="1">
        <v>3</v>
      </c>
      <c r="J24" s="1">
        <f>SUM(E9:E20,F8:F20,G7:G20,H6:H20,I5:T20)</f>
        <v>0.42160516836797141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0.4476836800829273</v>
      </c>
      <c r="H25" s="1" t="s">
        <v>348</v>
      </c>
      <c r="I25" s="1">
        <v>3</v>
      </c>
      <c r="J25" s="1">
        <f>SUM(E8,F7,G6,H5)</f>
        <v>0.22073271026674665</v>
      </c>
    </row>
    <row r="26" spans="2:20">
      <c r="H26" s="1" t="s">
        <v>346</v>
      </c>
      <c r="I26" s="1">
        <v>3</v>
      </c>
      <c r="J26" s="1">
        <f>SUM(E5:E7,F5:F6,G5)</f>
        <v>0.35766212126442271</v>
      </c>
    </row>
    <row r="27" spans="2:20">
      <c r="H27" s="1" t="s">
        <v>345</v>
      </c>
      <c r="I27" s="1">
        <v>3.5</v>
      </c>
      <c r="J27" s="1">
        <f>SUM(E9:E20,F8:F20,G7:G20,H6:H20,I5:T20)</f>
        <v>0.42160516836797141</v>
      </c>
    </row>
    <row r="28" spans="2:20">
      <c r="H28" s="1" t="s">
        <v>346</v>
      </c>
      <c r="I28" s="1">
        <v>3.5</v>
      </c>
      <c r="J28" s="1">
        <f>SUM(E5:E8,F5:F7,G5:G6,H5)</f>
        <v>0.57839483153116933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0.23901503868276525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0.43825755289606749</v>
      </c>
      <c r="H30" s="1" t="s">
        <v>348</v>
      </c>
      <c r="I30" s="1">
        <v>4</v>
      </c>
      <c r="J30" s="1">
        <f>SUM(E9,F8,G7,H6,I5)</f>
        <v>0.18259012968520591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0.33362491316278126</v>
      </c>
      <c r="H31" s="1" t="s">
        <v>346</v>
      </c>
      <c r="I31" s="1">
        <v>4</v>
      </c>
      <c r="J31" s="1">
        <f>1-J30-J29</f>
        <v>0.57839483163202887</v>
      </c>
    </row>
    <row r="32" spans="2:20">
      <c r="D32" s="1" t="s">
        <v>348</v>
      </c>
      <c r="F32" s="1">
        <f>1-F31-F30</f>
        <v>0.2281175339411512</v>
      </c>
      <c r="H32" s="1" t="s">
        <v>345</v>
      </c>
      <c r="I32" s="1">
        <v>4.5</v>
      </c>
      <c r="J32" s="1">
        <f>SUM(E10:E20,F9:F20,G8:G20,H7:H20,I6:I20,J5:T20)</f>
        <v>0.23901503868276525</v>
      </c>
    </row>
    <row r="33" spans="8:10">
      <c r="H33" s="1" t="s">
        <v>346</v>
      </c>
      <c r="I33" s="1">
        <v>4.5</v>
      </c>
      <c r="J33" s="1">
        <f>1-J32</f>
        <v>0.76098496131723481</v>
      </c>
    </row>
    <row r="34" spans="8:10">
      <c r="H34" s="1" t="s">
        <v>345</v>
      </c>
      <c r="I34" s="1">
        <v>5</v>
      </c>
      <c r="J34" s="1">
        <f>SUM(E11:E20,F10:F20,G9:G20,H8:H20,I7:I20,J6:J20,K5:T20)</f>
        <v>0.1181841734497102</v>
      </c>
    </row>
    <row r="35" spans="8:10">
      <c r="H35" s="1" t="s">
        <v>348</v>
      </c>
      <c r="I35" s="1">
        <v>5</v>
      </c>
      <c r="J35" s="1">
        <f>SUM(E10,F9,G8,H7,I6,J5)</f>
        <v>0.12083086523305504</v>
      </c>
    </row>
    <row r="36" spans="8:10">
      <c r="H36" s="1" t="s">
        <v>346</v>
      </c>
      <c r="I36" s="1">
        <v>5</v>
      </c>
      <c r="J36" s="1">
        <f>SUM(E5:E9,F5:F8,G5:G7,H5:H6,I5)</f>
        <v>0.76098496121637538</v>
      </c>
    </row>
    <row r="37" spans="8:10">
      <c r="H37" s="1" t="s">
        <v>345</v>
      </c>
      <c r="I37" s="1">
        <v>5.5</v>
      </c>
      <c r="J37" s="1">
        <f>SUM(E11:E20,F10:F20,G9:G20,H8:H20,I7:I20,J6:J20,K5:T20)</f>
        <v>0.1181841734497102</v>
      </c>
    </row>
    <row r="38" spans="8:10">
      <c r="H38" s="1" t="s">
        <v>346</v>
      </c>
      <c r="I38" s="1">
        <v>5.5</v>
      </c>
      <c r="J38" s="1">
        <f>1-J37</f>
        <v>0.88181582655028978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5.1549967381452434E-2</v>
      </c>
    </row>
    <row r="40" spans="8:10">
      <c r="H40" s="1" t="s">
        <v>348</v>
      </c>
      <c r="I40" s="1">
        <v>6</v>
      </c>
      <c r="J40" s="1">
        <f>SUM(E11,F10,G9,H8,I7,J6,K5)</f>
        <v>6.6634206068257804E-2</v>
      </c>
    </row>
    <row r="41" spans="8:10">
      <c r="H41" s="1" t="s">
        <v>346</v>
      </c>
      <c r="I41" s="1">
        <v>6</v>
      </c>
      <c r="J41" s="1">
        <f>SUM(E5:E10,F5:F9,G5:G8,H5:H7,I5:I6,J5)</f>
        <v>0.88181582644943035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5.1549967381452434E-2</v>
      </c>
    </row>
    <row r="43" spans="8:10">
      <c r="H43" s="1" t="s">
        <v>346</v>
      </c>
      <c r="I43" s="1">
        <v>6.5</v>
      </c>
      <c r="J43" s="1">
        <f>1-J42</f>
        <v>0.94845003261854754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Innings'!$G$26, FALSE) * _xlfn.POISSON.DIST(E$4, 'First 5 Innings'!$G$25, FALSE)</f>
        <v>6.142433896994432E-3</v>
      </c>
      <c r="F5" s="1">
        <f>_xlfn.POISSON.DIST($D5,'First 5 Innings'!$G$26, FALSE) * _xlfn.POISSON.DIST(F$4, 'First 5 Innings'!$G$25, FALSE)</f>
        <v>1.9113527245496344E-2</v>
      </c>
      <c r="G5" s="1">
        <f>_xlfn.POISSON.DIST($D5,'First 5 Innings'!$G$26, FALSE) * _xlfn.POISSON.DIST(G$4, 'First 5 Innings'!$G$25, FALSE)</f>
        <v>2.9737961359510123E-2</v>
      </c>
      <c r="H5" s="1">
        <f>_xlfn.POISSON.DIST($D5,'First 5 Innings'!$G$26, FALSE) * _xlfn.POISSON.DIST(H$4, 'First 5 Innings'!$G$25, FALSE)</f>
        <v>3.08453914849963E-2</v>
      </c>
      <c r="I5" s="1">
        <f>_xlfn.POISSON.DIST($D5,'First 5 Innings'!$G$26, FALSE) * _xlfn.POISSON.DIST(I$4, 'First 5 Innings'!$G$25, FALSE)</f>
        <v>2.3995546408523773E-2</v>
      </c>
      <c r="J5" s="1">
        <f>_xlfn.POISSON.DIST($D5,'First 5 Innings'!$G$26, FALSE) * _xlfn.POISSON.DIST(J$4, 'First 5 Innings'!$G$25, FALSE)</f>
        <v>1.4933478739569636E-2</v>
      </c>
      <c r="K5" s="1">
        <f>_xlfn.POISSON.DIST($D5,'First 5 Innings'!$G$26, FALSE) * _xlfn.POISSON.DIST(K$4, 'First 5 Innings'!$G$25, FALSE)</f>
        <v>7.7447978424988193E-3</v>
      </c>
      <c r="L5" s="1">
        <f>_xlfn.POISSON.DIST($D5,'First 5 Innings'!$G$26, FALSE) * _xlfn.POISSON.DIST(L$4, 'First 5 Innings'!$G$25, FALSE)</f>
        <v>3.4428047591524556E-3</v>
      </c>
      <c r="M5" s="1">
        <f>_xlfn.POISSON.DIST($D5,'First 5 Innings'!$G$26, FALSE) * _xlfn.POISSON.DIST(M$4, 'First 5 Innings'!$G$25, FALSE)</f>
        <v>1.3391300514683545E-3</v>
      </c>
      <c r="N5" s="1">
        <f>_xlfn.POISSON.DIST($D5,'First 5 Innings'!$G$26, FALSE) * _xlfn.POISSON.DIST(N$4, 'First 5 Innings'!$G$25, FALSE)</f>
        <v>4.6299957807581889E-4</v>
      </c>
      <c r="O5" s="1">
        <f>_xlfn.POISSON.DIST($D5,'First 5 Innings'!$G$26, FALSE) * _xlfn.POISSON.DIST(O$4, 'First 5 Innings'!$G$25, FALSE)</f>
        <v>1.4407245073545983E-4</v>
      </c>
      <c r="P5" s="1">
        <f>_xlfn.POISSON.DIST($D5,'First 5 Innings'!$G$26, FALSE) * _xlfn.POISSON.DIST(P$4, 'First 5 Innings'!$G$25, FALSE)</f>
        <v>4.0755723495639597E-5</v>
      </c>
      <c r="Q5" s="1">
        <f>_xlfn.POISSON.DIST($D5,'First 5 Innings'!$G$26, FALSE) * _xlfn.POISSON.DIST(Q$4, 'First 5 Innings'!$G$25, FALSE)</f>
        <v>1.0568362700451547E-5</v>
      </c>
      <c r="R5" s="1">
        <f>_xlfn.POISSON.DIST($D5,'First 5 Innings'!$G$26, FALSE) * _xlfn.POISSON.DIST(R$4, 'First 5 Innings'!$G$25, FALSE)</f>
        <v>2.529674866332572E-6</v>
      </c>
      <c r="S5" s="1">
        <f>_xlfn.POISSON.DIST($D5,'First 5 Innings'!$G$26, FALSE) * _xlfn.POISSON.DIST(S$4, 'First 5 Innings'!$G$25, FALSE)</f>
        <v>5.6225978043786744E-7</v>
      </c>
      <c r="T5" s="1">
        <f>_xlfn.POISSON.DIST($D5,'First 5 Innings'!$G$26, FALSE) * _xlfn.POISSON.DIST(T$4, 'First 5 Innings'!$G$25, FALSE)</f>
        <v>1.1663962323582617E-7</v>
      </c>
    </row>
    <row r="6" spans="2:20">
      <c r="B6" s="377"/>
      <c r="C6" s="377"/>
      <c r="D6" s="1">
        <v>1</v>
      </c>
      <c r="E6" s="1">
        <f>_xlfn.POISSON.DIST($D6,'First 5 Innings'!$G$26, FALSE) * _xlfn.POISSON.DIST(E$4, 'First 5 Innings'!$G$25, FALSE)</f>
        <v>1.2167027539594545E-2</v>
      </c>
      <c r="F6" s="1">
        <f>_xlfn.POISSON.DIST($D6,'First 5 Innings'!$G$26, FALSE) * _xlfn.POISSON.DIST(F$4, 'First 5 Innings'!$G$25, FALSE)</f>
        <v>3.7860368751959479E-2</v>
      </c>
      <c r="G6" s="1">
        <f>_xlfn.POISSON.DIST($D6,'First 5 Innings'!$G$26, FALSE) * _xlfn.POISSON.DIST(G$4, 'First 5 Innings'!$G$25, FALSE)</f>
        <v>5.89054112588175E-2</v>
      </c>
      <c r="H6" s="1">
        <f>_xlfn.POISSON.DIST($D6,'First 5 Innings'!$G$26, FALSE) * _xlfn.POISSON.DIST(H$4, 'First 5 Innings'!$G$25, FALSE)</f>
        <v>6.1099025884700578E-2</v>
      </c>
      <c r="I6" s="1">
        <f>_xlfn.POISSON.DIST($D6,'First 5 Innings'!$G$26, FALSE) * _xlfn.POISSON.DIST(I$4, 'First 5 Innings'!$G$25, FALSE)</f>
        <v>4.7530747400144527E-2</v>
      </c>
      <c r="J6" s="1">
        <f>_xlfn.POISSON.DIST($D6,'First 5 Innings'!$G$26, FALSE) * _xlfn.POISSON.DIST(J$4, 'First 5 Innings'!$G$25, FALSE)</f>
        <v>2.9580464378330468E-2</v>
      </c>
      <c r="K6" s="1">
        <f>_xlfn.POISSON.DIST($D6,'First 5 Innings'!$G$26, FALSE) * _xlfn.POISSON.DIST(K$4, 'First 5 Innings'!$G$25, FALSE)</f>
        <v>1.5341014688718752E-2</v>
      </c>
      <c r="L6" s="1">
        <f>_xlfn.POISSON.DIST($D6,'First 5 Innings'!$G$26, FALSE) * _xlfn.POISSON.DIST(L$4, 'First 5 Innings'!$G$25, FALSE)</f>
        <v>6.8195606205142464E-3</v>
      </c>
      <c r="M6" s="1">
        <f>_xlfn.POISSON.DIST($D6,'First 5 Innings'!$G$26, FALSE) * _xlfn.POISSON.DIST(M$4, 'First 5 Innings'!$G$25, FALSE)</f>
        <v>2.6525694030320145E-3</v>
      </c>
      <c r="N6" s="1">
        <f>_xlfn.POISSON.DIST($D6,'First 5 Innings'!$G$26, FALSE) * _xlfn.POISSON.DIST(N$4, 'First 5 Innings'!$G$25, FALSE)</f>
        <v>9.1711668562287655E-4</v>
      </c>
      <c r="O6" s="1">
        <f>_xlfn.POISSON.DIST($D6,'First 5 Innings'!$G$26, FALSE) * _xlfn.POISSON.DIST(O$4, 'First 5 Innings'!$G$25, FALSE)</f>
        <v>2.8538092638700596E-4</v>
      </c>
      <c r="P6" s="1">
        <f>_xlfn.POISSON.DIST($D6,'First 5 Innings'!$G$26, FALSE) * _xlfn.POISSON.DIST(P$4, 'First 5 Innings'!$G$25, FALSE)</f>
        <v>8.0729563961638341E-5</v>
      </c>
      <c r="Q6" s="1">
        <f>_xlfn.POISSON.DIST($D6,'First 5 Innings'!$G$26, FALSE) * _xlfn.POISSON.DIST(Q$4, 'First 5 Innings'!$G$25, FALSE)</f>
        <v>2.0933975388442721E-5</v>
      </c>
      <c r="R6" s="1">
        <f>_xlfn.POISSON.DIST($D6,'First 5 Innings'!$G$26, FALSE) * _xlfn.POISSON.DIST(R$4, 'First 5 Innings'!$G$25, FALSE)</f>
        <v>5.0108188840174428E-6</v>
      </c>
      <c r="S6" s="1">
        <f>_xlfn.POISSON.DIST($D6,'First 5 Innings'!$G$26, FALSE) * _xlfn.POISSON.DIST(S$4, 'First 5 Innings'!$G$25, FALSE)</f>
        <v>1.1137328211771745E-6</v>
      </c>
      <c r="T6" s="1">
        <f>_xlfn.POISSON.DIST($D6,'First 5 Innings'!$G$26, FALSE) * _xlfn.POISSON.DIST(T$4, 'First 5 Innings'!$G$25, FALSE)</f>
        <v>2.3104155973296511E-7</v>
      </c>
    </row>
    <row r="7" spans="2:20">
      <c r="B7" s="377"/>
      <c r="C7" s="377"/>
      <c r="D7" s="1">
        <v>2</v>
      </c>
      <c r="E7" s="1">
        <f>_xlfn.POISSON.DIST($D7,'First 5 Innings'!$G$26, FALSE) * _xlfn.POISSON.DIST(E$4, 'First 5 Innings'!$G$25, FALSE)</f>
        <v>1.2050317645395272E-2</v>
      </c>
      <c r="F7" s="1">
        <f>_xlfn.POISSON.DIST($D7,'First 5 Innings'!$G$26, FALSE) * _xlfn.POISSON.DIST(F$4, 'First 5 Innings'!$G$25, FALSE)</f>
        <v>3.7497200376034698E-2</v>
      </c>
      <c r="G7" s="1">
        <f>_xlfn.POISSON.DIST($D7,'First 5 Innings'!$G$26, FALSE) * _xlfn.POISSON.DIST(G$4, 'First 5 Innings'!$G$25, FALSE)</f>
        <v>5.8340372321130478E-2</v>
      </c>
      <c r="H7" s="1">
        <f>_xlfn.POISSON.DIST($D7,'First 5 Innings'!$G$26, FALSE) * _xlfn.POISSON.DIST(H$4, 'First 5 Innings'!$G$25, FALSE)</f>
        <v>6.0512945116536251E-2</v>
      </c>
      <c r="I7" s="1">
        <f>_xlfn.POISSON.DIST($D7,'First 5 Innings'!$G$26, FALSE) * _xlfn.POISSON.DIST(I$4, 'First 5 Innings'!$G$25, FALSE)</f>
        <v>4.7074817758970385E-2</v>
      </c>
      <c r="J7" s="1">
        <f>_xlfn.POISSON.DIST($D7,'First 5 Innings'!$G$26, FALSE) * _xlfn.POISSON.DIST(J$4, 'First 5 Innings'!$G$25, FALSE)</f>
        <v>2.9296719408022351E-2</v>
      </c>
      <c r="K7" s="1">
        <f>_xlfn.POISSON.DIST($D7,'First 5 Innings'!$G$26, FALSE) * _xlfn.POISSON.DIST(K$4, 'First 5 Innings'!$G$25, FALSE)</f>
        <v>1.5193858927346197E-2</v>
      </c>
      <c r="L7" s="1">
        <f>_xlfn.POISSON.DIST($D7,'First 5 Innings'!$G$26, FALSE) * _xlfn.POISSON.DIST(L$4, 'First 5 Innings'!$G$25, FALSE)</f>
        <v>6.7541452841951947E-3</v>
      </c>
      <c r="M7" s="1">
        <f>_xlfn.POISSON.DIST($D7,'First 5 Innings'!$G$26, FALSE) * _xlfn.POISSON.DIST(M$4, 'First 5 Innings'!$G$25, FALSE)</f>
        <v>2.6271251362728044E-3</v>
      </c>
      <c r="N7" s="1">
        <f>_xlfn.POISSON.DIST($D7,'First 5 Innings'!$G$26, FALSE) * _xlfn.POISSON.DIST(N$4, 'First 5 Innings'!$G$25, FALSE)</f>
        <v>9.0831941850080334E-4</v>
      </c>
      <c r="O7" s="1">
        <f>_xlfn.POISSON.DIST($D7,'First 5 Innings'!$G$26, FALSE) * _xlfn.POISSON.DIST(O$4, 'First 5 Innings'!$G$25, FALSE)</f>
        <v>2.8264346420762569E-4</v>
      </c>
      <c r="P7" s="1">
        <f>_xlfn.POISSON.DIST($D7,'First 5 Innings'!$G$26, FALSE) * _xlfn.POISSON.DIST(P$4, 'First 5 Innings'!$G$25, FALSE)</f>
        <v>7.9955180996032739E-5</v>
      </c>
      <c r="Q7" s="1">
        <f>_xlfn.POISSON.DIST($D7,'First 5 Innings'!$G$26, FALSE) * _xlfn.POISSON.DIST(Q$4, 'First 5 Innings'!$G$25, FALSE)</f>
        <v>2.0733170216858738E-5</v>
      </c>
      <c r="R7" s="1">
        <f>_xlfn.POISSON.DIST($D7,'First 5 Innings'!$G$26, FALSE) * _xlfn.POISSON.DIST(R$4, 'First 5 Innings'!$G$25, FALSE)</f>
        <v>4.9627535582916424E-6</v>
      </c>
      <c r="S7" s="1">
        <f>_xlfn.POISSON.DIST($D7,'First 5 Innings'!$G$26, FALSE) * _xlfn.POISSON.DIST(S$4, 'First 5 Innings'!$G$25, FALSE)</f>
        <v>1.1030495512246041E-6</v>
      </c>
      <c r="T7" s="1">
        <f>_xlfn.POISSON.DIST($D7,'First 5 Innings'!$G$26, FALSE) * _xlfn.POISSON.DIST(T$4, 'First 5 Innings'!$G$25, FALSE)</f>
        <v>2.2882533757810281E-7</v>
      </c>
    </row>
    <row r="8" spans="2:20">
      <c r="B8" s="377"/>
      <c r="C8" s="377"/>
      <c r="D8" s="1">
        <v>3</v>
      </c>
      <c r="E8" s="1">
        <f>_xlfn.POISSON.DIST($D8,'First 5 Innings'!$G$26, FALSE) * _xlfn.POISSON.DIST(E$4, 'First 5 Innings'!$G$25, FALSE)</f>
        <v>7.9564848457507817E-3</v>
      </c>
      <c r="F8" s="1">
        <f>_xlfn.POISSON.DIST($D8,'First 5 Innings'!$G$26, FALSE) * _xlfn.POISSON.DIST(F$4, 'First 5 Innings'!$G$25, FALSE)</f>
        <v>2.4758343749055115E-2</v>
      </c>
      <c r="G8" s="1">
        <f>_xlfn.POISSON.DIST($D8,'First 5 Innings'!$G$26, FALSE) * _xlfn.POISSON.DIST(G$4, 'First 5 Innings'!$G$25, FALSE)</f>
        <v>3.8520502274552858E-2</v>
      </c>
      <c r="H8" s="1">
        <f>_xlfn.POISSON.DIST($D8,'First 5 Innings'!$G$26, FALSE) * _xlfn.POISSON.DIST(H$4, 'First 5 Innings'!$G$25, FALSE)</f>
        <v>3.9954990811005828E-2</v>
      </c>
      <c r="I8" s="1">
        <f>_xlfn.POISSON.DIST($D8,'First 5 Innings'!$G$26, FALSE) * _xlfn.POISSON.DIST(I$4, 'First 5 Innings'!$G$25, FALSE)</f>
        <v>3.1082174357358341E-2</v>
      </c>
      <c r="J8" s="1">
        <f>_xlfn.POISSON.DIST($D8,'First 5 Innings'!$G$26, FALSE) * _xlfn.POISSON.DIST(J$4, 'First 5 Innings'!$G$25, FALSE)</f>
        <v>1.9343797471531015E-2</v>
      </c>
      <c r="K8" s="1">
        <f>_xlfn.POISSON.DIST($D8,'First 5 Innings'!$G$26, FALSE) * _xlfn.POISSON.DIST(K$4, 'First 5 Innings'!$G$25, FALSE)</f>
        <v>1.0032076486390401E-2</v>
      </c>
      <c r="L8" s="1">
        <f>_xlfn.POISSON.DIST($D8,'First 5 Innings'!$G$26, FALSE) * _xlfn.POISSON.DIST(L$4, 'First 5 Innings'!$G$25, FALSE)</f>
        <v>4.4595716213533419E-3</v>
      </c>
      <c r="M8" s="1">
        <f>_xlfn.POISSON.DIST($D8,'First 5 Innings'!$G$26, FALSE) * _xlfn.POISSON.DIST(M$4, 'First 5 Innings'!$G$25, FALSE)</f>
        <v>1.7346166258640464E-3</v>
      </c>
      <c r="N8" s="1">
        <f>_xlfn.POISSON.DIST($D8,'First 5 Innings'!$G$26, FALSE) * _xlfn.POISSON.DIST(N$4, 'First 5 Innings'!$G$25, FALSE)</f>
        <v>5.9973769165864543E-4</v>
      </c>
      <c r="O8" s="1">
        <f>_xlfn.POISSON.DIST($D8,'First 5 Innings'!$G$26, FALSE) * _xlfn.POISSON.DIST(O$4, 'First 5 Innings'!$G$25, FALSE)</f>
        <v>1.866215070751947E-4</v>
      </c>
      <c r="P8" s="1">
        <f>_xlfn.POISSON.DIST($D8,'First 5 Innings'!$G$26, FALSE) * _xlfn.POISSON.DIST(P$4, 'First 5 Innings'!$G$25, FALSE)</f>
        <v>5.2792150767684441E-5</v>
      </c>
      <c r="Q8" s="1">
        <f>_xlfn.POISSON.DIST($D8,'First 5 Innings'!$G$26, FALSE) * _xlfn.POISSON.DIST(Q$4, 'First 5 Innings'!$G$25, FALSE)</f>
        <v>1.3689527487090313E-5</v>
      </c>
      <c r="R8" s="1">
        <f>_xlfn.POISSON.DIST($D8,'First 5 Innings'!$G$26, FALSE) * _xlfn.POISSON.DIST(R$4, 'First 5 Innings'!$G$25, FALSE)</f>
        <v>3.2767661933651879E-6</v>
      </c>
      <c r="S8" s="1">
        <f>_xlfn.POISSON.DIST($D8,'First 5 Innings'!$G$26, FALSE) * _xlfn.POISSON.DIST(S$4, 'First 5 Innings'!$G$25, FALSE)</f>
        <v>7.2831250566946215E-7</v>
      </c>
      <c r="T8" s="1">
        <f>_xlfn.POISSON.DIST($D8,'First 5 Innings'!$G$26, FALSE) * _xlfn.POISSON.DIST(T$4, 'First 5 Innings'!$G$25, FALSE)</f>
        <v>1.510869160747556E-7</v>
      </c>
    </row>
    <row r="9" spans="2:20">
      <c r="B9" s="377"/>
      <c r="C9" s="377"/>
      <c r="D9" s="1">
        <v>4</v>
      </c>
      <c r="E9" s="1">
        <f>_xlfn.POISSON.DIST($D9,'First 5 Innings'!$G$26, FALSE) * _xlfn.POISSON.DIST(E$4, 'First 5 Innings'!$G$25, FALSE)</f>
        <v>3.9400818901765113E-3</v>
      </c>
      <c r="F9" s="1">
        <f>_xlfn.POISSON.DIST($D9,'First 5 Innings'!$G$26, FALSE) * _xlfn.POISSON.DIST(F$4, 'First 5 Innings'!$G$25, FALSE)</f>
        <v>1.2260427026202926E-2</v>
      </c>
      <c r="G9" s="1">
        <f>_xlfn.POISSON.DIST($D9,'First 5 Innings'!$G$26, FALSE) * _xlfn.POISSON.DIST(G$4, 'First 5 Innings'!$G$25, FALSE)</f>
        <v>1.9075500846774666E-2</v>
      </c>
      <c r="H9" s="1">
        <f>_xlfn.POISSON.DIST($D9,'First 5 Innings'!$G$26, FALSE) * _xlfn.POISSON.DIST(H$4, 'First 5 Innings'!$G$25, FALSE)</f>
        <v>1.9785865085972916E-2</v>
      </c>
      <c r="I9" s="1">
        <f>_xlfn.POISSON.DIST($D9,'First 5 Innings'!$G$26, FALSE) * _xlfn.POISSON.DIST(I$4, 'First 5 Innings'!$G$25, FALSE)</f>
        <v>1.5392012260054813E-2</v>
      </c>
      <c r="J9" s="1">
        <f>_xlfn.POISSON.DIST($D9,'First 5 Innings'!$G$26, FALSE) * _xlfn.POISSON.DIST(J$4, 'First 5 Innings'!$G$25, FALSE)</f>
        <v>9.5791228893655645E-3</v>
      </c>
      <c r="K9" s="1">
        <f>_xlfn.POISSON.DIST($D9,'First 5 Innings'!$G$26, FALSE) * _xlfn.POISSON.DIST(K$4, 'First 5 Innings'!$G$25, FALSE)</f>
        <v>4.9679228517606269E-3</v>
      </c>
      <c r="L9" s="1">
        <f>_xlfn.POISSON.DIST($D9,'First 5 Innings'!$G$26, FALSE) * _xlfn.POISSON.DIST(L$4, 'First 5 Innings'!$G$25, FALSE)</f>
        <v>2.2083970149988242E-3</v>
      </c>
      <c r="M9" s="1">
        <f>_xlfn.POISSON.DIST($D9,'First 5 Innings'!$G$26, FALSE) * _xlfn.POISSON.DIST(M$4, 'First 5 Innings'!$G$25, FALSE)</f>
        <v>8.589888231379019E-4</v>
      </c>
      <c r="N9" s="1">
        <f>_xlfn.POISSON.DIST($D9,'First 5 Innings'!$G$26, FALSE) * _xlfn.POISSON.DIST(N$4, 'First 5 Innings'!$G$25, FALSE)</f>
        <v>2.9699241104223046E-4</v>
      </c>
      <c r="O9" s="1">
        <f>_xlfn.POISSON.DIST($D9,'First 5 Innings'!$G$26, FALSE) * _xlfn.POISSON.DIST(O$4, 'First 5 Innings'!$G$25, FALSE)</f>
        <v>9.2415687907344764E-5</v>
      </c>
      <c r="P9" s="1">
        <f>_xlfn.POISSON.DIST($D9,'First 5 Innings'!$G$26, FALSE) * _xlfn.POISSON.DIST(P$4, 'First 5 Innings'!$G$25, FALSE)</f>
        <v>2.6142876058427775E-5</v>
      </c>
      <c r="Q9" s="1">
        <f>_xlfn.POISSON.DIST($D9,'First 5 Innings'!$G$26, FALSE) * _xlfn.POISSON.DIST(Q$4, 'First 5 Innings'!$G$25, FALSE)</f>
        <v>6.7791066510689101E-6</v>
      </c>
      <c r="R9" s="1">
        <f>_xlfn.POISSON.DIST($D9,'First 5 Innings'!$G$26, FALSE) * _xlfn.POISSON.DIST(R$4, 'First 5 Innings'!$G$25, FALSE)</f>
        <v>1.6226672188932617E-6</v>
      </c>
      <c r="S9" s="1">
        <f>_xlfn.POISSON.DIST($D9,'First 5 Innings'!$G$26, FALSE) * _xlfn.POISSON.DIST(S$4, 'First 5 Innings'!$G$25, FALSE)</f>
        <v>3.6066315334087041E-7</v>
      </c>
      <c r="T9" s="1">
        <f>_xlfn.POISSON.DIST($D9,'First 5 Innings'!$G$26, FALSE) * _xlfn.POISSON.DIST(T$4, 'First 5 Innings'!$G$25, FALSE)</f>
        <v>7.4818821805044282E-8</v>
      </c>
    </row>
    <row r="10" spans="2:20">
      <c r="B10" s="377"/>
      <c r="C10" s="377"/>
      <c r="D10" s="1">
        <v>5</v>
      </c>
      <c r="E10" s="1">
        <f>_xlfn.POISSON.DIST($D10,'First 5 Innings'!$G$26, FALSE) * _xlfn.POISSON.DIST(E$4, 'First 5 Innings'!$G$25, FALSE)</f>
        <v>1.5609149620476191E-3</v>
      </c>
      <c r="F10" s="1">
        <f>_xlfn.POISSON.DIST($D10,'First 5 Innings'!$G$26, FALSE) * _xlfn.POISSON.DIST(F$4, 'First 5 Innings'!$G$25, FALSE)</f>
        <v>4.8571284860873297E-3</v>
      </c>
      <c r="G10" s="1">
        <f>_xlfn.POISSON.DIST($D10,'First 5 Innings'!$G$26, FALSE) * _xlfn.POISSON.DIST(G$4, 'First 5 Innings'!$G$25, FALSE)</f>
        <v>7.5570090952979422E-3</v>
      </c>
      <c r="H10" s="1">
        <f>_xlfn.POISSON.DIST($D10,'First 5 Innings'!$G$26, FALSE) * _xlfn.POISSON.DIST(H$4, 'First 5 Innings'!$G$25, FALSE)</f>
        <v>7.8384291775131492E-3</v>
      </c>
      <c r="I10" s="1">
        <f>_xlfn.POISSON.DIST($D10,'First 5 Innings'!$G$26, FALSE) * _xlfn.POISSON.DIST(I$4, 'First 5 Innings'!$G$25, FALSE)</f>
        <v>6.0977469256771272E-3</v>
      </c>
      <c r="J10" s="1">
        <f>_xlfn.POISSON.DIST($D10,'First 5 Innings'!$G$26, FALSE) * _xlfn.POISSON.DIST(J$4, 'First 5 Innings'!$G$25, FALSE)</f>
        <v>3.7948947910404185E-3</v>
      </c>
      <c r="K10" s="1">
        <f>_xlfn.POISSON.DIST($D10,'First 5 Innings'!$G$26, FALSE) * _xlfn.POISSON.DIST(K$4, 'First 5 Innings'!$G$25, FALSE)</f>
        <v>1.9681075992215085E-3</v>
      </c>
      <c r="L10" s="1">
        <f>_xlfn.POISSON.DIST($D10,'First 5 Innings'!$G$26, FALSE) * _xlfn.POISSON.DIST(L$4, 'First 5 Innings'!$G$25, FALSE)</f>
        <v>8.7488535490782334E-4</v>
      </c>
      <c r="M10" s="1">
        <f>_xlfn.POISSON.DIST($D10,'First 5 Innings'!$G$26, FALSE) * _xlfn.POISSON.DIST(M$4, 'First 5 Innings'!$G$25, FALSE)</f>
        <v>3.4029965458600163E-4</v>
      </c>
      <c r="N10" s="1">
        <f>_xlfn.POISSON.DIST($D10,'First 5 Innings'!$G$26, FALSE) * _xlfn.POISSON.DIST(N$4, 'First 5 Innings'!$G$25, FALSE)</f>
        <v>1.1765742716318167E-4</v>
      </c>
      <c r="O10" s="1">
        <f>_xlfn.POISSON.DIST($D10,'First 5 Innings'!$G$26, FALSE) * _xlfn.POISSON.DIST(O$4, 'First 5 Innings'!$G$25, FALSE)</f>
        <v>3.6611683209466309E-5</v>
      </c>
      <c r="P10" s="1">
        <f>_xlfn.POISSON.DIST($D10,'First 5 Innings'!$G$26, FALSE) * _xlfn.POISSON.DIST(P$4, 'First 5 Innings'!$G$25, FALSE)</f>
        <v>1.0356842199726031E-5</v>
      </c>
      <c r="Q10" s="1">
        <f>_xlfn.POISSON.DIST($D10,'First 5 Innings'!$G$26, FALSE) * _xlfn.POISSON.DIST(Q$4, 'First 5 Innings'!$G$25, FALSE)</f>
        <v>2.6856317446985715E-6</v>
      </c>
      <c r="R10" s="1">
        <f>_xlfn.POISSON.DIST($D10,'First 5 Innings'!$G$26, FALSE) * _xlfn.POISSON.DIST(R$4, 'First 5 Innings'!$G$25, FALSE)</f>
        <v>6.4284083706727794E-7</v>
      </c>
      <c r="S10" s="1">
        <f>_xlfn.POISSON.DIST($D10,'First 5 Innings'!$G$26, FALSE) * _xlfn.POISSON.DIST(S$4, 'First 5 Innings'!$G$25, FALSE)</f>
        <v>1.428814242954273E-7</v>
      </c>
      <c r="T10" s="1">
        <f>_xlfn.POISSON.DIST($D10,'First 5 Innings'!$G$26, FALSE) * _xlfn.POISSON.DIST(T$4, 'First 5 Innings'!$G$25, FALSE)</f>
        <v>2.964045460309872E-8</v>
      </c>
    </row>
    <row r="11" spans="2:20">
      <c r="B11" s="377"/>
      <c r="C11" s="377"/>
      <c r="D11" s="1">
        <v>6</v>
      </c>
      <c r="E11" s="1">
        <f>_xlfn.POISSON.DIST($D11,'First 5 Innings'!$G$26, FALSE) * _xlfn.POISSON.DIST(E$4, 'First 5 Innings'!$G$25, FALSE)</f>
        <v>5.1531406086142832E-4</v>
      </c>
      <c r="F11" s="1">
        <f>_xlfn.POISSON.DIST($D11,'First 5 Innings'!$G$26, FALSE) * _xlfn.POISSON.DIST(F$4, 'First 5 Innings'!$G$25, FALSE)</f>
        <v>1.6035124687433329E-3</v>
      </c>
      <c r="G11" s="1">
        <f>_xlfn.POISSON.DIST($D11,'First 5 Innings'!$G$26, FALSE) * _xlfn.POISSON.DIST(G$4, 'First 5 Innings'!$G$25, FALSE)</f>
        <v>2.4948399749825253E-3</v>
      </c>
      <c r="H11" s="1">
        <f>_xlfn.POISSON.DIST($D11,'First 5 Innings'!$G$26, FALSE) * _xlfn.POISSON.DIST(H$4, 'First 5 Innings'!$G$25, FALSE)</f>
        <v>2.5877468462088969E-3</v>
      </c>
      <c r="I11" s="1">
        <f>_xlfn.POISSON.DIST($D11,'First 5 Innings'!$G$26, FALSE) * _xlfn.POISSON.DIST(I$4, 'First 5 Innings'!$G$25, FALSE)</f>
        <v>2.0130851499135733E-3</v>
      </c>
      <c r="J11" s="1">
        <f>_xlfn.POISSON.DIST($D11,'First 5 Innings'!$G$26, FALSE) * _xlfn.POISSON.DIST(J$4, 'First 5 Innings'!$G$25, FALSE)</f>
        <v>1.25283099519246E-3</v>
      </c>
      <c r="K11" s="1">
        <f>_xlfn.POISSON.DIST($D11,'First 5 Innings'!$G$26, FALSE) * _xlfn.POISSON.DIST(K$4, 'First 5 Innings'!$G$25, FALSE)</f>
        <v>6.4974296731491765E-4</v>
      </c>
      <c r="L11" s="1">
        <f>_xlfn.POISSON.DIST($D11,'First 5 Innings'!$G$26, FALSE) * _xlfn.POISSON.DIST(L$4, 'First 5 Innings'!$G$25, FALSE)</f>
        <v>2.888310612605868E-4</v>
      </c>
      <c r="M11" s="1">
        <f>_xlfn.POISSON.DIST($D11,'First 5 Innings'!$G$26, FALSE) * _xlfn.POISSON.DIST(M$4, 'First 5 Innings'!$G$25, FALSE)</f>
        <v>1.1234513165561167E-4</v>
      </c>
      <c r="N11" s="1">
        <f>_xlfn.POISSON.DIST($D11,'First 5 Innings'!$G$26, FALSE) * _xlfn.POISSON.DIST(N$4, 'First 5 Innings'!$G$25, FALSE)</f>
        <v>3.8842940234509206E-5</v>
      </c>
      <c r="O11" s="1">
        <f>_xlfn.POISSON.DIST($D11,'First 5 Innings'!$G$26, FALSE) * _xlfn.POISSON.DIST(O$4, 'First 5 Innings'!$G$25, FALSE)</f>
        <v>1.2086830870589536E-5</v>
      </c>
      <c r="P11" s="1">
        <f>_xlfn.POISSON.DIST($D11,'First 5 Innings'!$G$26, FALSE) * _xlfn.POISSON.DIST(P$4, 'First 5 Innings'!$G$25, FALSE)</f>
        <v>3.4191653878701249E-6</v>
      </c>
      <c r="Q11" s="1">
        <f>_xlfn.POISSON.DIST($D11,'First 5 Innings'!$G$26, FALSE) * _xlfn.POISSON.DIST(Q$4, 'First 5 Innings'!$G$25, FALSE)</f>
        <v>8.8662344457478738E-7</v>
      </c>
      <c r="R11" s="1">
        <f>_xlfn.POISSON.DIST($D11,'First 5 Innings'!$G$26, FALSE) * _xlfn.POISSON.DIST(R$4, 'First 5 Innings'!$G$25, FALSE)</f>
        <v>2.122248362602298E-7</v>
      </c>
      <c r="S11" s="1">
        <f>_xlfn.POISSON.DIST($D11,'First 5 Innings'!$G$26, FALSE) * _xlfn.POISSON.DIST(S$4, 'First 5 Innings'!$G$25, FALSE)</f>
        <v>4.7170287149246498E-8</v>
      </c>
      <c r="T11" s="1">
        <f>_xlfn.POISSON.DIST($D11,'First 5 Innings'!$G$26, FALSE) * _xlfn.POISSON.DIST(T$4, 'First 5 Innings'!$G$25, FALSE)</f>
        <v>9.7853780626619715E-9</v>
      </c>
    </row>
    <row r="12" spans="2:20">
      <c r="B12" s="377"/>
      <c r="C12" s="377"/>
      <c r="D12" s="1">
        <v>7</v>
      </c>
      <c r="E12" s="1">
        <f>_xlfn.POISSON.DIST($D12,'First 5 Innings'!$G$26, FALSE) * _xlfn.POISSON.DIST(E$4, 'First 5 Innings'!$G$25, FALSE)</f>
        <v>1.4582028825295865E-4</v>
      </c>
      <c r="F12" s="1">
        <f>_xlfn.POISSON.DIST($D12,'First 5 Innings'!$G$26, FALSE) * _xlfn.POISSON.DIST(F$4, 'First 5 Innings'!$G$25, FALSE)</f>
        <v>4.5375173737446933E-4</v>
      </c>
      <c r="G12" s="1">
        <f>_xlfn.POISSON.DIST($D12,'First 5 Innings'!$G$26, FALSE) * _xlfn.POISSON.DIST(G$4, 'First 5 Innings'!$G$25, FALSE)</f>
        <v>7.0597391363396919E-4</v>
      </c>
      <c r="H12" s="1">
        <f>_xlfn.POISSON.DIST($D12,'First 5 Innings'!$G$26, FALSE) * _xlfn.POISSON.DIST(H$4, 'First 5 Innings'!$G$25, FALSE)</f>
        <v>7.322641078511868E-4</v>
      </c>
      <c r="I12" s="1">
        <f>_xlfn.POISSON.DIST($D12,'First 5 Innings'!$G$26, FALSE) * _xlfn.POISSON.DIST(I$4, 'First 5 Innings'!$G$25, FALSE)</f>
        <v>5.6965000401393089E-4</v>
      </c>
      <c r="J12" s="1">
        <f>_xlfn.POISSON.DIST($D12,'First 5 Innings'!$G$26, FALSE) * _xlfn.POISSON.DIST(J$4, 'First 5 Innings'!$G$25, FALSE)</f>
        <v>3.5451812928568953E-4</v>
      </c>
      <c r="K12" s="1">
        <f>_xlfn.POISSON.DIST($D12,'First 5 Innings'!$G$26, FALSE) * _xlfn.POISSON.DIST(K$4, 'First 5 Innings'!$G$25, FALSE)</f>
        <v>1.8386012333102586E-4</v>
      </c>
      <c r="L12" s="1">
        <f>_xlfn.POISSON.DIST($D12,'First 5 Innings'!$G$26, FALSE) * _xlfn.POISSON.DIST(L$4, 'First 5 Innings'!$G$25, FALSE)</f>
        <v>8.173157266273858E-5</v>
      </c>
      <c r="M12" s="1">
        <f>_xlfn.POISSON.DIST($D12,'First 5 Innings'!$G$26, FALSE) * _xlfn.POISSON.DIST(M$4, 'First 5 Innings'!$G$25, FALSE)</f>
        <v>3.1790709251077809E-5</v>
      </c>
      <c r="N12" s="1">
        <f>_xlfn.POISSON.DIST($D12,'First 5 Innings'!$G$26, FALSE) * _xlfn.POISSON.DIST(N$4, 'First 5 Innings'!$G$25, FALSE)</f>
        <v>1.0991527636797186E-5</v>
      </c>
      <c r="O12" s="1">
        <f>_xlfn.POISSON.DIST($D12,'First 5 Innings'!$G$26, FALSE) * _xlfn.POISSON.DIST(O$4, 'First 5 Innings'!$G$25, FALSE)</f>
        <v>3.4202543564750031E-6</v>
      </c>
      <c r="P12" s="1">
        <f>_xlfn.POISSON.DIST($D12,'First 5 Innings'!$G$26, FALSE) * _xlfn.POISSON.DIST(P$4, 'First 5 Innings'!$G$25, FALSE)</f>
        <v>9.6753362718319751E-7</v>
      </c>
      <c r="Q12" s="1">
        <f>_xlfn.POISSON.DIST($D12,'First 5 Innings'!$G$26, FALSE) * _xlfn.POISSON.DIST(Q$4, 'First 5 Innings'!$G$25, FALSE)</f>
        <v>2.5089105087410564E-7</v>
      </c>
      <c r="R12" s="1">
        <f>_xlfn.POISSON.DIST($D12,'First 5 Innings'!$G$26, FALSE) * _xlfn.POISSON.DIST(R$4, 'First 5 Innings'!$G$25, FALSE)</f>
        <v>6.0054031411779081E-8</v>
      </c>
      <c r="S12" s="1">
        <f>_xlfn.POISSON.DIST($D12,'First 5 Innings'!$G$26, FALSE) * _xlfn.POISSON.DIST(S$4, 'First 5 Innings'!$G$25, FALSE)</f>
        <v>1.3347947186963334E-8</v>
      </c>
      <c r="T12" s="1">
        <f>_xlfn.POISSON.DIST($D12,'First 5 Innings'!$G$26, FALSE) * _xlfn.POISSON.DIST(T$4, 'First 5 Innings'!$G$25, FALSE)</f>
        <v>2.7690039106952533E-9</v>
      </c>
    </row>
    <row r="13" spans="2:20">
      <c r="B13" s="377"/>
      <c r="C13" s="377"/>
      <c r="D13" s="1">
        <v>8</v>
      </c>
      <c r="E13" s="1">
        <f>_xlfn.POISSON.DIST($D13,'First 5 Innings'!$G$26, FALSE) * _xlfn.POISSON.DIST(E$4, 'First 5 Innings'!$G$25, FALSE)</f>
        <v>3.6105383728132203E-5</v>
      </c>
      <c r="F13" s="1">
        <f>_xlfn.POISSON.DIST($D13,'First 5 Innings'!$G$26, FALSE) * _xlfn.POISSON.DIST(F$4, 'First 5 Innings'!$G$25, FALSE)</f>
        <v>1.1234980256514119E-4</v>
      </c>
      <c r="G13" s="1">
        <f>_xlfn.POISSON.DIST($D13,'First 5 Innings'!$G$26, FALSE) * _xlfn.POISSON.DIST(G$4, 'First 5 Innings'!$G$25, FALSE)</f>
        <v>1.7480049833386985E-4</v>
      </c>
      <c r="H13" s="1">
        <f>_xlfn.POISSON.DIST($D13,'First 5 Innings'!$G$26, FALSE) * _xlfn.POISSON.DIST(H$4, 'First 5 Innings'!$G$25, FALSE)</f>
        <v>1.8131000096805152E-4</v>
      </c>
      <c r="I13" s="1">
        <f>_xlfn.POISSON.DIST($D13,'First 5 Innings'!$G$26, FALSE) * _xlfn.POISSON.DIST(I$4, 'First 5 Innings'!$G$25, FALSE)</f>
        <v>1.410464362131565E-4</v>
      </c>
      <c r="J13" s="1">
        <f>_xlfn.POISSON.DIST($D13,'First 5 Innings'!$G$26, FALSE) * _xlfn.POISSON.DIST(J$4, 'First 5 Innings'!$G$25, FALSE)</f>
        <v>8.7779370414045913E-5</v>
      </c>
      <c r="K13" s="1">
        <f>_xlfn.POISSON.DIST($D13,'First 5 Innings'!$G$26, FALSE) * _xlfn.POISSON.DIST(K$4, 'First 5 Innings'!$G$25, FALSE)</f>
        <v>4.5524120029530328E-5</v>
      </c>
      <c r="L13" s="1">
        <f>_xlfn.POISSON.DIST($D13,'First 5 Innings'!$G$26, FALSE) * _xlfn.POISSON.DIST(L$4, 'First 5 Innings'!$G$25, FALSE)</f>
        <v>2.0236894529880498E-5</v>
      </c>
      <c r="M13" s="1">
        <f>_xlfn.POISSON.DIST($D13,'First 5 Innings'!$G$26, FALSE) * _xlfn.POISSON.DIST(M$4, 'First 5 Innings'!$G$25, FALSE)</f>
        <v>7.8714407319542379E-6</v>
      </c>
      <c r="N13" s="1">
        <f>_xlfn.POISSON.DIST($D13,'First 5 Innings'!$G$26, FALSE) * _xlfn.POISSON.DIST(N$4, 'First 5 Innings'!$G$25, FALSE)</f>
        <v>2.721523375379012E-6</v>
      </c>
      <c r="O13" s="1">
        <f>_xlfn.POISSON.DIST($D13,'First 5 Innings'!$G$26, FALSE) * _xlfn.POISSON.DIST(O$4, 'First 5 Innings'!$G$25, FALSE)</f>
        <v>8.468615545055356E-7</v>
      </c>
      <c r="P13" s="1">
        <f>_xlfn.POISSON.DIST($D13,'First 5 Innings'!$G$26, FALSE) * _xlfn.POISSON.DIST(P$4, 'First 5 Innings'!$G$25, FALSE)</f>
        <v>2.3956318628805184E-7</v>
      </c>
      <c r="Q13" s="1">
        <f>_xlfn.POISSON.DIST($D13,'First 5 Innings'!$G$26, FALSE) * _xlfn.POISSON.DIST(Q$4, 'First 5 Innings'!$G$25, FALSE)</f>
        <v>6.2121106564059534E-8</v>
      </c>
      <c r="R13" s="1">
        <f>_xlfn.POISSON.DIST($D13,'First 5 Innings'!$G$26, FALSE) * _xlfn.POISSON.DIST(R$4, 'First 5 Innings'!$G$25, FALSE)</f>
        <v>1.4869493638513606E-8</v>
      </c>
      <c r="S13" s="1">
        <f>_xlfn.POISSON.DIST($D13,'First 5 Innings'!$G$26, FALSE) * _xlfn.POISSON.DIST(S$4, 'First 5 Innings'!$G$25, FALSE)</f>
        <v>3.30497738649461E-9</v>
      </c>
      <c r="T13" s="1">
        <f>_xlfn.POISSON.DIST($D13,'First 5 Innings'!$G$26, FALSE) * _xlfn.POISSON.DIST(T$4, 'First 5 Innings'!$G$25, FALSE)</f>
        <v>6.8561069202469055E-10</v>
      </c>
    </row>
    <row r="14" spans="2:20">
      <c r="B14" s="377"/>
      <c r="C14" s="377"/>
      <c r="D14" s="1">
        <v>9</v>
      </c>
      <c r="E14" s="1">
        <f>_xlfn.POISSON.DIST($D14,'First 5 Innings'!$G$26, FALSE) * _xlfn.POISSON.DIST(E$4, 'First 5 Innings'!$G$25, FALSE)</f>
        <v>7.9464554915052057E-6</v>
      </c>
      <c r="F14" s="1">
        <f>_xlfn.POISSON.DIST($D14,'First 5 Innings'!$G$26, FALSE) * _xlfn.POISSON.DIST(F$4, 'First 5 Innings'!$G$25, FALSE)</f>
        <v>2.4727135218553652E-5</v>
      </c>
      <c r="G14" s="1">
        <f>_xlfn.POISSON.DIST($D14,'First 5 Innings'!$G$26, FALSE) * _xlfn.POISSON.DIST(G$4, 'First 5 Innings'!$G$25, FALSE)</f>
        <v>3.8471946188477312E-5</v>
      </c>
      <c r="H14" s="1">
        <f>_xlfn.POISSON.DIST($D14,'First 5 Innings'!$G$26, FALSE) * _xlfn.POISSON.DIST(H$4, 'First 5 Innings'!$G$25, FALSE)</f>
        <v>3.9904626515152694E-5</v>
      </c>
      <c r="I14" s="1">
        <f>_xlfn.POISSON.DIST($D14,'First 5 Innings'!$G$26, FALSE) * _xlfn.POISSON.DIST(I$4, 'First 5 Innings'!$G$25, FALSE)</f>
        <v>3.1042994475363189E-5</v>
      </c>
      <c r="J14" s="1">
        <f>_xlfn.POISSON.DIST($D14,'First 5 Innings'!$G$26, FALSE) * _xlfn.POISSON.DIST(J$4, 'First 5 Innings'!$G$25, FALSE)</f>
        <v>1.9319414116185309E-5</v>
      </c>
      <c r="K14" s="1">
        <f>_xlfn.POISSON.DIST($D14,'First 5 Innings'!$G$26, FALSE) * _xlfn.POISSON.DIST(K$4, 'First 5 Innings'!$G$25, FALSE)</f>
        <v>1.0019430795378438E-5</v>
      </c>
      <c r="L14" s="1">
        <f>_xlfn.POISSON.DIST($D14,'First 5 Innings'!$G$26, FALSE) * _xlfn.POISSON.DIST(L$4, 'First 5 Innings'!$G$25, FALSE)</f>
        <v>4.4539502163684558E-6</v>
      </c>
      <c r="M14" s="1">
        <f>_xlfn.POISSON.DIST($D14,'First 5 Innings'!$G$26, FALSE) * _xlfn.POISSON.DIST(M$4, 'First 5 Innings'!$G$25, FALSE)</f>
        <v>1.7324300968932348E-6</v>
      </c>
      <c r="N14" s="1">
        <f>_xlfn.POISSON.DIST($D14,'First 5 Innings'!$G$26, FALSE) * _xlfn.POISSON.DIST(N$4, 'First 5 Innings'!$G$25, FALSE)</f>
        <v>5.989817068386302E-7</v>
      </c>
      <c r="O14" s="1">
        <f>_xlfn.POISSON.DIST($D14,'First 5 Innings'!$G$26, FALSE) * _xlfn.POISSON.DIST(O$4, 'First 5 Innings'!$G$25, FALSE)</f>
        <v>1.8638626585490884E-7</v>
      </c>
      <c r="P14" s="1">
        <f>_xlfn.POISSON.DIST($D14,'First 5 Innings'!$G$26, FALSE) * _xlfn.POISSON.DIST(P$4, 'First 5 Innings'!$G$25, FALSE)</f>
        <v>5.272560490079729E-8</v>
      </c>
      <c r="Q14" s="1">
        <f>_xlfn.POISSON.DIST($D14,'First 5 Innings'!$G$26, FALSE) * _xlfn.POISSON.DIST(Q$4, 'First 5 Innings'!$G$25, FALSE)</f>
        <v>1.3672271484812384E-8</v>
      </c>
      <c r="R14" s="1">
        <f>_xlfn.POISSON.DIST($D14,'First 5 Innings'!$G$26, FALSE) * _xlfn.POISSON.DIST(R$4, 'First 5 Innings'!$G$25, FALSE)</f>
        <v>3.272635745111932E-9</v>
      </c>
      <c r="S14" s="1">
        <f>_xlfn.POISSON.DIST($D14,'First 5 Innings'!$G$26, FALSE) * _xlfn.POISSON.DIST(S$4, 'First 5 Innings'!$G$25, FALSE)</f>
        <v>7.2739444898206159E-10</v>
      </c>
      <c r="T14" s="1">
        <f>_xlfn.POISSON.DIST($D14,'First 5 Innings'!$G$26, FALSE) * _xlfn.POISSON.DIST(T$4, 'First 5 Innings'!$G$25, FALSE)</f>
        <v>1.5089646712241521E-10</v>
      </c>
    </row>
    <row r="15" spans="2:20">
      <c r="B15" s="377"/>
      <c r="C15" s="377"/>
      <c r="D15" s="1">
        <v>10</v>
      </c>
      <c r="E15" s="1">
        <f>_xlfn.POISSON.DIST($D15,'First 5 Innings'!$G$26, FALSE) * _xlfn.POISSON.DIST(E$4, 'First 5 Innings'!$G$25, FALSE)</f>
        <v>1.5740461261555501E-6</v>
      </c>
      <c r="F15" s="1">
        <f>_xlfn.POISSON.DIST($D15,'First 5 Innings'!$G$26, FALSE) * _xlfn.POISSON.DIST(F$4, 'First 5 Innings'!$G$25, FALSE)</f>
        <v>4.8979889767577838E-6</v>
      </c>
      <c r="G15" s="1">
        <f>_xlfn.POISSON.DIST($D15,'First 5 Innings'!$G$26, FALSE) * _xlfn.POISSON.DIST(G$4, 'First 5 Innings'!$G$25, FALSE)</f>
        <v>7.6205822744961938E-6</v>
      </c>
      <c r="H15" s="1">
        <f>_xlfn.POISSON.DIST($D15,'First 5 Innings'!$G$26, FALSE) * _xlfn.POISSON.DIST(H$4, 'First 5 Innings'!$G$25, FALSE)</f>
        <v>7.904369797201552E-6</v>
      </c>
      <c r="I15" s="1">
        <f>_xlfn.POISSON.DIST($D15,'First 5 Innings'!$G$26, FALSE) * _xlfn.POISSON.DIST(I$4, 'First 5 Innings'!$G$25, FALSE)</f>
        <v>6.1490440927339805E-6</v>
      </c>
      <c r="J15" s="1">
        <f>_xlfn.POISSON.DIST($D15,'First 5 Innings'!$G$26, FALSE) * _xlfn.POISSON.DIST(J$4, 'First 5 Innings'!$G$25, FALSE)</f>
        <v>3.8268192632154526E-6</v>
      </c>
      <c r="K15" s="1">
        <f>_xlfn.POISSON.DIST($D15,'First 5 Innings'!$G$26, FALSE) * _xlfn.POISSON.DIST(K$4, 'First 5 Innings'!$G$25, FALSE)</f>
        <v>1.9846642627783381E-6</v>
      </c>
      <c r="L15" s="1">
        <f>_xlfn.POISSON.DIST($D15,'First 5 Innings'!$G$26, FALSE) * _xlfn.POISSON.DIST(L$4, 'First 5 Innings'!$G$25, FALSE)</f>
        <v>8.8224530945387353E-7</v>
      </c>
      <c r="M15" s="1">
        <f>_xlfn.POISSON.DIST($D15,'First 5 Innings'!$G$26, FALSE) * _xlfn.POISSON.DIST(M$4, 'First 5 Innings'!$G$25, FALSE)</f>
        <v>3.4316241823353508E-7</v>
      </c>
      <c r="N15" s="1">
        <f>_xlfn.POISSON.DIST($D15,'First 5 Innings'!$G$26, FALSE) * _xlfn.POISSON.DIST(N$4, 'First 5 Innings'!$G$25, FALSE)</f>
        <v>1.1864721778096778E-7</v>
      </c>
      <c r="O15" s="1">
        <f>_xlfn.POISSON.DIST($D15,'First 5 Innings'!$G$26, FALSE) * _xlfn.POISSON.DIST(O$4, 'First 5 Innings'!$G$25, FALSE)</f>
        <v>3.6919678220200547E-8</v>
      </c>
      <c r="P15" s="1">
        <f>_xlfn.POISSON.DIST($D15,'First 5 Innings'!$G$26, FALSE) * _xlfn.POISSON.DIST(P$4, 'First 5 Innings'!$G$25, FALSE)</f>
        <v>1.0443968915704296E-8</v>
      </c>
      <c r="Q15" s="1">
        <f>_xlfn.POISSON.DIST($D15,'First 5 Innings'!$G$26, FALSE) * _xlfn.POISSON.DIST(Q$4, 'First 5 Innings'!$G$25, FALSE)</f>
        <v>2.7082245649549964E-9</v>
      </c>
      <c r="R15" s="1">
        <f>_xlfn.POISSON.DIST($D15,'First 5 Innings'!$G$26, FALSE) * _xlfn.POISSON.DIST(R$4, 'First 5 Innings'!$G$25, FALSE)</f>
        <v>6.4824872201428157E-10</v>
      </c>
      <c r="S15" s="1">
        <f>_xlfn.POISSON.DIST($D15,'First 5 Innings'!$G$26, FALSE) * _xlfn.POISSON.DIST(S$4, 'First 5 Innings'!$G$25, FALSE)</f>
        <v>1.4408341125565027E-10</v>
      </c>
      <c r="T15" s="1">
        <f>_xlfn.POISSON.DIST($D15,'First 5 Innings'!$G$26, FALSE) * _xlfn.POISSON.DIST(T$4, 'First 5 Innings'!$G$25, FALSE)</f>
        <v>2.9889804300609722E-11</v>
      </c>
    </row>
    <row r="16" spans="2:20">
      <c r="B16" s="377"/>
      <c r="C16" s="377"/>
      <c r="D16" s="1">
        <v>11</v>
      </c>
      <c r="E16" s="1">
        <f>_xlfn.POISSON.DIST($D16,'First 5 Innings'!$G$26, FALSE) * _xlfn.POISSON.DIST(E$4, 'First 5 Innings'!$G$25, FALSE)</f>
        <v>2.8344497972756812E-7</v>
      </c>
      <c r="F16" s="1">
        <f>_xlfn.POISSON.DIST($D16,'First 5 Innings'!$G$26, FALSE) * _xlfn.POISSON.DIST(F$4, 'First 5 Innings'!$G$25, FALSE)</f>
        <v>8.8200108189571996E-7</v>
      </c>
      <c r="G16" s="1">
        <f>_xlfn.POISSON.DIST($D16,'First 5 Innings'!$G$26, FALSE) * _xlfn.POISSON.DIST(G$4, 'First 5 Innings'!$G$25, FALSE)</f>
        <v>1.3722696891878643E-6</v>
      </c>
      <c r="H16" s="1">
        <f>_xlfn.POISSON.DIST($D16,'First 5 Innings'!$G$26, FALSE) * _xlfn.POISSON.DIST(H$4, 'First 5 Innings'!$G$25, FALSE)</f>
        <v>1.4233724791782816E-6</v>
      </c>
      <c r="I16" s="1">
        <f>_xlfn.POISSON.DIST($D16,'First 5 Innings'!$G$26, FALSE) * _xlfn.POISSON.DIST(I$4, 'First 5 Innings'!$G$25, FALSE)</f>
        <v>1.1072837379078607E-6</v>
      </c>
      <c r="J16" s="1">
        <f>_xlfn.POISSON.DIST($D16,'First 5 Innings'!$G$26, FALSE) * _xlfn.POISSON.DIST(J$4, 'First 5 Innings'!$G$25, FALSE)</f>
        <v>6.8911113242432384E-7</v>
      </c>
      <c r="K16" s="1">
        <f>_xlfn.POISSON.DIST($D16,'First 5 Innings'!$G$26, FALSE) * _xlfn.POISSON.DIST(K$4, 'First 5 Innings'!$G$25, FALSE)</f>
        <v>3.5738668161090693E-7</v>
      </c>
      <c r="L16" s="1">
        <f>_xlfn.POISSON.DIST($D16,'First 5 Innings'!$G$26, FALSE) * _xlfn.POISSON.DIST(L$4, 'First 5 Innings'!$G$25, FALSE)</f>
        <v>1.5886955261194365E-7</v>
      </c>
      <c r="M16" s="1">
        <f>_xlfn.POISSON.DIST($D16,'First 5 Innings'!$G$26, FALSE) * _xlfn.POISSON.DIST(M$4, 'First 5 Innings'!$G$25, FALSE)</f>
        <v>6.1794672381700859E-8</v>
      </c>
      <c r="N16" s="1">
        <f>_xlfn.POISSON.DIST($D16,'First 5 Innings'!$G$26, FALSE) * _xlfn.POISSON.DIST(N$4, 'First 5 Innings'!$G$25, FALSE)</f>
        <v>2.1365293989698111E-8</v>
      </c>
      <c r="O16" s="1">
        <f>_xlfn.POISSON.DIST($D16,'First 5 Innings'!$G$26, FALSE) * _xlfn.POISSON.DIST(O$4, 'First 5 Innings'!$G$25, FALSE)</f>
        <v>6.6482787707321237E-9</v>
      </c>
      <c r="P16" s="1">
        <f>_xlfn.POISSON.DIST($D16,'First 5 Innings'!$G$26, FALSE) * _xlfn.POISSON.DIST(P$4, 'First 5 Innings'!$G$25, FALSE)</f>
        <v>1.880688569665597E-9</v>
      </c>
      <c r="Q16" s="1">
        <f>_xlfn.POISSON.DIST($D16,'First 5 Innings'!$G$26, FALSE) * _xlfn.POISSON.DIST(Q$4, 'First 5 Innings'!$G$25, FALSE)</f>
        <v>4.8768117030104872E-10</v>
      </c>
      <c r="R16" s="1">
        <f>_xlfn.POISSON.DIST($D16,'First 5 Innings'!$G$26, FALSE) * _xlfn.POISSON.DIST(R$4, 'First 5 Innings'!$G$25, FALSE)</f>
        <v>1.1673282174934319E-10</v>
      </c>
      <c r="S16" s="1">
        <f>_xlfn.POISSON.DIST($D16,'First 5 Innings'!$G$26, FALSE) * _xlfn.POISSON.DIST(S$4, 'First 5 Innings'!$G$25, FALSE)</f>
        <v>2.594569428672562E-11</v>
      </c>
      <c r="T16" s="1">
        <f>_xlfn.POISSON.DIST($D16,'First 5 Innings'!$G$26, FALSE) * _xlfn.POISSON.DIST(T$4, 'First 5 Innings'!$G$25, FALSE)</f>
        <v>5.3823803720031967E-12</v>
      </c>
    </row>
    <row r="17" spans="2:20">
      <c r="B17" s="377"/>
      <c r="C17" s="377"/>
      <c r="D17" s="1">
        <v>12</v>
      </c>
      <c r="E17" s="1">
        <f>_xlfn.POISSON.DIST($D17,'First 5 Innings'!$G$26, FALSE) * _xlfn.POISSON.DIST(E$4, 'First 5 Innings'!$G$25, FALSE)</f>
        <v>4.6787681291296076E-8</v>
      </c>
      <c r="F17" s="1">
        <f>_xlfn.POISSON.DIST($D17,'First 5 Innings'!$G$26, FALSE) * _xlfn.POISSON.DIST(F$4, 'First 5 Innings'!$G$25, FALSE)</f>
        <v>1.4559010908564569E-7</v>
      </c>
      <c r="G17" s="1">
        <f>_xlfn.POISSON.DIST($D17,'First 5 Innings'!$G$26, FALSE) * _xlfn.POISSON.DIST(G$4, 'First 5 Innings'!$G$25, FALSE)</f>
        <v>2.2651774226214334E-7</v>
      </c>
      <c r="H17" s="1">
        <f>_xlfn.POISSON.DIST($D17,'First 5 Innings'!$G$26, FALSE) * _xlfn.POISSON.DIST(H$4, 'First 5 Innings'!$G$25, FALSE)</f>
        <v>2.3495317496398821E-7</v>
      </c>
      <c r="I17" s="1">
        <f>_xlfn.POISSON.DIST($D17,'First 5 Innings'!$G$26, FALSE) * _xlfn.POISSON.DIST(I$4, 'First 5 Innings'!$G$25, FALSE)</f>
        <v>1.8277705492636452E-7</v>
      </c>
      <c r="J17" s="1">
        <f>_xlfn.POISSON.DIST($D17,'First 5 Innings'!$G$26, FALSE) * _xlfn.POISSON.DIST(J$4, 'First 5 Innings'!$G$25, FALSE)</f>
        <v>1.1375016085711787E-7</v>
      </c>
      <c r="K17" s="1">
        <f>_xlfn.POISSON.DIST($D17,'First 5 Innings'!$G$26, FALSE) * _xlfn.POISSON.DIST(K$4, 'First 5 Innings'!$G$25, FALSE)</f>
        <v>5.8993086323266735E-8</v>
      </c>
      <c r="L17" s="1">
        <f>_xlfn.POISSON.DIST($D17,'First 5 Innings'!$G$26, FALSE) * _xlfn.POISSON.DIST(L$4, 'First 5 Innings'!$G$25, FALSE)</f>
        <v>2.622427111477769E-8</v>
      </c>
      <c r="M17" s="1">
        <f>_xlfn.POISSON.DIST($D17,'First 5 Innings'!$G$26, FALSE) * _xlfn.POISSON.DIST(M$4, 'First 5 Innings'!$G$25, FALSE)</f>
        <v>1.0200319792835873E-8</v>
      </c>
      <c r="N17" s="1">
        <f>_xlfn.POISSON.DIST($D17,'First 5 Innings'!$G$26, FALSE) * _xlfn.POISSON.DIST(N$4, 'First 5 Innings'!$G$25, FALSE)</f>
        <v>3.5267252460976067E-9</v>
      </c>
      <c r="O17" s="1">
        <f>_xlfn.POISSON.DIST($D17,'First 5 Innings'!$G$26, FALSE) * _xlfn.POISSON.DIST(O$4, 'First 5 Innings'!$G$25, FALSE)</f>
        <v>1.0974177371554644E-9</v>
      </c>
      <c r="P17" s="1">
        <f>_xlfn.POISSON.DIST($D17,'First 5 Innings'!$G$26, FALSE) * _xlfn.POISSON.DIST(P$4, 'First 5 Innings'!$G$25, FALSE)</f>
        <v>3.1044140379650253E-10</v>
      </c>
      <c r="Q17" s="1">
        <f>_xlfn.POISSON.DIST($D17,'First 5 Innings'!$G$26, FALSE) * _xlfn.POISSON.DIST(Q$4, 'First 5 Innings'!$G$25, FALSE)</f>
        <v>8.0500530260732307E-11</v>
      </c>
      <c r="R17" s="1">
        <f>_xlfn.POISSON.DIST($D17,'First 5 Innings'!$G$26, FALSE) * _xlfn.POISSON.DIST(R$4, 'First 5 Innings'!$G$25, FALSE)</f>
        <v>1.926884739850179E-11</v>
      </c>
      <c r="S17" s="1">
        <f>_xlfn.POISSON.DIST($D17,'First 5 Innings'!$G$26, FALSE) * _xlfn.POISSON.DIST(S$4, 'First 5 Innings'!$G$25, FALSE)</f>
        <v>4.2828025260334185E-12</v>
      </c>
      <c r="T17" s="1">
        <f>_xlfn.POISSON.DIST($D17,'First 5 Innings'!$G$26, FALSE) * _xlfn.POISSON.DIST(T$4, 'First 5 Innings'!$G$25, FALSE)</f>
        <v>8.884584855793092E-13</v>
      </c>
    </row>
    <row r="18" spans="2:20">
      <c r="B18" s="377"/>
      <c r="C18" s="377"/>
      <c r="D18" s="1">
        <v>13</v>
      </c>
      <c r="E18" s="1">
        <f>_xlfn.POISSON.DIST($D18,'First 5 Innings'!$G$26, FALSE) * _xlfn.POISSON.DIST(E$4, 'First 5 Innings'!$G$25, FALSE)</f>
        <v>7.1290583646519925E-9</v>
      </c>
      <c r="F18" s="1">
        <f>_xlfn.POISSON.DIST($D18,'First 5 Innings'!$G$26, FALSE) * _xlfn.POISSON.DIST(F$4, 'First 5 Innings'!$G$25, FALSE)</f>
        <v>2.218362518385161E-8</v>
      </c>
      <c r="G18" s="1">
        <f>_xlfn.POISSON.DIST($D18,'First 5 Innings'!$G$26, FALSE) * _xlfn.POISSON.DIST(G$4, 'First 5 Innings'!$G$25, FALSE)</f>
        <v>3.4514602148416988E-8</v>
      </c>
      <c r="H18" s="1">
        <f>_xlfn.POISSON.DIST($D18,'First 5 Innings'!$G$26, FALSE) * _xlfn.POISSON.DIST(H$4, 'First 5 Innings'!$G$25, FALSE)</f>
        <v>3.5799912520780613E-8</v>
      </c>
      <c r="I18" s="1">
        <f>_xlfn.POISSON.DIST($D18,'First 5 Innings'!$G$26, FALSE) * _xlfn.POISSON.DIST(I$4, 'First 5 Innings'!$G$25, FALSE)</f>
        <v>2.7849815513975005E-8</v>
      </c>
      <c r="J18" s="1">
        <f>_xlfn.POISSON.DIST($D18,'First 5 Innings'!$G$26, FALSE) * _xlfn.POISSON.DIST(J$4, 'First 5 Innings'!$G$25, FALSE)</f>
        <v>1.7332159093120172E-8</v>
      </c>
      <c r="K18" s="1">
        <f>_xlfn.POISSON.DIST($D18,'First 5 Innings'!$G$26, FALSE) * _xlfn.POISSON.DIST(K$4, 'First 5 Innings'!$G$25, FALSE)</f>
        <v>8.9888009814190052E-9</v>
      </c>
      <c r="L18" s="1">
        <f>_xlfn.POISSON.DIST($D18,'First 5 Innings'!$G$26, FALSE) * _xlfn.POISSON.DIST(L$4, 'First 5 Innings'!$G$25, FALSE)</f>
        <v>3.9958030444754418E-9</v>
      </c>
      <c r="M18" s="1">
        <f>_xlfn.POISSON.DIST($D18,'First 5 Innings'!$G$26, FALSE) * _xlfn.POISSON.DIST(M$4, 'First 5 Innings'!$G$25, FALSE)</f>
        <v>1.5542269489377266E-9</v>
      </c>
      <c r="N18" s="1">
        <f>_xlfn.POISSON.DIST($D18,'First 5 Innings'!$G$26, FALSE) * _xlfn.POISSON.DIST(N$4, 'First 5 Innings'!$G$25, FALSE)</f>
        <v>5.3736858552549624E-10</v>
      </c>
      <c r="O18" s="1">
        <f>_xlfn.POISSON.DIST($D18,'First 5 Innings'!$G$26, FALSE) * _xlfn.POISSON.DIST(O$4, 'First 5 Innings'!$G$25, FALSE)</f>
        <v>1.672139948521245E-10</v>
      </c>
      <c r="P18" s="1">
        <f>_xlfn.POISSON.DIST($D18,'First 5 Innings'!$G$26, FALSE) * _xlfn.POISSON.DIST(P$4, 'First 5 Innings'!$G$25, FALSE)</f>
        <v>4.730208519398196E-11</v>
      </c>
      <c r="Q18" s="1">
        <f>_xlfn.POISSON.DIST($D18,'First 5 Innings'!$G$26, FALSE) * _xlfn.POISSON.DIST(Q$4, 'First 5 Innings'!$G$25, FALSE)</f>
        <v>1.2265899116504326E-11</v>
      </c>
      <c r="R18" s="1">
        <f>_xlfn.POISSON.DIST($D18,'First 5 Innings'!$G$26, FALSE) * _xlfn.POISSON.DIST(R$4, 'First 5 Innings'!$G$25, FALSE)</f>
        <v>2.9360022538463924E-12</v>
      </c>
      <c r="S18" s="1">
        <f>_xlfn.POISSON.DIST($D18,'First 5 Innings'!$G$26, FALSE) * _xlfn.POISSON.DIST(S$4, 'First 5 Innings'!$G$25, FALSE)</f>
        <v>6.5257239362385676E-13</v>
      </c>
      <c r="T18" s="1">
        <f>_xlfn.POISSON.DIST($D18,'First 5 Innings'!$G$26, FALSE) * _xlfn.POISSON.DIST(T$4, 'First 5 Innings'!$G$25, FALSE)</f>
        <v>1.3537478719731954E-13</v>
      </c>
    </row>
    <row r="19" spans="2:20">
      <c r="B19" s="377"/>
      <c r="C19" s="377"/>
      <c r="D19" s="1">
        <v>14</v>
      </c>
      <c r="E19" s="1">
        <f>_xlfn.POISSON.DIST($D19,'First 5 Innings'!$G$26, FALSE) * _xlfn.POISSON.DIST(E$4, 'First 5 Innings'!$G$25, FALSE)</f>
        <v>1.008667747167549E-9</v>
      </c>
      <c r="F19" s="1">
        <f>_xlfn.POISSON.DIST($D19,'First 5 Innings'!$G$26, FALSE) * _xlfn.POISSON.DIST(F$4, 'First 5 Innings'!$G$25, FALSE)</f>
        <v>3.1386904263754328E-9</v>
      </c>
      <c r="G19" s="1">
        <f>_xlfn.POISSON.DIST($D19,'First 5 Innings'!$G$26, FALSE) * _xlfn.POISSON.DIST(G$4, 'First 5 Innings'!$G$25, FALSE)</f>
        <v>4.8833610573375427E-9</v>
      </c>
      <c r="H19" s="1">
        <f>_xlfn.POISSON.DIST($D19,'First 5 Innings'!$G$26, FALSE) * _xlfn.POISSON.DIST(H$4, 'First 5 Innings'!$G$25, FALSE)</f>
        <v>5.0652155255421084E-9</v>
      </c>
      <c r="I19" s="1">
        <f>_xlfn.POISSON.DIST($D19,'First 5 Innings'!$G$26, FALSE) * _xlfn.POISSON.DIST(I$4, 'First 5 Innings'!$G$25, FALSE)</f>
        <v>3.9403816376083639E-9</v>
      </c>
      <c r="J19" s="1">
        <f>_xlfn.POISSON.DIST($D19,'First 5 Innings'!$G$26, FALSE) * _xlfn.POISSON.DIST(J$4, 'First 5 Innings'!$G$25, FALSE)</f>
        <v>2.4522719511864285E-9</v>
      </c>
      <c r="K19" s="1">
        <f>_xlfn.POISSON.DIST($D19,'First 5 Innings'!$G$26, FALSE) * _xlfn.POISSON.DIST(K$4, 'First 5 Innings'!$G$25, FALSE)</f>
        <v>1.271796802873833E-9</v>
      </c>
      <c r="L19" s="1">
        <f>_xlfn.POISSON.DIST($D19,'First 5 Innings'!$G$26, FALSE) * _xlfn.POISSON.DIST(L$4, 'First 5 Innings'!$G$25, FALSE)</f>
        <v>5.6535343783695117E-10</v>
      </c>
      <c r="M19" s="1">
        <f>_xlfn.POISSON.DIST($D19,'First 5 Innings'!$G$26, FALSE) * _xlfn.POISSON.DIST(M$4, 'First 5 Innings'!$G$25, FALSE)</f>
        <v>2.199026175666101E-10</v>
      </c>
      <c r="N19" s="1">
        <f>_xlfn.POISSON.DIST($D19,'First 5 Innings'!$G$26, FALSE) * _xlfn.POISSON.DIST(N$4, 'First 5 Innings'!$G$25, FALSE)</f>
        <v>7.6030568531763435E-11</v>
      </c>
      <c r="O19" s="1">
        <f>_xlfn.POISSON.DIST($D19,'First 5 Innings'!$G$26, FALSE) * _xlfn.POISSON.DIST(O$4, 'First 5 Innings'!$G$25, FALSE)</f>
        <v>2.3658575208005315E-11</v>
      </c>
      <c r="P19" s="1">
        <f>_xlfn.POISSON.DIST($D19,'First 5 Innings'!$G$26, FALSE) * _xlfn.POISSON.DIST(P$4, 'First 5 Innings'!$G$25, FALSE)</f>
        <v>6.6926212787809514E-12</v>
      </c>
      <c r="Q19" s="1">
        <f>_xlfn.POISSON.DIST($D19,'First 5 Innings'!$G$26, FALSE) * _xlfn.POISSON.DIST(Q$4, 'First 5 Innings'!$G$25, FALSE)</f>
        <v>1.7354629736479653E-12</v>
      </c>
      <c r="R19" s="1">
        <f>_xlfn.POISSON.DIST($D19,'First 5 Innings'!$G$26, FALSE) * _xlfn.POISSON.DIST(R$4, 'First 5 Innings'!$G$25, FALSE)</f>
        <v>4.1540560163595336E-13</v>
      </c>
      <c r="S19" s="1">
        <f>_xlfn.POISSON.DIST($D19,'First 5 Innings'!$G$26, FALSE) * _xlfn.POISSON.DIST(S$4, 'First 5 Innings'!$G$25, FALSE)</f>
        <v>9.2330388176369245E-14</v>
      </c>
      <c r="T19" s="1">
        <f>_xlfn.POISSON.DIST($D19,'First 5 Innings'!$G$26, FALSE) * _xlfn.POISSON.DIST(T$4, 'First 5 Innings'!$G$25, FALSE)</f>
        <v>1.9153747190884769E-14</v>
      </c>
    </row>
    <row r="20" spans="2:20">
      <c r="B20" s="377"/>
      <c r="C20" s="377"/>
      <c r="D20" s="1">
        <v>15</v>
      </c>
      <c r="E20" s="1">
        <f>_xlfn.POISSON.DIST($D20,'First 5 Innings'!$G$26, FALSE) * _xlfn.POISSON.DIST(E$4, 'First 5 Innings'!$G$25, FALSE)</f>
        <v>1.3319897252339956E-10</v>
      </c>
      <c r="F20" s="1">
        <f>_xlfn.POISSON.DIST($D20,'First 5 Innings'!$G$26, FALSE) * _xlfn.POISSON.DIST(F$4, 'First 5 Innings'!$G$25, FALSE)</f>
        <v>4.1447775150561368E-10</v>
      </c>
      <c r="G20" s="1">
        <f>_xlfn.POISSON.DIST($D20,'First 5 Innings'!$G$26, FALSE) * _xlfn.POISSON.DIST(G$4, 'First 5 Innings'!$G$25, FALSE)</f>
        <v>6.4486911287161016E-10</v>
      </c>
      <c r="H20" s="1">
        <f>_xlfn.POISSON.DIST($D20,'First 5 Innings'!$G$26, FALSE) * _xlfn.POISSON.DIST(H$4, 'First 5 Innings'!$G$25, FALSE)</f>
        <v>6.6888378805246901E-10</v>
      </c>
      <c r="I20" s="1">
        <f>_xlfn.POISSON.DIST($D20,'First 5 Innings'!$G$26, FALSE) * _xlfn.POISSON.DIST(I$4, 'First 5 Innings'!$G$25, FALSE)</f>
        <v>5.2034457030410186E-10</v>
      </c>
      <c r="J20" s="1">
        <f>_xlfn.POISSON.DIST($D20,'First 5 Innings'!$G$26, FALSE) * _xlfn.POISSON.DIST(J$4, 'First 5 Innings'!$G$25, FALSE)</f>
        <v>3.2383319994440808E-10</v>
      </c>
      <c r="K20" s="1">
        <f>_xlfn.POISSON.DIST($D20,'First 5 Innings'!$G$26, FALSE) * _xlfn.POISSON.DIST(K$4, 'First 5 Innings'!$G$25, FALSE)</f>
        <v>1.6794631123780729E-10</v>
      </c>
      <c r="L20" s="1">
        <f>_xlfn.POISSON.DIST($D20,'First 5 Innings'!$G$26, FALSE) * _xlfn.POISSON.DIST(L$4, 'First 5 Innings'!$G$25, FALSE)</f>
        <v>7.4657385689110158E-11</v>
      </c>
      <c r="M20" s="1">
        <f>_xlfn.POISSON.DIST($D20,'First 5 Innings'!$G$26, FALSE) * _xlfn.POISSON.DIST(M$4, 'First 5 Innings'!$G$25, FALSE)</f>
        <v>2.903909914571014E-11</v>
      </c>
      <c r="N20" s="1">
        <f>_xlfn.POISSON.DIST($D20,'First 5 Innings'!$G$26, FALSE) * _xlfn.POISSON.DIST(N$4, 'First 5 Innings'!$G$25, FALSE)</f>
        <v>1.0040167971305804E-11</v>
      </c>
      <c r="O20" s="1">
        <f>_xlfn.POISSON.DIST($D20,'First 5 Innings'!$G$26, FALSE) * _xlfn.POISSON.DIST(O$4, 'First 5 Innings'!$G$25, FALSE)</f>
        <v>3.1242179775481834E-12</v>
      </c>
      <c r="P20" s="1">
        <f>_xlfn.POISSON.DIST($D20,'First 5 Innings'!$G$26, FALSE) * _xlfn.POISSON.DIST(P$4, 'First 5 Innings'!$G$25, FALSE)</f>
        <v>8.8378981118921923E-13</v>
      </c>
      <c r="Q20" s="1">
        <f>_xlfn.POISSON.DIST($D20,'First 5 Innings'!$G$26, FALSE) * _xlfn.POISSON.DIST(Q$4, 'First 5 Innings'!$G$25, FALSE)</f>
        <v>2.2917545008397548E-13</v>
      </c>
      <c r="R20" s="1">
        <f>_xlfn.POISSON.DIST($D20,'First 5 Innings'!$G$26, FALSE) * _xlfn.POISSON.DIST(R$4, 'First 5 Innings'!$G$25, FALSE)</f>
        <v>5.4856120336702442E-14</v>
      </c>
      <c r="S20" s="1">
        <f>_xlfn.POISSON.DIST($D20,'First 5 Innings'!$G$26, FALSE) * _xlfn.POISSON.DIST(S$4, 'First 5 Innings'!$G$25, FALSE)</f>
        <v>1.2192630201881691E-14</v>
      </c>
      <c r="T20" s="1">
        <f>_xlfn.POISSON.DIST($D20,'First 5 Innings'!$G$26, FALSE) * _xlfn.POISSON.DIST(T$4, 'First 5 Innings'!$G$25, FALSE)</f>
        <v>2.5293358025603792E-15</v>
      </c>
    </row>
    <row r="24" spans="2:20">
      <c r="D24" s="1" t="s">
        <v>738</v>
      </c>
      <c r="E24" s="1" t="e">
        <f>E3</f>
        <v>#REF!</v>
      </c>
      <c r="F24" s="1">
        <f>1-F25</f>
        <v>0.68833165144164909</v>
      </c>
      <c r="H24" s="1" t="s">
        <v>345</v>
      </c>
      <c r="I24" s="1">
        <v>3</v>
      </c>
      <c r="J24" s="1">
        <f>SUM(E9:E20,F8:F20,G7:G20,H6:H20,I5:T20)</f>
        <v>0.74772367443714305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0.31166834855835096</v>
      </c>
      <c r="H25" s="1" t="s">
        <v>348</v>
      </c>
      <c r="I25" s="1">
        <v>3</v>
      </c>
      <c r="J25" s="1">
        <f>SUM(E8,F7,G6,H5)</f>
        <v>0.13520448796559928</v>
      </c>
    </row>
    <row r="26" spans="2:20">
      <c r="H26" s="1" t="s">
        <v>346</v>
      </c>
      <c r="I26" s="1">
        <v>3</v>
      </c>
      <c r="J26" s="1">
        <f>SUM(E5:E7,F5:F6,G5)</f>
        <v>0.11707163643895019</v>
      </c>
    </row>
    <row r="27" spans="2:20">
      <c r="H27" s="1" t="s">
        <v>345</v>
      </c>
      <c r="I27" s="1">
        <v>3.5</v>
      </c>
      <c r="J27" s="1">
        <f>SUM(E9:E20,F8:F20,G7:G20,H6:H20,I5:T20)</f>
        <v>0.74772367443714305</v>
      </c>
    </row>
    <row r="28" spans="2:20">
      <c r="H28" s="1" t="s">
        <v>346</v>
      </c>
      <c r="I28" s="1">
        <v>3.5</v>
      </c>
      <c r="J28" s="1">
        <f>SUM(E5:E8,F5:F7,G5:G6,H5)</f>
        <v>0.2522761244045495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0.5755903041835565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0.60721892194409099</v>
      </c>
      <c r="H30" s="1" t="s">
        <v>348</v>
      </c>
      <c r="I30" s="1">
        <v>4</v>
      </c>
      <c r="J30" s="1">
        <f>SUM(E9,F8,G7,H6,I5)</f>
        <v>0.17213337025358647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0.2305558202191009</v>
      </c>
      <c r="H31" s="1" t="s">
        <v>346</v>
      </c>
      <c r="I31" s="1">
        <v>4</v>
      </c>
      <c r="J31" s="1">
        <f>1-J30-J29</f>
        <v>0.25227632556285706</v>
      </c>
    </row>
    <row r="32" spans="2:20">
      <c r="D32" s="1" t="s">
        <v>348</v>
      </c>
      <c r="F32" s="1">
        <f>1-F31-F30</f>
        <v>0.16222525783680808</v>
      </c>
      <c r="H32" s="1" t="s">
        <v>345</v>
      </c>
      <c r="I32" s="1">
        <v>4.5</v>
      </c>
      <c r="J32" s="1">
        <f>SUM(E10:E20,F9:F20,G8:G20,H7:H20,I6:I20,J5:T20)</f>
        <v>0.5755903041835565</v>
      </c>
    </row>
    <row r="33" spans="8:10">
      <c r="H33" s="1" t="s">
        <v>346</v>
      </c>
      <c r="I33" s="1">
        <v>4.5</v>
      </c>
      <c r="J33" s="1">
        <f>1-J32</f>
        <v>0.4244096958164435</v>
      </c>
    </row>
    <row r="34" spans="8:10">
      <c r="H34" s="1" t="s">
        <v>345</v>
      </c>
      <c r="I34" s="1">
        <v>5</v>
      </c>
      <c r="J34" s="1">
        <f>SUM(E11:E20,F10:F20,G9:G20,H8:H20,I7:I20,J6:J20,K5:T20)</f>
        <v>0.4002712886645024</v>
      </c>
    </row>
    <row r="35" spans="8:10">
      <c r="H35" s="1" t="s">
        <v>348</v>
      </c>
      <c r="I35" s="1">
        <v>5</v>
      </c>
      <c r="J35" s="1">
        <f>SUM(E10,F9,G8,H7,I6,J5)</f>
        <v>0.17531901551905382</v>
      </c>
    </row>
    <row r="36" spans="8:10">
      <c r="H36" s="1" t="s">
        <v>346</v>
      </c>
      <c r="I36" s="1">
        <v>5</v>
      </c>
      <c r="J36" s="1">
        <f>SUM(E5:E9,F5:F8,G5:G7,H5:H6,I5)</f>
        <v>0.42440949465813593</v>
      </c>
    </row>
    <row r="37" spans="8:10">
      <c r="H37" s="1" t="s">
        <v>345</v>
      </c>
      <c r="I37" s="1">
        <v>5.5</v>
      </c>
      <c r="J37" s="1">
        <f>SUM(E11:E20,F10:F20,G9:G20,H8:H20,I7:I20,J6:J20,K5:T20)</f>
        <v>0.4002712886645024</v>
      </c>
    </row>
    <row r="38" spans="8:10">
      <c r="H38" s="1" t="s">
        <v>346</v>
      </c>
      <c r="I38" s="1">
        <v>5.5</v>
      </c>
      <c r="J38" s="1">
        <f>1-J37</f>
        <v>0.59972871133549766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0.25146827447997344</v>
      </c>
    </row>
    <row r="40" spans="8:10">
      <c r="H40" s="1" t="s">
        <v>348</v>
      </c>
      <c r="I40" s="1">
        <v>6</v>
      </c>
      <c r="J40" s="1">
        <f>SUM(E11,F10,G9,H8,I7,J6,K5)</f>
        <v>0.14880301418452893</v>
      </c>
    </row>
    <row r="41" spans="8:10">
      <c r="H41" s="1" t="s">
        <v>346</v>
      </c>
      <c r="I41" s="1">
        <v>6</v>
      </c>
      <c r="J41" s="1">
        <f>SUM(E5:E10,F5:F9,G5:G8,H5:H7,I5:I6,J5)</f>
        <v>0.59972851017718964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0.25146827447997344</v>
      </c>
    </row>
    <row r="43" spans="8:10">
      <c r="H43" s="1" t="s">
        <v>346</v>
      </c>
      <c r="I43" s="1">
        <v>6.5</v>
      </c>
      <c r="J43" s="1">
        <f>1-J42</f>
        <v>0.74853172552002656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Innings'!$G$28, FALSE) * _xlfn.POISSON.DIST(E$4, 'First 5 Innings'!$G$27, FALSE)</f>
        <v>9.6956082342004694E-3</v>
      </c>
      <c r="F5" s="1">
        <f>_xlfn.POISSON.DIST($D5,'First 5 Innings'!$G$28, FALSE) * _xlfn.POISSON.DIST(F$4, 'First 5 Innings'!$G$27, FALSE)</f>
        <v>2.2384198557937138E-2</v>
      </c>
      <c r="G5" s="1">
        <f>_xlfn.POISSON.DIST($D5,'First 5 Innings'!$G$28, FALSE) * _xlfn.POISSON.DIST(G$4, 'First 5 Innings'!$G$27, FALSE)</f>
        <v>2.5839139380329623E-2</v>
      </c>
      <c r="H5" s="1">
        <f>_xlfn.POISSON.DIST($D5,'First 5 Innings'!$G$28, FALSE) * _xlfn.POISSON.DIST(H$4, 'First 5 Innings'!$G$27, FALSE)</f>
        <v>1.9884894015391865E-2</v>
      </c>
      <c r="I5" s="1">
        <f>_xlfn.POISSON.DIST($D5,'First 5 Innings'!$G$28, FALSE) * _xlfn.POISSON.DIST(I$4, 'First 5 Innings'!$G$27, FALSE)</f>
        <v>1.1477036953029599E-2</v>
      </c>
      <c r="J5" s="1">
        <f>_xlfn.POISSON.DIST($D5,'First 5 Innings'!$G$28, FALSE) * _xlfn.POISSON.DIST(J$4, 'First 5 Innings'!$G$27, FALSE)</f>
        <v>5.2993946910352115E-3</v>
      </c>
      <c r="K5" s="1">
        <f>_xlfn.POISSON.DIST($D5,'First 5 Innings'!$G$28, FALSE) * _xlfn.POISSON.DIST(K$4, 'First 5 Innings'!$G$27, FALSE)</f>
        <v>2.0391140011649499E-3</v>
      </c>
      <c r="L5" s="1">
        <f>_xlfn.POISSON.DIST($D5,'First 5 Innings'!$G$28, FALSE) * _xlfn.POISSON.DIST(L$4, 'First 5 Innings'!$G$27, FALSE)</f>
        <v>6.7252736027933449E-4</v>
      </c>
      <c r="M5" s="1">
        <f>_xlfn.POISSON.DIST($D5,'First 5 Innings'!$G$28, FALSE) * _xlfn.POISSON.DIST(M$4, 'First 5 Innings'!$G$27, FALSE)</f>
        <v>1.9408253722335105E-4</v>
      </c>
      <c r="N5" s="1">
        <f>_xlfn.POISSON.DIST($D5,'First 5 Innings'!$G$28, FALSE) * _xlfn.POISSON.DIST(N$4, 'First 5 Innings'!$G$27, FALSE)</f>
        <v>4.9786367702615603E-5</v>
      </c>
      <c r="O5" s="1">
        <f>_xlfn.POISSON.DIST($D5,'First 5 Innings'!$G$28, FALSE) * _xlfn.POISSON.DIST(O$4, 'First 5 Innings'!$G$27, FALSE)</f>
        <v>1.1494151921307664E-5</v>
      </c>
      <c r="P5" s="1">
        <f>_xlfn.POISSON.DIST($D5,'First 5 Innings'!$G$28, FALSE) * _xlfn.POISSON.DIST(P$4, 'First 5 Innings'!$G$27, FALSE)</f>
        <v>2.4124078809403101E-6</v>
      </c>
      <c r="Q5" s="1">
        <f>_xlfn.POISSON.DIST($D5,'First 5 Innings'!$G$28, FALSE) * _xlfn.POISSON.DIST(Q$4, 'First 5 Innings'!$G$27, FALSE)</f>
        <v>4.6412609112392216E-7</v>
      </c>
      <c r="R5" s="1">
        <f>_xlfn.POISSON.DIST($D5,'First 5 Innings'!$G$28, FALSE) * _xlfn.POISSON.DIST(R$4, 'First 5 Innings'!$G$27, FALSE)</f>
        <v>8.2425031469326893E-8</v>
      </c>
      <c r="S5" s="1">
        <f>_xlfn.POISSON.DIST($D5,'First 5 Innings'!$G$28, FALSE) * _xlfn.POISSON.DIST(S$4, 'First 5 Innings'!$G$27, FALSE)</f>
        <v>1.3592444758688861E-8</v>
      </c>
      <c r="T5" s="1">
        <f>_xlfn.POISSON.DIST($D5,'First 5 Innings'!$G$28, FALSE) * _xlfn.POISSON.DIST(T$4, 'First 5 Innings'!$G$27, FALSE)</f>
        <v>2.0920536048685526E-9</v>
      </c>
    </row>
    <row r="6" spans="2:20">
      <c r="B6" s="377"/>
      <c r="C6" s="377"/>
      <c r="D6" s="1">
        <v>1</v>
      </c>
      <c r="E6" s="1">
        <f>_xlfn.POISSON.DIST($D6,'First 5 Innings'!$G$28, FALSE) * _xlfn.POISSON.DIST(E$4, 'First 5 Innings'!$G$27, FALSE)</f>
        <v>2.2565438731562384E-2</v>
      </c>
      <c r="F6" s="1">
        <f>_xlfn.POISSON.DIST($D6,'First 5 Innings'!$G$28, FALSE) * _xlfn.POISSON.DIST(F$4, 'First 5 Innings'!$G$27, FALSE)</f>
        <v>5.2096706974248987E-2</v>
      </c>
      <c r="G6" s="1">
        <f>_xlfn.POISSON.DIST($D6,'First 5 Innings'!$G$28, FALSE) * _xlfn.POISSON.DIST(G$4, 'First 5 Innings'!$G$27, FALSE)</f>
        <v>6.013769352874547E-2</v>
      </c>
      <c r="H6" s="1">
        <f>_xlfn.POISSON.DIST($D6,'First 5 Innings'!$G$28, FALSE) * _xlfn.POISSON.DIST(H$4, 'First 5 Innings'!$G$27, FALSE)</f>
        <v>4.6279856482354956E-2</v>
      </c>
      <c r="I6" s="1">
        <f>_xlfn.POISSON.DIST($D6,'First 5 Innings'!$G$28, FALSE) * _xlfn.POISSON.DIST(I$4, 'First 5 Innings'!$G$27, FALSE)</f>
        <v>2.6711513906875952E-2</v>
      </c>
      <c r="J6" s="1">
        <f>_xlfn.POISSON.DIST($D6,'First 5 Innings'!$G$28, FALSE) * _xlfn.POISSON.DIST(J$4, 'First 5 Innings'!$G$27, FALSE)</f>
        <v>1.2333745684267866E-2</v>
      </c>
      <c r="K6" s="1">
        <f>_xlfn.POISSON.DIST($D6,'First 5 Innings'!$G$28, FALSE) * _xlfn.POISSON.DIST(K$4, 'First 5 Innings'!$G$27, FALSE)</f>
        <v>4.7458087155017072E-3</v>
      </c>
      <c r="L6" s="1">
        <f>_xlfn.POISSON.DIST($D6,'First 5 Innings'!$G$28, FALSE) * _xlfn.POISSON.DIST(L$4, 'First 5 Innings'!$G$27, FALSE)</f>
        <v>1.5652318634483435E-3</v>
      </c>
      <c r="M6" s="1">
        <f>_xlfn.POISSON.DIST($D6,'First 5 Innings'!$G$28, FALSE) * _xlfn.POISSON.DIST(M$4, 'First 5 Innings'!$G$27, FALSE)</f>
        <v>4.5170529757289189E-4</v>
      </c>
      <c r="N6" s="1">
        <f>_xlfn.POISSON.DIST($D6,'First 5 Innings'!$G$28, FALSE) * _xlfn.POISSON.DIST(N$4, 'First 5 Innings'!$G$27, FALSE)</f>
        <v>1.1587217665185004E-4</v>
      </c>
      <c r="O6" s="1">
        <f>_xlfn.POISSON.DIST($D6,'First 5 Innings'!$G$28, FALSE) * _xlfn.POISSON.DIST(O$4, 'First 5 Innings'!$G$27, FALSE)</f>
        <v>2.6751347072443531E-5</v>
      </c>
      <c r="P6" s="1">
        <f>_xlfn.POISSON.DIST($D6,'First 5 Innings'!$G$28, FALSE) * _xlfn.POISSON.DIST(P$4, 'First 5 Innings'!$G$27, FALSE)</f>
        <v>5.614608276031056E-6</v>
      </c>
      <c r="Q6" s="1">
        <f>_xlfn.POISSON.DIST($D6,'First 5 Innings'!$G$28, FALSE) * _xlfn.POISSON.DIST(Q$4, 'First 5 Innings'!$G$27, FALSE)</f>
        <v>1.0802013262079849E-6</v>
      </c>
      <c r="R6" s="1">
        <f>_xlfn.POISSON.DIST($D6,'First 5 Innings'!$G$28, FALSE) * _xlfn.POISSON.DIST(R$4, 'First 5 Innings'!$G$27, FALSE)</f>
        <v>1.9183499917079471E-7</v>
      </c>
      <c r="S6" s="1">
        <f>_xlfn.POISSON.DIST($D6,'First 5 Innings'!$G$28, FALSE) * _xlfn.POISSON.DIST(S$4, 'First 5 Innings'!$G$27, FALSE)</f>
        <v>3.1634887879690903E-8</v>
      </c>
      <c r="T6" s="1">
        <f>_xlfn.POISSON.DIST($D6,'First 5 Innings'!$G$28, FALSE) * _xlfn.POISSON.DIST(T$4, 'First 5 Innings'!$G$27, FALSE)</f>
        <v>4.8690196946368745E-9</v>
      </c>
    </row>
    <row r="7" spans="2:20">
      <c r="B7" s="377"/>
      <c r="C7" s="377"/>
      <c r="D7" s="1">
        <v>2</v>
      </c>
      <c r="E7" s="1">
        <f>_xlfn.POISSON.DIST($D7,'First 5 Innings'!$G$28, FALSE) * _xlfn.POISSON.DIST(E$4, 'First 5 Innings'!$G$27, FALSE)</f>
        <v>2.6259261556780818E-2</v>
      </c>
      <c r="F7" s="1">
        <f>_xlfn.POISSON.DIST($D7,'First 5 Innings'!$G$28, FALSE) * _xlfn.POISSON.DIST(F$4, 'First 5 Innings'!$G$27, FALSE)</f>
        <v>6.0624615854258317E-2</v>
      </c>
      <c r="G7" s="1">
        <f>_xlfn.POISSON.DIST($D7,'First 5 Innings'!$G$28, FALSE) * _xlfn.POISSON.DIST(G$4, 'First 5 Innings'!$G$27, FALSE)</f>
        <v>6.9981862199916298E-2</v>
      </c>
      <c r="H7" s="1">
        <f>_xlfn.POISSON.DIST($D7,'First 5 Innings'!$G$28, FALSE) * _xlfn.POISSON.DIST(H$4, 'First 5 Innings'!$G$27, FALSE)</f>
        <v>5.3855582895475741E-2</v>
      </c>
      <c r="I7" s="1">
        <f>_xlfn.POISSON.DIST($D7,'First 5 Innings'!$G$28, FALSE) * _xlfn.POISSON.DIST(I$4, 'First 5 Innings'!$G$27, FALSE)</f>
        <v>3.1084023608065638E-2</v>
      </c>
      <c r="J7" s="1">
        <f>_xlfn.POISSON.DIST($D7,'First 5 Innings'!$G$28, FALSE) * _xlfn.POISSON.DIST(J$4, 'First 5 Innings'!$G$27, FALSE)</f>
        <v>1.4352703607973773E-2</v>
      </c>
      <c r="K7" s="1">
        <f>_xlfn.POISSON.DIST($D7,'First 5 Innings'!$G$28, FALSE) * _xlfn.POISSON.DIST(K$4, 'First 5 Innings'!$G$27, FALSE)</f>
        <v>5.5226682645660571E-3</v>
      </c>
      <c r="L7" s="1">
        <f>_xlfn.POISSON.DIST($D7,'First 5 Innings'!$G$28, FALSE) * _xlfn.POISSON.DIST(L$4, 'First 5 Innings'!$G$27, FALSE)</f>
        <v>1.8214506435369308E-3</v>
      </c>
      <c r="M7" s="1">
        <f>_xlfn.POISSON.DIST($D7,'First 5 Innings'!$G$28, FALSE) * _xlfn.POISSON.DIST(M$4, 'First 5 Innings'!$G$27, FALSE)</f>
        <v>5.2564666243158024E-4</v>
      </c>
      <c r="N7" s="1">
        <f>_xlfn.POISSON.DIST($D7,'First 5 Innings'!$G$28, FALSE) * _xlfn.POISSON.DIST(N$4, 'First 5 Innings'!$G$27, FALSE)</f>
        <v>1.3483973567057566E-4</v>
      </c>
      <c r="O7" s="1">
        <f>_xlfn.POISSON.DIST($D7,'First 5 Innings'!$G$28, FALSE) * _xlfn.POISSON.DIST(O$4, 'First 5 Innings'!$G$27, FALSE)</f>
        <v>3.1130377216595777E-5</v>
      </c>
      <c r="P7" s="1">
        <f>_xlfn.POISSON.DIST($D7,'First 5 Innings'!$G$28, FALSE) * _xlfn.POISSON.DIST(P$4, 'First 5 Innings'!$G$27, FALSE)</f>
        <v>6.5336849424047348E-6</v>
      </c>
      <c r="Q7" s="1">
        <f>_xlfn.POISSON.DIST($D7,'First 5 Innings'!$G$28, FALSE) * _xlfn.POISSON.DIST(Q$4, 'First 5 Innings'!$G$27, FALSE)</f>
        <v>1.2570236057144473E-6</v>
      </c>
      <c r="R7" s="1">
        <f>_xlfn.POISSON.DIST($D7,'First 5 Innings'!$G$28, FALSE) * _xlfn.POISSON.DIST(R$4, 'First 5 Innings'!$G$27, FALSE)</f>
        <v>2.2323720264852778E-7</v>
      </c>
      <c r="S7" s="1">
        <f>_xlfn.POISSON.DIST($D7,'First 5 Innings'!$G$28, FALSE) * _xlfn.POISSON.DIST(S$4, 'First 5 Innings'!$G$27, FALSE)</f>
        <v>3.6813323464893352E-8</v>
      </c>
      <c r="T7" s="1">
        <f>_xlfn.POISSON.DIST($D7,'First 5 Innings'!$G$28, FALSE) * _xlfn.POISSON.DIST(T$4, 'First 5 Innings'!$G$27, FALSE)</f>
        <v>5.6660481193194258E-9</v>
      </c>
    </row>
    <row r="8" spans="2:20">
      <c r="B8" s="377"/>
      <c r="C8" s="377"/>
      <c r="D8" s="1">
        <v>3</v>
      </c>
      <c r="E8" s="1">
        <f>_xlfn.POISSON.DIST($D8,'First 5 Innings'!$G$28, FALSE) * _xlfn.POISSON.DIST(E$4, 'First 5 Innings'!$G$27, FALSE)</f>
        <v>2.0371826895997123E-2</v>
      </c>
      <c r="F8" s="1">
        <f>_xlfn.POISSON.DIST($D8,'First 5 Innings'!$G$28, FALSE) * _xlfn.POISSON.DIST(F$4, 'First 5 Innings'!$G$27, FALSE)</f>
        <v>4.7032327133371188E-2</v>
      </c>
      <c r="G8" s="1">
        <f>_xlfn.POISSON.DIST($D8,'First 5 Innings'!$G$28, FALSE) * _xlfn.POISSON.DIST(G$4, 'First 5 Innings'!$G$27, FALSE)</f>
        <v>5.4291640285218816E-2</v>
      </c>
      <c r="H8" s="1">
        <f>_xlfn.POISSON.DIST($D8,'First 5 Innings'!$G$28, FALSE) * _xlfn.POISSON.DIST(H$4, 'First 5 Innings'!$G$27, FALSE)</f>
        <v>4.1780939260508132E-2</v>
      </c>
      <c r="I8" s="1">
        <f>_xlfn.POISSON.DIST($D8,'First 5 Innings'!$G$28, FALSE) * _xlfn.POISSON.DIST(I$4, 'First 5 Innings'!$G$27, FALSE)</f>
        <v>2.411485741155896E-2</v>
      </c>
      <c r="J8" s="1">
        <f>_xlfn.POISSON.DIST($D8,'First 5 Innings'!$G$28, FALSE) * _xlfn.POISSON.DIST(J$4, 'First 5 Innings'!$G$27, FALSE)</f>
        <v>1.1134768308657646E-2</v>
      </c>
      <c r="K8" s="1">
        <f>_xlfn.POISSON.DIST($D8,'First 5 Innings'!$G$28, FALSE) * _xlfn.POISSON.DIST(K$4, 'First 5 Innings'!$G$27, FALSE)</f>
        <v>4.2844632796120805E-3</v>
      </c>
      <c r="L8" s="1">
        <f>_xlfn.POISSON.DIST($D8,'First 5 Innings'!$G$28, FALSE) * _xlfn.POISSON.DIST(L$4, 'First 5 Innings'!$G$27, FALSE)</f>
        <v>1.4130739026876832E-3</v>
      </c>
      <c r="M8" s="1">
        <f>_xlfn.POISSON.DIST($D8,'First 5 Innings'!$G$28, FALSE) * _xlfn.POISSON.DIST(M$4, 'First 5 Innings'!$G$27, FALSE)</f>
        <v>4.077945144176992E-4</v>
      </c>
      <c r="N8" s="1">
        <f>_xlfn.POISSON.DIST($D8,'First 5 Innings'!$G$28, FALSE) * _xlfn.POISSON.DIST(N$4, 'First 5 Innings'!$G$27, FALSE)</f>
        <v>1.0460811123127899E-4</v>
      </c>
      <c r="O8" s="1">
        <f>_xlfn.POISSON.DIST($D8,'First 5 Innings'!$G$28, FALSE) * _xlfn.POISSON.DIST(O$4, 'First 5 Innings'!$G$27, FALSE)</f>
        <v>2.4150818350024001E-5</v>
      </c>
      <c r="P8" s="1">
        <f>_xlfn.POISSON.DIST($D8,'First 5 Innings'!$G$28, FALSE) * _xlfn.POISSON.DIST(P$4, 'First 5 Innings'!$G$27, FALSE)</f>
        <v>5.0688058516741322E-6</v>
      </c>
      <c r="Q8" s="1">
        <f>_xlfn.POISSON.DIST($D8,'First 5 Innings'!$G$28, FALSE) * _xlfn.POISSON.DIST(Q$4, 'First 5 Innings'!$G$27, FALSE)</f>
        <v>9.7519373286352947E-7</v>
      </c>
      <c r="R8" s="1">
        <f>_xlfn.POISSON.DIST($D8,'First 5 Innings'!$G$28, FALSE) * _xlfn.POISSON.DIST(R$4, 'First 5 Innings'!$G$27, FALSE)</f>
        <v>1.7318650180884819E-7</v>
      </c>
      <c r="S8" s="1">
        <f>_xlfn.POISSON.DIST($D8,'First 5 Innings'!$G$28, FALSE) * _xlfn.POISSON.DIST(S$4, 'First 5 Innings'!$G$27, FALSE)</f>
        <v>2.8559624628876847E-8</v>
      </c>
      <c r="T8" s="1">
        <f>_xlfn.POISSON.DIST($D8,'First 5 Innings'!$G$28, FALSE) * _xlfn.POISSON.DIST(T$4, 'First 5 Innings'!$G$27, FALSE)</f>
        <v>4.3956967800322234E-9</v>
      </c>
    </row>
    <row r="9" spans="2:20">
      <c r="B9" s="377"/>
      <c r="C9" s="377"/>
      <c r="D9" s="1">
        <v>4</v>
      </c>
      <c r="E9" s="1">
        <f>_xlfn.POISSON.DIST($D9,'First 5 Innings'!$G$28, FALSE) * _xlfn.POISSON.DIST(E$4, 'First 5 Innings'!$G$27, FALSE)</f>
        <v>1.1853284512106892E-2</v>
      </c>
      <c r="F9" s="1">
        <f>_xlfn.POISSON.DIST($D9,'First 5 Innings'!$G$28, FALSE) * _xlfn.POISSON.DIST(F$4, 'First 5 Innings'!$G$27, FALSE)</f>
        <v>2.7365614170218312E-2</v>
      </c>
      <c r="G9" s="1">
        <f>_xlfn.POISSON.DIST($D9,'First 5 Innings'!$G$28, FALSE) * _xlfn.POISSON.DIST(G$4, 'First 5 Innings'!$G$27, FALSE)</f>
        <v>3.1589423089792276E-2</v>
      </c>
      <c r="H9" s="1">
        <f>_xlfn.POISSON.DIST($D9,'First 5 Innings'!$G$28, FALSE) * _xlfn.POISSON.DIST(H$4, 'First 5 Innings'!$G$27, FALSE)</f>
        <v>2.4310110367920423E-2</v>
      </c>
      <c r="I9" s="1">
        <f>_xlfn.POISSON.DIST($D9,'First 5 Innings'!$G$28, FALSE) * _xlfn.POISSON.DIST(I$4, 'First 5 Innings'!$G$27, FALSE)</f>
        <v>1.4031155248244472E-2</v>
      </c>
      <c r="J9" s="1">
        <f>_xlfn.POISSON.DIST($D9,'First 5 Innings'!$G$28, FALSE) * _xlfn.POISSON.DIST(J$4, 'First 5 Innings'!$G$27, FALSE)</f>
        <v>6.4787305239101499E-3</v>
      </c>
      <c r="K9" s="1">
        <f>_xlfn.POISSON.DIST($D9,'First 5 Innings'!$G$28, FALSE) * _xlfn.POISSON.DIST(K$4, 'First 5 Innings'!$G$27, FALSE)</f>
        <v>2.4929017163843738E-3</v>
      </c>
      <c r="L9" s="1">
        <f>_xlfn.POISSON.DIST($D9,'First 5 Innings'!$G$28, FALSE) * _xlfn.POISSON.DIST(L$4, 'First 5 Innings'!$G$27, FALSE)</f>
        <v>8.2219268260528438E-4</v>
      </c>
      <c r="M9" s="1">
        <f>_xlfn.POISSON.DIST($D9,'First 5 Innings'!$G$28, FALSE) * _xlfn.POISSON.DIST(M$4, 'First 5 Innings'!$G$27, FALSE)</f>
        <v>2.3727397776088715E-4</v>
      </c>
      <c r="N9" s="1">
        <f>_xlfn.POISSON.DIST($D9,'First 5 Innings'!$G$28, FALSE) * _xlfn.POISSON.DIST(N$4, 'First 5 Innings'!$G$27, FALSE)</f>
        <v>6.086590618645562E-5</v>
      </c>
      <c r="O9" s="1">
        <f>_xlfn.POISSON.DIST($D9,'First 5 Innings'!$G$28, FALSE) * _xlfn.POISSON.DIST(O$4, 'First 5 Innings'!$G$27, FALSE)</f>
        <v>1.4052079009138603E-5</v>
      </c>
      <c r="P9" s="1">
        <f>_xlfn.POISSON.DIST($D9,'First 5 Innings'!$G$28, FALSE) * _xlfn.POISSON.DIST(P$4, 'First 5 Innings'!$G$27, FALSE)</f>
        <v>2.9492690176123252E-6</v>
      </c>
      <c r="Q9" s="1">
        <f>_xlfn.POISSON.DIST($D9,'First 5 Innings'!$G$28, FALSE) * _xlfn.POISSON.DIST(Q$4, 'First 5 Innings'!$G$27, FALSE)</f>
        <v>5.6741345923797663E-7</v>
      </c>
      <c r="R9" s="1">
        <f>_xlfn.POISSON.DIST($D9,'First 5 Innings'!$G$28, FALSE) * _xlfn.POISSON.DIST(R$4, 'First 5 Innings'!$G$27, FALSE)</f>
        <v>1.0076803077490093E-7</v>
      </c>
      <c r="S9" s="1">
        <f>_xlfn.POISSON.DIST($D9,'First 5 Innings'!$G$28, FALSE) * _xlfn.POISSON.DIST(S$4, 'First 5 Innings'!$G$27, FALSE)</f>
        <v>1.6617329315299142E-8</v>
      </c>
      <c r="T9" s="1">
        <f>_xlfn.POISSON.DIST($D9,'First 5 Innings'!$G$28, FALSE) * _xlfn.POISSON.DIST(T$4, 'First 5 Innings'!$G$27, FALSE)</f>
        <v>2.5576225847919384E-9</v>
      </c>
    </row>
    <row r="10" spans="2:20">
      <c r="B10" s="377"/>
      <c r="C10" s="377"/>
      <c r="D10" s="1">
        <v>5</v>
      </c>
      <c r="E10" s="1">
        <f>_xlfn.POISSON.DIST($D10,'First 5 Innings'!$G$28, FALSE) * _xlfn.POISSON.DIST(E$4, 'First 5 Innings'!$G$27, FALSE)</f>
        <v>5.5174375648188957E-3</v>
      </c>
      <c r="F10" s="1">
        <f>_xlfn.POISSON.DIST($D10,'First 5 Innings'!$G$28, FALSE) * _xlfn.POISSON.DIST(F$4, 'First 5 Innings'!$G$27, FALSE)</f>
        <v>1.2738078416398783E-2</v>
      </c>
      <c r="G10" s="1">
        <f>_xlfn.POISSON.DIST($D10,'First 5 Innings'!$G$28, FALSE) * _xlfn.POISSON.DIST(G$4, 'First 5 Innings'!$G$27, FALSE)</f>
        <v>1.4704166547977106E-2</v>
      </c>
      <c r="H10" s="1">
        <f>_xlfn.POISSON.DIST($D10,'First 5 Innings'!$G$28, FALSE) * _xlfn.POISSON.DIST(H$4, 'First 5 Innings'!$G$27, FALSE)</f>
        <v>1.1315810061916438E-2</v>
      </c>
      <c r="I10" s="1">
        <f>_xlfn.POISSON.DIST($D10,'First 5 Innings'!$G$28, FALSE) * _xlfn.POISSON.DIST(I$4, 'First 5 Innings'!$G$27, FALSE)</f>
        <v>6.5311874498074742E-3</v>
      </c>
      <c r="J10" s="1">
        <f>_xlfn.POISSON.DIST($D10,'First 5 Innings'!$G$28, FALSE) * _xlfn.POISSON.DIST(J$4, 'First 5 Innings'!$G$27, FALSE)</f>
        <v>3.0157034641706162E-3</v>
      </c>
      <c r="K10" s="1">
        <f>_xlfn.POISSON.DIST($D10,'First 5 Innings'!$G$28, FALSE) * _xlfn.POISSON.DIST(K$4, 'First 5 Innings'!$G$27, FALSE)</f>
        <v>1.1603897266898413E-3</v>
      </c>
      <c r="L10" s="1">
        <f>_xlfn.POISSON.DIST($D10,'First 5 Innings'!$G$28, FALSE) * _xlfn.POISSON.DIST(L$4, 'First 5 Innings'!$G$27, FALSE)</f>
        <v>3.827122168452263E-4</v>
      </c>
      <c r="M10" s="1">
        <f>_xlfn.POISSON.DIST($D10,'First 5 Innings'!$G$28, FALSE) * _xlfn.POISSON.DIST(M$4, 'First 5 Innings'!$G$27, FALSE)</f>
        <v>1.1044570445556822E-4</v>
      </c>
      <c r="N10" s="1">
        <f>_xlfn.POISSON.DIST($D10,'First 5 Innings'!$G$28, FALSE) * _xlfn.POISSON.DIST(N$4, 'First 5 Innings'!$G$27, FALSE)</f>
        <v>2.8331711507210012E-5</v>
      </c>
      <c r="O10" s="1">
        <f>_xlfn.POISSON.DIST($D10,'First 5 Innings'!$G$28, FALSE) * _xlfn.POISSON.DIST(O$4, 'First 5 Innings'!$G$27, FALSE)</f>
        <v>6.540926990289832E-6</v>
      </c>
      <c r="P10" s="1">
        <f>_xlfn.POISSON.DIST($D10,'First 5 Innings'!$G$28, FALSE) * _xlfn.POISSON.DIST(P$4, 'First 5 Innings'!$G$27, FALSE)</f>
        <v>1.3728184495959916E-6</v>
      </c>
      <c r="Q10" s="1">
        <f>_xlfn.POISSON.DIST($D10,'First 5 Innings'!$G$28, FALSE) * _xlfn.POISSON.DIST(Q$4, 'First 5 Innings'!$G$27, FALSE)</f>
        <v>2.6411821395038625E-7</v>
      </c>
      <c r="R10" s="1">
        <f>_xlfn.POISSON.DIST($D10,'First 5 Innings'!$G$28, FALSE) * _xlfn.POISSON.DIST(R$4, 'First 5 Innings'!$G$27, FALSE)</f>
        <v>4.6905253793780793E-8</v>
      </c>
      <c r="S10" s="1">
        <f>_xlfn.POISSON.DIST($D10,'First 5 Innings'!$G$28, FALSE) * _xlfn.POISSON.DIST(S$4, 'First 5 Innings'!$G$27, FALSE)</f>
        <v>7.7349933596507375E-9</v>
      </c>
      <c r="T10" s="1">
        <f>_xlfn.POISSON.DIST($D10,'First 5 Innings'!$G$28, FALSE) * _xlfn.POISSON.DIST(T$4, 'First 5 Innings'!$G$27, FALSE)</f>
        <v>1.1905158364794833E-9</v>
      </c>
    </row>
    <row r="11" spans="2:20">
      <c r="B11" s="377"/>
      <c r="C11" s="377"/>
      <c r="D11" s="1">
        <v>6</v>
      </c>
      <c r="E11" s="1">
        <f>_xlfn.POISSON.DIST($D11,'First 5 Innings'!$G$28, FALSE) * _xlfn.POISSON.DIST(E$4, 'First 5 Innings'!$G$27, FALSE)</f>
        <v>2.1402026621525055E-3</v>
      </c>
      <c r="F11" s="1">
        <f>_xlfn.POISSON.DIST($D11,'First 5 Innings'!$G$28, FALSE) * _xlfn.POISSON.DIST(F$4, 'First 5 Innings'!$G$27, FALSE)</f>
        <v>4.9410743696161599E-3</v>
      </c>
      <c r="G11" s="1">
        <f>_xlfn.POISSON.DIST($D11,'First 5 Innings'!$G$28, FALSE) * _xlfn.POISSON.DIST(G$4, 'First 5 Innings'!$G$27, FALSE)</f>
        <v>5.7037159045310159E-3</v>
      </c>
      <c r="H11" s="1">
        <f>_xlfn.POISSON.DIST($D11,'First 5 Innings'!$G$28, FALSE) * _xlfn.POISSON.DIST(H$4, 'First 5 Innings'!$G$27, FALSE)</f>
        <v>4.3893794056409233E-3</v>
      </c>
      <c r="I11" s="1">
        <f>_xlfn.POISSON.DIST($D11,'First 5 Innings'!$G$28, FALSE) * _xlfn.POISSON.DIST(I$4, 'First 5 Innings'!$G$27, FALSE)</f>
        <v>2.5334341536049272E-3</v>
      </c>
      <c r="J11" s="1">
        <f>_xlfn.POISSON.DIST($D11,'First 5 Innings'!$G$28, FALSE) * _xlfn.POISSON.DIST(J$4, 'First 5 Innings'!$G$27, FALSE)</f>
        <v>1.1697851595883601E-3</v>
      </c>
      <c r="K11" s="1">
        <f>_xlfn.POISSON.DIST($D11,'First 5 Innings'!$G$28, FALSE) * _xlfn.POISSON.DIST(K$4, 'First 5 Innings'!$G$27, FALSE)</f>
        <v>4.5011278388204718E-4</v>
      </c>
      <c r="L11" s="1">
        <f>_xlfn.POISSON.DIST($D11,'First 5 Innings'!$G$28, FALSE) * _xlfn.POISSON.DIST(L$4, 'First 5 Innings'!$G$27, FALSE)</f>
        <v>1.4845328029685202E-4</v>
      </c>
      <c r="M11" s="1">
        <f>_xlfn.POISSON.DIST($D11,'First 5 Innings'!$G$28, FALSE) * _xlfn.POISSON.DIST(M$4, 'First 5 Innings'!$G$27, FALSE)</f>
        <v>4.2841661173718191E-5</v>
      </c>
      <c r="N11" s="1">
        <f>_xlfn.POISSON.DIST($D11,'First 5 Innings'!$G$28, FALSE) * _xlfn.POISSON.DIST(N$4, 'First 5 Innings'!$G$27, FALSE)</f>
        <v>1.0989812513276339E-5</v>
      </c>
      <c r="O11" s="1">
        <f>_xlfn.POISSON.DIST($D11,'First 5 Innings'!$G$28, FALSE) * _xlfn.POISSON.DIST(O$4, 'First 5 Innings'!$G$27, FALSE)</f>
        <v>2.5372121012887207E-6</v>
      </c>
      <c r="P11" s="1">
        <f>_xlfn.POISSON.DIST($D11,'First 5 Innings'!$G$28, FALSE) * _xlfn.POISSON.DIST(P$4, 'First 5 Innings'!$G$27, FALSE)</f>
        <v>5.3251344776637387E-7</v>
      </c>
      <c r="Q11" s="1">
        <f>_xlfn.POISSON.DIST($D11,'First 5 Innings'!$G$28, FALSE) * _xlfn.POISSON.DIST(Q$4, 'First 5 Innings'!$G$27, FALSE)</f>
        <v>1.0245091094893719E-7</v>
      </c>
      <c r="R11" s="1">
        <f>_xlfn.POISSON.DIST($D11,'First 5 Innings'!$G$28, FALSE) * _xlfn.POISSON.DIST(R$4, 'First 5 Innings'!$G$27, FALSE)</f>
        <v>1.8194451293565955E-8</v>
      </c>
      <c r="S11" s="1">
        <f>_xlfn.POISSON.DIST($D11,'First 5 Innings'!$G$28, FALSE) * _xlfn.POISSON.DIST(S$4, 'First 5 Innings'!$G$27, FALSE)</f>
        <v>3.0003879854687292E-9</v>
      </c>
      <c r="T11" s="1">
        <f>_xlfn.POISSON.DIST($D11,'First 5 Innings'!$G$28, FALSE) * _xlfn.POISSON.DIST(T$4, 'First 5 Innings'!$G$27, FALSE)</f>
        <v>4.6179863979153894E-10</v>
      </c>
    </row>
    <row r="12" spans="2:20">
      <c r="B12" s="377"/>
      <c r="C12" s="377"/>
      <c r="D12" s="1">
        <v>7</v>
      </c>
      <c r="E12" s="1">
        <f>_xlfn.POISSON.DIST($D12,'First 5 Innings'!$G$28, FALSE) * _xlfn.POISSON.DIST(E$4, 'First 5 Innings'!$G$27, FALSE)</f>
        <v>7.1158303075191296E-4</v>
      </c>
      <c r="F12" s="1">
        <f>_xlfn.POISSON.DIST($D12,'First 5 Innings'!$G$28, FALSE) * _xlfn.POISSON.DIST(F$4, 'First 5 Innings'!$G$27, FALSE)</f>
        <v>1.6428279140471066E-3</v>
      </c>
      <c r="G12" s="1">
        <f>_xlfn.POISSON.DIST($D12,'First 5 Innings'!$G$28, FALSE) * _xlfn.POISSON.DIST(G$4, 'First 5 Innings'!$G$27, FALSE)</f>
        <v>1.8963939825269026E-3</v>
      </c>
      <c r="H12" s="1">
        <f>_xlfn.POISSON.DIST($D12,'First 5 Innings'!$G$28, FALSE) * _xlfn.POISSON.DIST(H$4, 'First 5 Innings'!$G$27, FALSE)</f>
        <v>1.4593981943021395E-3</v>
      </c>
      <c r="I12" s="1">
        <f>_xlfn.POISSON.DIST($D12,'First 5 Innings'!$G$28, FALSE) * _xlfn.POISSON.DIST(I$4, 'First 5 Innings'!$G$27, FALSE)</f>
        <v>8.4232618952986892E-4</v>
      </c>
      <c r="J12" s="1">
        <f>_xlfn.POISSON.DIST($D12,'First 5 Innings'!$G$28, FALSE) * _xlfn.POISSON.DIST(J$4, 'First 5 Innings'!$G$27, FALSE)</f>
        <v>3.8893478823697527E-4</v>
      </c>
      <c r="K12" s="1">
        <f>_xlfn.POISSON.DIST($D12,'First 5 Innings'!$G$28, FALSE) * _xlfn.POISSON.DIST(K$4, 'First 5 Innings'!$G$27, FALSE)</f>
        <v>1.496552754554721E-4</v>
      </c>
      <c r="L12" s="1">
        <f>_xlfn.POISSON.DIST($D12,'First 5 Innings'!$G$28, FALSE) * _xlfn.POISSON.DIST(L$4, 'First 5 Innings'!$G$27, FALSE)</f>
        <v>4.935833273492573E-5</v>
      </c>
      <c r="M12" s="1">
        <f>_xlfn.POISSON.DIST($D12,'First 5 Innings'!$G$28, FALSE) * _xlfn.POISSON.DIST(M$4, 'First 5 Innings'!$G$27, FALSE)</f>
        <v>1.4244164648304991E-5</v>
      </c>
      <c r="N12" s="1">
        <f>_xlfn.POISSON.DIST($D12,'First 5 Innings'!$G$28, FALSE) * _xlfn.POISSON.DIST(N$4, 'First 5 Innings'!$G$27, FALSE)</f>
        <v>3.6539362528067121E-6</v>
      </c>
      <c r="O12" s="1">
        <f>_xlfn.POISSON.DIST($D12,'First 5 Innings'!$G$28, FALSE) * _xlfn.POISSON.DIST(O$4, 'First 5 Innings'!$G$27, FALSE)</f>
        <v>8.4358229649132475E-7</v>
      </c>
      <c r="P12" s="1">
        <f>_xlfn.POISSON.DIST($D12,'First 5 Innings'!$G$28, FALSE) * _xlfn.POISSON.DIST(P$4, 'First 5 Innings'!$G$27, FALSE)</f>
        <v>1.7705217350614873E-7</v>
      </c>
      <c r="Q12" s="1">
        <f>_xlfn.POISSON.DIST($D12,'First 5 Innings'!$G$28, FALSE) * _xlfn.POISSON.DIST(Q$4, 'First 5 Innings'!$G$27, FALSE)</f>
        <v>3.4063283354211735E-8</v>
      </c>
      <c r="R12" s="1">
        <f>_xlfn.POISSON.DIST($D12,'First 5 Innings'!$G$28, FALSE) * _xlfn.POISSON.DIST(R$4, 'First 5 Innings'!$G$27, FALSE)</f>
        <v>6.0493629987930384E-9</v>
      </c>
      <c r="S12" s="1">
        <f>_xlfn.POISSON.DIST($D12,'First 5 Innings'!$G$28, FALSE) * _xlfn.POISSON.DIST(S$4, 'First 5 Innings'!$G$27, FALSE)</f>
        <v>9.9758084310771157E-10</v>
      </c>
      <c r="T12" s="1">
        <f>_xlfn.POISSON.DIST($D12,'First 5 Innings'!$G$28, FALSE) * _xlfn.POISSON.DIST(T$4, 'First 5 Innings'!$G$27, FALSE)</f>
        <v>1.5354063496467068E-10</v>
      </c>
    </row>
    <row r="13" spans="2:20">
      <c r="B13" s="377"/>
      <c r="C13" s="377"/>
      <c r="D13" s="1">
        <v>8</v>
      </c>
      <c r="E13" s="1">
        <f>_xlfn.POISSON.DIST($D13,'First 5 Innings'!$G$28, FALSE) * _xlfn.POISSON.DIST(E$4, 'First 5 Innings'!$G$27, FALSE)</f>
        <v>2.0701619350464484E-4</v>
      </c>
      <c r="F13" s="1">
        <f>_xlfn.POISSON.DIST($D13,'First 5 Innings'!$G$28, FALSE) * _xlfn.POISSON.DIST(F$4, 'First 5 Innings'!$G$27, FALSE)</f>
        <v>4.7793717198376794E-4</v>
      </c>
      <c r="G13" s="1">
        <f>_xlfn.POISSON.DIST($D13,'First 5 Innings'!$G$28, FALSE) * _xlfn.POISSON.DIST(G$4, 'First 5 Innings'!$G$27, FALSE)</f>
        <v>5.5170548858226546E-4</v>
      </c>
      <c r="H13" s="1">
        <f>_xlfn.POISSON.DIST($D13,'First 5 Innings'!$G$28, FALSE) * _xlfn.POISSON.DIST(H$4, 'First 5 Innings'!$G$27, FALSE)</f>
        <v>4.2457316424864564E-4</v>
      </c>
      <c r="I13" s="1">
        <f>_xlfn.POISSON.DIST($D13,'First 5 Innings'!$G$28, FALSE) * _xlfn.POISSON.DIST(I$4, 'First 5 Innings'!$G$27, FALSE)</f>
        <v>2.4505244491494885E-4</v>
      </c>
      <c r="J13" s="1">
        <f>_xlfn.POISSON.DIST($D13,'First 5 Innings'!$G$28, FALSE) * _xlfn.POISSON.DIST(J$4, 'First 5 Innings'!$G$27, FALSE)</f>
        <v>1.1315025218810319E-4</v>
      </c>
      <c r="K13" s="1">
        <f>_xlfn.POISSON.DIST($D13,'First 5 Innings'!$G$28, FALSE) * _xlfn.POISSON.DIST(K$4, 'First 5 Innings'!$G$27, FALSE)</f>
        <v>4.3538229726956786E-5</v>
      </c>
      <c r="L13" s="1">
        <f>_xlfn.POISSON.DIST($D13,'First 5 Innings'!$G$28, FALSE) * _xlfn.POISSON.DIST(L$4, 'First 5 Innings'!$G$27, FALSE)</f>
        <v>1.4359496670013252E-5</v>
      </c>
      <c r="M13" s="1">
        <f>_xlfn.POISSON.DIST($D13,'First 5 Innings'!$G$28, FALSE) * _xlfn.POISSON.DIST(M$4, 'First 5 Innings'!$G$27, FALSE)</f>
        <v>4.1439615866466477E-6</v>
      </c>
      <c r="N13" s="1">
        <f>_xlfn.POISSON.DIST($D13,'First 5 Innings'!$G$28, FALSE) * _xlfn.POISSON.DIST(N$4, 'First 5 Innings'!$G$27, FALSE)</f>
        <v>1.0630157573675919E-6</v>
      </c>
      <c r="O13" s="1">
        <f>_xlfn.POISSON.DIST($D13,'First 5 Innings'!$G$28, FALSE) * _xlfn.POISSON.DIST(O$4, 'First 5 Innings'!$G$27, FALSE)</f>
        <v>2.4541787589145835E-7</v>
      </c>
      <c r="P13" s="1">
        <f>_xlfn.POISSON.DIST($D13,'First 5 Innings'!$G$28, FALSE) * _xlfn.POISSON.DIST(P$4, 'First 5 Innings'!$G$27, FALSE)</f>
        <v>5.150862995178066E-8</v>
      </c>
      <c r="Q13" s="1">
        <f>_xlfn.POISSON.DIST($D13,'First 5 Innings'!$G$28, FALSE) * _xlfn.POISSON.DIST(Q$4, 'First 5 Innings'!$G$27, FALSE)</f>
        <v>9.9098080666815942E-9</v>
      </c>
      <c r="R13" s="1">
        <f>_xlfn.POISSON.DIST($D13,'First 5 Innings'!$G$28, FALSE) * _xlfn.POISSON.DIST(R$4, 'First 5 Innings'!$G$27, FALSE)</f>
        <v>1.7599015814285026E-9</v>
      </c>
      <c r="S13" s="1">
        <f>_xlfn.POISSON.DIST($D13,'First 5 Innings'!$G$28, FALSE) * _xlfn.POISSON.DIST(S$4, 'First 5 Innings'!$G$27, FALSE)</f>
        <v>2.9021966506859055E-10</v>
      </c>
      <c r="T13" s="1">
        <f>_xlfn.POISSON.DIST($D13,'First 5 Innings'!$G$28, FALSE) * _xlfn.POISSON.DIST(T$4, 'First 5 Innings'!$G$27, FALSE)</f>
        <v>4.4668571937536828E-11</v>
      </c>
    </row>
    <row r="14" spans="2:20">
      <c r="B14" s="377"/>
      <c r="C14" s="377"/>
      <c r="D14" s="1">
        <v>9</v>
      </c>
      <c r="E14" s="1">
        <f>_xlfn.POISSON.DIST($D14,'First 5 Innings'!$G$28, FALSE) * _xlfn.POISSON.DIST(E$4, 'First 5 Innings'!$G$27, FALSE)</f>
        <v>5.3534103255033002E-5</v>
      </c>
      <c r="F14" s="1">
        <f>_xlfn.POISSON.DIST($D14,'First 5 Innings'!$G$28, FALSE) * _xlfn.POISSON.DIST(F$4, 'First 5 Innings'!$G$27, FALSE)</f>
        <v>1.2359389611626409E-4</v>
      </c>
      <c r="G14" s="1">
        <f>_xlfn.POISSON.DIST($D14,'First 5 Innings'!$G$28, FALSE) * _xlfn.POISSON.DIST(G$4, 'First 5 Innings'!$G$27, FALSE)</f>
        <v>1.4267028145056076E-4</v>
      </c>
      <c r="H14" s="1">
        <f>_xlfn.POISSON.DIST($D14,'First 5 Innings'!$G$28, FALSE) * _xlfn.POISSON.DIST(H$4, 'First 5 Innings'!$G$27, FALSE)</f>
        <v>1.0979403702393505E-4</v>
      </c>
      <c r="I14" s="1">
        <f>_xlfn.POISSON.DIST($D14,'First 5 Innings'!$G$28, FALSE) * _xlfn.POISSON.DIST(I$4, 'First 5 Innings'!$G$27, FALSE)</f>
        <v>6.3370225618030279E-5</v>
      </c>
      <c r="J14" s="1">
        <f>_xlfn.POISSON.DIST($D14,'First 5 Innings'!$G$28, FALSE) * _xlfn.POISSON.DIST(J$4, 'First 5 Innings'!$G$27, FALSE)</f>
        <v>2.9260499777448712E-5</v>
      </c>
      <c r="K14" s="1">
        <f>_xlfn.POISSON.DIST($D14,'First 5 Innings'!$G$28, FALSE) * _xlfn.POISSON.DIST(K$4, 'First 5 Innings'!$G$27, FALSE)</f>
        <v>1.1258926397426759E-5</v>
      </c>
      <c r="L14" s="1">
        <f>_xlfn.POISSON.DIST($D14,'First 5 Innings'!$G$28, FALSE) * _xlfn.POISSON.DIST(L$4, 'First 5 Innings'!$G$27, FALSE)</f>
        <v>3.7133461127307612E-6</v>
      </c>
      <c r="M14" s="1">
        <f>_xlfn.POISSON.DIST($D14,'First 5 Innings'!$G$28, FALSE) * _xlfn.POISSON.DIST(M$4, 'First 5 Innings'!$G$27, FALSE)</f>
        <v>1.0716227736042036E-6</v>
      </c>
      <c r="N14" s="1">
        <f>_xlfn.POISSON.DIST($D14,'First 5 Innings'!$G$28, FALSE) * _xlfn.POISSON.DIST(N$4, 'First 5 Innings'!$G$27, FALSE)</f>
        <v>2.7489441455393649E-7</v>
      </c>
      <c r="O14" s="1">
        <f>_xlfn.POISSON.DIST($D14,'First 5 Innings'!$G$28, FALSE) * _xlfn.POISSON.DIST(O$4, 'First 5 Innings'!$G$27, FALSE)</f>
        <v>6.3464725566550535E-8</v>
      </c>
      <c r="P14" s="1">
        <f>_xlfn.POISSON.DIST($D14,'First 5 Innings'!$G$28, FALSE) * _xlfn.POISSON.DIST(P$4, 'First 5 Innings'!$G$27, FALSE)</f>
        <v>1.3320060946353174E-8</v>
      </c>
      <c r="Q14" s="1">
        <f>_xlfn.POISSON.DIST($D14,'First 5 Innings'!$G$28, FALSE) * _xlfn.POISSON.DIST(Q$4, 'First 5 Innings'!$G$27, FALSE)</f>
        <v>2.5626627525995362E-9</v>
      </c>
      <c r="R14" s="1">
        <f>_xlfn.POISSON.DIST($D14,'First 5 Innings'!$G$28, FALSE) * _xlfn.POISSON.DIST(R$4, 'First 5 Innings'!$G$27, FALSE)</f>
        <v>4.551081313200526E-10</v>
      </c>
      <c r="S14" s="1">
        <f>_xlfn.POISSON.DIST($D14,'First 5 Innings'!$G$28, FALSE) * _xlfn.POISSON.DIST(S$4, 'First 5 Innings'!$G$27, FALSE)</f>
        <v>7.5050406701997558E-11</v>
      </c>
      <c r="T14" s="1">
        <f>_xlfn.POISSON.DIST($D14,'First 5 Innings'!$G$28, FALSE) * _xlfn.POISSON.DIST(T$4, 'First 5 Innings'!$G$27, FALSE)</f>
        <v>1.1551231340292769E-11</v>
      </c>
    </row>
    <row r="15" spans="2:20">
      <c r="B15" s="377"/>
      <c r="C15" s="377"/>
      <c r="D15" s="1">
        <v>10</v>
      </c>
      <c r="E15" s="1">
        <f>_xlfn.POISSON.DIST($D15,'First 5 Innings'!$G$28, FALSE) * _xlfn.POISSON.DIST(E$4, 'First 5 Innings'!$G$27, FALSE)</f>
        <v>1.2459461004100656E-5</v>
      </c>
      <c r="F15" s="1">
        <f>_xlfn.POISSON.DIST($D15,'First 5 Innings'!$G$28, FALSE) * _xlfn.POISSON.DIST(F$4, 'First 5 Innings'!$G$27, FALSE)</f>
        <v>2.8765090575430257E-5</v>
      </c>
      <c r="G15" s="1">
        <f>_xlfn.POISSON.DIST($D15,'First 5 Innings'!$G$28, FALSE) * _xlfn.POISSON.DIST(G$4, 'First 5 Innings'!$G$27, FALSE)</f>
        <v>3.3204904912836229E-5</v>
      </c>
      <c r="H15" s="1">
        <f>_xlfn.POISSON.DIST($D15,'First 5 Innings'!$G$28, FALSE) * _xlfn.POISSON.DIST(H$4, 'First 5 Innings'!$G$27, FALSE)</f>
        <v>2.5553328431888745E-5</v>
      </c>
      <c r="I15" s="1">
        <f>_xlfn.POISSON.DIST($D15,'First 5 Innings'!$G$28, FALSE) * _xlfn.POISSON.DIST(I$4, 'First 5 Innings'!$G$27, FALSE)</f>
        <v>1.4748707961866877E-5</v>
      </c>
      <c r="J15" s="1">
        <f>_xlfn.POISSON.DIST($D15,'First 5 Innings'!$G$28, FALSE) * _xlfn.POISSON.DIST(J$4, 'First 5 Innings'!$G$27, FALSE)</f>
        <v>6.8100525416635825E-6</v>
      </c>
      <c r="K15" s="1">
        <f>_xlfn.POISSON.DIST($D15,'First 5 Innings'!$G$28, FALSE) * _xlfn.POISSON.DIST(K$4, 'First 5 Innings'!$G$27, FALSE)</f>
        <v>2.6203886096399639E-6</v>
      </c>
      <c r="L15" s="1">
        <f>_xlfn.POISSON.DIST($D15,'First 5 Innings'!$G$28, FALSE) * _xlfn.POISSON.DIST(L$4, 'First 5 Innings'!$G$27, FALSE)</f>
        <v>8.6423958324076269E-7</v>
      </c>
      <c r="M15" s="1">
        <f>_xlfn.POISSON.DIST($D15,'First 5 Innings'!$G$28, FALSE) * _xlfn.POISSON.DIST(M$4, 'First 5 Innings'!$G$27, FALSE)</f>
        <v>2.4940815941607259E-7</v>
      </c>
      <c r="N15" s="1">
        <f>_xlfn.POISSON.DIST($D15,'First 5 Innings'!$G$28, FALSE) * _xlfn.POISSON.DIST(N$4, 'First 5 Innings'!$G$27, FALSE)</f>
        <v>6.3978586174558681E-8</v>
      </c>
      <c r="O15" s="1">
        <f>_xlfn.POISSON.DIST($D15,'First 5 Innings'!$G$28, FALSE) * _xlfn.POISSON.DIST(O$4, 'First 5 Innings'!$G$27, FALSE)</f>
        <v>1.4770701763049431E-8</v>
      </c>
      <c r="P15" s="1">
        <f>_xlfn.POISSON.DIST($D15,'First 5 Innings'!$G$28, FALSE) * _xlfn.POISSON.DIST(P$4, 'First 5 Innings'!$G$27, FALSE)</f>
        <v>3.1000945162507915E-9</v>
      </c>
      <c r="Q15" s="1">
        <f>_xlfn.POISSON.DIST($D15,'First 5 Innings'!$G$28, FALSE) * _xlfn.POISSON.DIST(Q$4, 'First 5 Innings'!$G$27, FALSE)</f>
        <v>5.9643096066381442E-10</v>
      </c>
      <c r="R15" s="1">
        <f>_xlfn.POISSON.DIST($D15,'First 5 Innings'!$G$28, FALSE) * _xlfn.POISSON.DIST(R$4, 'First 5 Innings'!$G$27, FALSE)</f>
        <v>1.0592130380549923E-10</v>
      </c>
      <c r="S15" s="1">
        <f>_xlfn.POISSON.DIST($D15,'First 5 Innings'!$G$28, FALSE) * _xlfn.POISSON.DIST(S$4, 'First 5 Innings'!$G$27, FALSE)</f>
        <v>1.7467138866429429E-11</v>
      </c>
      <c r="T15" s="1">
        <f>_xlfn.POISSON.DIST($D15,'First 5 Innings'!$G$28, FALSE) * _xlfn.POISSON.DIST(T$4, 'First 5 Innings'!$G$27, FALSE)</f>
        <v>2.6884193006481768E-12</v>
      </c>
    </row>
    <row r="16" spans="2:20">
      <c r="B16" s="377"/>
      <c r="C16" s="377"/>
      <c r="D16" s="1">
        <v>11</v>
      </c>
      <c r="E16" s="1">
        <f>_xlfn.POISSON.DIST($D16,'First 5 Innings'!$G$28, FALSE) * _xlfn.POISSON.DIST(E$4, 'First 5 Innings'!$G$27, FALSE)</f>
        <v>2.636181408821022E-6</v>
      </c>
      <c r="F16" s="1">
        <f>_xlfn.POISSON.DIST($D16,'First 5 Innings'!$G$28, FALSE) * _xlfn.POISSON.DIST(F$4, 'First 5 Innings'!$G$27, FALSE)</f>
        <v>6.0861378331731102E-6</v>
      </c>
      <c r="G16" s="1">
        <f>_xlfn.POISSON.DIST($D16,'First 5 Innings'!$G$28, FALSE) * _xlfn.POISSON.DIST(G$4, 'First 5 Innings'!$G$27, FALSE)</f>
        <v>7.0255168328773974E-6</v>
      </c>
      <c r="H16" s="1">
        <f>_xlfn.POISSON.DIST($D16,'First 5 Innings'!$G$28, FALSE) * _xlfn.POISSON.DIST(H$4, 'First 5 Innings'!$G$27, FALSE)</f>
        <v>5.4065909691817468E-6</v>
      </c>
      <c r="I16" s="1">
        <f>_xlfn.POISSON.DIST($D16,'First 5 Innings'!$G$28, FALSE) * _xlfn.POISSON.DIST(I$4, 'First 5 Innings'!$G$27, FALSE)</f>
        <v>3.1205418693800461E-6</v>
      </c>
      <c r="J16" s="1">
        <f>_xlfn.POISSON.DIST($D16,'First 5 Innings'!$G$28, FALSE) * _xlfn.POISSON.DIST(J$4, 'First 5 Innings'!$G$27, FALSE)</f>
        <v>1.4408756444214842E-6</v>
      </c>
      <c r="K16" s="1">
        <f>_xlfn.POISSON.DIST($D16,'First 5 Innings'!$G$28, FALSE) * _xlfn.POISSON.DIST(K$4, 'First 5 Innings'!$G$27, FALSE)</f>
        <v>5.5442364114673494E-7</v>
      </c>
      <c r="L16" s="1">
        <f>_xlfn.POISSON.DIST($D16,'First 5 Innings'!$G$28, FALSE) * _xlfn.POISSON.DIST(L$4, 'First 5 Innings'!$G$27, FALSE)</f>
        <v>1.8285641099215252E-7</v>
      </c>
      <c r="M16" s="1">
        <f>_xlfn.POISSON.DIST($D16,'First 5 Innings'!$G$28, FALSE) * _xlfn.POISSON.DIST(M$4, 'First 5 Innings'!$G$27, FALSE)</f>
        <v>5.2769951512712216E-8</v>
      </c>
      <c r="N16" s="1">
        <f>_xlfn.POISSON.DIST($D16,'First 5 Innings'!$G$28, FALSE) * _xlfn.POISSON.DIST(N$4, 'First 5 Innings'!$G$27, FALSE)</f>
        <v>1.3536633677854619E-8</v>
      </c>
      <c r="O16" s="1">
        <f>_xlfn.POISSON.DIST($D16,'First 5 Innings'!$G$28, FALSE) * _xlfn.POISSON.DIST(O$4, 'First 5 Innings'!$G$27, FALSE)</f>
        <v>3.1251953331027284E-9</v>
      </c>
      <c r="P16" s="1">
        <f>_xlfn.POISSON.DIST($D16,'First 5 Innings'!$G$28, FALSE) * _xlfn.POISSON.DIST(P$4, 'First 5 Innings'!$G$27, FALSE)</f>
        <v>6.5592014988759411E-10</v>
      </c>
      <c r="Q16" s="1">
        <f>_xlfn.POISSON.DIST($D16,'First 5 Innings'!$G$28, FALSE) * _xlfn.POISSON.DIST(Q$4, 'First 5 Innings'!$G$27, FALSE)</f>
        <v>1.2619327670994232E-10</v>
      </c>
      <c r="R16" s="1">
        <f>_xlfn.POISSON.DIST($D16,'First 5 Innings'!$G$28, FALSE) * _xlfn.POISSON.DIST(R$4, 'First 5 Innings'!$G$27, FALSE)</f>
        <v>2.2410902991569302E-11</v>
      </c>
      <c r="S16" s="1">
        <f>_xlfn.POISSON.DIST($D16,'First 5 Innings'!$G$28, FALSE) * _xlfn.POISSON.DIST(S$4, 'First 5 Innings'!$G$27, FALSE)</f>
        <v>3.69570936734916E-12</v>
      </c>
      <c r="T16" s="1">
        <f>_xlfn.POISSON.DIST($D16,'First 5 Innings'!$G$28, FALSE) * _xlfn.POISSON.DIST(T$4, 'First 5 Innings'!$G$27, FALSE)</f>
        <v>5.6881762197833541E-13</v>
      </c>
    </row>
    <row r="17" spans="2:20">
      <c r="B17" s="377"/>
      <c r="C17" s="377"/>
      <c r="D17" s="1">
        <v>12</v>
      </c>
      <c r="E17" s="1">
        <f>_xlfn.POISSON.DIST($D17,'First 5 Innings'!$G$28, FALSE) * _xlfn.POISSON.DIST(E$4, 'First 5 Innings'!$G$27, FALSE)</f>
        <v>5.1128466818100708E-7</v>
      </c>
      <c r="F17" s="1">
        <f>_xlfn.POISSON.DIST($D17,'First 5 Innings'!$G$28, FALSE) * _xlfn.POISSON.DIST(F$4, 'First 5 Innings'!$G$27, FALSE)</f>
        <v>1.18040016219121E-6</v>
      </c>
      <c r="G17" s="1">
        <f>_xlfn.POISSON.DIST($D17,'First 5 Innings'!$G$28, FALSE) * _xlfn.POISSON.DIST(G$4, 'First 5 Innings'!$G$27, FALSE)</f>
        <v>1.3625917513409161E-6</v>
      </c>
      <c r="H17" s="1">
        <f>_xlfn.POISSON.DIST($D17,'First 5 Innings'!$G$28, FALSE) * _xlfn.POISSON.DIST(H$4, 'First 5 Innings'!$G$27, FALSE)</f>
        <v>1.0486027480577668E-6</v>
      </c>
      <c r="I17" s="1">
        <f>_xlfn.POISSON.DIST($D17,'First 5 Innings'!$G$28, FALSE) * _xlfn.POISSON.DIST(I$4, 'First 5 Innings'!$G$27, FALSE)</f>
        <v>6.052258804694568E-7</v>
      </c>
      <c r="J17" s="1">
        <f>_xlfn.POISSON.DIST($D17,'First 5 Innings'!$G$28, FALSE) * _xlfn.POISSON.DIST(J$4, 'First 5 Innings'!$G$27, FALSE)</f>
        <v>2.7945634670020913E-7</v>
      </c>
      <c r="K17" s="1">
        <f>_xlfn.POISSON.DIST($D17,'First 5 Innings'!$G$28, FALSE) * _xlfn.POISSON.DIST(K$4, 'First 5 Innings'!$G$27, FALSE)</f>
        <v>1.0752989397728492E-7</v>
      </c>
      <c r="L17" s="1">
        <f>_xlfn.POISSON.DIST($D17,'First 5 Innings'!$G$28, FALSE) * _xlfn.POISSON.DIST(L$4, 'First 5 Innings'!$G$27, FALSE)</f>
        <v>3.5464812514820359E-8</v>
      </c>
      <c r="M17" s="1">
        <f>_xlfn.POISSON.DIST($D17,'First 5 Innings'!$G$28, FALSE) * _xlfn.POISSON.DIST(M$4, 'First 5 Innings'!$G$27, FALSE)</f>
        <v>1.023467772696696E-8</v>
      </c>
      <c r="N17" s="1">
        <f>_xlfn.POISSON.DIST($D17,'First 5 Innings'!$G$28, FALSE) * _xlfn.POISSON.DIST(N$4, 'First 5 Innings'!$G$27, FALSE)</f>
        <v>2.6254161550153154E-9</v>
      </c>
      <c r="O17" s="1">
        <f>_xlfn.POISSON.DIST($D17,'First 5 Innings'!$G$28, FALSE) * _xlfn.POISSON.DIST(O$4, 'First 5 Innings'!$G$27, FALSE)</f>
        <v>6.0612841496400371E-10</v>
      </c>
      <c r="P17" s="1">
        <f>_xlfn.POISSON.DIST($D17,'First 5 Innings'!$G$28, FALSE) * _xlfn.POISSON.DIST(P$4, 'First 5 Innings'!$G$27, FALSE)</f>
        <v>1.2721503727563979E-10</v>
      </c>
      <c r="Q17" s="1">
        <f>_xlfn.POISSON.DIST($D17,'First 5 Innings'!$G$28, FALSE) * _xlfn.POISSON.DIST(Q$4, 'First 5 Innings'!$G$27, FALSE)</f>
        <v>2.4475056000858615E-11</v>
      </c>
      <c r="R17" s="1">
        <f>_xlfn.POISSON.DIST($D17,'First 5 Innings'!$G$28, FALSE) * _xlfn.POISSON.DIST(R$4, 'First 5 Innings'!$G$27, FALSE)</f>
        <v>4.3465715452434512E-12</v>
      </c>
      <c r="S17" s="1">
        <f>_xlfn.POISSON.DIST($D17,'First 5 Innings'!$G$28, FALSE) * _xlfn.POISSON.DIST(S$4, 'First 5 Innings'!$G$27, FALSE)</f>
        <v>7.167790241050297E-13</v>
      </c>
      <c r="T17" s="1">
        <f>_xlfn.POISSON.DIST($D17,'First 5 Innings'!$G$28, FALSE) * _xlfn.POISSON.DIST(T$4, 'First 5 Innings'!$G$27, FALSE)</f>
        <v>1.1032159172944378E-13</v>
      </c>
    </row>
    <row r="18" spans="2:20">
      <c r="B18" s="377"/>
      <c r="C18" s="377"/>
      <c r="D18" s="1">
        <v>13</v>
      </c>
      <c r="E18" s="1">
        <f>_xlfn.POISSON.DIST($D18,'First 5 Innings'!$G$28, FALSE) * _xlfn.POISSON.DIST(E$4, 'First 5 Innings'!$G$27, FALSE)</f>
        <v>9.1535201184646651E-8</v>
      </c>
      <c r="F18" s="1">
        <f>_xlfn.POISSON.DIST($D18,'First 5 Innings'!$G$28, FALSE) * _xlfn.POISSON.DIST(F$4, 'First 5 Innings'!$G$27, FALSE)</f>
        <v>2.113268264213045E-7</v>
      </c>
      <c r="G18" s="1">
        <f>_xlfn.POISSON.DIST($D18,'First 5 Innings'!$G$28, FALSE) * _xlfn.POISSON.DIST(G$4, 'First 5 Innings'!$G$27, FALSE)</f>
        <v>2.4394455350140692E-7</v>
      </c>
      <c r="H18" s="1">
        <f>_xlfn.POISSON.DIST($D18,'First 5 Innings'!$G$28, FALSE) * _xlfn.POISSON.DIST(H$4, 'First 5 Innings'!$G$27, FALSE)</f>
        <v>1.8773115933188977E-7</v>
      </c>
      <c r="I18" s="1">
        <f>_xlfn.POISSON.DIST($D18,'First 5 Innings'!$G$28, FALSE) * _xlfn.POISSON.DIST(I$4, 'First 5 Innings'!$G$27, FALSE)</f>
        <v>1.0835347934062027E-7</v>
      </c>
      <c r="J18" s="1">
        <f>_xlfn.POISSON.DIST($D18,'First 5 Innings'!$G$28, FALSE) * _xlfn.POISSON.DIST(J$4, 'First 5 Innings'!$G$27, FALSE)</f>
        <v>5.0031018940067333E-8</v>
      </c>
      <c r="K18" s="1">
        <f>_xlfn.POISSON.DIST($D18,'First 5 Innings'!$G$28, FALSE) * _xlfn.POISSON.DIST(K$4, 'First 5 Innings'!$G$27, FALSE)</f>
        <v>1.9251057368084272E-8</v>
      </c>
      <c r="L18" s="1">
        <f>_xlfn.POISSON.DIST($D18,'First 5 Innings'!$G$28, FALSE) * _xlfn.POISSON.DIST(L$4, 'First 5 Innings'!$G$27, FALSE)</f>
        <v>6.3492589364533716E-9</v>
      </c>
      <c r="M18" s="1">
        <f>_xlfn.POISSON.DIST($D18,'First 5 Innings'!$G$28, FALSE) * _xlfn.POISSON.DIST(M$4, 'First 5 Innings'!$G$27, FALSE)</f>
        <v>1.8323124926294117E-9</v>
      </c>
      <c r="N18" s="1">
        <f>_xlfn.POISSON.DIST($D18,'First 5 Innings'!$G$28, FALSE) * _xlfn.POISSON.DIST(N$4, 'First 5 Innings'!$G$27, FALSE)</f>
        <v>4.7002777688939032E-10</v>
      </c>
      <c r="O18" s="1">
        <f>_xlfn.POISSON.DIST($D18,'First 5 Innings'!$G$28, FALSE) * _xlfn.POISSON.DIST(O$4, 'First 5 Innings'!$G$27, FALSE)</f>
        <v>1.0851505992708366E-10</v>
      </c>
      <c r="P18" s="1">
        <f>_xlfn.POISSON.DIST($D18,'First 5 Innings'!$G$28, FALSE) * _xlfn.POISSON.DIST(P$4, 'First 5 Innings'!$G$27, FALSE)</f>
        <v>2.2775284993712199E-11</v>
      </c>
      <c r="Q18" s="1">
        <f>_xlfn.POISSON.DIST($D18,'First 5 Innings'!$G$28, FALSE) * _xlfn.POISSON.DIST(Q$4, 'First 5 Innings'!$G$27, FALSE)</f>
        <v>4.3817648258737851E-12</v>
      </c>
      <c r="R18" s="1">
        <f>_xlfn.POISSON.DIST($D18,'First 5 Innings'!$G$28, FALSE) * _xlfn.POISSON.DIST(R$4, 'First 5 Innings'!$G$27, FALSE)</f>
        <v>7.7816591346812349E-13</v>
      </c>
      <c r="S18" s="1">
        <f>_xlfn.POISSON.DIST($D18,'First 5 Innings'!$G$28, FALSE) * _xlfn.POISSON.DIST(S$4, 'First 5 Innings'!$G$27, FALSE)</f>
        <v>1.2832481836353617E-13</v>
      </c>
      <c r="T18" s="1">
        <f>_xlfn.POISSON.DIST($D18,'First 5 Innings'!$G$28, FALSE) * _xlfn.POISSON.DIST(T$4, 'First 5 Innings'!$G$27, FALSE)</f>
        <v>1.9750854509077598E-14</v>
      </c>
    </row>
    <row r="19" spans="2:20">
      <c r="B19" s="377"/>
      <c r="C19" s="377"/>
      <c r="D19" s="1">
        <v>14</v>
      </c>
      <c r="E19" s="1">
        <f>_xlfn.POISSON.DIST($D19,'First 5 Innings'!$G$28, FALSE) * _xlfn.POISSON.DIST(E$4, 'First 5 Innings'!$G$27, FALSE)</f>
        <v>1.5216992537974769E-8</v>
      </c>
      <c r="F19" s="1">
        <f>_xlfn.POISSON.DIST($D19,'First 5 Innings'!$G$28, FALSE) * _xlfn.POISSON.DIST(F$4, 'First 5 Innings'!$G$27, FALSE)</f>
        <v>3.5131388789324741E-8</v>
      </c>
      <c r="G19" s="1">
        <f>_xlfn.POISSON.DIST($D19,'First 5 Innings'!$G$28, FALSE) * _xlfn.POISSON.DIST(G$4, 'First 5 Innings'!$G$27, FALSE)</f>
        <v>4.0553824127423597E-8</v>
      </c>
      <c r="H19" s="1">
        <f>_xlfn.POISSON.DIST($D19,'First 5 Innings'!$G$28, FALSE) * _xlfn.POISSON.DIST(H$4, 'First 5 Innings'!$G$27, FALSE)</f>
        <v>3.1208798513875758E-8</v>
      </c>
      <c r="I19" s="1">
        <f>_xlfn.POISSON.DIST($D19,'First 5 Innings'!$G$28, FALSE) * _xlfn.POISSON.DIST(I$4, 'First 5 Innings'!$G$27, FALSE)</f>
        <v>1.8012896298373792E-8</v>
      </c>
      <c r="J19" s="1">
        <f>_xlfn.POISSON.DIST($D19,'First 5 Innings'!$G$28, FALSE) * _xlfn.POISSON.DIST(J$4, 'First 5 Innings'!$G$27, FALSE)</f>
        <v>8.31725535122303E-9</v>
      </c>
      <c r="K19" s="1">
        <f>_xlfn.POISSON.DIST($D19,'First 5 Innings'!$G$28, FALSE) * _xlfn.POISSON.DIST(K$4, 'First 5 Innings'!$G$27, FALSE)</f>
        <v>3.2003337789942875E-9</v>
      </c>
      <c r="L19" s="1">
        <f>_xlfn.POISSON.DIST($D19,'First 5 Innings'!$G$28, FALSE) * _xlfn.POISSON.DIST(L$4, 'First 5 Innings'!$G$27, FALSE)</f>
        <v>1.0555133392101643E-9</v>
      </c>
      <c r="M19" s="1">
        <f>_xlfn.POISSON.DIST($D19,'First 5 Innings'!$G$28, FALSE) * _xlfn.POISSON.DIST(M$4, 'First 5 Innings'!$G$27, FALSE)</f>
        <v>3.0460724581065812E-10</v>
      </c>
      <c r="N19" s="1">
        <f>_xlfn.POISSON.DIST($D19,'First 5 Innings'!$G$28, FALSE) * _xlfn.POISSON.DIST(N$4, 'First 5 Innings'!$G$27, FALSE)</f>
        <v>7.8138345478028046E-11</v>
      </c>
      <c r="O19" s="1">
        <f>_xlfn.POISSON.DIST($D19,'First 5 Innings'!$G$28, FALSE) * _xlfn.POISSON.DIST(O$4, 'First 5 Innings'!$G$27, FALSE)</f>
        <v>1.803975777403205E-11</v>
      </c>
      <c r="P19" s="1">
        <f>_xlfn.POISSON.DIST($D19,'First 5 Innings'!$G$28, FALSE) * _xlfn.POISSON.DIST(P$4, 'First 5 Innings'!$G$27, FALSE)</f>
        <v>3.7862083364022616E-12</v>
      </c>
      <c r="Q19" s="1">
        <f>_xlfn.POISSON.DIST($D19,'First 5 Innings'!$G$28, FALSE) * _xlfn.POISSON.DIST(Q$4, 'First 5 Innings'!$G$27, FALSE)</f>
        <v>7.284332343791865E-13</v>
      </c>
      <c r="R19" s="1">
        <f>_xlfn.POISSON.DIST($D19,'First 5 Innings'!$G$28, FALSE) * _xlfn.POISSON.DIST(R$4, 'First 5 Innings'!$G$27, FALSE)</f>
        <v>1.2936383757614907E-13</v>
      </c>
      <c r="S19" s="1">
        <f>_xlfn.POISSON.DIST($D19,'First 5 Innings'!$G$28, FALSE) * _xlfn.POISSON.DIST(S$4, 'First 5 Innings'!$G$27, FALSE)</f>
        <v>2.1332971121523357E-14</v>
      </c>
      <c r="T19" s="1">
        <f>_xlfn.POISSON.DIST($D19,'First 5 Innings'!$G$28, FALSE) * _xlfn.POISSON.DIST(T$4, 'First 5 Innings'!$G$27, FALSE)</f>
        <v>3.283421042326508E-15</v>
      </c>
    </row>
    <row r="20" spans="2:20">
      <c r="B20" s="377"/>
      <c r="C20" s="377"/>
      <c r="D20" s="1">
        <v>15</v>
      </c>
      <c r="E20" s="1">
        <f>_xlfn.POISSON.DIST($D20,'First 5 Innings'!$G$28, FALSE) * _xlfn.POISSON.DIST(E$4, 'First 5 Innings'!$G$27, FALSE)</f>
        <v>2.3610560197284227E-9</v>
      </c>
      <c r="F20" s="1">
        <f>_xlfn.POISSON.DIST($D20,'First 5 Innings'!$G$28, FALSE) * _xlfn.POISSON.DIST(F$4, 'First 5 Innings'!$G$27, FALSE)</f>
        <v>5.4509573278330757E-9</v>
      </c>
      <c r="G20" s="1">
        <f>_xlfn.POISSON.DIST($D20,'First 5 Innings'!$G$28, FALSE) * _xlfn.POISSON.DIST(G$4, 'First 5 Innings'!$G$27, FALSE)</f>
        <v>6.2922979255008947E-9</v>
      </c>
      <c r="H20" s="1">
        <f>_xlfn.POISSON.DIST($D20,'First 5 Innings'!$G$28, FALSE) * _xlfn.POISSON.DIST(H$4, 'First 5 Innings'!$G$27, FALSE)</f>
        <v>4.8423314538527503E-9</v>
      </c>
      <c r="I20" s="1">
        <f>_xlfn.POISSON.DIST($D20,'First 5 Innings'!$G$28, FALSE) * _xlfn.POISSON.DIST(I$4, 'First 5 Innings'!$G$27, FALSE)</f>
        <v>2.7948661426944168E-9</v>
      </c>
      <c r="J20" s="1">
        <f>_xlfn.POISSON.DIST($D20,'First 5 Innings'!$G$28, FALSE) * _xlfn.POISSON.DIST(J$4, 'First 5 Innings'!$G$27, FALSE)</f>
        <v>1.2904984848758512E-9</v>
      </c>
      <c r="K20" s="1">
        <f>_xlfn.POISSON.DIST($D20,'First 5 Innings'!$G$28, FALSE) * _xlfn.POISSON.DIST(K$4, 'First 5 Innings'!$G$27, FALSE)</f>
        <v>4.9656115130357589E-10</v>
      </c>
      <c r="L20" s="1">
        <f>_xlfn.POISSON.DIST($D20,'First 5 Innings'!$G$28, FALSE) * _xlfn.POISSON.DIST(L$4, 'First 5 Innings'!$G$27, FALSE)</f>
        <v>1.6377257971485371E-10</v>
      </c>
      <c r="M20" s="1">
        <f>_xlfn.POISSON.DIST($D20,'First 5 Innings'!$G$28, FALSE) * _xlfn.POISSON.DIST(M$4, 'First 5 Innings'!$G$27, FALSE)</f>
        <v>4.7262609190308998E-11</v>
      </c>
      <c r="N20" s="1">
        <f>_xlfn.POISSON.DIST($D20,'First 5 Innings'!$G$28, FALSE) * _xlfn.POISSON.DIST(N$4, 'First 5 Innings'!$G$27, FALSE)</f>
        <v>1.2123881279570567E-11</v>
      </c>
      <c r="O20" s="1">
        <f>_xlfn.POISSON.DIST($D20,'First 5 Innings'!$G$28, FALSE) * _xlfn.POISSON.DIST(O$4, 'First 5 Innings'!$G$27, FALSE)</f>
        <v>2.7990339471172318E-12</v>
      </c>
      <c r="P20" s="1">
        <f>_xlfn.POISSON.DIST($D20,'First 5 Innings'!$G$28, FALSE) * _xlfn.POISSON.DIST(P$4, 'First 5 Innings'!$G$27, FALSE)</f>
        <v>5.8746496472937407E-13</v>
      </c>
      <c r="Q20" s="1">
        <f>_xlfn.POISSON.DIST($D20,'First 5 Innings'!$G$28, FALSE) * _xlfn.POISSON.DIST(Q$4, 'First 5 Innings'!$G$27, FALSE)</f>
        <v>1.1302310024199573E-13</v>
      </c>
      <c r="R20" s="1">
        <f>_xlfn.POISSON.DIST($D20,'First 5 Innings'!$G$28, FALSE) * _xlfn.POISSON.DIST(R$4, 'First 5 Innings'!$G$27, FALSE)</f>
        <v>2.0071986411382381E-14</v>
      </c>
      <c r="S20" s="1">
        <f>_xlfn.POISSON.DIST($D20,'First 5 Innings'!$G$28, FALSE) * _xlfn.POISSON.DIST(S$4, 'First 5 Innings'!$G$27, FALSE)</f>
        <v>3.3100062157136898E-15</v>
      </c>
      <c r="T20" s="1">
        <f>_xlfn.POISSON.DIST($D20,'First 5 Innings'!$G$28, FALSE) * _xlfn.POISSON.DIST(T$4, 'First 5 Innings'!$G$27, FALSE)</f>
        <v>5.094529025983037E-16</v>
      </c>
    </row>
    <row r="24" spans="2:20">
      <c r="D24" s="1" t="s">
        <v>738</v>
      </c>
      <c r="E24" s="1" t="e">
        <f>E3</f>
        <v>#REF!</v>
      </c>
      <c r="F24" s="1">
        <f>1-F25</f>
        <v>0.49663442246391654</v>
      </c>
      <c r="H24" s="1" t="s">
        <v>345</v>
      </c>
      <c r="I24" s="1">
        <v>3</v>
      </c>
      <c r="J24" s="1">
        <f>SUM(E9:E20,F8:F20,G7:G20,H6:H20,I5:T20)</f>
        <v>0.68014060869630055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0.50336557753608346</v>
      </c>
      <c r="H25" s="1" t="s">
        <v>348</v>
      </c>
      <c r="I25" s="1">
        <v>3</v>
      </c>
      <c r="J25" s="1">
        <f>SUM(E8,F7,G6,H5)</f>
        <v>0.16101903029439277</v>
      </c>
    </row>
    <row r="26" spans="2:20">
      <c r="H26" s="1" t="s">
        <v>346</v>
      </c>
      <c r="I26" s="1">
        <v>3</v>
      </c>
      <c r="J26" s="1">
        <f>SUM(E5:E7,F5:F6,G5)</f>
        <v>0.15884035343505939</v>
      </c>
    </row>
    <row r="27" spans="2:20">
      <c r="H27" s="1" t="s">
        <v>345</v>
      </c>
      <c r="I27" s="1">
        <v>3.5</v>
      </c>
      <c r="J27" s="1">
        <f>SUM(E9:E20,F8:F20,G7:G20,H6:H20,I5:T20)</f>
        <v>0.68014060869630055</v>
      </c>
    </row>
    <row r="28" spans="2:20">
      <c r="H28" s="1" t="s">
        <v>346</v>
      </c>
      <c r="I28" s="1">
        <v>3.5</v>
      </c>
      <c r="J28" s="1">
        <f>SUM(E5:E8,F5:F7,G5:G6,H5)</f>
        <v>0.31985938372945216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0.49351624141552175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0.40108147448676723</v>
      </c>
      <c r="H30" s="1" t="s">
        <v>348</v>
      </c>
      <c r="I30" s="1">
        <v>4</v>
      </c>
      <c r="J30" s="1">
        <f>SUM(E9,F8,G7,H6,I5)</f>
        <v>0.18662436728077891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0.40781263713318144</v>
      </c>
      <c r="H31" s="1" t="s">
        <v>346</v>
      </c>
      <c r="I31" s="1">
        <v>4</v>
      </c>
      <c r="J31" s="1">
        <f>1-J30-J29</f>
        <v>0.31985939130369934</v>
      </c>
    </row>
    <row r="32" spans="2:20">
      <c r="D32" s="1" t="s">
        <v>348</v>
      </c>
      <c r="F32" s="1">
        <f>1-F31-F30</f>
        <v>0.19110588838005138</v>
      </c>
      <c r="H32" s="1" t="s">
        <v>345</v>
      </c>
      <c r="I32" s="1">
        <v>4.5</v>
      </c>
      <c r="J32" s="1">
        <f>SUM(E10:E20,F9:F20,G8:G20,H7:H20,I6:I20,J5:T20)</f>
        <v>0.49351624141552175</v>
      </c>
    </row>
    <row r="33" spans="8:10">
      <c r="H33" s="1" t="s">
        <v>346</v>
      </c>
      <c r="I33" s="1">
        <v>4.5</v>
      </c>
      <c r="J33" s="1">
        <f>1-J32</f>
        <v>0.50648375858447825</v>
      </c>
    </row>
    <row r="34" spans="8:10">
      <c r="H34" s="1" t="s">
        <v>345</v>
      </c>
      <c r="I34" s="1">
        <v>5</v>
      </c>
      <c r="J34" s="1">
        <f>SUM(E11:E20,F10:F20,G9:G20,H8:H20,I7:I20,J6:J20,K5:T20)</f>
        <v>0.32047505790187875</v>
      </c>
    </row>
    <row r="35" spans="8:10">
      <c r="H35" s="1" t="s">
        <v>348</v>
      </c>
      <c r="I35" s="1">
        <v>5</v>
      </c>
      <c r="J35" s="1">
        <f>SUM(E10,F9,G8,H7,I6,J5)</f>
        <v>0.17304118351364292</v>
      </c>
    </row>
    <row r="36" spans="8:10">
      <c r="H36" s="1" t="s">
        <v>346</v>
      </c>
      <c r="I36" s="1">
        <v>5</v>
      </c>
      <c r="J36" s="1">
        <f>SUM(E5:E9,F5:F8,G5:G7,H5:H6,I5)</f>
        <v>0.50648375101023113</v>
      </c>
    </row>
    <row r="37" spans="8:10">
      <c r="H37" s="1" t="s">
        <v>345</v>
      </c>
      <c r="I37" s="1">
        <v>5.5</v>
      </c>
      <c r="J37" s="1">
        <f>SUM(E11:E20,F10:F20,G9:G20,H8:H20,I7:I20,J6:J20,K5:T20)</f>
        <v>0.32047505790187875</v>
      </c>
    </row>
    <row r="38" spans="8:10">
      <c r="H38" s="1" t="s">
        <v>346</v>
      </c>
      <c r="I38" s="1">
        <v>5.5</v>
      </c>
      <c r="J38" s="1">
        <f>1-J37</f>
        <v>0.67952494209812131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0.18676953117952838</v>
      </c>
    </row>
    <row r="40" spans="8:10">
      <c r="H40" s="1" t="s">
        <v>348</v>
      </c>
      <c r="I40" s="1">
        <v>6</v>
      </c>
      <c r="J40" s="1">
        <f>SUM(E11,F10,G9,H8,I7,J6,K5)</f>
        <v>0.13370552672235014</v>
      </c>
    </row>
    <row r="41" spans="8:10">
      <c r="H41" s="1" t="s">
        <v>346</v>
      </c>
      <c r="I41" s="1">
        <v>6</v>
      </c>
      <c r="J41" s="1">
        <f>SUM(E5:E10,F5:F9,G5:G8,H5:H7,I5:I6,J5)</f>
        <v>0.67952493452387419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0.18676953117952838</v>
      </c>
    </row>
    <row r="43" spans="8:10">
      <c r="H43" s="1" t="s">
        <v>346</v>
      </c>
      <c r="I43" s="1">
        <v>6.5</v>
      </c>
      <c r="J43" s="1">
        <f>1-J42</f>
        <v>0.81323046882047167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Innings'!$G$30, FALSE) * _xlfn.POISSON.DIST(E$4, 'First 5 Innings'!$G$29, FALSE)</f>
        <v>1.3218886503019438E-2</v>
      </c>
      <c r="F5" s="1">
        <f>_xlfn.POISSON.DIST($D5,'First 5 Innings'!$G$30, FALSE) * _xlfn.POISSON.DIST(F$4, 'First 5 Innings'!$G$29, FALSE)</f>
        <v>3.0302931781069662E-2</v>
      </c>
      <c r="G5" s="1">
        <f>_xlfn.POISSON.DIST($D5,'First 5 Innings'!$G$30, FALSE) * _xlfn.POISSON.DIST(G$4, 'First 5 Innings'!$G$29, FALSE)</f>
        <v>3.473317038914029E-2</v>
      </c>
      <c r="H5" s="1">
        <f>_xlfn.POISSON.DIST($D5,'First 5 Innings'!$G$30, FALSE) * _xlfn.POISSON.DIST(H$4, 'First 5 Innings'!$G$29, FALSE)</f>
        <v>2.6540735046076503E-2</v>
      </c>
      <c r="I5" s="1">
        <f>_xlfn.POISSON.DIST($D5,'First 5 Innings'!$G$30, FALSE) * _xlfn.POISSON.DIST(I$4, 'First 5 Innings'!$G$29, FALSE)</f>
        <v>1.5210473350705316E-2</v>
      </c>
      <c r="J5" s="1">
        <f>_xlfn.POISSON.DIST($D5,'First 5 Innings'!$G$30, FALSE) * _xlfn.POISSON.DIST(J$4, 'First 5 Innings'!$G$29, FALSE)</f>
        <v>6.9736877792076985E-3</v>
      </c>
      <c r="K5" s="1">
        <f>_xlfn.POISSON.DIST($D5,'First 5 Innings'!$G$30, FALSE) * _xlfn.POISSON.DIST(K$4, 'First 5 Innings'!$G$29, FALSE)</f>
        <v>2.6644098072297305E-3</v>
      </c>
      <c r="L5" s="1">
        <f>_xlfn.POISSON.DIST($D5,'First 5 Innings'!$G$30, FALSE) * _xlfn.POISSON.DIST(L$4, 'First 5 Innings'!$G$29, FALSE)</f>
        <v>8.7255489232722426E-4</v>
      </c>
      <c r="M5" s="1">
        <f>_xlfn.POISSON.DIST($D5,'First 5 Innings'!$G$30, FALSE) * _xlfn.POISSON.DIST(M$4, 'First 5 Innings'!$G$29, FALSE)</f>
        <v>2.5003024433441153E-4</v>
      </c>
      <c r="N5" s="1">
        <f>_xlfn.POISSON.DIST($D5,'First 5 Innings'!$G$30, FALSE) * _xlfn.POISSON.DIST(N$4, 'First 5 Innings'!$G$29, FALSE)</f>
        <v>6.3685389634152156E-5</v>
      </c>
      <c r="O5" s="1">
        <f>_xlfn.POISSON.DIST($D5,'First 5 Innings'!$G$30, FALSE) * _xlfn.POISSON.DIST(O$4, 'First 5 Innings'!$G$29, FALSE)</f>
        <v>1.4599217695785041E-5</v>
      </c>
      <c r="P5" s="1">
        <f>_xlfn.POISSON.DIST($D5,'First 5 Innings'!$G$30, FALSE) * _xlfn.POISSON.DIST(P$4, 'First 5 Innings'!$G$29, FALSE)</f>
        <v>3.0424725864171506E-6</v>
      </c>
      <c r="Q5" s="1">
        <f>_xlfn.POISSON.DIST($D5,'First 5 Innings'!$G$30, FALSE) * _xlfn.POISSON.DIST(Q$4, 'First 5 Innings'!$G$29, FALSE)</f>
        <v>5.812128427692851E-7</v>
      </c>
      <c r="R5" s="1">
        <f>_xlfn.POISSON.DIST($D5,'First 5 Innings'!$G$30, FALSE) * _xlfn.POISSON.DIST(R$4, 'First 5 Innings'!$G$29, FALSE)</f>
        <v>1.0249003092714351E-7</v>
      </c>
      <c r="S5" s="1">
        <f>_xlfn.POISSON.DIST($D5,'First 5 Innings'!$G$30, FALSE) * _xlfn.POISSON.DIST(S$4, 'First 5 Innings'!$G$29, FALSE)</f>
        <v>1.6781986325374766E-8</v>
      </c>
      <c r="T5" s="1">
        <f>_xlfn.POISSON.DIST($D5,'First 5 Innings'!$G$30, FALSE) * _xlfn.POISSON.DIST(T$4, 'First 5 Innings'!$G$29, FALSE)</f>
        <v>2.5647313367507153E-9</v>
      </c>
    </row>
    <row r="6" spans="2:20">
      <c r="B6" s="377"/>
      <c r="C6" s="377"/>
      <c r="D6" s="1">
        <v>1</v>
      </c>
      <c r="E6" s="1">
        <f>_xlfn.POISSON.DIST($D6,'First 5 Innings'!$G$30, FALSE) * _xlfn.POISSON.DIST(E$4, 'First 5 Innings'!$G$29, FALSE)</f>
        <v>2.6883407810923445E-2</v>
      </c>
      <c r="F6" s="1">
        <f>_xlfn.POISSON.DIST($D6,'First 5 Innings'!$G$30, FALSE) * _xlfn.POISSON.DIST(F$4, 'First 5 Innings'!$G$29, FALSE)</f>
        <v>6.16274353177182E-2</v>
      </c>
      <c r="G6" s="1">
        <f>_xlfn.POISSON.DIST($D6,'First 5 Innings'!$G$30, FALSE) * _xlfn.POISSON.DIST(G$4, 'First 5 Innings'!$G$29, FALSE)</f>
        <v>7.063726463830855E-2</v>
      </c>
      <c r="H6" s="1">
        <f>_xlfn.POISSON.DIST($D6,'First 5 Innings'!$G$30, FALSE) * _xlfn.POISSON.DIST(H$4, 'First 5 Innings'!$G$29, FALSE)</f>
        <v>5.3976210755903302E-2</v>
      </c>
      <c r="I6" s="1">
        <f>_xlfn.POISSON.DIST($D6,'First 5 Innings'!$G$30, FALSE) * _xlfn.POISSON.DIST(I$4, 'First 5 Innings'!$G$29, FALSE)</f>
        <v>3.0933721837371989E-2</v>
      </c>
      <c r="J6" s="1">
        <f>_xlfn.POISSON.DIST($D6,'First 5 Innings'!$G$30, FALSE) * _xlfn.POISSON.DIST(J$4, 'First 5 Innings'!$G$29, FALSE)</f>
        <v>1.4182472364194256E-2</v>
      </c>
      <c r="K6" s="1">
        <f>_xlfn.POISSON.DIST($D6,'First 5 Innings'!$G$30, FALSE) * _xlfn.POISSON.DIST(K$4, 'First 5 Innings'!$G$29, FALSE)</f>
        <v>5.418642138036325E-3</v>
      </c>
      <c r="L6" s="1">
        <f>_xlfn.POISSON.DIST($D6,'First 5 Innings'!$G$30, FALSE) * _xlfn.POISSON.DIST(L$4, 'First 5 Innings'!$G$29, FALSE)</f>
        <v>1.7745253355864051E-3</v>
      </c>
      <c r="M6" s="1">
        <f>_xlfn.POISSON.DIST($D6,'First 5 Innings'!$G$30, FALSE) * _xlfn.POISSON.DIST(M$4, 'First 5 Innings'!$G$29, FALSE)</f>
        <v>5.0848950264997469E-4</v>
      </c>
      <c r="N6" s="1">
        <f>_xlfn.POISSON.DIST($D6,'First 5 Innings'!$G$30, FALSE) * _xlfn.POISSON.DIST(N$4, 'First 5 Innings'!$G$29, FALSE)</f>
        <v>1.295177396932335E-4</v>
      </c>
      <c r="O6" s="1">
        <f>_xlfn.POISSON.DIST($D6,'First 5 Innings'!$G$30, FALSE) * _xlfn.POISSON.DIST(O$4, 'First 5 Innings'!$G$29, FALSE)</f>
        <v>2.9690603890621986E-5</v>
      </c>
      <c r="P6" s="1">
        <f>_xlfn.POISSON.DIST($D6,'First 5 Innings'!$G$30, FALSE) * _xlfn.POISSON.DIST(P$4, 'First 5 Innings'!$G$29, FALSE)</f>
        <v>6.1875129403315833E-6</v>
      </c>
      <c r="Q6" s="1">
        <f>_xlfn.POISSON.DIST($D6,'First 5 Innings'!$G$30, FALSE) * _xlfn.POISSON.DIST(Q$4, 'First 5 Innings'!$G$29, FALSE)</f>
        <v>1.1820195198395708E-6</v>
      </c>
      <c r="R6" s="1">
        <f>_xlfn.POISSON.DIST($D6,'First 5 Innings'!$G$30, FALSE) * _xlfn.POISSON.DIST(R$4, 'First 5 Innings'!$G$29, FALSE)</f>
        <v>2.0843520347490678E-7</v>
      </c>
      <c r="S6" s="1">
        <f>_xlfn.POISSON.DIST($D6,'First 5 Innings'!$G$30, FALSE) * _xlfn.POISSON.DIST(S$4, 'First 5 Innings'!$G$29, FALSE)</f>
        <v>3.412972659681569E-8</v>
      </c>
      <c r="T6" s="1">
        <f>_xlfn.POISSON.DIST($D6,'First 5 Innings'!$G$30, FALSE) * _xlfn.POISSON.DIST(T$4, 'First 5 Innings'!$G$29, FALSE)</f>
        <v>5.2159248387203528E-9</v>
      </c>
    </row>
    <row r="7" spans="2:20">
      <c r="B7" s="377"/>
      <c r="C7" s="377"/>
      <c r="D7" s="1">
        <v>2</v>
      </c>
      <c r="E7" s="1">
        <f>_xlfn.POISSON.DIST($D7,'First 5 Innings'!$G$30, FALSE) * _xlfn.POISSON.DIST(E$4, 'First 5 Innings'!$G$29, FALSE)</f>
        <v>2.7336554231074527E-2</v>
      </c>
      <c r="F7" s="1">
        <f>_xlfn.POISSON.DIST($D7,'First 5 Innings'!$G$30, FALSE) * _xlfn.POISSON.DIST(F$4, 'First 5 Innings'!$G$29, FALSE)</f>
        <v>6.2666226675336528E-2</v>
      </c>
      <c r="G7" s="1">
        <f>_xlfn.POISSON.DIST($D7,'First 5 Innings'!$G$30, FALSE) * _xlfn.POISSON.DIST(G$4, 'First 5 Innings'!$G$29, FALSE)</f>
        <v>7.182792557777129E-2</v>
      </c>
      <c r="H7" s="1">
        <f>_xlfn.POISSON.DIST($D7,'First 5 Innings'!$G$30, FALSE) * _xlfn.POISSON.DIST(H$4, 'First 5 Innings'!$G$29, FALSE)</f>
        <v>5.4886033158233538E-2</v>
      </c>
      <c r="I7" s="1">
        <f>_xlfn.POISSON.DIST($D7,'First 5 Innings'!$G$30, FALSE) * _xlfn.POISSON.DIST(I$4, 'First 5 Innings'!$G$29, FALSE)</f>
        <v>3.1455140305266478E-2</v>
      </c>
      <c r="J7" s="1">
        <f>_xlfn.POISSON.DIST($D7,'First 5 Innings'!$G$30, FALSE) * _xlfn.POISSON.DIST(J$4, 'First 5 Innings'!$G$29, FALSE)</f>
        <v>1.4421531959091108E-2</v>
      </c>
      <c r="K7" s="1">
        <f>_xlfn.POISSON.DIST($D7,'First 5 Innings'!$G$30, FALSE) * _xlfn.POISSON.DIST(K$4, 'First 5 Innings'!$G$29, FALSE)</f>
        <v>5.5099787090618644E-3</v>
      </c>
      <c r="L7" s="1">
        <f>_xlfn.POISSON.DIST($D7,'First 5 Innings'!$G$30, FALSE) * _xlfn.POISSON.DIST(L$4, 'First 5 Innings'!$G$29, FALSE)</f>
        <v>1.8044367147145243E-3</v>
      </c>
      <c r="M7" s="1">
        <f>_xlfn.POISSON.DIST($D7,'First 5 Innings'!$G$30, FALSE) * _xlfn.POISSON.DIST(M$4, 'First 5 Innings'!$G$29, FALSE)</f>
        <v>5.1706059599613196E-4</v>
      </c>
      <c r="N7" s="1">
        <f>_xlfn.POISSON.DIST($D7,'First 5 Innings'!$G$30, FALSE) * _xlfn.POISSON.DIST(N$4, 'First 5 Innings'!$G$29, FALSE)</f>
        <v>1.3170088925897421E-4</v>
      </c>
      <c r="O7" s="1">
        <f>_xlfn.POISSON.DIST($D7,'First 5 Innings'!$G$30, FALSE) * _xlfn.POISSON.DIST(O$4, 'First 5 Innings'!$G$29, FALSE)</f>
        <v>3.0191068376366692E-5</v>
      </c>
      <c r="P7" s="1">
        <f>_xlfn.POISSON.DIST($D7,'First 5 Innings'!$G$30, FALSE) * _xlfn.POISSON.DIST(P$4, 'First 5 Innings'!$G$29, FALSE)</f>
        <v>6.2918095889659302E-6</v>
      </c>
      <c r="Q7" s="1">
        <f>_xlfn.POISSON.DIST($D7,'First 5 Innings'!$G$30, FALSE) * _xlfn.POISSON.DIST(Q$4, 'First 5 Innings'!$G$29, FALSE)</f>
        <v>1.2019436275915039E-6</v>
      </c>
      <c r="R7" s="1">
        <f>_xlfn.POISSON.DIST($D7,'First 5 Innings'!$G$30, FALSE) * _xlfn.POISSON.DIST(R$4, 'First 5 Innings'!$G$29, FALSE)</f>
        <v>2.1194858492388132E-7</v>
      </c>
      <c r="S7" s="1">
        <f>_xlfn.POISSON.DIST($D7,'First 5 Innings'!$G$30, FALSE) * _xlfn.POISSON.DIST(S$4, 'First 5 Innings'!$G$29, FALSE)</f>
        <v>3.4705016885043138E-8</v>
      </c>
      <c r="T7" s="1">
        <f>_xlfn.POISSON.DIST($D7,'First 5 Innings'!$G$30, FALSE) * _xlfn.POISSON.DIST(T$4, 'First 5 Innings'!$G$29, FALSE)</f>
        <v>5.303844409225207E-9</v>
      </c>
    </row>
    <row r="8" spans="2:20">
      <c r="B8" s="377"/>
      <c r="C8" s="377"/>
      <c r="D8" s="1">
        <v>3</v>
      </c>
      <c r="E8" s="1">
        <f>_xlfn.POISSON.DIST($D8,'First 5 Innings'!$G$30, FALSE) * _xlfn.POISSON.DIST(E$4, 'First 5 Innings'!$G$29, FALSE)</f>
        <v>1.8531559254796451E-2</v>
      </c>
      <c r="F8" s="1">
        <f>_xlfn.POISSON.DIST($D8,'First 5 Innings'!$G$30, FALSE) * _xlfn.POISSON.DIST(F$4, 'First 5 Innings'!$G$29, FALSE)</f>
        <v>4.2481685258941908E-2</v>
      </c>
      <c r="G8" s="1">
        <f>_xlfn.POISSON.DIST($D8,'First 5 Innings'!$G$30, FALSE) * _xlfn.POISSON.DIST(G$4, 'First 5 Innings'!$G$29, FALSE)</f>
        <v>4.869243752310537E-2</v>
      </c>
      <c r="H8" s="1">
        <f>_xlfn.POISSON.DIST($D8,'First 5 Innings'!$G$30, FALSE) * _xlfn.POISSON.DIST(H$4, 'First 5 Innings'!$G$29, FALSE)</f>
        <v>3.7207461011173212E-2</v>
      </c>
      <c r="I8" s="1">
        <f>_xlfn.POISSON.DIST($D8,'First 5 Innings'!$G$30, FALSE) * _xlfn.POISSON.DIST(I$4, 'First 5 Innings'!$G$29, FALSE)</f>
        <v>2.132356519800005E-2</v>
      </c>
      <c r="J8" s="1">
        <f>_xlfn.POISSON.DIST($D8,'First 5 Innings'!$G$30, FALSE) * _xlfn.POISSON.DIST(J$4, 'First 5 Innings'!$G$29, FALSE)</f>
        <v>9.776414093223211E-3</v>
      </c>
      <c r="K8" s="1">
        <f>_xlfn.POISSON.DIST($D8,'First 5 Innings'!$G$30, FALSE) * _xlfn.POISSON.DIST(K$4, 'First 5 Innings'!$G$29, FALSE)</f>
        <v>3.7352365655352452E-3</v>
      </c>
      <c r="L8" s="1">
        <f>_xlfn.POISSON.DIST($D8,'First 5 Innings'!$G$30, FALSE) * _xlfn.POISSON.DIST(L$4, 'First 5 Innings'!$G$29, FALSE)</f>
        <v>1.2232348531422076E-3</v>
      </c>
      <c r="M8" s="1">
        <f>_xlfn.POISSON.DIST($D8,'First 5 Innings'!$G$30, FALSE) * _xlfn.POISSON.DIST(M$4, 'First 5 Innings'!$G$29, FALSE)</f>
        <v>3.505174423969838E-4</v>
      </c>
      <c r="N8" s="1">
        <f>_xlfn.POISSON.DIST($D8,'First 5 Innings'!$G$30, FALSE) * _xlfn.POISSON.DIST(N$4, 'First 5 Innings'!$G$29, FALSE)</f>
        <v>8.9280558646185002E-5</v>
      </c>
      <c r="O8" s="1">
        <f>_xlfn.POISSON.DIST($D8,'First 5 Innings'!$G$30, FALSE) * _xlfn.POISSON.DIST(O$4, 'First 5 Innings'!$G$29, FALSE)</f>
        <v>2.0466645790575147E-5</v>
      </c>
      <c r="P8" s="1">
        <f>_xlfn.POISSON.DIST($D8,'First 5 Innings'!$G$30, FALSE) * _xlfn.POISSON.DIST(P$4, 'First 5 Innings'!$G$29, FALSE)</f>
        <v>4.2652428404922454E-6</v>
      </c>
      <c r="Q8" s="1">
        <f>_xlfn.POISSON.DIST($D8,'First 5 Innings'!$G$30, FALSE) * _xlfn.POISSON.DIST(Q$4, 'First 5 Innings'!$G$29, FALSE)</f>
        <v>8.1480238391996585E-7</v>
      </c>
      <c r="R8" s="1">
        <f>_xlfn.POISSON.DIST($D8,'First 5 Innings'!$G$30, FALSE) * _xlfn.POISSON.DIST(R$4, 'First 5 Innings'!$G$29, FALSE)</f>
        <v>1.4368079192740217E-7</v>
      </c>
      <c r="S8" s="1">
        <f>_xlfn.POISSON.DIST($D8,'First 5 Innings'!$G$30, FALSE) * _xlfn.POISSON.DIST(S$4, 'First 5 Innings'!$G$29, FALSE)</f>
        <v>2.3526669506605486E-8</v>
      </c>
      <c r="T8" s="1">
        <f>_xlfn.POISSON.DIST($D8,'First 5 Innings'!$G$30, FALSE) * _xlfn.POISSON.DIST(T$4, 'First 5 Innings'!$G$29, FALSE)</f>
        <v>3.5954973006820814E-9</v>
      </c>
    </row>
    <row r="9" spans="2:20">
      <c r="B9" s="377"/>
      <c r="C9" s="377"/>
      <c r="D9" s="1">
        <v>4</v>
      </c>
      <c r="E9" s="1">
        <f>_xlfn.POISSON.DIST($D9,'First 5 Innings'!$G$30, FALSE) * _xlfn.POISSON.DIST(E$4, 'First 5 Innings'!$G$29, FALSE)</f>
        <v>9.421963504739778E-3</v>
      </c>
      <c r="F9" s="1">
        <f>_xlfn.POISSON.DIST($D9,'First 5 Innings'!$G$30, FALSE) * _xlfn.POISSON.DIST(F$4, 'First 5 Innings'!$G$29, FALSE)</f>
        <v>2.1598878034291398E-2</v>
      </c>
      <c r="G9" s="1">
        <f>_xlfn.POISSON.DIST($D9,'First 5 Innings'!$G$30, FALSE) * _xlfn.POISSON.DIST(G$4, 'First 5 Innings'!$G$29, FALSE)</f>
        <v>2.4756598351581064E-2</v>
      </c>
      <c r="H9" s="1">
        <f>_xlfn.POISSON.DIST($D9,'First 5 Innings'!$G$30, FALSE) * _xlfn.POISSON.DIST(H$4, 'First 5 Innings'!$G$29, FALSE)</f>
        <v>1.8917314778062525E-2</v>
      </c>
      <c r="I9" s="1">
        <f>_xlfn.POISSON.DIST($D9,'First 5 Innings'!$G$30, FALSE) * _xlfn.POISSON.DIST(I$4, 'First 5 Innings'!$G$29, FALSE)</f>
        <v>1.084149748675331E-2</v>
      </c>
      <c r="J9" s="1">
        <f>_xlfn.POISSON.DIST($D9,'First 5 Innings'!$G$30, FALSE) * _xlfn.POISSON.DIST(J$4, 'First 5 Innings'!$G$29, FALSE)</f>
        <v>4.9706026096930558E-3</v>
      </c>
      <c r="K9" s="1">
        <f>_xlfn.POISSON.DIST($D9,'First 5 Innings'!$G$30, FALSE) * _xlfn.POISSON.DIST(K$4, 'First 5 Innings'!$G$29, FALSE)</f>
        <v>1.8990988355679624E-3</v>
      </c>
      <c r="L9" s="1">
        <f>_xlfn.POISSON.DIST($D9,'First 5 Innings'!$G$30, FALSE) * _xlfn.POISSON.DIST(L$4, 'First 5 Innings'!$G$29, FALSE)</f>
        <v>6.2192684304471376E-4</v>
      </c>
      <c r="M9" s="1">
        <f>_xlfn.POISSON.DIST($D9,'First 5 Innings'!$G$30, FALSE) * _xlfn.POISSON.DIST(M$4, 'First 5 Innings'!$G$29, FALSE)</f>
        <v>1.7821288023479837E-4</v>
      </c>
      <c r="N9" s="1">
        <f>_xlfn.POISSON.DIST($D9,'First 5 Innings'!$G$30, FALSE) * _xlfn.POISSON.DIST(N$4, 'First 5 Innings'!$G$29, FALSE)</f>
        <v>4.539273537003696E-5</v>
      </c>
      <c r="O9" s="1">
        <f>_xlfn.POISSON.DIST($D9,'First 5 Innings'!$G$30, FALSE) * _xlfn.POISSON.DIST(O$4, 'First 5 Innings'!$G$29, FALSE)</f>
        <v>1.0405815671086829E-5</v>
      </c>
      <c r="P9" s="1">
        <f>_xlfn.POISSON.DIST($D9,'First 5 Innings'!$G$30, FALSE) * _xlfn.POISSON.DIST(P$4, 'First 5 Innings'!$G$29, FALSE)</f>
        <v>2.1685688629557244E-6</v>
      </c>
      <c r="Q9" s="1">
        <f>_xlfn.POISSON.DIST($D9,'First 5 Innings'!$G$30, FALSE) * _xlfn.POISSON.DIST(Q$4, 'First 5 Innings'!$G$29, FALSE)</f>
        <v>4.1426834187640586E-7</v>
      </c>
      <c r="R9" s="1">
        <f>_xlfn.POISSON.DIST($D9,'First 5 Innings'!$G$30, FALSE) * _xlfn.POISSON.DIST(R$4, 'First 5 Innings'!$G$29, FALSE)</f>
        <v>7.3051336871273043E-8</v>
      </c>
      <c r="S9" s="1">
        <f>_xlfn.POISSON.DIST($D9,'First 5 Innings'!$G$30, FALSE) * _xlfn.POISSON.DIST(S$4, 'First 5 Innings'!$G$29, FALSE)</f>
        <v>1.1961617391798146E-8</v>
      </c>
      <c r="T9" s="1">
        <f>_xlfn.POISSON.DIST($D9,'First 5 Innings'!$G$30, FALSE) * _xlfn.POISSON.DIST(T$4, 'First 5 Innings'!$G$29, FALSE)</f>
        <v>1.8280514814018578E-9</v>
      </c>
    </row>
    <row r="10" spans="2:20">
      <c r="B10" s="377"/>
      <c r="C10" s="377"/>
      <c r="D10" s="1">
        <v>5</v>
      </c>
      <c r="E10" s="1">
        <f>_xlfn.POISSON.DIST($D10,'First 5 Innings'!$G$30, FALSE) * _xlfn.POISSON.DIST(E$4, 'First 5 Innings'!$G$29, FALSE)</f>
        <v>3.8323120063055226E-3</v>
      </c>
      <c r="F10" s="1">
        <f>_xlfn.POISSON.DIST($D10,'First 5 Innings'!$G$30, FALSE) * _xlfn.POISSON.DIST(F$4, 'First 5 Innings'!$G$29, FALSE)</f>
        <v>8.7851793919498569E-3</v>
      </c>
      <c r="G10" s="1">
        <f>_xlfn.POISSON.DIST($D10,'First 5 Innings'!$G$30, FALSE) * _xlfn.POISSON.DIST(G$4, 'First 5 Innings'!$G$29, FALSE)</f>
        <v>1.0069558118148107E-2</v>
      </c>
      <c r="H10" s="1">
        <f>_xlfn.POISSON.DIST($D10,'First 5 Innings'!$G$30, FALSE) * _xlfn.POISSON.DIST(H$4, 'First 5 Innings'!$G$29, FALSE)</f>
        <v>7.6944739294054583E-3</v>
      </c>
      <c r="I10" s="1">
        <f>_xlfn.POISSON.DIST($D10,'First 5 Innings'!$G$30, FALSE) * _xlfn.POISSON.DIST(I$4, 'First 5 Innings'!$G$29, FALSE)</f>
        <v>4.4096966586545227E-3</v>
      </c>
      <c r="J10" s="1">
        <f>_xlfn.POISSON.DIST($D10,'First 5 Innings'!$G$30, FALSE) * _xlfn.POISSON.DIST(J$4, 'First 5 Innings'!$G$29, FALSE)</f>
        <v>2.0217548125841915E-3</v>
      </c>
      <c r="K10" s="1">
        <f>_xlfn.POISSON.DIST($D10,'First 5 Innings'!$G$30, FALSE) * _xlfn.POISSON.DIST(K$4, 'First 5 Innings'!$G$29, FALSE)</f>
        <v>7.7244400968510716E-4</v>
      </c>
      <c r="L10" s="1">
        <f>_xlfn.POISSON.DIST($D10,'First 5 Innings'!$G$30, FALSE) * _xlfn.POISSON.DIST(L$4, 'First 5 Innings'!$G$29, FALSE)</f>
        <v>2.5296401397064989E-4</v>
      </c>
      <c r="M10" s="1">
        <f>_xlfn.POISSON.DIST($D10,'First 5 Innings'!$G$30, FALSE) * _xlfn.POISSON.DIST(M$4, 'First 5 Innings'!$G$29, FALSE)</f>
        <v>7.248673381705787E-5</v>
      </c>
      <c r="N10" s="1">
        <f>_xlfn.POISSON.DIST($D10,'First 5 Innings'!$G$30, FALSE) * _xlfn.POISSON.DIST(N$4, 'First 5 Innings'!$G$29, FALSE)</f>
        <v>1.8463149923063357E-5</v>
      </c>
      <c r="O10" s="1">
        <f>_xlfn.POISSON.DIST($D10,'First 5 Innings'!$G$30, FALSE) * _xlfn.POISSON.DIST(O$4, 'First 5 Innings'!$G$29, FALSE)</f>
        <v>4.2324863932711223E-6</v>
      </c>
      <c r="P10" s="1">
        <f>_xlfn.POISSON.DIST($D10,'First 5 Innings'!$G$30, FALSE) * _xlfn.POISSON.DIST(P$4, 'First 5 Innings'!$G$29, FALSE)</f>
        <v>8.8204889414237512E-7</v>
      </c>
      <c r="Q10" s="1">
        <f>_xlfn.POISSON.DIST($D10,'First 5 Innings'!$G$30, FALSE) * _xlfn.POISSON.DIST(Q$4, 'First 5 Innings'!$G$29, FALSE)</f>
        <v>1.6850049775787988E-7</v>
      </c>
      <c r="R10" s="1">
        <f>_xlfn.POISSON.DIST($D10,'First 5 Innings'!$G$30, FALSE) * _xlfn.POISSON.DIST(R$4, 'First 5 Innings'!$G$29, FALSE)</f>
        <v>2.971307575407351E-8</v>
      </c>
      <c r="S10" s="1">
        <f>_xlfn.POISSON.DIST($D10,'First 5 Innings'!$G$30, FALSE) * _xlfn.POISSON.DIST(S$4, 'First 5 Innings'!$G$29, FALSE)</f>
        <v>4.8652969120884998E-9</v>
      </c>
      <c r="T10" s="1">
        <f>_xlfn.POISSON.DIST($D10,'First 5 Innings'!$G$30, FALSE) * _xlfn.POISSON.DIST(T$4, 'First 5 Innings'!$G$29, FALSE)</f>
        <v>7.4354603865709018E-10</v>
      </c>
    </row>
    <row r="11" spans="2:20">
      <c r="B11" s="377"/>
      <c r="C11" s="377"/>
      <c r="D11" s="1">
        <v>6</v>
      </c>
      <c r="E11" s="1">
        <f>_xlfn.POISSON.DIST($D11,'First 5 Innings'!$G$30, FALSE) * _xlfn.POISSON.DIST(E$4, 'First 5 Innings'!$G$29, FALSE)</f>
        <v>1.2989698048152135E-3</v>
      </c>
      <c r="F11" s="1">
        <f>_xlfn.POISSON.DIST($D11,'First 5 Innings'!$G$30, FALSE) * _xlfn.POISSON.DIST(F$4, 'First 5 Innings'!$G$29, FALSE)</f>
        <v>2.977754092373336E-3</v>
      </c>
      <c r="G11" s="1">
        <f>_xlfn.POISSON.DIST($D11,'First 5 Innings'!$G$30, FALSE) * _xlfn.POISSON.DIST(G$4, 'First 5 Innings'!$G$29, FALSE)</f>
        <v>3.4130968255676815E-3</v>
      </c>
      <c r="H11" s="1">
        <f>_xlfn.POISSON.DIST($D11,'First 5 Innings'!$G$30, FALSE) * _xlfn.POISSON.DIST(H$4, 'First 5 Innings'!$G$29, FALSE)</f>
        <v>2.6080572985159849E-3</v>
      </c>
      <c r="I11" s="1">
        <f>_xlfn.POISSON.DIST($D11,'First 5 Innings'!$G$30, FALSE) * _xlfn.POISSON.DIST(I$4, 'First 5 Innings'!$G$29, FALSE)</f>
        <v>1.4946754853368029E-3</v>
      </c>
      <c r="J11" s="1">
        <f>_xlfn.POISSON.DIST($D11,'First 5 Innings'!$G$30, FALSE) * _xlfn.POISSON.DIST(J$4, 'First 5 Innings'!$G$29, FALSE)</f>
        <v>6.8527782966670522E-4</v>
      </c>
      <c r="K11" s="1">
        <f>_xlfn.POISSON.DIST($D11,'First 5 Innings'!$G$30, FALSE) * _xlfn.POISSON.DIST(K$4, 'First 5 Innings'!$G$29, FALSE)</f>
        <v>2.6182143907918341E-4</v>
      </c>
      <c r="L11" s="1">
        <f>_xlfn.POISSON.DIST($D11,'First 5 Innings'!$G$30, FALSE) * _xlfn.POISSON.DIST(L$4, 'First 5 Innings'!$G$29, FALSE)</f>
        <v>8.5742657516422392E-5</v>
      </c>
      <c r="M11" s="1">
        <f>_xlfn.POISSON.DIST($D11,'First 5 Innings'!$G$30, FALSE) * _xlfn.POISSON.DIST(M$4, 'First 5 Innings'!$G$29, FALSE)</f>
        <v>2.4569523129409164E-5</v>
      </c>
      <c r="N11" s="1">
        <f>_xlfn.POISSON.DIST($D11,'First 5 Innings'!$G$30, FALSE) * _xlfn.POISSON.DIST(N$4, 'First 5 Innings'!$G$29, FALSE)</f>
        <v>6.2581215236063516E-6</v>
      </c>
      <c r="O11" s="1">
        <f>_xlfn.POISSON.DIST($D11,'First 5 Innings'!$G$30, FALSE) * _xlfn.POISSON.DIST(O$4, 'First 5 Innings'!$G$29, FALSE)</f>
        <v>1.4346097121279459E-6</v>
      </c>
      <c r="P11" s="1">
        <f>_xlfn.POISSON.DIST($D11,'First 5 Innings'!$G$30, FALSE) * _xlfn.POISSON.DIST(P$4, 'First 5 Innings'!$G$29, FALSE)</f>
        <v>2.9897223346544321E-7</v>
      </c>
      <c r="Q11" s="1">
        <f>_xlfn.POISSON.DIST($D11,'First 5 Innings'!$G$30, FALSE) * _xlfn.POISSON.DIST(Q$4, 'First 5 Innings'!$G$29, FALSE)</f>
        <v>5.7113580085256251E-8</v>
      </c>
      <c r="R11" s="1">
        <f>_xlfn.POISSON.DIST($D11,'First 5 Innings'!$G$30, FALSE) * _xlfn.POISSON.DIST(R$4, 'First 5 Innings'!$G$29, FALSE)</f>
        <v>1.0071306341765406E-8</v>
      </c>
      <c r="S11" s="1">
        <f>_xlfn.POISSON.DIST($D11,'First 5 Innings'!$G$30, FALSE) * _xlfn.POISSON.DIST(S$4, 'First 5 Innings'!$G$29, FALSE)</f>
        <v>1.6491021007332411E-9</v>
      </c>
      <c r="T11" s="1">
        <f>_xlfn.POISSON.DIST($D11,'First 5 Innings'!$G$30, FALSE) * _xlfn.POISSON.DIST(T$4, 'First 5 Innings'!$G$29, FALSE)</f>
        <v>2.52026414111473E-10</v>
      </c>
    </row>
    <row r="12" spans="2:20">
      <c r="B12" s="377"/>
      <c r="C12" s="377"/>
      <c r="D12" s="1">
        <v>7</v>
      </c>
      <c r="E12" s="1">
        <f>_xlfn.POISSON.DIST($D12,'First 5 Innings'!$G$30, FALSE) * _xlfn.POISSON.DIST(E$4, 'First 5 Innings'!$G$29, FALSE)</f>
        <v>3.7739006435922896E-4</v>
      </c>
      <c r="F12" s="1">
        <f>_xlfn.POISSON.DIST($D12,'First 5 Innings'!$G$30, FALSE) * _xlfn.POISSON.DIST(F$4, 'First 5 Innings'!$G$29, FALSE)</f>
        <v>8.6512773768947975E-4</v>
      </c>
      <c r="G12" s="1">
        <f>_xlfn.POISSON.DIST($D12,'First 5 Innings'!$G$30, FALSE) * _xlfn.POISSON.DIST(G$4, 'First 5 Innings'!$G$29, FALSE)</f>
        <v>9.9160798495120006E-4</v>
      </c>
      <c r="H12" s="1">
        <f>_xlfn.POISSON.DIST($D12,'First 5 Innings'!$G$30, FALSE) * _xlfn.POISSON.DIST(H$4, 'First 5 Innings'!$G$29, FALSE)</f>
        <v>7.5771962372868308E-4</v>
      </c>
      <c r="I12" s="1">
        <f>_xlfn.POISSON.DIST($D12,'First 5 Innings'!$G$30, FALSE) * _xlfn.POISSON.DIST(I$4, 'First 5 Innings'!$G$29, FALSE)</f>
        <v>4.3424849100912017E-4</v>
      </c>
      <c r="J12" s="1">
        <f>_xlfn.POISSON.DIST($D12,'First 5 Innings'!$G$30, FALSE) * _xlfn.POISSON.DIST(J$4, 'First 5 Innings'!$G$29, FALSE)</f>
        <v>1.9909396144790335E-4</v>
      </c>
      <c r="K12" s="1">
        <f>_xlfn.POISSON.DIST($D12,'First 5 Innings'!$G$30, FALSE) * _xlfn.POISSON.DIST(K$4, 'First 5 Innings'!$G$29, FALSE)</f>
        <v>7.6067056661702106E-5</v>
      </c>
      <c r="L12" s="1">
        <f>_xlfn.POISSON.DIST($D12,'First 5 Innings'!$G$30, FALSE) * _xlfn.POISSON.DIST(L$4, 'First 5 Innings'!$G$29, FALSE)</f>
        <v>2.4910838511028485E-5</v>
      </c>
      <c r="M12" s="1">
        <f>_xlfn.POISSON.DIST($D12,'First 5 Innings'!$G$30, FALSE) * _xlfn.POISSON.DIST(M$4, 'First 5 Innings'!$G$29, FALSE)</f>
        <v>7.1381904958155136E-6</v>
      </c>
      <c r="N12" s="1">
        <f>_xlfn.POISSON.DIST($D12,'First 5 Innings'!$G$30, FALSE) * _xlfn.POISSON.DIST(N$4, 'First 5 Innings'!$G$29, FALSE)</f>
        <v>1.81817381420783E-6</v>
      </c>
      <c r="O12" s="1">
        <f>_xlfn.POISSON.DIST($D12,'First 5 Innings'!$G$30, FALSE) * _xlfn.POISSON.DIST(O$4, 'First 5 Innings'!$G$29, FALSE)</f>
        <v>4.1679756494983271E-7</v>
      </c>
      <c r="P12" s="1">
        <f>_xlfn.POISSON.DIST($D12,'First 5 Innings'!$G$30, FALSE) * _xlfn.POISSON.DIST(P$4, 'First 5 Innings'!$G$29, FALSE)</f>
        <v>8.6860487450050222E-8</v>
      </c>
      <c r="Q12" s="1">
        <f>_xlfn.POISSON.DIST($D12,'First 5 Innings'!$G$30, FALSE) * _xlfn.POISSON.DIST(Q$4, 'First 5 Innings'!$G$29, FALSE)</f>
        <v>1.6593224557076629E-8</v>
      </c>
      <c r="R12" s="1">
        <f>_xlfn.POISSON.DIST($D12,'First 5 Innings'!$G$30, FALSE) * _xlfn.POISSON.DIST(R$4, 'First 5 Innings'!$G$29, FALSE)</f>
        <v>2.9260194766737065E-9</v>
      </c>
      <c r="S12" s="1">
        <f>_xlfn.POISSON.DIST($D12,'First 5 Innings'!$G$30, FALSE) * _xlfn.POISSON.DIST(S$4, 'First 5 Innings'!$G$29, FALSE)</f>
        <v>4.7911409920663347E-10</v>
      </c>
      <c r="T12" s="1">
        <f>_xlfn.POISSON.DIST($D12,'First 5 Innings'!$G$30, FALSE) * _xlfn.POISSON.DIST(T$4, 'First 5 Innings'!$G$29, FALSE)</f>
        <v>7.322130529068364E-11</v>
      </c>
    </row>
    <row r="13" spans="2:20">
      <c r="B13" s="377"/>
      <c r="C13" s="377"/>
      <c r="D13" s="1">
        <v>8</v>
      </c>
      <c r="E13" s="1">
        <f>_xlfn.POISSON.DIST($D13,'First 5 Innings'!$G$30, FALSE) * _xlfn.POISSON.DIST(E$4, 'First 5 Innings'!$G$29, FALSE)</f>
        <v>9.5937836761462298E-5</v>
      </c>
      <c r="F13" s="1">
        <f>_xlfn.POISSON.DIST($D13,'First 5 Innings'!$G$30, FALSE) * _xlfn.POISSON.DIST(F$4, 'First 5 Innings'!$G$29, FALSE)</f>
        <v>2.1992758028007364E-4</v>
      </c>
      <c r="G13" s="1">
        <f>_xlfn.POISSON.DIST($D13,'First 5 Innings'!$G$30, FALSE) * _xlfn.POISSON.DIST(G$4, 'First 5 Innings'!$G$29, FALSE)</f>
        <v>2.5208062950236057E-4</v>
      </c>
      <c r="H13" s="1">
        <f>_xlfn.POISSON.DIST($D13,'First 5 Innings'!$G$30, FALSE) * _xlfn.POISSON.DIST(H$4, 'First 5 Innings'!$G$29, FALSE)</f>
        <v>1.9262293429920109E-4</v>
      </c>
      <c r="I13" s="1">
        <f>_xlfn.POISSON.DIST($D13,'First 5 Innings'!$G$30, FALSE) * _xlfn.POISSON.DIST(I$4, 'First 5 Innings'!$G$29, FALSE)</f>
        <v>1.1039204467420288E-4</v>
      </c>
      <c r="J13" s="1">
        <f>_xlfn.POISSON.DIST($D13,'First 5 Innings'!$G$30, FALSE) * _xlfn.POISSON.DIST(J$4, 'First 5 Innings'!$G$29, FALSE)</f>
        <v>5.0612471756544056E-5</v>
      </c>
      <c r="K13" s="1">
        <f>_xlfn.POISSON.DIST($D13,'First 5 Innings'!$G$30, FALSE) * _xlfn.POISSON.DIST(K$4, 'First 5 Innings'!$G$29, FALSE)</f>
        <v>1.9337310528633204E-5</v>
      </c>
      <c r="L13" s="1">
        <f>_xlfn.POISSON.DIST($D13,'First 5 Innings'!$G$30, FALSE) * _xlfn.POISSON.DIST(L$4, 'First 5 Innings'!$G$29, FALSE)</f>
        <v>6.3326838313032961E-6</v>
      </c>
      <c r="M13" s="1">
        <f>_xlfn.POISSON.DIST($D13,'First 5 Innings'!$G$30, FALSE) * _xlfn.POISSON.DIST(M$4, 'First 5 Innings'!$G$29, FALSE)</f>
        <v>1.8146279386621675E-6</v>
      </c>
      <c r="N13" s="1">
        <f>_xlfn.POISSON.DIST($D13,'First 5 Innings'!$G$30, FALSE) * _xlfn.POISSON.DIST(N$4, 'First 5 Innings'!$G$29, FALSE)</f>
        <v>4.6220523290035152E-7</v>
      </c>
      <c r="O13" s="1">
        <f>_xlfn.POISSON.DIST($D13,'First 5 Innings'!$G$30, FALSE) * _xlfn.POISSON.DIST(O$4, 'First 5 Innings'!$G$29, FALSE)</f>
        <v>1.0595577500596212E-7</v>
      </c>
      <c r="P13" s="1">
        <f>_xlfn.POISSON.DIST($D13,'First 5 Innings'!$G$30, FALSE) * _xlfn.POISSON.DIST(P$4, 'First 5 Innings'!$G$29, FALSE)</f>
        <v>2.2081151712758855E-8</v>
      </c>
      <c r="Q13" s="1">
        <f>_xlfn.POISSON.DIST($D13,'First 5 Innings'!$G$30, FALSE) * _xlfn.POISSON.DIST(Q$4, 'First 5 Innings'!$G$29, FALSE)</f>
        <v>4.2182299409657879E-9</v>
      </c>
      <c r="R13" s="1">
        <f>_xlfn.POISSON.DIST($D13,'First 5 Innings'!$G$30, FALSE) * _xlfn.POISSON.DIST(R$4, 'First 5 Innings'!$G$29, FALSE)</f>
        <v>7.4383510702808091E-10</v>
      </c>
      <c r="S13" s="1">
        <f>_xlfn.POISSON.DIST($D13,'First 5 Innings'!$G$30, FALSE) * _xlfn.POISSON.DIST(S$4, 'First 5 Innings'!$G$29, FALSE)</f>
        <v>1.217975102705615E-10</v>
      </c>
      <c r="T13" s="1">
        <f>_xlfn.POISSON.DIST($D13,'First 5 Innings'!$G$30, FALSE) * _xlfn.POISSON.DIST(T$4, 'First 5 Innings'!$G$29, FALSE)</f>
        <v>1.8613880697590803E-11</v>
      </c>
    </row>
    <row r="14" spans="2:20">
      <c r="B14" s="377"/>
      <c r="C14" s="377"/>
      <c r="D14" s="1">
        <v>9</v>
      </c>
      <c r="E14" s="1">
        <f>_xlfn.POISSON.DIST($D14,'First 5 Innings'!$G$30, FALSE) * _xlfn.POISSON.DIST(E$4, 'First 5 Innings'!$G$29, FALSE)</f>
        <v>2.1678880857888585E-5</v>
      </c>
      <c r="F14" s="1">
        <f>_xlfn.POISSON.DIST($D14,'First 5 Innings'!$G$30, FALSE) * _xlfn.POISSON.DIST(F$4, 'First 5 Innings'!$G$29, FALSE)</f>
        <v>4.9696594911869394E-5</v>
      </c>
      <c r="G14" s="1">
        <f>_xlfn.POISSON.DIST($D14,'First 5 Innings'!$G$30, FALSE) * _xlfn.POISSON.DIST(G$4, 'First 5 Innings'!$G$29, FALSE)</f>
        <v>5.6962155058288943E-5</v>
      </c>
      <c r="H14" s="1">
        <f>_xlfn.POISSON.DIST($D14,'First 5 Innings'!$G$30, FALSE) * _xlfn.POISSON.DIST(H$4, 'First 5 Innings'!$G$29, FALSE)</f>
        <v>4.3526618737005936E-5</v>
      </c>
      <c r="I14" s="1">
        <f>_xlfn.POISSON.DIST($D14,'First 5 Innings'!$G$30, FALSE) * _xlfn.POISSON.DIST(I$4, 'First 5 Innings'!$G$29, FALSE)</f>
        <v>2.4945069275442366E-5</v>
      </c>
      <c r="J14" s="1">
        <f>_xlfn.POISSON.DIST($D14,'First 5 Innings'!$G$30, FALSE) * _xlfn.POISSON.DIST(J$4, 'First 5 Innings'!$G$29, FALSE)</f>
        <v>1.1436798891572648E-5</v>
      </c>
      <c r="K14" s="1">
        <f>_xlfn.POISSON.DIST($D14,'First 5 Innings'!$G$30, FALSE) * _xlfn.POISSON.DIST(K$4, 'First 5 Innings'!$G$29, FALSE)</f>
        <v>4.3696133372753781E-6</v>
      </c>
      <c r="L14" s="1">
        <f>_xlfn.POISSON.DIST($D14,'First 5 Innings'!$G$30, FALSE) * _xlfn.POISSON.DIST(L$4, 'First 5 Innings'!$G$29, FALSE)</f>
        <v>1.4309838841878953E-6</v>
      </c>
      <c r="M14" s="1">
        <f>_xlfn.POISSON.DIST($D14,'First 5 Innings'!$G$30, FALSE) * _xlfn.POISSON.DIST(M$4, 'First 5 Innings'!$G$29, FALSE)</f>
        <v>4.100478415149693E-7</v>
      </c>
      <c r="N14" s="1">
        <f>_xlfn.POISSON.DIST($D14,'First 5 Innings'!$G$30, FALSE) * _xlfn.POISSON.DIST(N$4, 'First 5 Innings'!$G$29, FALSE)</f>
        <v>1.0444359091453251E-7</v>
      </c>
      <c r="O14" s="1">
        <f>_xlfn.POISSON.DIST($D14,'First 5 Innings'!$G$30, FALSE) * _xlfn.POISSON.DIST(O$4, 'First 5 Innings'!$G$29, FALSE)</f>
        <v>2.3942614302120636E-8</v>
      </c>
      <c r="P14" s="1">
        <f>_xlfn.POISSON.DIST($D14,'First 5 Innings'!$G$30, FALSE) * _xlfn.POISSON.DIST(P$4, 'First 5 Innings'!$G$29, FALSE)</f>
        <v>4.9896336351222668E-9</v>
      </c>
      <c r="Q14" s="1">
        <f>_xlfn.POISSON.DIST($D14,'First 5 Innings'!$G$30, FALSE) * _xlfn.POISSON.DIST(Q$4, 'First 5 Innings'!$G$29, FALSE)</f>
        <v>9.5318497277300784E-10</v>
      </c>
      <c r="R14" s="1">
        <f>_xlfn.POISSON.DIST($D14,'First 5 Innings'!$G$30, FALSE) * _xlfn.POISSON.DIST(R$4, 'First 5 Innings'!$G$29, FALSE)</f>
        <v>1.6808292960858274E-10</v>
      </c>
      <c r="S14" s="1">
        <f>_xlfn.POISSON.DIST($D14,'First 5 Innings'!$G$30, FALSE) * _xlfn.POISSON.DIST(S$4, 'First 5 Innings'!$G$29, FALSE)</f>
        <v>2.752233949685649E-11</v>
      </c>
      <c r="T14" s="1">
        <f>_xlfn.POISSON.DIST($D14,'First 5 Innings'!$G$30, FALSE) * _xlfn.POISSON.DIST(T$4, 'First 5 Innings'!$G$29, FALSE)</f>
        <v>4.2061413470198044E-12</v>
      </c>
    </row>
    <row r="15" spans="2:20">
      <c r="B15" s="377"/>
      <c r="C15" s="377"/>
      <c r="D15" s="1">
        <v>10</v>
      </c>
      <c r="E15" s="1">
        <f>_xlfn.POISSON.DIST($D15,'First 5 Innings'!$G$30, FALSE) * _xlfn.POISSON.DIST(E$4, 'First 5 Innings'!$G$29, FALSE)</f>
        <v>4.4088599660335934E-6</v>
      </c>
      <c r="F15" s="1">
        <f>_xlfn.POISSON.DIST($D15,'First 5 Innings'!$G$30, FALSE) * _xlfn.POISSON.DIST(F$4, 'First 5 Innings'!$G$29, FALSE)</f>
        <v>1.0106856031518848E-5</v>
      </c>
      <c r="G15" s="1">
        <f>_xlfn.POISSON.DIST($D15,'First 5 Innings'!$G$30, FALSE) * _xlfn.POISSON.DIST(G$4, 'First 5 Innings'!$G$29, FALSE)</f>
        <v>1.1584461700849427E-5</v>
      </c>
      <c r="H15" s="1">
        <f>_xlfn.POISSON.DIST($D15,'First 5 Innings'!$G$30, FALSE) * _xlfn.POISSON.DIST(H$4, 'First 5 Innings'!$G$29, FALSE)</f>
        <v>8.8520605867236409E-6</v>
      </c>
      <c r="I15" s="1">
        <f>_xlfn.POISSON.DIST($D15,'First 5 Innings'!$G$30, FALSE) * _xlfn.POISSON.DIST(I$4, 'First 5 Innings'!$G$29, FALSE)</f>
        <v>5.0731086166015261E-6</v>
      </c>
      <c r="J15" s="1">
        <f>_xlfn.POISSON.DIST($D15,'First 5 Innings'!$G$30, FALSE) * _xlfn.POISSON.DIST(J$4, 'First 5 Innings'!$G$29, FALSE)</f>
        <v>2.3259154890499726E-6</v>
      </c>
      <c r="K15" s="1">
        <f>_xlfn.POISSON.DIST($D15,'First 5 Innings'!$G$30, FALSE) * _xlfn.POISSON.DIST(K$4, 'First 5 Innings'!$G$29, FALSE)</f>
        <v>8.8865349812325032E-7</v>
      </c>
      <c r="L15" s="1">
        <f>_xlfn.POISSON.DIST($D15,'First 5 Innings'!$G$30, FALSE) * _xlfn.POISSON.DIST(L$4, 'First 5 Innings'!$G$29, FALSE)</f>
        <v>2.9102090649386634E-7</v>
      </c>
      <c r="M15" s="1">
        <f>_xlfn.POISSON.DIST($D15,'First 5 Innings'!$G$30, FALSE) * _xlfn.POISSON.DIST(M$4, 'First 5 Innings'!$G$29, FALSE)</f>
        <v>8.3391920665313831E-8</v>
      </c>
      <c r="N15" s="1">
        <f>_xlfn.POISSON.DIST($D15,'First 5 Innings'!$G$30, FALSE) * _xlfn.POISSON.DIST(N$4, 'First 5 Innings'!$G$29, FALSE)</f>
        <v>2.1240818182010181E-8</v>
      </c>
      <c r="O15" s="1">
        <f>_xlfn.POISSON.DIST($D15,'First 5 Innings'!$G$30, FALSE) * _xlfn.POISSON.DIST(O$4, 'First 5 Innings'!$G$29, FALSE)</f>
        <v>4.8692381479826995E-9</v>
      </c>
      <c r="P15" s="1">
        <f>_xlfn.POISSON.DIST($D15,'First 5 Innings'!$G$30, FALSE) * _xlfn.POISSON.DIST(P$4, 'First 5 Innings'!$G$29, FALSE)</f>
        <v>1.0147477687281217E-9</v>
      </c>
      <c r="Q15" s="1">
        <f>_xlfn.POISSON.DIST($D15,'First 5 Innings'!$G$30, FALSE) * _xlfn.POISSON.DIST(Q$4, 'First 5 Innings'!$G$29, FALSE)</f>
        <v>1.9385036959389578E-10</v>
      </c>
      <c r="R15" s="1">
        <f>_xlfn.POISSON.DIST($D15,'First 5 Innings'!$G$30, FALSE) * _xlfn.POISSON.DIST(R$4, 'First 5 Innings'!$G$29, FALSE)</f>
        <v>3.4183226716487335E-11</v>
      </c>
      <c r="S15" s="1">
        <f>_xlfn.POISSON.DIST($D15,'First 5 Innings'!$G$30, FALSE) * _xlfn.POISSON.DIST(S$4, 'First 5 Innings'!$G$29, FALSE)</f>
        <v>5.5972511484660582E-12</v>
      </c>
      <c r="T15" s="1">
        <f>_xlfn.POISSON.DIST($D15,'First 5 Innings'!$G$30, FALSE) * _xlfn.POISSON.DIST(T$4, 'First 5 Innings'!$G$29, FALSE)</f>
        <v>8.5540800366575503E-13</v>
      </c>
    </row>
    <row r="16" spans="2:20">
      <c r="B16" s="377"/>
      <c r="C16" s="377"/>
      <c r="D16" s="1">
        <v>11</v>
      </c>
      <c r="E16" s="1">
        <f>_xlfn.POISSON.DIST($D16,'First 5 Innings'!$G$30, FALSE) * _xlfn.POISSON.DIST(E$4, 'First 5 Innings'!$G$29, FALSE)</f>
        <v>8.1512284729237069E-7</v>
      </c>
      <c r="F16" s="1">
        <f>_xlfn.POISSON.DIST($D16,'First 5 Innings'!$G$30, FALSE) * _xlfn.POISSON.DIST(F$4, 'First 5 Innings'!$G$29, FALSE)</f>
        <v>1.8685849242332097E-6</v>
      </c>
      <c r="G16" s="1">
        <f>_xlfn.POISSON.DIST($D16,'First 5 Innings'!$G$30, FALSE) * _xlfn.POISSON.DIST(G$4, 'First 5 Innings'!$G$29, FALSE)</f>
        <v>2.1417689558511721E-6</v>
      </c>
      <c r="H16" s="1">
        <f>_xlfn.POISSON.DIST($D16,'First 5 Innings'!$G$30, FALSE) * _xlfn.POISSON.DIST(H$4, 'First 5 Innings'!$G$29, FALSE)</f>
        <v>1.6365946946475935E-6</v>
      </c>
      <c r="I16" s="1">
        <f>_xlfn.POISSON.DIST($D16,'First 5 Innings'!$G$30, FALSE) * _xlfn.POISSON.DIST(I$4, 'First 5 Innings'!$G$29, FALSE)</f>
        <v>9.3793106881276421E-7</v>
      </c>
      <c r="J16" s="1">
        <f>_xlfn.POISSON.DIST($D16,'First 5 Innings'!$G$30, FALSE) * _xlfn.POISSON.DIST(J$4, 'First 5 Innings'!$G$29, FALSE)</f>
        <v>4.300220171659212E-7</v>
      </c>
      <c r="K16" s="1">
        <f>_xlfn.POISSON.DIST($D16,'First 5 Innings'!$G$30, FALSE) * _xlfn.POISSON.DIST(K$4, 'First 5 Innings'!$G$29, FALSE)</f>
        <v>1.6429684209231469E-7</v>
      </c>
      <c r="L16" s="1">
        <f>_xlfn.POISSON.DIST($D16,'First 5 Innings'!$G$30, FALSE) * _xlfn.POISSON.DIST(L$4, 'First 5 Innings'!$G$29, FALSE)</f>
        <v>5.3804791204629436E-8</v>
      </c>
      <c r="M16" s="1">
        <f>_xlfn.POISSON.DIST($D16,'First 5 Innings'!$G$30, FALSE) * _xlfn.POISSON.DIST(M$4, 'First 5 Innings'!$G$29, FALSE)</f>
        <v>1.5417740717005157E-8</v>
      </c>
      <c r="N16" s="1">
        <f>_xlfn.POISSON.DIST($D16,'First 5 Innings'!$G$30, FALSE) * _xlfn.POISSON.DIST(N$4, 'First 5 Innings'!$G$29, FALSE)</f>
        <v>3.9270642135898975E-9</v>
      </c>
      <c r="O16" s="1">
        <f>_xlfn.POISSON.DIST($D16,'First 5 Innings'!$G$30, FALSE) * _xlfn.POISSON.DIST(O$4, 'First 5 Innings'!$G$29, FALSE)</f>
        <v>9.0023890391306789E-10</v>
      </c>
      <c r="P16" s="1">
        <f>_xlfn.POISSON.DIST($D16,'First 5 Innings'!$G$30, FALSE) * _xlfn.POISSON.DIST(P$4, 'First 5 Innings'!$G$29, FALSE)</f>
        <v>1.8760951740397013E-10</v>
      </c>
      <c r="Q16" s="1">
        <f>_xlfn.POISSON.DIST($D16,'First 5 Innings'!$G$30, FALSE) * _xlfn.POISSON.DIST(Q$4, 'First 5 Innings'!$G$29, FALSE)</f>
        <v>3.5839619863048006E-11</v>
      </c>
      <c r="R16" s="1">
        <f>_xlfn.POISSON.DIST($D16,'First 5 Innings'!$G$30, FALSE) * _xlfn.POISSON.DIST(R$4, 'First 5 Innings'!$G$29, FALSE)</f>
        <v>6.3198943276601871E-12</v>
      </c>
      <c r="S16" s="1">
        <f>_xlfn.POISSON.DIST($D16,'First 5 Innings'!$G$30, FALSE) * _xlfn.POISSON.DIST(S$4, 'First 5 Innings'!$G$29, FALSE)</f>
        <v>1.0348360638119169E-12</v>
      </c>
      <c r="T16" s="1">
        <f>_xlfn.POISSON.DIST($D16,'First 5 Innings'!$G$30, FALSE) * _xlfn.POISSON.DIST(T$4, 'First 5 Innings'!$G$29, FALSE)</f>
        <v>1.5815031843073062E-13</v>
      </c>
    </row>
    <row r="17" spans="2:20">
      <c r="B17" s="377"/>
      <c r="C17" s="377"/>
      <c r="D17" s="1">
        <v>12</v>
      </c>
      <c r="E17" s="1">
        <f>_xlfn.POISSON.DIST($D17,'First 5 Innings'!$G$30, FALSE) * _xlfn.POISSON.DIST(E$4, 'First 5 Innings'!$G$29, FALSE)</f>
        <v>1.3814375814203773E-7</v>
      </c>
      <c r="F17" s="1">
        <f>_xlfn.POISSON.DIST($D17,'First 5 Innings'!$G$30, FALSE) * _xlfn.POISSON.DIST(F$4, 'First 5 Innings'!$G$29, FALSE)</f>
        <v>3.1668029512187429E-7</v>
      </c>
      <c r="G17" s="1">
        <f>_xlfn.POISSON.DIST($D17,'First 5 Innings'!$G$30, FALSE) * _xlfn.POISSON.DIST(G$4, 'First 5 Innings'!$G$29, FALSE)</f>
        <v>3.6297843155303529E-7</v>
      </c>
      <c r="H17" s="1">
        <f>_xlfn.POISSON.DIST($D17,'First 5 Innings'!$G$30, FALSE) * _xlfn.POISSON.DIST(H$4, 'First 5 Innings'!$G$29, FALSE)</f>
        <v>2.7736351940684379E-7</v>
      </c>
      <c r="I17" s="1">
        <f>_xlfn.POISSON.DIST($D17,'First 5 Innings'!$G$30, FALSE) * _xlfn.POISSON.DIST(I$4, 'First 5 Innings'!$G$29, FALSE)</f>
        <v>1.5895680406256497E-7</v>
      </c>
      <c r="J17" s="1">
        <f>_xlfn.POISSON.DIST($D17,'First 5 Innings'!$G$30, FALSE) * _xlfn.POISSON.DIST(J$4, 'First 5 Innings'!$G$29, FALSE)</f>
        <v>7.2878410576329599E-8</v>
      </c>
      <c r="K17" s="1">
        <f>_xlfn.POISSON.DIST($D17,'First 5 Innings'!$G$30, FALSE) * _xlfn.POISSON.DIST(K$4, 'First 5 Innings'!$G$29, FALSE)</f>
        <v>2.7844371302918964E-8</v>
      </c>
      <c r="L17" s="1">
        <f>_xlfn.POISSON.DIST($D17,'First 5 Innings'!$G$30, FALSE) * _xlfn.POISSON.DIST(L$4, 'First 5 Innings'!$G$29, FALSE)</f>
        <v>9.1186206934881186E-9</v>
      </c>
      <c r="M17" s="1">
        <f>_xlfn.POISSON.DIST($D17,'First 5 Innings'!$G$30, FALSE) * _xlfn.POISSON.DIST(M$4, 'First 5 Innings'!$G$29, FALSE)</f>
        <v>2.6129369968974277E-9</v>
      </c>
      <c r="N17" s="1">
        <f>_xlfn.POISSON.DIST($D17,'First 5 Innings'!$G$30, FALSE) * _xlfn.POISSON.DIST(N$4, 'First 5 Innings'!$G$29, FALSE)</f>
        <v>6.6554312731198545E-10</v>
      </c>
      <c r="O17" s="1">
        <f>_xlfn.POISSON.DIST($D17,'First 5 Innings'!$G$30, FALSE) * _xlfn.POISSON.DIST(O$4, 'First 5 Innings'!$G$29, FALSE)</f>
        <v>1.5256888679457335E-10</v>
      </c>
      <c r="P17" s="1">
        <f>_xlfn.POISSON.DIST($D17,'First 5 Innings'!$G$30, FALSE) * _xlfn.POISSON.DIST(P$4, 'First 5 Innings'!$G$29, FALSE)</f>
        <v>3.1795310220402213E-11</v>
      </c>
      <c r="Q17" s="1">
        <f>_xlfn.POISSON.DIST($D17,'First 5 Innings'!$G$30, FALSE) * _xlfn.POISSON.DIST(Q$4, 'First 5 Innings'!$G$29, FALSE)</f>
        <v>6.0739553488280873E-12</v>
      </c>
      <c r="R17" s="1">
        <f>_xlfn.POISSON.DIST($D17,'First 5 Innings'!$G$30, FALSE) * _xlfn.POISSON.DIST(R$4, 'First 5 Innings'!$G$29, FALSE)</f>
        <v>1.0710703992454469E-12</v>
      </c>
      <c r="S17" s="1">
        <f>_xlfn.POISSON.DIST($D17,'First 5 Innings'!$G$30, FALSE) * _xlfn.POISSON.DIST(S$4, 'First 5 Innings'!$G$29, FALSE)</f>
        <v>1.7537987481366208E-13</v>
      </c>
      <c r="T17" s="1">
        <f>_xlfn.POISSON.DIST($D17,'First 5 Innings'!$G$30, FALSE) * _xlfn.POISSON.DIST(T$4, 'First 5 Innings'!$G$29, FALSE)</f>
        <v>2.6802683070352928E-14</v>
      </c>
    </row>
    <row r="18" spans="2:20">
      <c r="B18" s="377"/>
      <c r="C18" s="377"/>
      <c r="D18" s="1">
        <v>13</v>
      </c>
      <c r="E18" s="1">
        <f>_xlfn.POISSON.DIST($D18,'First 5 Innings'!$G$30, FALSE) * _xlfn.POISSON.DIST(E$4, 'First 5 Innings'!$G$29, FALSE)</f>
        <v>2.1611124273519661E-8</v>
      </c>
      <c r="F18" s="1">
        <f>_xlfn.POISSON.DIST($D18,'First 5 Innings'!$G$30, FALSE) * _xlfn.POISSON.DIST(F$4, 'First 5 Innings'!$G$29, FALSE)</f>
        <v>4.9541269941541465E-8</v>
      </c>
      <c r="G18" s="1">
        <f>_xlfn.POISSON.DIST($D18,'First 5 Innings'!$G$30, FALSE) * _xlfn.POISSON.DIST(G$4, 'First 5 Innings'!$G$29, FALSE)</f>
        <v>5.6784121833680018E-8</v>
      </c>
      <c r="H18" s="1">
        <f>_xlfn.POISSON.DIST($D18,'First 5 Innings'!$G$30, FALSE) * _xlfn.POISSON.DIST(H$4, 'First 5 Innings'!$G$29, FALSE)</f>
        <v>4.3390577811550375E-8</v>
      </c>
      <c r="I18" s="1">
        <f>_xlfn.POISSON.DIST($D18,'First 5 Innings'!$G$30, FALSE) * _xlfn.POISSON.DIST(I$4, 'First 5 Innings'!$G$29, FALSE)</f>
        <v>2.486710433333904E-8</v>
      </c>
      <c r="J18" s="1">
        <f>_xlfn.POISSON.DIST($D18,'First 5 Innings'!$G$30, FALSE) * _xlfn.POISSON.DIST(J$4, 'First 5 Innings'!$G$29, FALSE)</f>
        <v>1.1401053576392999E-8</v>
      </c>
      <c r="K18" s="1">
        <f>_xlfn.POISSON.DIST($D18,'First 5 Innings'!$G$30, FALSE) * _xlfn.POISSON.DIST(K$4, 'First 5 Innings'!$G$29, FALSE)</f>
        <v>4.3559562635229318E-9</v>
      </c>
      <c r="L18" s="1">
        <f>_xlfn.POISSON.DIST($D18,'First 5 Innings'!$G$30, FALSE) * _xlfn.POISSON.DIST(L$4, 'First 5 Innings'!$G$29, FALSE)</f>
        <v>1.4265113940757377E-9</v>
      </c>
      <c r="M18" s="1">
        <f>_xlfn.POISSON.DIST($D18,'First 5 Innings'!$G$30, FALSE) * _xlfn.POISSON.DIST(M$4, 'First 5 Innings'!$G$29, FALSE)</f>
        <v>4.0876625131891474E-10</v>
      </c>
      <c r="N18" s="1">
        <f>_xlfn.POISSON.DIST($D18,'First 5 Innings'!$G$30, FALSE) * _xlfn.POISSON.DIST(N$4, 'First 5 Innings'!$G$29, FALSE)</f>
        <v>1.0411715612179648E-10</v>
      </c>
      <c r="O18" s="1">
        <f>_xlfn.POISSON.DIST($D18,'First 5 Innings'!$G$30, FALSE) * _xlfn.POISSON.DIST(O$4, 'First 5 Innings'!$G$29, FALSE)</f>
        <v>2.3867782497997134E-11</v>
      </c>
      <c r="P18" s="1">
        <f>_xlfn.POISSON.DIST($D18,'First 5 Innings'!$G$30, FALSE) * _xlfn.POISSON.DIST(P$4, 'First 5 Innings'!$G$29, FALSE)</f>
        <v>4.9740387096007689E-12</v>
      </c>
      <c r="Q18" s="1">
        <f>_xlfn.POISSON.DIST($D18,'First 5 Innings'!$G$30, FALSE) * _xlfn.POISSON.DIST(Q$4, 'First 5 Innings'!$G$29, FALSE)</f>
        <v>9.502058264577411E-13</v>
      </c>
      <c r="R18" s="1">
        <f>_xlfn.POISSON.DIST($D18,'First 5 Innings'!$G$30, FALSE) * _xlfn.POISSON.DIST(R$4, 'First 5 Innings'!$G$29, FALSE)</f>
        <v>1.6755759228717506E-13</v>
      </c>
      <c r="S18" s="1">
        <f>_xlfn.POISSON.DIST($D18,'First 5 Innings'!$G$30, FALSE) * _xlfn.POISSON.DIST(S$4, 'First 5 Innings'!$G$29, FALSE)</f>
        <v>2.7436319386760709E-14</v>
      </c>
      <c r="T18" s="1">
        <f>_xlfn.POISSON.DIST($D18,'First 5 Innings'!$G$30, FALSE) * _xlfn.POISSON.DIST(T$4, 'First 5 Innings'!$G$29, FALSE)</f>
        <v>4.192995199258986E-15</v>
      </c>
    </row>
    <row r="19" spans="2:20">
      <c r="B19" s="377"/>
      <c r="C19" s="377"/>
      <c r="D19" s="1">
        <v>14</v>
      </c>
      <c r="E19" s="1">
        <f>_xlfn.POISSON.DIST($D19,'First 5 Innings'!$G$30, FALSE) * _xlfn.POISSON.DIST(E$4, 'First 5 Innings'!$G$29, FALSE)</f>
        <v>3.1393430202248242E-9</v>
      </c>
      <c r="F19" s="1">
        <f>_xlfn.POISSON.DIST($D19,'First 5 Innings'!$G$30, FALSE) * _xlfn.POISSON.DIST(F$4, 'First 5 Innings'!$G$29, FALSE)</f>
        <v>7.1966195759015183E-9</v>
      </c>
      <c r="G19" s="1">
        <f>_xlfn.POISSON.DIST($D19,'First 5 Innings'!$G$30, FALSE) * _xlfn.POISSON.DIST(G$4, 'First 5 Innings'!$G$29, FALSE)</f>
        <v>8.2487534790861948E-9</v>
      </c>
      <c r="H19" s="1">
        <f>_xlfn.POISSON.DIST($D19,'First 5 Innings'!$G$30, FALSE) * _xlfn.POISSON.DIST(H$4, 'First 5 Innings'!$G$29, FALSE)</f>
        <v>6.3031384148358281E-9</v>
      </c>
      <c r="I19" s="1">
        <f>_xlfn.POISSON.DIST($D19,'First 5 Innings'!$G$30, FALSE) * _xlfn.POISSON.DIST(I$4, 'First 5 Innings'!$G$29, FALSE)</f>
        <v>3.6123234235308131E-9</v>
      </c>
      <c r="J19" s="1">
        <f>_xlfn.POISSON.DIST($D19,'First 5 Innings'!$G$30, FALSE) * _xlfn.POISSON.DIST(J$4, 'First 5 Innings'!$G$29, FALSE)</f>
        <v>1.6561756582055626E-9</v>
      </c>
      <c r="K19" s="1">
        <f>_xlfn.POISSON.DIST($D19,'First 5 Innings'!$G$30, FALSE) * _xlfn.POISSON.DIST(K$4, 'First 5 Innings'!$G$29, FALSE)</f>
        <v>6.3276860191171308E-10</v>
      </c>
      <c r="L19" s="1">
        <f>_xlfn.POISSON.DIST($D19,'First 5 Innings'!$G$30, FALSE) * _xlfn.POISSON.DIST(L$4, 'First 5 Innings'!$G$29, FALSE)</f>
        <v>2.0722237915915231E-10</v>
      </c>
      <c r="M19" s="1">
        <f>_xlfn.POISSON.DIST($D19,'First 5 Innings'!$G$30, FALSE) * _xlfn.POISSON.DIST(M$4, 'First 5 Innings'!$G$29, FALSE)</f>
        <v>5.9379487237223018E-11</v>
      </c>
      <c r="N19" s="1">
        <f>_xlfn.POISSON.DIST($D19,'First 5 Innings'!$G$30, FALSE) * _xlfn.POISSON.DIST(N$4, 'First 5 Innings'!$G$29, FALSE)</f>
        <v>1.5124593390873442E-11</v>
      </c>
      <c r="O19" s="1">
        <f>_xlfn.POISSON.DIST($D19,'First 5 Innings'!$G$30, FALSE) * _xlfn.POISSON.DIST(O$4, 'First 5 Innings'!$G$29, FALSE)</f>
        <v>3.4671567959628559E-12</v>
      </c>
      <c r="P19" s="1">
        <f>_xlfn.POISSON.DIST($D19,'First 5 Innings'!$G$30, FALSE) * _xlfn.POISSON.DIST(P$4, 'First 5 Innings'!$G$29, FALSE)</f>
        <v>7.2255443574709131E-13</v>
      </c>
      <c r="Q19" s="1">
        <f>_xlfn.POISSON.DIST($D19,'First 5 Innings'!$G$30, FALSE) * _xlfn.POISSON.DIST(Q$4, 'First 5 Innings'!$G$29, FALSE)</f>
        <v>1.3803178359962507E-13</v>
      </c>
      <c r="R19" s="1">
        <f>_xlfn.POISSON.DIST($D19,'First 5 Innings'!$G$30, FALSE) * _xlfn.POISSON.DIST(R$4, 'First 5 Innings'!$G$29, FALSE)</f>
        <v>2.434027731157692E-14</v>
      </c>
      <c r="S19" s="1">
        <f>_xlfn.POISSON.DIST($D19,'First 5 Innings'!$G$30, FALSE) * _xlfn.POISSON.DIST(S$4, 'First 5 Innings'!$G$29, FALSE)</f>
        <v>3.9855408111749526E-15</v>
      </c>
      <c r="T19" s="1">
        <f>_xlfn.POISSON.DIST($D19,'First 5 Innings'!$G$30, FALSE) * _xlfn.POISSON.DIST(T$4, 'First 5 Innings'!$G$29, FALSE)</f>
        <v>6.0909603989270308E-16</v>
      </c>
    </row>
    <row r="20" spans="2:20">
      <c r="B20" s="377"/>
      <c r="C20" s="377"/>
      <c r="D20" s="1">
        <v>15</v>
      </c>
      <c r="E20" s="1">
        <f>_xlfn.POISSON.DIST($D20,'First 5 Innings'!$G$30, FALSE) * _xlfn.POISSON.DIST(E$4, 'First 5 Innings'!$G$29, FALSE)</f>
        <v>4.2563463345571198E-10</v>
      </c>
      <c r="F20" s="1">
        <f>_xlfn.POISSON.DIST($D20,'First 5 Innings'!$G$30, FALSE) * _xlfn.POISSON.DIST(F$4, 'First 5 Innings'!$G$29, FALSE)</f>
        <v>9.757234286203225E-10</v>
      </c>
      <c r="G20" s="1">
        <f>_xlfn.POISSON.DIST($D20,'First 5 Innings'!$G$30, FALSE) * _xlfn.POISSON.DIST(G$4, 'First 5 Innings'!$G$29, FALSE)</f>
        <v>1.1183725833457804E-9</v>
      </c>
      <c r="H20" s="1">
        <f>_xlfn.POISSON.DIST($D20,'First 5 Innings'!$G$30, FALSE) * _xlfn.POISSON.DIST(H$4, 'First 5 Innings'!$G$29, FALSE)</f>
        <v>8.5458453935598718E-10</v>
      </c>
      <c r="I20" s="1">
        <f>_xlfn.POISSON.DIST($D20,'First 5 Innings'!$G$30, FALSE) * _xlfn.POISSON.DIST(I$4, 'First 5 Innings'!$G$29, FALSE)</f>
        <v>4.8976169421202969E-10</v>
      </c>
      <c r="J20" s="1">
        <f>_xlfn.POISSON.DIST($D20,'First 5 Innings'!$G$30, FALSE) * _xlfn.POISSON.DIST(J$4, 'First 5 Innings'!$G$29, FALSE)</f>
        <v>2.2454561820011431E-10</v>
      </c>
      <c r="K20" s="1">
        <f>_xlfn.POISSON.DIST($D20,'First 5 Innings'!$G$30, FALSE) * _xlfn.POISSON.DIST(K$4, 'First 5 Innings'!$G$29, FALSE)</f>
        <v>8.5791272314577258E-11</v>
      </c>
      <c r="L20" s="1">
        <f>_xlfn.POISSON.DIST($D20,'First 5 Innings'!$G$30, FALSE) * _xlfn.POISSON.DIST(L$4, 'First 5 Innings'!$G$29, FALSE)</f>
        <v>2.8095375634010786E-11</v>
      </c>
      <c r="M20" s="1">
        <f>_xlfn.POISSON.DIST($D20,'First 5 Innings'!$G$30, FALSE) * _xlfn.POISSON.DIST(M$4, 'First 5 Innings'!$G$29, FALSE)</f>
        <v>8.0507182942988984E-12</v>
      </c>
      <c r="N20" s="1">
        <f>_xlfn.POISSON.DIST($D20,'First 5 Innings'!$G$30, FALSE) * _xlfn.POISSON.DIST(N$4, 'First 5 Innings'!$G$29, FALSE)</f>
        <v>2.0506044489620878E-12</v>
      </c>
      <c r="O20" s="1">
        <f>_xlfn.POISSON.DIST($D20,'First 5 Innings'!$G$30, FALSE) * _xlfn.POISSON.DIST(O$4, 'First 5 Innings'!$G$29, FALSE)</f>
        <v>4.7007988693043343E-13</v>
      </c>
      <c r="P20" s="1">
        <f>_xlfn.POISSON.DIST($D20,'First 5 Innings'!$G$30, FALSE) * _xlfn.POISSON.DIST(P$4, 'First 5 Innings'!$G$29, FALSE)</f>
        <v>9.7964507360201496E-14</v>
      </c>
      <c r="Q20" s="1">
        <f>_xlfn.POISSON.DIST($D20,'First 5 Innings'!$G$30, FALSE) * _xlfn.POISSON.DIST(Q$4, 'First 5 Innings'!$G$29, FALSE)</f>
        <v>1.871445943917817E-14</v>
      </c>
      <c r="R20" s="1">
        <f>_xlfn.POISSON.DIST($D20,'First 5 Innings'!$G$30, FALSE) * _xlfn.POISSON.DIST(R$4, 'First 5 Innings'!$G$29, FALSE)</f>
        <v>3.3000742336788312E-15</v>
      </c>
      <c r="S20" s="1">
        <f>_xlfn.POISSON.DIST($D20,'First 5 Innings'!$G$30, FALSE) * _xlfn.POISSON.DIST(S$4, 'First 5 Innings'!$G$29, FALSE)</f>
        <v>5.403628056438845E-16</v>
      </c>
      <c r="T20" s="1">
        <f>_xlfn.POISSON.DIST($D20,'First 5 Innings'!$G$30, FALSE) * _xlfn.POISSON.DIST(T$4, 'First 5 Innings'!$G$29, FALSE)</f>
        <v>8.2581727453437054E-17</v>
      </c>
    </row>
    <row r="24" spans="2:20">
      <c r="D24" s="1" t="s">
        <v>738</v>
      </c>
      <c r="E24" s="1" t="e">
        <f>E3</f>
        <v>#REF!</v>
      </c>
      <c r="F24" s="1">
        <f>1-F25</f>
        <v>0.54801123882494451</v>
      </c>
      <c r="H24" s="1" t="s">
        <v>345</v>
      </c>
      <c r="I24" s="1">
        <v>3</v>
      </c>
      <c r="J24" s="1">
        <f>SUM(E9:E20,F8:F20,G7:G20,H6:H20,I5:T20)</f>
        <v>0.62752182450307203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0.45198876117505554</v>
      </c>
      <c r="H25" s="1" t="s">
        <v>348</v>
      </c>
      <c r="I25" s="1">
        <v>3</v>
      </c>
      <c r="J25" s="1">
        <f>SUM(E8,F7,G6,H5)</f>
        <v>0.17837578561451806</v>
      </c>
    </row>
    <row r="26" spans="2:20">
      <c r="H26" s="1" t="s">
        <v>346</v>
      </c>
      <c r="I26" s="1">
        <v>3</v>
      </c>
      <c r="J26" s="1">
        <f>SUM(E5:E7,F5:F6,G5)</f>
        <v>0.19410238603294555</v>
      </c>
    </row>
    <row r="27" spans="2:20">
      <c r="H27" s="1" t="s">
        <v>345</v>
      </c>
      <c r="I27" s="1">
        <v>3.5</v>
      </c>
      <c r="J27" s="1">
        <f>SUM(E9:E20,F8:F20,G7:G20,H6:H20,I5:T20)</f>
        <v>0.62752182450307203</v>
      </c>
    </row>
    <row r="28" spans="2:20">
      <c r="H28" s="1" t="s">
        <v>346</v>
      </c>
      <c r="I28" s="1">
        <v>3.5</v>
      </c>
      <c r="J28" s="1">
        <f>SUM(E5:E8,F5:F7,G5:G6,H5)</f>
        <v>0.37247817164746361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0.43460356605501055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0.44949442641486381</v>
      </c>
      <c r="H30" s="1" t="s">
        <v>348</v>
      </c>
      <c r="I30" s="1">
        <v>4</v>
      </c>
      <c r="J30" s="1">
        <f>SUM(E9,F8,G7,H6,I5)</f>
        <v>0.1929182584480616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0.3534719526144392</v>
      </c>
      <c r="H31" s="1" t="s">
        <v>346</v>
      </c>
      <c r="I31" s="1">
        <v>4</v>
      </c>
      <c r="J31" s="1">
        <f>1-J30-J29</f>
        <v>0.37247817549692791</v>
      </c>
    </row>
    <row r="32" spans="2:20">
      <c r="D32" s="1" t="s">
        <v>348</v>
      </c>
      <c r="F32" s="1">
        <f>1-F31-F30</f>
        <v>0.19703362097069699</v>
      </c>
      <c r="H32" s="1" t="s">
        <v>345</v>
      </c>
      <c r="I32" s="1">
        <v>4.5</v>
      </c>
      <c r="J32" s="1">
        <f>SUM(E10:E20,F9:F20,G8:G20,H7:H20,I6:I20,J5:T20)</f>
        <v>0.43460356605501055</v>
      </c>
    </row>
    <row r="33" spans="8:10">
      <c r="H33" s="1" t="s">
        <v>346</v>
      </c>
      <c r="I33" s="1">
        <v>4.5</v>
      </c>
      <c r="J33" s="1">
        <f>1-J32</f>
        <v>0.56539643394498951</v>
      </c>
    </row>
    <row r="34" spans="8:10">
      <c r="H34" s="1" t="s">
        <v>345</v>
      </c>
      <c r="I34" s="1">
        <v>5</v>
      </c>
      <c r="J34" s="1">
        <f>SUM(E11:E20,F10:F20,G9:G20,H8:H20,I7:I20,J6:J20,K5:T20)</f>
        <v>0.26768649571649511</v>
      </c>
    </row>
    <row r="35" spans="8:10">
      <c r="H35" s="1" t="s">
        <v>348</v>
      </c>
      <c r="I35" s="1">
        <v>5</v>
      </c>
      <c r="J35" s="1">
        <f>SUM(E10,F9,G8,H7,I6,J5)</f>
        <v>0.16691707033851549</v>
      </c>
    </row>
    <row r="36" spans="8:10">
      <c r="H36" s="1" t="s">
        <v>346</v>
      </c>
      <c r="I36" s="1">
        <v>5</v>
      </c>
      <c r="J36" s="1">
        <f>SUM(E5:E9,F5:F8,G5:G7,H5:H6,I5)</f>
        <v>0.5653964300955252</v>
      </c>
    </row>
    <row r="37" spans="8:10">
      <c r="H37" s="1" t="s">
        <v>345</v>
      </c>
      <c r="I37" s="1">
        <v>5.5</v>
      </c>
      <c r="J37" s="1">
        <f>SUM(E11:E20,F10:F20,G9:G20,H8:H20,I7:I20,J6:J20,K5:T20)</f>
        <v>0.26768649571649511</v>
      </c>
    </row>
    <row r="38" spans="8:10">
      <c r="H38" s="1" t="s">
        <v>346</v>
      </c>
      <c r="I38" s="1">
        <v>5.5</v>
      </c>
      <c r="J38" s="1">
        <f>1-J37</f>
        <v>0.73231350428350495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0.14733626468028563</v>
      </c>
    </row>
    <row r="40" spans="8:10">
      <c r="H40" s="1" t="s">
        <v>348</v>
      </c>
      <c r="I40" s="1">
        <v>6</v>
      </c>
      <c r="J40" s="1">
        <f>SUM(E11,F10,G9,H8,I7,J6,K5)</f>
        <v>0.12035023103620981</v>
      </c>
    </row>
    <row r="41" spans="8:10">
      <c r="H41" s="1" t="s">
        <v>346</v>
      </c>
      <c r="I41" s="1">
        <v>6</v>
      </c>
      <c r="J41" s="1">
        <f>SUM(E5:E10,F5:F9,G5:G8,H5:H7,I5:I6,J5)</f>
        <v>0.73231350043404075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0.14733626468028563</v>
      </c>
    </row>
    <row r="43" spans="8:10">
      <c r="H43" s="1" t="s">
        <v>346</v>
      </c>
      <c r="I43" s="1">
        <v>6.5</v>
      </c>
      <c r="J43" s="1">
        <f>1-J42</f>
        <v>0.8526637353197144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Innings'!$G$32, FALSE) * _xlfn.POISSON.DIST(E$4, 'First 5 Innings'!$G$31, FALSE)</f>
        <v>3.3404017530328615E-2</v>
      </c>
      <c r="F5" s="1">
        <f>_xlfn.POISSON.DIST($D5,'First 5 Innings'!$G$32, FALSE) * _xlfn.POISSON.DIST(F$4, 'First 5 Innings'!$G$31, FALSE)</f>
        <v>6.2974022964305765E-2</v>
      </c>
      <c r="G5" s="1">
        <f>_xlfn.POISSON.DIST($D5,'First 5 Innings'!$G$32, FALSE) * _xlfn.POISSON.DIST(G$4, 'First 5 Innings'!$G$31, FALSE)</f>
        <v>5.9360039023873309E-2</v>
      </c>
      <c r="H5" s="1">
        <f>_xlfn.POISSON.DIST($D5,'First 5 Innings'!$G$32, FALSE) * _xlfn.POISSON.DIST(H$4, 'First 5 Innings'!$G$31, FALSE)</f>
        <v>3.7302304104164546E-2</v>
      </c>
      <c r="I5" s="1">
        <f>_xlfn.POISSON.DIST($D5,'First 5 Innings'!$G$32, FALSE) * _xlfn.POISSON.DIST(I$4, 'First 5 Innings'!$G$31, FALSE)</f>
        <v>1.7580790642505589E-2</v>
      </c>
      <c r="J5" s="1">
        <f>_xlfn.POISSON.DIST($D5,'First 5 Innings'!$G$32, FALSE) * _xlfn.POISSON.DIST(J$4, 'First 5 Innings'!$G$31, FALSE)</f>
        <v>6.6287422621940347E-3</v>
      </c>
      <c r="K5" s="1">
        <f>_xlfn.POISSON.DIST($D5,'First 5 Innings'!$G$32, FALSE) * _xlfn.POISSON.DIST(K$4, 'First 5 Innings'!$G$31, FALSE)</f>
        <v>2.0827762562036383E-3</v>
      </c>
      <c r="L5" s="1">
        <f>_xlfn.POISSON.DIST($D5,'First 5 Innings'!$G$32, FALSE) * _xlfn.POISSON.DIST(L$4, 'First 5 Innings'!$G$31, FALSE)</f>
        <v>5.6092825048703696E-4</v>
      </c>
      <c r="M5" s="1">
        <f>_xlfn.POISSON.DIST($D5,'First 5 Innings'!$G$32, FALSE) * _xlfn.POISSON.DIST(M$4, 'First 5 Innings'!$G$31, FALSE)</f>
        <v>1.3218435662501796E-4</v>
      </c>
      <c r="N5" s="1">
        <f>_xlfn.POISSON.DIST($D5,'First 5 Innings'!$G$32, FALSE) * _xlfn.POISSON.DIST(N$4, 'First 5 Innings'!$G$31, FALSE)</f>
        <v>2.7688554734365394E-5</v>
      </c>
      <c r="O5" s="1">
        <f>_xlfn.POISSON.DIST($D5,'First 5 Innings'!$G$32, FALSE) * _xlfn.POISSON.DIST(O$4, 'First 5 Innings'!$G$31, FALSE)</f>
        <v>5.2199100904771105E-6</v>
      </c>
      <c r="P5" s="1">
        <f>_xlfn.POISSON.DIST($D5,'First 5 Innings'!$G$32, FALSE) * _xlfn.POISSON.DIST(P$4, 'First 5 Innings'!$G$31, FALSE)</f>
        <v>8.9460860811091046E-7</v>
      </c>
      <c r="Q5" s="1">
        <f>_xlfn.POISSON.DIST($D5,'First 5 Innings'!$G$32, FALSE) * _xlfn.POISSON.DIST(Q$4, 'First 5 Innings'!$G$31, FALSE)</f>
        <v>1.4054472883910762E-7</v>
      </c>
      <c r="R5" s="1">
        <f>_xlfn.POISSON.DIST($D5,'First 5 Innings'!$G$32, FALSE) * _xlfn.POISSON.DIST(R$4, 'First 5 Innings'!$G$31, FALSE)</f>
        <v>2.0381396830924226E-8</v>
      </c>
      <c r="S5" s="1">
        <f>_xlfn.POISSON.DIST($D5,'First 5 Innings'!$G$32, FALSE) * _xlfn.POISSON.DIST(S$4, 'First 5 Innings'!$G$31, FALSE)</f>
        <v>2.744534184312934E-9</v>
      </c>
      <c r="T5" s="1">
        <f>_xlfn.POISSON.DIST($D5,'First 5 Innings'!$G$32, FALSE) * _xlfn.POISSON.DIST(T$4, 'First 5 Innings'!$G$31, FALSE)</f>
        <v>3.4493726908212398E-10</v>
      </c>
    </row>
    <row r="6" spans="2:20">
      <c r="B6" s="377"/>
      <c r="C6" s="377"/>
      <c r="D6" s="1">
        <v>1</v>
      </c>
      <c r="E6" s="1">
        <f>_xlfn.POISSON.DIST($D6,'First 5 Innings'!$G$32, FALSE) * _xlfn.POISSON.DIST(E$4, 'First 5 Innings'!$G$31, FALSE)</f>
        <v>5.0568874908931159E-2</v>
      </c>
      <c r="F6" s="1">
        <f>_xlfn.POISSON.DIST($D6,'First 5 Innings'!$G$32, FALSE) * _xlfn.POISSON.DIST(F$4, 'First 5 Innings'!$G$31, FALSE)</f>
        <v>9.5333607309444152E-2</v>
      </c>
      <c r="G6" s="1">
        <f>_xlfn.POISSON.DIST($D6,'First 5 Innings'!$G$32, FALSE) * _xlfn.POISSON.DIST(G$4, 'First 5 Innings'!$G$31, FALSE)</f>
        <v>8.9862555761806642E-2</v>
      </c>
      <c r="H6" s="1">
        <f>_xlfn.POISSON.DIST($D6,'First 5 Innings'!$G$32, FALSE) * _xlfn.POISSON.DIST(H$4, 'First 5 Innings'!$G$31, FALSE)</f>
        <v>5.6470319725635994E-2</v>
      </c>
      <c r="I6" s="1">
        <f>_xlfn.POISSON.DIST($D6,'First 5 Innings'!$G$32, FALSE) * _xlfn.POISSON.DIST(I$4, 'First 5 Innings'!$G$31, FALSE)</f>
        <v>2.6614786739163426E-2</v>
      </c>
      <c r="J6" s="1">
        <f>_xlfn.POISSON.DIST($D6,'First 5 Innings'!$G$32, FALSE) * _xlfn.POISSON.DIST(J$4, 'First 5 Innings'!$G$31, FALSE)</f>
        <v>1.0034961751414752E-2</v>
      </c>
      <c r="K6" s="1">
        <f>_xlfn.POISSON.DIST($D6,'First 5 Innings'!$G$32, FALSE) * _xlfn.POISSON.DIST(K$4, 'First 5 Innings'!$G$31, FALSE)</f>
        <v>3.1530234908907864E-3</v>
      </c>
      <c r="L6" s="1">
        <f>_xlfn.POISSON.DIST($D6,'First 5 Innings'!$G$32, FALSE) * _xlfn.POISSON.DIST(L$4, 'First 5 Innings'!$G$31, FALSE)</f>
        <v>8.4916464033137897E-4</v>
      </c>
      <c r="M6" s="1">
        <f>_xlfn.POISSON.DIST($D6,'First 5 Innings'!$G$32, FALSE) * _xlfn.POISSON.DIST(M$4, 'First 5 Innings'!$G$31, FALSE)</f>
        <v>2.0010809145992931E-4</v>
      </c>
      <c r="N6" s="1">
        <f>_xlfn.POISSON.DIST($D6,'First 5 Innings'!$G$32, FALSE) * _xlfn.POISSON.DIST(N$4, 'First 5 Innings'!$G$31, FALSE)</f>
        <v>4.1916486826770109E-5</v>
      </c>
      <c r="O6" s="1">
        <f>_xlfn.POISSON.DIST($D6,'First 5 Innings'!$G$32, FALSE) * _xlfn.POISSON.DIST(O$4, 'First 5 Innings'!$G$31, FALSE)</f>
        <v>7.9021926078664642E-6</v>
      </c>
      <c r="P6" s="1">
        <f>_xlfn.POISSON.DIST($D6,'First 5 Innings'!$G$32, FALSE) * _xlfn.POISSON.DIST(P$4, 'First 5 Innings'!$G$31, FALSE)</f>
        <v>1.3543086772403752E-6</v>
      </c>
      <c r="Q6" s="1">
        <f>_xlfn.POISSON.DIST($D6,'First 5 Innings'!$G$32, FALSE) * _xlfn.POISSON.DIST(Q$4, 'First 5 Innings'!$G$31, FALSE)</f>
        <v>2.1276449173581082E-7</v>
      </c>
      <c r="R6" s="1">
        <f>_xlfn.POISSON.DIST($D6,'First 5 Innings'!$G$32, FALSE) * _xlfn.POISSON.DIST(R$4, 'First 5 Innings'!$G$31, FALSE)</f>
        <v>3.0854501434640879E-8</v>
      </c>
      <c r="S6" s="1">
        <f>_xlfn.POISSON.DIST($D6,'First 5 Innings'!$G$32, FALSE) * _xlfn.POISSON.DIST(S$4, 'First 5 Innings'!$G$31, FALSE)</f>
        <v>4.1548297513553852E-9</v>
      </c>
      <c r="T6" s="1">
        <f>_xlfn.POISSON.DIST($D6,'First 5 Innings'!$G$32, FALSE) * _xlfn.POISSON.DIST(T$4, 'First 5 Innings'!$G$31, FALSE)</f>
        <v>5.2218538071970227E-10</v>
      </c>
    </row>
    <row r="7" spans="2:20">
      <c r="B7" s="377"/>
      <c r="C7" s="377"/>
      <c r="D7" s="1">
        <v>2</v>
      </c>
      <c r="E7" s="1">
        <f>_xlfn.POISSON.DIST($D7,'First 5 Innings'!$G$32, FALSE) * _xlfn.POISSON.DIST(E$4, 'First 5 Innings'!$G$31, FALSE)</f>
        <v>3.8276999274613463E-2</v>
      </c>
      <c r="F7" s="1">
        <f>_xlfn.POISSON.DIST($D7,'First 5 Innings'!$G$32, FALSE) * _xlfn.POISSON.DIST(F$4, 'First 5 Innings'!$G$31, FALSE)</f>
        <v>7.2160680347377076E-2</v>
      </c>
      <c r="G7" s="1">
        <f>_xlfn.POISSON.DIST($D7,'First 5 Innings'!$G$32, FALSE) * _xlfn.POISSON.DIST(G$4, 'First 5 Innings'!$G$31, FALSE)</f>
        <v>6.801948803298552E-2</v>
      </c>
      <c r="H7" s="1">
        <f>_xlfn.POISSON.DIST($D7,'First 5 Innings'!$G$32, FALSE) * _xlfn.POISSON.DIST(H$4, 'First 5 Innings'!$G$31, FALSE)</f>
        <v>4.274396832177902E-2</v>
      </c>
      <c r="I7" s="1">
        <f>_xlfn.POISSON.DIST($D7,'First 5 Innings'!$G$32, FALSE) * _xlfn.POISSON.DIST(I$4, 'First 5 Innings'!$G$31, FALSE)</f>
        <v>2.0145478311383747E-2</v>
      </c>
      <c r="J7" s="1">
        <f>_xlfn.POISSON.DIST($D7,'First 5 Innings'!$G$32, FALSE) * _xlfn.POISSON.DIST(J$4, 'First 5 Innings'!$G$31, FALSE)</f>
        <v>7.5957439110799262E-3</v>
      </c>
      <c r="K7" s="1">
        <f>_xlfn.POISSON.DIST($D7,'First 5 Innings'!$G$32, FALSE) * _xlfn.POISSON.DIST(K$4, 'First 5 Innings'!$G$31, FALSE)</f>
        <v>2.386611885097539E-3</v>
      </c>
      <c r="L7" s="1">
        <f>_xlfn.POISSON.DIST($D7,'First 5 Innings'!$G$32, FALSE) * _xlfn.POISSON.DIST(L$4, 'First 5 Innings'!$G$31, FALSE)</f>
        <v>6.4275652524456374E-4</v>
      </c>
      <c r="M7" s="1">
        <f>_xlfn.POISSON.DIST($D7,'First 5 Innings'!$G$32, FALSE) * _xlfn.POISSON.DIST(M$4, 'First 5 Innings'!$G$31, FALSE)</f>
        <v>1.5146742508014981E-4</v>
      </c>
      <c r="N7" s="1">
        <f>_xlfn.POISSON.DIST($D7,'First 5 Innings'!$G$32, FALSE) * _xlfn.POISSON.DIST(N$4, 'First 5 Innings'!$G$31, FALSE)</f>
        <v>3.1727764138554302E-5</v>
      </c>
      <c r="O7" s="1">
        <f>_xlfn.POISSON.DIST($D7,'First 5 Innings'!$G$32, FALSE) * _xlfn.POISSON.DIST(O$4, 'First 5 Innings'!$G$31, FALSE)</f>
        <v>5.9813911474969316E-6</v>
      </c>
      <c r="P7" s="1">
        <f>_xlfn.POISSON.DIST($D7,'First 5 Innings'!$G$32, FALSE) * _xlfn.POISSON.DIST(P$4, 'First 5 Innings'!$G$31, FALSE)</f>
        <v>1.0251142100687137E-6</v>
      </c>
      <c r="Q7" s="1">
        <f>_xlfn.POISSON.DIST($D7,'First 5 Innings'!$G$32, FALSE) * _xlfn.POISSON.DIST(Q$4, 'First 5 Innings'!$G$31, FALSE)</f>
        <v>1.6104740931059933E-7</v>
      </c>
      <c r="R7" s="1">
        <f>_xlfn.POISSON.DIST($D7,'First 5 Innings'!$G$32, FALSE) * _xlfn.POISSON.DIST(R$4, 'First 5 Innings'!$G$31, FALSE)</f>
        <v>2.3354637238008334E-8</v>
      </c>
      <c r="S7" s="1">
        <f>_xlfn.POISSON.DIST($D7,'First 5 Innings'!$G$32, FALSE) * _xlfn.POISSON.DIST(S$4, 'First 5 Innings'!$G$31, FALSE)</f>
        <v>3.1449071324045784E-9</v>
      </c>
      <c r="T7" s="1">
        <f>_xlfn.POISSON.DIST($D7,'First 5 Innings'!$G$32, FALSE) * _xlfn.POISSON.DIST(T$4, 'First 5 Innings'!$G$31, FALSE)</f>
        <v>3.9525675576166905E-10</v>
      </c>
    </row>
    <row r="8" spans="2:20">
      <c r="B8" s="377"/>
      <c r="C8" s="377"/>
      <c r="D8" s="1">
        <v>3</v>
      </c>
      <c r="E8" s="1">
        <f>_xlfn.POISSON.DIST($D8,'First 5 Innings'!$G$32, FALSE) * _xlfn.POISSON.DIST(E$4, 'First 5 Innings'!$G$31, FALSE)</f>
        <v>1.9315289310632169E-2</v>
      </c>
      <c r="F8" s="1">
        <f>_xlfn.POISSON.DIST($D8,'First 5 Innings'!$G$32, FALSE) * _xlfn.POISSON.DIST(F$4, 'First 5 Innings'!$G$31, FALSE)</f>
        <v>3.6413628136363688E-2</v>
      </c>
      <c r="G8" s="1">
        <f>_xlfn.POISSON.DIST($D8,'First 5 Innings'!$G$32, FALSE) * _xlfn.POISSON.DIST(G$4, 'First 5 Innings'!$G$31, FALSE)</f>
        <v>3.4323905087031287E-2</v>
      </c>
      <c r="H8" s="1">
        <f>_xlfn.POISSON.DIST($D8,'First 5 Innings'!$G$32, FALSE) * _xlfn.POISSON.DIST(H$4, 'First 5 Innings'!$G$31, FALSE)</f>
        <v>2.1569405388766481E-2</v>
      </c>
      <c r="I8" s="1">
        <f>_xlfn.POISSON.DIST($D8,'First 5 Innings'!$G$32, FALSE) * _xlfn.POISSON.DIST(I$4, 'First 5 Innings'!$G$31, FALSE)</f>
        <v>1.0165784916779429E-2</v>
      </c>
      <c r="J8" s="1">
        <f>_xlfn.POISSON.DIST($D8,'First 5 Innings'!$G$32, FALSE) * _xlfn.POISSON.DIST(J$4, 'First 5 Innings'!$G$31, FALSE)</f>
        <v>3.8329543577698085E-3</v>
      </c>
      <c r="K8" s="1">
        <f>_xlfn.POISSON.DIST($D8,'First 5 Innings'!$G$32, FALSE) * _xlfn.POISSON.DIST(K$4, 'First 5 Innings'!$G$31, FALSE)</f>
        <v>1.2043289679561147E-3</v>
      </c>
      <c r="L8" s="1">
        <f>_xlfn.POISSON.DIST($D8,'First 5 Innings'!$G$32, FALSE) * _xlfn.POISSON.DIST(L$4, 'First 5 Innings'!$G$31, FALSE)</f>
        <v>3.2434695709361529E-4</v>
      </c>
      <c r="M8" s="1">
        <f>_xlfn.POISSON.DIST($D8,'First 5 Innings'!$G$32, FALSE) * _xlfn.POISSON.DIST(M$4, 'First 5 Innings'!$G$31, FALSE)</f>
        <v>7.6433293936392063E-5</v>
      </c>
      <c r="N8" s="1">
        <f>_xlfn.POISSON.DIST($D8,'First 5 Innings'!$G$32, FALSE) * _xlfn.POISSON.DIST(N$4, 'First 5 Innings'!$G$31, FALSE)</f>
        <v>1.6010422842161656E-5</v>
      </c>
      <c r="O8" s="1">
        <f>_xlfn.POISSON.DIST($D8,'First 5 Innings'!$G$32, FALSE) * _xlfn.POISSON.DIST(O$4, 'First 5 Innings'!$G$31, FALSE)</f>
        <v>3.0183217776577927E-6</v>
      </c>
      <c r="P8" s="1">
        <f>_xlfn.POISSON.DIST($D8,'First 5 Innings'!$G$32, FALSE) * _xlfn.POISSON.DIST(P$4, 'First 5 Innings'!$G$31, FALSE)</f>
        <v>5.1729179191561157E-7</v>
      </c>
      <c r="Q8" s="1">
        <f>_xlfn.POISSON.DIST($D8,'First 5 Innings'!$G$32, FALSE) * _xlfn.POISSON.DIST(Q$4, 'First 5 Innings'!$G$31, FALSE)</f>
        <v>8.1267533048890911E-8</v>
      </c>
      <c r="R8" s="1">
        <f>_xlfn.POISSON.DIST($D8,'First 5 Innings'!$G$32, FALSE) * _xlfn.POISSON.DIST(R$4, 'First 5 Innings'!$G$31, FALSE)</f>
        <v>1.1785186497003683E-8</v>
      </c>
      <c r="S8" s="1">
        <f>_xlfn.POISSON.DIST($D8,'First 5 Innings'!$G$32, FALSE) * _xlfn.POISSON.DIST(S$4, 'First 5 Innings'!$G$31, FALSE)</f>
        <v>1.5869789238612787E-9</v>
      </c>
      <c r="T8" s="1">
        <f>_xlfn.POISSON.DIST($D8,'First 5 Innings'!$G$32, FALSE) * _xlfn.POISSON.DIST(T$4, 'First 5 Innings'!$G$31, FALSE)</f>
        <v>1.9945394712751062E-10</v>
      </c>
    </row>
    <row r="9" spans="2:20">
      <c r="B9" s="377"/>
      <c r="C9" s="377"/>
      <c r="D9" s="1">
        <v>4</v>
      </c>
      <c r="E9" s="1">
        <f>_xlfn.POISSON.DIST($D9,'First 5 Innings'!$G$32, FALSE) * _xlfn.POISSON.DIST(E$4, 'First 5 Innings'!$G$31, FALSE)</f>
        <v>7.3101420217818684E-3</v>
      </c>
      <c r="F9" s="1">
        <f>_xlfn.POISSON.DIST($D9,'First 5 Innings'!$G$32, FALSE) * _xlfn.POISSON.DIST(F$4, 'First 5 Innings'!$G$31, FALSE)</f>
        <v>1.3781248052994279E-2</v>
      </c>
      <c r="G9" s="1">
        <f>_xlfn.POISSON.DIST($D9,'First 5 Innings'!$G$32, FALSE) * _xlfn.POISSON.DIST(G$4, 'First 5 Innings'!$G$31, FALSE)</f>
        <v>1.2990363069024501E-2</v>
      </c>
      <c r="H9" s="1">
        <f>_xlfn.POISSON.DIST($D9,'First 5 Innings'!$G$32, FALSE) * _xlfn.POISSON.DIST(H$4, 'First 5 Innings'!$G$31, FALSE)</f>
        <v>8.1632438521372364E-3</v>
      </c>
      <c r="I9" s="1">
        <f>_xlfn.POISSON.DIST($D9,'First 5 Innings'!$G$32, FALSE) * _xlfn.POISSON.DIST(I$4, 'First 5 Innings'!$G$31, FALSE)</f>
        <v>3.8473838164898499E-3</v>
      </c>
      <c r="J9" s="1">
        <f>_xlfn.POISSON.DIST($D9,'First 5 Innings'!$G$32, FALSE) * _xlfn.POISSON.DIST(J$4, 'First 5 Innings'!$G$31, FALSE)</f>
        <v>1.4506353111098165E-3</v>
      </c>
      <c r="K9" s="1">
        <f>_xlfn.POISSON.DIST($D9,'First 5 Innings'!$G$32, FALSE) * _xlfn.POISSON.DIST(K$4, 'First 5 Innings'!$G$31, FALSE)</f>
        <v>4.5579518148139219E-4</v>
      </c>
      <c r="L9" s="1">
        <f>_xlfn.POISSON.DIST($D9,'First 5 Innings'!$G$32, FALSE) * _xlfn.POISSON.DIST(L$4, 'First 5 Innings'!$G$31, FALSE)</f>
        <v>1.2275365295108369E-4</v>
      </c>
      <c r="M9" s="1">
        <f>_xlfn.POISSON.DIST($D9,'First 5 Innings'!$G$32, FALSE) * _xlfn.POISSON.DIST(M$4, 'First 5 Innings'!$G$31, FALSE)</f>
        <v>2.8927251613055853E-5</v>
      </c>
      <c r="N9" s="1">
        <f>_xlfn.POISSON.DIST($D9,'First 5 Innings'!$G$32, FALSE) * _xlfn.POISSON.DIST(N$4, 'First 5 Innings'!$G$31, FALSE)</f>
        <v>6.0593689756724473E-6</v>
      </c>
      <c r="O9" s="1">
        <f>_xlfn.POISSON.DIST($D9,'First 5 Innings'!$G$32, FALSE) * _xlfn.POISSON.DIST(O$4, 'First 5 Innings'!$G$31, FALSE)</f>
        <v>1.1423261907845293E-6</v>
      </c>
      <c r="P9" s="1">
        <f>_xlfn.POISSON.DIST($D9,'First 5 Innings'!$G$32, FALSE) * _xlfn.POISSON.DIST(P$4, 'First 5 Innings'!$G$31, FALSE)</f>
        <v>1.9577633059441815E-7</v>
      </c>
      <c r="Q9" s="1">
        <f>_xlfn.POISSON.DIST($D9,'First 5 Innings'!$G$32, FALSE) * _xlfn.POISSON.DIST(Q$4, 'First 5 Innings'!$G$31, FALSE)</f>
        <v>3.0756837176662545E-8</v>
      </c>
      <c r="R9" s="1">
        <f>_xlfn.POISSON.DIST($D9,'First 5 Innings'!$G$32, FALSE) * _xlfn.POISSON.DIST(R$4, 'First 5 Innings'!$G$31, FALSE)</f>
        <v>4.4602690470114027E-9</v>
      </c>
      <c r="S9" s="1">
        <f>_xlfn.POISSON.DIST($D9,'First 5 Innings'!$G$32, FALSE) * _xlfn.POISSON.DIST(S$4, 'First 5 Innings'!$G$31, FALSE)</f>
        <v>6.0061442168586461E-10</v>
      </c>
      <c r="T9" s="1">
        <f>_xlfn.POISSON.DIST($D9,'First 5 Innings'!$G$32, FALSE) * _xlfn.POISSON.DIST(T$4, 'First 5 Innings'!$G$31, FALSE)</f>
        <v>7.5486142446983328E-11</v>
      </c>
    </row>
    <row r="10" spans="2:20">
      <c r="B10" s="377"/>
      <c r="C10" s="377"/>
      <c r="D10" s="1">
        <v>5</v>
      </c>
      <c r="E10" s="1">
        <f>_xlfn.POISSON.DIST($D10,'First 5 Innings'!$G$32, FALSE) * _xlfn.POISSON.DIST(E$4, 'First 5 Innings'!$G$31, FALSE)</f>
        <v>2.2133005835622997E-3</v>
      </c>
      <c r="F10" s="1">
        <f>_xlfn.POISSON.DIST($D10,'First 5 Innings'!$G$32, FALSE) * _xlfn.POISSON.DIST(F$4, 'First 5 Innings'!$G$31, FALSE)</f>
        <v>4.1725652206240004E-3</v>
      </c>
      <c r="G10" s="1">
        <f>_xlfn.POISSON.DIST($D10,'First 5 Innings'!$G$32, FALSE) * _xlfn.POISSON.DIST(G$4, 'First 5 Innings'!$G$31, FALSE)</f>
        <v>3.9331080129069492E-3</v>
      </c>
      <c r="H10" s="1">
        <f>_xlfn.POISSON.DIST($D10,'First 5 Innings'!$G$32, FALSE) * _xlfn.POISSON.DIST(H$4, 'First 5 Innings'!$G$31, FALSE)</f>
        <v>2.4715952614683457E-3</v>
      </c>
      <c r="I10" s="1">
        <f>_xlfn.POISSON.DIST($D10,'First 5 Innings'!$G$32, FALSE) * _xlfn.POISSON.DIST(I$4, 'First 5 Innings'!$G$31, FALSE)</f>
        <v>1.1648770736398736E-3</v>
      </c>
      <c r="J10" s="1">
        <f>_xlfn.POISSON.DIST($D10,'First 5 Innings'!$G$32, FALSE) * _xlfn.POISSON.DIST(J$4, 'First 5 Innings'!$G$31, FALSE)</f>
        <v>4.392106160247786E-4</v>
      </c>
      <c r="K10" s="1">
        <f>_xlfn.POISSON.DIST($D10,'First 5 Innings'!$G$32, FALSE) * _xlfn.POISSON.DIST(K$4, 'First 5 Innings'!$G$31, FALSE)</f>
        <v>1.3800166100080073E-4</v>
      </c>
      <c r="L10" s="1">
        <f>_xlfn.POISSON.DIST($D10,'First 5 Innings'!$G$32, FALSE) * _xlfn.POISSON.DIST(L$4, 'First 5 Innings'!$G$31, FALSE)</f>
        <v>3.7166272679995367E-5</v>
      </c>
      <c r="M10" s="1">
        <f>_xlfn.POISSON.DIST($D10,'First 5 Innings'!$G$32, FALSE) * _xlfn.POISSON.DIST(M$4, 'First 5 Innings'!$G$31, FALSE)</f>
        <v>8.7583391246376613E-6</v>
      </c>
      <c r="N10" s="1">
        <f>_xlfn.POISSON.DIST($D10,'First 5 Innings'!$G$32, FALSE) * _xlfn.POISSON.DIST(N$4, 'First 5 Innings'!$G$31, FALSE)</f>
        <v>1.8346025083936878E-6</v>
      </c>
      <c r="O10" s="1">
        <f>_xlfn.POISSON.DIST($D10,'First 5 Innings'!$G$32, FALSE) * _xlfn.POISSON.DIST(O$4, 'First 5 Innings'!$G$31, FALSE)</f>
        <v>3.4586348899218978E-7</v>
      </c>
      <c r="P10" s="1">
        <f>_xlfn.POISSON.DIST($D10,'First 5 Innings'!$G$32, FALSE) * _xlfn.POISSON.DIST(P$4, 'First 5 Innings'!$G$31, FALSE)</f>
        <v>5.9275437530650104E-8</v>
      </c>
      <c r="Q10" s="1">
        <f>_xlfn.POISSON.DIST($D10,'First 5 Innings'!$G$32, FALSE) * _xlfn.POISSON.DIST(Q$4, 'First 5 Innings'!$G$31, FALSE)</f>
        <v>9.312284969129038E-9</v>
      </c>
      <c r="R10" s="1">
        <f>_xlfn.POISSON.DIST($D10,'First 5 Innings'!$G$32, FALSE) * _xlfn.POISSON.DIST(R$4, 'First 5 Innings'!$G$31, FALSE)</f>
        <v>1.3504410796917584E-9</v>
      </c>
      <c r="S10" s="1">
        <f>_xlfn.POISSON.DIST($D10,'First 5 Innings'!$G$32, FALSE) * _xlfn.POISSON.DIST(S$4, 'First 5 Innings'!$G$31, FALSE)</f>
        <v>1.8184875834864103E-10</v>
      </c>
      <c r="T10" s="1">
        <f>_xlfn.POISSON.DIST($D10,'First 5 Innings'!$G$32, FALSE) * _xlfn.POISSON.DIST(T$4, 'First 5 Innings'!$G$31, FALSE)</f>
        <v>2.2855031082973463E-11</v>
      </c>
    </row>
    <row r="11" spans="2:20">
      <c r="B11" s="377"/>
      <c r="C11" s="377"/>
      <c r="D11" s="1">
        <v>6</v>
      </c>
      <c r="E11" s="1">
        <f>_xlfn.POISSON.DIST($D11,'First 5 Innings'!$G$32, FALSE) * _xlfn.POISSON.DIST(E$4, 'First 5 Innings'!$G$31, FALSE)</f>
        <v>5.5843642282651918E-4</v>
      </c>
      <c r="F11" s="1">
        <f>_xlfn.POISSON.DIST($D11,'First 5 Innings'!$G$32, FALSE) * _xlfn.POISSON.DIST(F$4, 'First 5 Innings'!$G$31, FALSE)</f>
        <v>1.0527772021210534E-3</v>
      </c>
      <c r="G11" s="1">
        <f>_xlfn.POISSON.DIST($D11,'First 5 Innings'!$G$32, FALSE) * _xlfn.POISSON.DIST(G$4, 'First 5 Innings'!$G$31, FALSE)</f>
        <v>9.9235991063761995E-4</v>
      </c>
      <c r="H11" s="1">
        <f>_xlfn.POISSON.DIST($D11,'First 5 Innings'!$G$32, FALSE) * _xlfn.POISSON.DIST(H$4, 'First 5 Innings'!$G$31, FALSE)</f>
        <v>6.2360658409436865E-4</v>
      </c>
      <c r="I11" s="1">
        <f>_xlfn.POISSON.DIST($D11,'First 5 Innings'!$G$32, FALSE) * _xlfn.POISSON.DIST(I$4, 'First 5 Innings'!$G$31, FALSE)</f>
        <v>2.9390937266599438E-4</v>
      </c>
      <c r="J11" s="1">
        <f>_xlfn.POISSON.DIST($D11,'First 5 Innings'!$G$32, FALSE) * _xlfn.POISSON.DIST(J$4, 'First 5 Innings'!$G$31, FALSE)</f>
        <v>1.1081694330263361E-4</v>
      </c>
      <c r="K11" s="1">
        <f>_xlfn.POISSON.DIST($D11,'First 5 Innings'!$G$32, FALSE) * _xlfn.POISSON.DIST(K$4, 'First 5 Innings'!$G$31, FALSE)</f>
        <v>3.4819108839418923E-5</v>
      </c>
      <c r="L11" s="1">
        <f>_xlfn.POISSON.DIST($D11,'First 5 Innings'!$G$32, FALSE) * _xlfn.POISSON.DIST(L$4, 'First 5 Innings'!$G$31, FALSE)</f>
        <v>9.3773979545997766E-6</v>
      </c>
      <c r="M11" s="1">
        <f>_xlfn.POISSON.DIST($D11,'First 5 Innings'!$G$32, FALSE) * _xlfn.POISSON.DIST(M$4, 'First 5 Innings'!$G$31, FALSE)</f>
        <v>2.2098108169258217E-6</v>
      </c>
      <c r="N11" s="1">
        <f>_xlfn.POISSON.DIST($D11,'First 5 Innings'!$G$32, FALSE) * _xlfn.POISSON.DIST(N$4, 'First 5 Innings'!$G$31, FALSE)</f>
        <v>4.6288735913446816E-7</v>
      </c>
      <c r="O11" s="1">
        <f>_xlfn.POISSON.DIST($D11,'First 5 Innings'!$G$32, FALSE) * _xlfn.POISSON.DIST(O$4, 'First 5 Innings'!$G$31, FALSE)</f>
        <v>8.7264590726414148E-8</v>
      </c>
      <c r="P11" s="1">
        <f>_xlfn.POISSON.DIST($D11,'First 5 Innings'!$G$32, FALSE) * _xlfn.POISSON.DIST(P$4, 'First 5 Innings'!$G$31, FALSE)</f>
        <v>1.49557468795387E-8</v>
      </c>
      <c r="Q11" s="1">
        <f>_xlfn.POISSON.DIST($D11,'First 5 Innings'!$G$32, FALSE) * _xlfn.POISSON.DIST(Q$4, 'First 5 Innings'!$G$31, FALSE)</f>
        <v>2.3495765306905069E-9</v>
      </c>
      <c r="R11" s="1">
        <f>_xlfn.POISSON.DIST($D11,'First 5 Innings'!$G$32, FALSE) * _xlfn.POISSON.DIST(R$4, 'First 5 Innings'!$G$31, FALSE)</f>
        <v>3.407289056813374E-10</v>
      </c>
      <c r="S11" s="1">
        <f>_xlfn.POISSON.DIST($D11,'First 5 Innings'!$G$32, FALSE) * _xlfn.POISSON.DIST(S$4, 'First 5 Innings'!$G$31, FALSE)</f>
        <v>4.5882141296964408E-11</v>
      </c>
      <c r="T11" s="1">
        <f>_xlfn.POISSON.DIST($D11,'First 5 Innings'!$G$32, FALSE) * _xlfn.POISSON.DIST(T$4, 'First 5 Innings'!$G$31, FALSE)</f>
        <v>5.766537946247894E-12</v>
      </c>
    </row>
    <row r="12" spans="2:20">
      <c r="B12" s="377"/>
      <c r="C12" s="377"/>
      <c r="D12" s="1">
        <v>7</v>
      </c>
      <c r="E12" s="1">
        <f>_xlfn.POISSON.DIST($D12,'First 5 Innings'!$G$32, FALSE) * _xlfn.POISSON.DIST(E$4, 'First 5 Innings'!$G$31, FALSE)</f>
        <v>1.2077033884093927E-4</v>
      </c>
      <c r="F12" s="1">
        <f>_xlfn.POISSON.DIST($D12,'First 5 Innings'!$G$32, FALSE) * _xlfn.POISSON.DIST(F$4, 'First 5 Innings'!$G$31, FALSE)</f>
        <v>2.2767902347887073E-4</v>
      </c>
      <c r="G12" s="1">
        <f>_xlfn.POISSON.DIST($D12,'First 5 Innings'!$G$32, FALSE) * _xlfn.POISSON.DIST(G$4, 'First 5 Innings'!$G$31, FALSE)</f>
        <v>2.1461286864718135E-4</v>
      </c>
      <c r="H12" s="1">
        <f>_xlfn.POISSON.DIST($D12,'First 5 Innings'!$G$32, FALSE) * _xlfn.POISSON.DIST(H$4, 'First 5 Innings'!$G$31, FALSE)</f>
        <v>1.3486437378729856E-4</v>
      </c>
      <c r="I12" s="1">
        <f>_xlfn.POISSON.DIST($D12,'First 5 Innings'!$G$32, FALSE) * _xlfn.POISSON.DIST(I$4, 'First 5 Innings'!$G$31, FALSE)</f>
        <v>6.3562355667525798E-5</v>
      </c>
      <c r="J12" s="1">
        <f>_xlfn.POISSON.DIST($D12,'First 5 Innings'!$G$32, FALSE) * _xlfn.POISSON.DIST(J$4, 'First 5 Innings'!$G$31, FALSE)</f>
        <v>2.3965843281203437E-5</v>
      </c>
      <c r="K12" s="1">
        <f>_xlfn.POISSON.DIST($D12,'First 5 Innings'!$G$32, FALSE) * _xlfn.POISSON.DIST(K$4, 'First 5 Innings'!$G$31, FALSE)</f>
        <v>7.530159926517732E-6</v>
      </c>
      <c r="L12" s="1">
        <f>_xlfn.POISSON.DIST($D12,'First 5 Innings'!$G$32, FALSE) * _xlfn.POISSON.DIST(L$4, 'First 5 Innings'!$G$31, FALSE)</f>
        <v>2.0280044104056691E-6</v>
      </c>
      <c r="M12" s="1">
        <f>_xlfn.POISSON.DIST($D12,'First 5 Innings'!$G$32, FALSE) * _xlfn.POISSON.DIST(M$4, 'First 5 Innings'!$G$31, FALSE)</f>
        <v>4.7790507607597737E-7</v>
      </c>
      <c r="N12" s="1">
        <f>_xlfn.POISSON.DIST($D12,'First 5 Innings'!$G$32, FALSE) * _xlfn.POISSON.DIST(N$4, 'First 5 Innings'!$G$31, FALSE)</f>
        <v>1.0010640589112113E-7</v>
      </c>
      <c r="O12" s="1">
        <f>_xlfn.POISSON.DIST($D12,'First 5 Innings'!$G$32, FALSE) * _xlfn.POISSON.DIST(O$4, 'First 5 Innings'!$G$31, FALSE)</f>
        <v>1.8872290130185336E-8</v>
      </c>
      <c r="P12" s="1">
        <f>_xlfn.POISSON.DIST($D12,'First 5 Innings'!$G$32, FALSE) * _xlfn.POISSON.DIST(P$4, 'First 5 Innings'!$G$31, FALSE)</f>
        <v>3.2344068983163666E-9</v>
      </c>
      <c r="Q12" s="1">
        <f>_xlfn.POISSON.DIST($D12,'First 5 Innings'!$G$32, FALSE) * _xlfn.POISSON.DIST(Q$4, 'First 5 Innings'!$G$31, FALSE)</f>
        <v>5.0813152965196569E-10</v>
      </c>
      <c r="R12" s="1">
        <f>_xlfn.POISSON.DIST($D12,'First 5 Innings'!$G$32, FALSE) * _xlfn.POISSON.DIST(R$4, 'First 5 Innings'!$G$31, FALSE)</f>
        <v>7.368778917348838E-11</v>
      </c>
      <c r="S12" s="1">
        <f>_xlfn.POISSON.DIST($D12,'First 5 Innings'!$G$32, FALSE) * _xlfn.POISSON.DIST(S$4, 'First 5 Innings'!$G$31, FALSE)</f>
        <v>9.9227083418655229E-12</v>
      </c>
      <c r="T12" s="1">
        <f>_xlfn.POISSON.DIST($D12,'First 5 Innings'!$G$32, FALSE) * _xlfn.POISSON.DIST(T$4, 'First 5 Innings'!$G$31, FALSE)</f>
        <v>1.247101215537727E-12</v>
      </c>
    </row>
    <row r="13" spans="2:20">
      <c r="B13" s="377"/>
      <c r="C13" s="377"/>
      <c r="D13" s="1">
        <v>8</v>
      </c>
      <c r="E13" s="1">
        <f>_xlfn.POISSON.DIST($D13,'First 5 Innings'!$G$32, FALSE) * _xlfn.POISSON.DIST(E$4, 'First 5 Innings'!$G$31, FALSE)</f>
        <v>2.2853613910406682E-5</v>
      </c>
      <c r="F13" s="1">
        <f>_xlfn.POISSON.DIST($D13,'First 5 Innings'!$G$32, FALSE) * _xlfn.POISSON.DIST(F$4, 'First 5 Innings'!$G$31, FALSE)</f>
        <v>4.308415914057778E-5</v>
      </c>
      <c r="G13" s="1">
        <f>_xlfn.POISSON.DIST($D13,'First 5 Innings'!$G$32, FALSE) * _xlfn.POISSON.DIST(G$4, 'First 5 Innings'!$G$31, FALSE)</f>
        <v>4.0611624404956086E-5</v>
      </c>
      <c r="H13" s="1">
        <f>_xlfn.POISSON.DIST($D13,'First 5 Innings'!$G$32, FALSE) * _xlfn.POISSON.DIST(H$4, 'First 5 Innings'!$G$31, FALSE)</f>
        <v>2.5520656465682581E-5</v>
      </c>
      <c r="I13" s="1">
        <f>_xlfn.POISSON.DIST($D13,'First 5 Innings'!$G$32, FALSE) * _xlfn.POISSON.DIST(I$4, 'First 5 Innings'!$G$31, FALSE)</f>
        <v>1.2028032293382668E-5</v>
      </c>
      <c r="J13" s="1">
        <f>_xlfn.POISSON.DIST($D13,'First 5 Innings'!$G$32, FALSE) * _xlfn.POISSON.DIST(J$4, 'First 5 Innings'!$G$31, FALSE)</f>
        <v>4.5351046841666517E-6</v>
      </c>
      <c r="K13" s="1">
        <f>_xlfn.POISSON.DIST($D13,'First 5 Innings'!$G$32, FALSE) * _xlfn.POISSON.DIST(K$4, 'First 5 Innings'!$G$31, FALSE)</f>
        <v>1.4249472949720357E-6</v>
      </c>
      <c r="L13" s="1">
        <f>_xlfn.POISSON.DIST($D13,'First 5 Innings'!$G$32, FALSE) * _xlfn.POISSON.DIST(L$4, 'First 5 Innings'!$G$31, FALSE)</f>
        <v>3.837633499153693E-7</v>
      </c>
      <c r="M13" s="1">
        <f>_xlfn.POISSON.DIST($D13,'First 5 Innings'!$G$32, FALSE) * _xlfn.POISSON.DIST(M$4, 'First 5 Innings'!$G$31, FALSE)</f>
        <v>9.0434937910115208E-8</v>
      </c>
      <c r="N13" s="1">
        <f>_xlfn.POISSON.DIST($D13,'First 5 Innings'!$G$32, FALSE) * _xlfn.POISSON.DIST(N$4, 'First 5 Innings'!$G$31, FALSE)</f>
        <v>1.8943336353533659E-8</v>
      </c>
      <c r="O13" s="1">
        <f>_xlfn.POISSON.DIST($D13,'First 5 Innings'!$G$32, FALSE) * _xlfn.POISSON.DIST(O$4, 'First 5 Innings'!$G$31, FALSE)</f>
        <v>3.5712413857551444E-9</v>
      </c>
      <c r="P13" s="1">
        <f>_xlfn.POISSON.DIST($D13,'First 5 Innings'!$G$32, FALSE) * _xlfn.POISSON.DIST(P$4, 'First 5 Innings'!$G$31, FALSE)</f>
        <v>6.1205331700387042E-10</v>
      </c>
      <c r="Q13" s="1">
        <f>_xlfn.POISSON.DIST($D13,'First 5 Innings'!$G$32, FALSE) * _xlfn.POISSON.DIST(Q$4, 'First 5 Innings'!$G$31, FALSE)</f>
        <v>9.6154750461243898E-11</v>
      </c>
      <c r="R13" s="1">
        <f>_xlfn.POISSON.DIST($D13,'First 5 Innings'!$G$32, FALSE) * _xlfn.POISSON.DIST(R$4, 'First 5 Innings'!$G$31, FALSE)</f>
        <v>1.3944088423071378E-11</v>
      </c>
      <c r="S13" s="1">
        <f>_xlfn.POISSON.DIST($D13,'First 5 Innings'!$G$32, FALSE) * _xlfn.POISSON.DIST(S$4, 'First 5 Innings'!$G$31, FALSE)</f>
        <v>1.8776940395044656E-12</v>
      </c>
      <c r="T13" s="1">
        <f>_xlfn.POISSON.DIST($D13,'First 5 Innings'!$G$32, FALSE) * _xlfn.POISSON.DIST(T$4, 'First 5 Innings'!$G$31, FALSE)</f>
        <v>2.3599146910264988E-13</v>
      </c>
    </row>
    <row r="14" spans="2:20">
      <c r="B14" s="377"/>
      <c r="C14" s="377"/>
      <c r="D14" s="1">
        <v>9</v>
      </c>
      <c r="E14" s="1">
        <f>_xlfn.POISSON.DIST($D14,'First 5 Innings'!$G$32, FALSE) * _xlfn.POISSON.DIST(E$4, 'First 5 Innings'!$G$31, FALSE)</f>
        <v>3.8441202535762304E-6</v>
      </c>
      <c r="F14" s="1">
        <f>_xlfn.POISSON.DIST($D14,'First 5 Innings'!$G$32, FALSE) * _xlfn.POISSON.DIST(F$4, 'First 5 Innings'!$G$31, FALSE)</f>
        <v>7.2470240116019052E-6</v>
      </c>
      <c r="G14" s="1">
        <f>_xlfn.POISSON.DIST($D14,'First 5 Innings'!$G$32, FALSE) * _xlfn.POISSON.DIST(G$4, 'First 5 Innings'!$G$31, FALSE)</f>
        <v>6.8311282634661589E-6</v>
      </c>
      <c r="H14" s="1">
        <f>_xlfn.POISSON.DIST($D14,'First 5 Innings'!$G$32, FALSE) * _xlfn.POISSON.DIST(H$4, 'First 5 Innings'!$G$31, FALSE)</f>
        <v>4.2927334288962711E-6</v>
      </c>
      <c r="I14" s="1">
        <f>_xlfn.POISSON.DIST($D14,'First 5 Innings'!$G$32, FALSE) * _xlfn.POISSON.DIST(I$4, 'First 5 Innings'!$G$31, FALSE)</f>
        <v>2.0231899747202162E-6</v>
      </c>
      <c r="J14" s="1">
        <f>_xlfn.POISSON.DIST($D14,'First 5 Innings'!$G$32, FALSE) * _xlfn.POISSON.DIST(J$4, 'First 5 Innings'!$G$31, FALSE)</f>
        <v>7.6283286472057275E-7</v>
      </c>
      <c r="K14" s="1">
        <f>_xlfn.POISSON.DIST($D14,'First 5 Innings'!$G$32, FALSE) * _xlfn.POISSON.DIST(K$4, 'First 5 Innings'!$G$31, FALSE)</f>
        <v>2.3968501342303415E-7</v>
      </c>
      <c r="L14" s="1">
        <f>_xlfn.POISSON.DIST($D14,'First 5 Innings'!$G$32, FALSE) * _xlfn.POISSON.DIST(L$4, 'First 5 Innings'!$G$31, FALSE)</f>
        <v>6.4551386567275796E-8</v>
      </c>
      <c r="M14" s="1">
        <f>_xlfn.POISSON.DIST($D14,'First 5 Innings'!$G$32, FALSE) * _xlfn.POISSON.DIST(M$4, 'First 5 Innings'!$G$31, FALSE)</f>
        <v>1.5211720028790687E-8</v>
      </c>
      <c r="N14" s="1">
        <f>_xlfn.POISSON.DIST($D14,'First 5 Innings'!$G$32, FALSE) * _xlfn.POISSON.DIST(N$4, 'First 5 Innings'!$G$31, FALSE)</f>
        <v>3.1863872047722801E-9</v>
      </c>
      <c r="O14" s="1">
        <f>_xlfn.POISSON.DIST($D14,'First 5 Innings'!$G$32, FALSE) * _xlfn.POISSON.DIST(O$4, 'First 5 Innings'!$G$31, FALSE)</f>
        <v>6.0070505239172043E-10</v>
      </c>
      <c r="P14" s="1">
        <f>_xlfn.POISSON.DIST($D14,'First 5 Innings'!$G$32, FALSE) * _xlfn.POISSON.DIST(P$4, 'First 5 Innings'!$G$31, FALSE)</f>
        <v>1.0295118143619777E-10</v>
      </c>
      <c r="Q14" s="1">
        <f>_xlfn.POISSON.DIST($D14,'First 5 Innings'!$G$32, FALSE) * _xlfn.POISSON.DIST(Q$4, 'First 5 Innings'!$G$31, FALSE)</f>
        <v>1.6173828138284957E-11</v>
      </c>
      <c r="R14" s="1">
        <f>_xlfn.POISSON.DIST($D14,'First 5 Innings'!$G$32, FALSE) * _xlfn.POISSON.DIST(R$4, 'First 5 Innings'!$G$31, FALSE)</f>
        <v>2.3454825540908363E-12</v>
      </c>
      <c r="S14" s="1">
        <f>_xlfn.POISSON.DIST($D14,'First 5 Innings'!$G$32, FALSE) * _xlfn.POISSON.DIST(S$4, 'First 5 Innings'!$G$31, FALSE)</f>
        <v>3.1583983677923428E-13</v>
      </c>
      <c r="T14" s="1">
        <f>_xlfn.POISSON.DIST($D14,'First 5 Innings'!$G$32, FALSE) * _xlfn.POISSON.DIST(T$4, 'First 5 Innings'!$G$31, FALSE)</f>
        <v>3.9695235493394331E-14</v>
      </c>
    </row>
    <row r="15" spans="2:20">
      <c r="B15" s="377"/>
      <c r="C15" s="377"/>
      <c r="D15" s="1">
        <v>10</v>
      </c>
      <c r="E15" s="1">
        <f>_xlfn.POISSON.DIST($D15,'First 5 Innings'!$G$32, FALSE) * _xlfn.POISSON.DIST(E$4, 'First 5 Innings'!$G$31, FALSE)</f>
        <v>5.8194448036524196E-7</v>
      </c>
      <c r="F15" s="1">
        <f>_xlfn.POISSON.DIST($D15,'First 5 Innings'!$G$32, FALSE) * _xlfn.POISSON.DIST(F$4, 'First 5 Innings'!$G$31, FALSE)</f>
        <v>1.0970951334580744E-6</v>
      </c>
      <c r="G15" s="1">
        <f>_xlfn.POISSON.DIST($D15,'First 5 Innings'!$G$32, FALSE) * _xlfn.POISSON.DIST(G$4, 'First 5 Innings'!$G$31, FALSE)</f>
        <v>1.0341345029185359E-6</v>
      </c>
      <c r="H15" s="1">
        <f>_xlfn.POISSON.DIST($D15,'First 5 Innings'!$G$32, FALSE) * _xlfn.POISSON.DIST(H$4, 'First 5 Innings'!$G$31, FALSE)</f>
        <v>6.4985805849895081E-7</v>
      </c>
      <c r="I15" s="1">
        <f>_xlfn.POISSON.DIST($D15,'First 5 Innings'!$G$32, FALSE) * _xlfn.POISSON.DIST(I$4, 'First 5 Innings'!$G$31, FALSE)</f>
        <v>3.0628184366068896E-7</v>
      </c>
      <c r="J15" s="1">
        <f>_xlfn.POISSON.DIST($D15,'First 5 Innings'!$G$32, FALSE) * _xlfn.POISSON.DIST(J$4, 'First 5 Innings'!$G$31, FALSE)</f>
        <v>1.1548191674085966E-7</v>
      </c>
      <c r="K15" s="1">
        <f>_xlfn.POISSON.DIST($D15,'First 5 Innings'!$G$32, FALSE) * _xlfn.POISSON.DIST(K$4, 'First 5 Innings'!$G$31, FALSE)</f>
        <v>3.6284861395280394E-8</v>
      </c>
      <c r="L15" s="1">
        <f>_xlfn.POISSON.DIST($D15,'First 5 Innings'!$G$32, FALSE) * _xlfn.POISSON.DIST(L$4, 'First 5 Innings'!$G$31, FALSE)</f>
        <v>9.7721508784231475E-9</v>
      </c>
      <c r="M15" s="1">
        <f>_xlfn.POISSON.DIST($D15,'First 5 Innings'!$G$32, FALSE) * _xlfn.POISSON.DIST(M$4, 'First 5 Innings'!$G$31, FALSE)</f>
        <v>2.3028354795562569E-9</v>
      </c>
      <c r="N15" s="1">
        <f>_xlfn.POISSON.DIST($D15,'First 5 Innings'!$G$32, FALSE) * _xlfn.POISSON.DIST(N$4, 'First 5 Innings'!$G$31, FALSE)</f>
        <v>4.8237316311803268E-10</v>
      </c>
      <c r="O15" s="1">
        <f>_xlfn.POISSON.DIST($D15,'First 5 Innings'!$G$32, FALSE) * _xlfn.POISSON.DIST(O$4, 'First 5 Innings'!$G$31, FALSE)</f>
        <v>9.0938099358795956E-11</v>
      </c>
      <c r="P15" s="1">
        <f>_xlfn.POISSON.DIST($D15,'First 5 Innings'!$G$32, FALSE) * _xlfn.POISSON.DIST(P$4, 'First 5 Innings'!$G$31, FALSE)</f>
        <v>1.5585327157270672E-11</v>
      </c>
      <c r="Q15" s="1">
        <f>_xlfn.POISSON.DIST($D15,'First 5 Innings'!$G$32, FALSE) * _xlfn.POISSON.DIST(Q$4, 'First 5 Innings'!$G$31, FALSE)</f>
        <v>2.4484848003114941E-12</v>
      </c>
      <c r="R15" s="1">
        <f>_xlfn.POISSON.DIST($D15,'First 5 Innings'!$G$32, FALSE) * _xlfn.POISSON.DIST(R$4, 'First 5 Innings'!$G$31, FALSE)</f>
        <v>3.5507230162123875E-13</v>
      </c>
      <c r="S15" s="1">
        <f>_xlfn.POISSON.DIST($D15,'First 5 Innings'!$G$32, FALSE) * _xlfn.POISSON.DIST(S$4, 'First 5 Innings'!$G$31, FALSE)</f>
        <v>4.7813605602515117E-14</v>
      </c>
      <c r="T15" s="1">
        <f>_xlfn.POISSON.DIST($D15,'First 5 Innings'!$G$32, FALSE) * _xlfn.POISSON.DIST(T$4, 'First 5 Innings'!$G$31, FALSE)</f>
        <v>6.0092873449233732E-15</v>
      </c>
    </row>
    <row r="16" spans="2:20">
      <c r="B16" s="377"/>
      <c r="C16" s="377"/>
      <c r="D16" s="1">
        <v>11</v>
      </c>
      <c r="E16" s="1">
        <f>_xlfn.POISSON.DIST($D16,'First 5 Innings'!$G$32, FALSE) * _xlfn.POISSON.DIST(E$4, 'First 5 Innings'!$G$31, FALSE)</f>
        <v>8.0089107966549138E-8</v>
      </c>
      <c r="F16" s="1">
        <f>_xlfn.POISSON.DIST($D16,'First 5 Innings'!$G$32, FALSE) * _xlfn.POISSON.DIST(F$4, 'First 5 Innings'!$G$31, FALSE)</f>
        <v>1.5098583036298069E-7</v>
      </c>
      <c r="G16" s="1">
        <f>_xlfn.POISSON.DIST($D16,'First 5 Innings'!$G$32, FALSE) * _xlfn.POISSON.DIST(G$4, 'First 5 Innings'!$G$31, FALSE)</f>
        <v>1.4232098189881388E-7</v>
      </c>
      <c r="H16" s="1">
        <f>_xlfn.POISSON.DIST($D16,'First 5 Innings'!$G$32, FALSE) * _xlfn.POISSON.DIST(H$4, 'First 5 Innings'!$G$31, FALSE)</f>
        <v>8.9435597322598283E-8</v>
      </c>
      <c r="I16" s="1">
        <f>_xlfn.POISSON.DIST($D16,'First 5 Innings'!$G$32, FALSE) * _xlfn.POISSON.DIST(I$4, 'First 5 Innings'!$G$31, FALSE)</f>
        <v>4.2151511824184921E-8</v>
      </c>
      <c r="J16" s="1">
        <f>_xlfn.POISSON.DIST($D16,'First 5 Innings'!$G$32, FALSE) * _xlfn.POISSON.DIST(J$4, 'First 5 Innings'!$G$31, FALSE)</f>
        <v>1.5893000123032282E-8</v>
      </c>
      <c r="K16" s="1">
        <f>_xlfn.POISSON.DIST($D16,'First 5 Innings'!$G$32, FALSE) * _xlfn.POISSON.DIST(K$4, 'First 5 Innings'!$G$31, FALSE)</f>
        <v>4.9936416271428422E-9</v>
      </c>
      <c r="L16" s="1">
        <f>_xlfn.POISSON.DIST($D16,'First 5 Innings'!$G$32, FALSE) * _xlfn.POISSON.DIST(L$4, 'First 5 Innings'!$G$31, FALSE)</f>
        <v>1.344875453198275E-9</v>
      </c>
      <c r="M16" s="1">
        <f>_xlfn.POISSON.DIST($D16,'First 5 Innings'!$G$32, FALSE) * _xlfn.POISSON.DIST(M$4, 'First 5 Innings'!$G$31, FALSE)</f>
        <v>3.1692377120859915E-10</v>
      </c>
      <c r="N16" s="1">
        <f>_xlfn.POISSON.DIST($D16,'First 5 Innings'!$G$32, FALSE) * _xlfn.POISSON.DIST(N$4, 'First 5 Innings'!$G$31, FALSE)</f>
        <v>6.6385776727152861E-11</v>
      </c>
      <c r="O16" s="1">
        <f>_xlfn.POISSON.DIST($D16,'First 5 Innings'!$G$32, FALSE) * _xlfn.POISSON.DIST(O$4, 'First 5 Innings'!$G$31, FALSE)</f>
        <v>1.2515199479593495E-11</v>
      </c>
      <c r="P16" s="1">
        <f>_xlfn.POISSON.DIST($D16,'First 5 Innings'!$G$32, FALSE) * _xlfn.POISSON.DIST(P$4, 'First 5 Innings'!$G$31, FALSE)</f>
        <v>2.1449038379215015E-12</v>
      </c>
      <c r="Q16" s="1">
        <f>_xlfn.POISSON.DIST($D16,'First 5 Innings'!$G$32, FALSE) * _xlfn.POISSON.DIST(Q$4, 'First 5 Innings'!$G$31, FALSE)</f>
        <v>3.3696850841084832E-13</v>
      </c>
      <c r="R16" s="1">
        <f>_xlfn.POISSON.DIST($D16,'First 5 Innings'!$G$32, FALSE) * _xlfn.POISSON.DIST(R$4, 'First 5 Innings'!$G$31, FALSE)</f>
        <v>4.8866214664715956E-14</v>
      </c>
      <c r="S16" s="1">
        <f>_xlfn.POISSON.DIST($D16,'First 5 Innings'!$G$32, FALSE) * _xlfn.POISSON.DIST(S$4, 'First 5 Innings'!$G$31, FALSE)</f>
        <v>6.5802652152769683E-15</v>
      </c>
      <c r="T16" s="1">
        <f>_xlfn.POISSON.DIST($D16,'First 5 Innings'!$G$32, FALSE) * _xlfn.POISSON.DIST(T$4, 'First 5 Innings'!$G$31, FALSE)</f>
        <v>8.2701783281374869E-16</v>
      </c>
    </row>
    <row r="17" spans="2:20">
      <c r="B17" s="377"/>
      <c r="C17" s="377"/>
      <c r="D17" s="1">
        <v>12</v>
      </c>
      <c r="E17" s="1">
        <f>_xlfn.POISSON.DIST($D17,'First 5 Innings'!$G$32, FALSE) * _xlfn.POISSON.DIST(E$4, 'First 5 Innings'!$G$31, FALSE)</f>
        <v>1.0103615227946648E-8</v>
      </c>
      <c r="F17" s="1">
        <f>_xlfn.POISSON.DIST($D17,'First 5 Innings'!$G$32, FALSE) * _xlfn.POISSON.DIST(F$4, 'First 5 Innings'!$G$31, FALSE)</f>
        <v>1.9047568060025573E-8</v>
      </c>
      <c r="G17" s="1">
        <f>_xlfn.POISSON.DIST($D17,'First 5 Innings'!$G$32, FALSE) * _xlfn.POISSON.DIST(G$4, 'First 5 Innings'!$G$31, FALSE)</f>
        <v>1.7954456935264746E-8</v>
      </c>
      <c r="H17" s="1">
        <f>_xlfn.POISSON.DIST($D17,'First 5 Innings'!$G$32, FALSE) * _xlfn.POISSON.DIST(H$4, 'First 5 Innings'!$G$31, FALSE)</f>
        <v>1.1282718536539639E-8</v>
      </c>
      <c r="I17" s="1">
        <f>_xlfn.POISSON.DIST($D17,'First 5 Innings'!$G$32, FALSE) * _xlfn.POISSON.DIST(I$4, 'First 5 Innings'!$G$31, FALSE)</f>
        <v>5.3176101914593253E-9</v>
      </c>
      <c r="J17" s="1">
        <f>_xlfn.POISSON.DIST($D17,'First 5 Innings'!$G$32, FALSE) * _xlfn.POISSON.DIST(J$4, 'First 5 Innings'!$G$31, FALSE)</f>
        <v>2.0049762338206478E-9</v>
      </c>
      <c r="K17" s="1">
        <f>_xlfn.POISSON.DIST($D17,'First 5 Innings'!$G$32, FALSE) * _xlfn.POISSON.DIST(K$4, 'First 5 Innings'!$G$31, FALSE)</f>
        <v>6.2997122664896927E-10</v>
      </c>
      <c r="L17" s="1">
        <f>_xlfn.POISSON.DIST($D17,'First 5 Innings'!$G$32, FALSE) * _xlfn.POISSON.DIST(L$4, 'First 5 Innings'!$G$31, FALSE)</f>
        <v>1.6966232305023418E-10</v>
      </c>
      <c r="M17" s="1">
        <f>_xlfn.POISSON.DIST($D17,'First 5 Innings'!$G$32, FALSE) * _xlfn.POISSON.DIST(M$4, 'First 5 Innings'!$G$31, FALSE)</f>
        <v>3.9981414728940348E-11</v>
      </c>
      <c r="N17" s="1">
        <f>_xlfn.POISSON.DIST($D17,'First 5 Innings'!$G$32, FALSE) * _xlfn.POISSON.DIST(N$4, 'First 5 Innings'!$G$31, FALSE)</f>
        <v>8.3748759561621608E-12</v>
      </c>
      <c r="O17" s="1">
        <f>_xlfn.POISSON.DIST($D17,'First 5 Innings'!$G$32, FALSE) * _xlfn.POISSON.DIST(O$4, 'First 5 Innings'!$G$31, FALSE)</f>
        <v>1.5788508981224353E-12</v>
      </c>
      <c r="P17" s="1">
        <f>_xlfn.POISSON.DIST($D17,'First 5 Innings'!$G$32, FALSE) * _xlfn.POISSON.DIST(P$4, 'First 5 Innings'!$G$31, FALSE)</f>
        <v>2.7058964233134355E-13</v>
      </c>
      <c r="Q17" s="1">
        <f>_xlfn.POISSON.DIST($D17,'First 5 Innings'!$G$32, FALSE) * _xlfn.POISSON.DIST(Q$4, 'First 5 Innings'!$G$31, FALSE)</f>
        <v>4.2510151996452705E-14</v>
      </c>
      <c r="R17" s="1">
        <f>_xlfn.POISSON.DIST($D17,'First 5 Innings'!$G$32, FALSE) * _xlfn.POISSON.DIST(R$4, 'First 5 Innings'!$G$31, FALSE)</f>
        <v>6.1647013327298949E-15</v>
      </c>
      <c r="S17" s="1">
        <f>_xlfn.POISSON.DIST($D17,'First 5 Innings'!$G$32, FALSE) * _xlfn.POISSON.DIST(S$4, 'First 5 Innings'!$G$31, FALSE)</f>
        <v>8.3013120661511946E-16</v>
      </c>
      <c r="T17" s="1">
        <f>_xlfn.POISSON.DIST($D17,'First 5 Innings'!$G$32, FALSE) * _xlfn.POISSON.DIST(T$4, 'First 5 Innings'!$G$31, FALSE)</f>
        <v>1.0433216427994712E-16</v>
      </c>
    </row>
    <row r="18" spans="2:20">
      <c r="B18" s="377"/>
      <c r="C18" s="377"/>
      <c r="D18" s="1">
        <v>13</v>
      </c>
      <c r="E18" s="1">
        <f>_xlfn.POISSON.DIST($D18,'First 5 Innings'!$G$32, FALSE) * _xlfn.POISSON.DIST(E$4, 'First 5 Innings'!$G$31, FALSE)</f>
        <v>1.1765707157509468E-9</v>
      </c>
      <c r="F18" s="1">
        <f>_xlfn.POISSON.DIST($D18,'First 5 Innings'!$G$32, FALSE) * _xlfn.POISSON.DIST(F$4, 'First 5 Innings'!$G$31, FALSE)</f>
        <v>2.2180982034738172E-9</v>
      </c>
      <c r="G18" s="1">
        <f>_xlfn.POISSON.DIST($D18,'First 5 Innings'!$G$32, FALSE) * _xlfn.POISSON.DIST(G$4, 'First 5 Innings'!$G$31, FALSE)</f>
        <v>2.0908049020723792E-9</v>
      </c>
      <c r="H18" s="1">
        <f>_xlfn.POISSON.DIST($D18,'First 5 Innings'!$G$32, FALSE) * _xlfn.POISSON.DIST(H$4, 'First 5 Innings'!$G$31, FALSE)</f>
        <v>1.3138778471526149E-9</v>
      </c>
      <c r="I18" s="1">
        <f>_xlfn.POISSON.DIST($D18,'First 5 Innings'!$G$32, FALSE) * _xlfn.POISSON.DIST(I$4, 'First 5 Innings'!$G$31, FALSE)</f>
        <v>6.1923819226054805E-10</v>
      </c>
      <c r="J18" s="1">
        <f>_xlfn.POISSON.DIST($D18,'First 5 Innings'!$G$32, FALSE) * _xlfn.POISSON.DIST(J$4, 'First 5 Innings'!$G$31, FALSE)</f>
        <v>2.3348041955962477E-10</v>
      </c>
      <c r="K18" s="1">
        <f>_xlfn.POISSON.DIST($D18,'First 5 Innings'!$G$32, FALSE) * _xlfn.POISSON.DIST(K$4, 'First 5 Innings'!$G$31, FALSE)</f>
        <v>7.3360443793494945E-11</v>
      </c>
      <c r="L18" s="1">
        <f>_xlfn.POISSON.DIST($D18,'First 5 Innings'!$G$32, FALSE) * _xlfn.POISSON.DIST(L$4, 'First 5 Innings'!$G$31, FALSE)</f>
        <v>1.975725681981963E-11</v>
      </c>
      <c r="M18" s="1">
        <f>_xlfn.POISSON.DIST($D18,'First 5 Innings'!$G$32, FALSE) * _xlfn.POISSON.DIST(M$4, 'First 5 Innings'!$G$31, FALSE)</f>
        <v>4.6558544326044074E-12</v>
      </c>
      <c r="N18" s="1">
        <f>_xlfn.POISSON.DIST($D18,'First 5 Innings'!$G$32, FALSE) * _xlfn.POISSON.DIST(N$4, 'First 5 Innings'!$G$31, FALSE)</f>
        <v>9.7525821953432172E-13</v>
      </c>
      <c r="O18" s="1">
        <f>_xlfn.POISSON.DIST($D18,'First 5 Innings'!$G$32, FALSE) * _xlfn.POISSON.DIST(O$4, 'First 5 Innings'!$G$31, FALSE)</f>
        <v>1.8385792504545563E-13</v>
      </c>
      <c r="P18" s="1">
        <f>_xlfn.POISSON.DIST($D18,'First 5 Innings'!$G$32, FALSE) * _xlfn.POISSON.DIST(P$4, 'First 5 Innings'!$G$31, FALSE)</f>
        <v>3.1510290323801585E-14</v>
      </c>
      <c r="Q18" s="1">
        <f>_xlfn.POISSON.DIST($D18,'First 5 Innings'!$G$32, FALSE) * _xlfn.POISSON.DIST(Q$4, 'First 5 Innings'!$G$31, FALSE)</f>
        <v>4.9503270693447286E-15</v>
      </c>
      <c r="R18" s="1">
        <f>_xlfn.POISSON.DIST($D18,'First 5 Innings'!$G$32, FALSE) * _xlfn.POISSON.DIST(R$4, 'First 5 Innings'!$G$31, FALSE)</f>
        <v>7.1788235159415242E-16</v>
      </c>
      <c r="S18" s="1">
        <f>_xlfn.POISSON.DIST($D18,'First 5 Innings'!$G$32, FALSE) * _xlfn.POISSON.DIST(S$4, 'First 5 Innings'!$G$31, FALSE)</f>
        <v>9.6669167015858735E-17</v>
      </c>
      <c r="T18" s="1">
        <f>_xlfn.POISSON.DIST($D18,'First 5 Innings'!$G$32, FALSE) * _xlfn.POISSON.DIST(T$4, 'First 5 Innings'!$G$31, FALSE)</f>
        <v>1.214952929553019E-17</v>
      </c>
    </row>
    <row r="19" spans="2:20">
      <c r="B19" s="377"/>
      <c r="C19" s="377"/>
      <c r="D19" s="1">
        <v>14</v>
      </c>
      <c r="E19" s="1">
        <f>_xlfn.POISSON.DIST($D19,'First 5 Innings'!$G$32, FALSE) * _xlfn.POISSON.DIST(E$4, 'First 5 Innings'!$G$31, FALSE)</f>
        <v>1.2722562336850875E-10</v>
      </c>
      <c r="F19" s="1">
        <f>_xlfn.POISSON.DIST($D19,'First 5 Innings'!$G$32, FALSE) * _xlfn.POISSON.DIST(F$4, 'First 5 Innings'!$G$31, FALSE)</f>
        <v>2.3984867450097305E-10</v>
      </c>
      <c r="G19" s="1">
        <f>_xlfn.POISSON.DIST($D19,'First 5 Innings'!$G$32, FALSE) * _xlfn.POISSON.DIST(G$4, 'First 5 Innings'!$G$31, FALSE)</f>
        <v>2.2608412180165067E-10</v>
      </c>
      <c r="H19" s="1">
        <f>_xlfn.POISSON.DIST($D19,'First 5 Innings'!$G$32, FALSE) * _xlfn.POISSON.DIST(H$4, 'First 5 Innings'!$G$31, FALSE)</f>
        <v>1.4207299731013315E-10</v>
      </c>
      <c r="I19" s="1">
        <f>_xlfn.POISSON.DIST($D19,'First 5 Innings'!$G$32, FALSE) * _xlfn.POISSON.DIST(I$4, 'First 5 Innings'!$G$31, FALSE)</f>
        <v>6.6959821427863296E-11</v>
      </c>
      <c r="J19" s="1">
        <f>_xlfn.POISSON.DIST($D19,'First 5 Innings'!$G$32, FALSE) * _xlfn.POISSON.DIST(J$4, 'First 5 Innings'!$G$31, FALSE)</f>
        <v>2.5246839416579557E-11</v>
      </c>
      <c r="K19" s="1">
        <f>_xlfn.POISSON.DIST($D19,'First 5 Innings'!$G$32, FALSE) * _xlfn.POISSON.DIST(K$4, 'First 5 Innings'!$G$31, FALSE)</f>
        <v>7.9326538280028869E-12</v>
      </c>
      <c r="L19" s="1">
        <f>_xlfn.POISSON.DIST($D19,'First 5 Innings'!$G$32, FALSE) * _xlfn.POISSON.DIST(L$4, 'First 5 Innings'!$G$31, FALSE)</f>
        <v>2.1364030918863625E-12</v>
      </c>
      <c r="M19" s="1">
        <f>_xlfn.POISSON.DIST($D19,'First 5 Innings'!$G$32, FALSE) * _xlfn.POISSON.DIST(M$4, 'First 5 Innings'!$G$31, FALSE)</f>
        <v>5.0344953734724439E-13</v>
      </c>
      <c r="N19" s="1">
        <f>_xlfn.POISSON.DIST($D19,'First 5 Innings'!$G$32, FALSE) * _xlfn.POISSON.DIST(N$4, 'First 5 Innings'!$G$31, FALSE)</f>
        <v>1.0545718439568956E-13</v>
      </c>
      <c r="O19" s="1">
        <f>_xlfn.POISSON.DIST($D19,'First 5 Innings'!$G$32, FALSE) * _xlfn.POISSON.DIST(O$4, 'First 5 Innings'!$G$31, FALSE)</f>
        <v>1.9881031213851905E-14</v>
      </c>
      <c r="P19" s="1">
        <f>_xlfn.POISSON.DIST($D19,'First 5 Innings'!$G$32, FALSE) * _xlfn.POISSON.DIST(P$4, 'First 5 Innings'!$G$31, FALSE)</f>
        <v>3.4072888907571132E-15</v>
      </c>
      <c r="Q19" s="1">
        <f>_xlfn.POISSON.DIST($D19,'First 5 Innings'!$G$32, FALSE) * _xlfn.POISSON.DIST(Q$4, 'First 5 Innings'!$G$31, FALSE)</f>
        <v>5.3529162237682467E-16</v>
      </c>
      <c r="R19" s="1">
        <f>_xlfn.POISSON.DIST($D19,'First 5 Innings'!$G$32, FALSE) * _xlfn.POISSON.DIST(R$4, 'First 5 Innings'!$G$31, FALSE)</f>
        <v>7.762646857016466E-17</v>
      </c>
      <c r="S19" s="1">
        <f>_xlfn.POISSON.DIST($D19,'First 5 Innings'!$G$32, FALSE) * _xlfn.POISSON.DIST(S$4, 'First 5 Innings'!$G$31, FALSE)</f>
        <v>1.0453086133677398E-17</v>
      </c>
      <c r="T19" s="1">
        <f>_xlfn.POISSON.DIST($D19,'First 5 Innings'!$G$32, FALSE) * _xlfn.POISSON.DIST(T$4, 'First 5 Innings'!$G$31, FALSE)</f>
        <v>1.3137599105305148E-18</v>
      </c>
    </row>
    <row r="20" spans="2:20">
      <c r="B20" s="377"/>
      <c r="C20" s="377"/>
      <c r="D20" s="1">
        <v>15</v>
      </c>
      <c r="E20" s="1">
        <f>_xlfn.POISSON.DIST($D20,'First 5 Innings'!$G$32, FALSE) * _xlfn.POISSON.DIST(E$4, 'First 5 Innings'!$G$31, FALSE)</f>
        <v>1.2840085532609142E-11</v>
      </c>
      <c r="F20" s="1">
        <f>_xlfn.POISSON.DIST($D20,'First 5 Innings'!$G$32, FALSE) * _xlfn.POISSON.DIST(F$4, 'First 5 Innings'!$G$31, FALSE)</f>
        <v>2.4206424884672357E-11</v>
      </c>
      <c r="G20" s="1">
        <f>_xlfn.POISSON.DIST($D20,'First 5 Innings'!$G$32, FALSE) * _xlfn.POISSON.DIST(G$4, 'First 5 Innings'!$G$31, FALSE)</f>
        <v>2.2817254768637758E-11</v>
      </c>
      <c r="H20" s="1">
        <f>_xlfn.POISSON.DIST($D20,'First 5 Innings'!$G$32, FALSE) * _xlfn.POISSON.DIST(H$4, 'First 5 Innings'!$G$31, FALSE)</f>
        <v>1.4338538016452718E-11</v>
      </c>
      <c r="I20" s="1">
        <f>_xlfn.POISSON.DIST($D20,'First 5 Innings'!$G$32, FALSE) * _xlfn.POISSON.DIST(I$4, 'First 5 Innings'!$G$31, FALSE)</f>
        <v>6.7578355021431293E-12</v>
      </c>
      <c r="J20" s="1">
        <f>_xlfn.POISSON.DIST($D20,'First 5 Innings'!$G$32, FALSE) * _xlfn.POISSON.DIST(J$4, 'First 5 Innings'!$G$31, FALSE)</f>
        <v>2.5480054171003516E-12</v>
      </c>
      <c r="K20" s="1">
        <f>_xlfn.POISSON.DIST($D20,'First 5 Innings'!$G$32, FALSE) * _xlfn.POISSON.DIST(K$4, 'First 5 Innings'!$G$31, FALSE)</f>
        <v>8.0059307987912796E-13</v>
      </c>
      <c r="L20" s="1">
        <f>_xlfn.POISSON.DIST($D20,'First 5 Innings'!$G$32, FALSE) * _xlfn.POISSON.DIST(L$4, 'First 5 Innings'!$G$31, FALSE)</f>
        <v>2.1561378679588741E-13</v>
      </c>
      <c r="M20" s="1">
        <f>_xlfn.POISSON.DIST($D20,'First 5 Innings'!$G$32, FALSE) * _xlfn.POISSON.DIST(M$4, 'First 5 Innings'!$G$31, FALSE)</f>
        <v>5.0810009412704427E-14</v>
      </c>
      <c r="N20" s="1">
        <f>_xlfn.POISSON.DIST($D20,'First 5 Innings'!$G$32, FALSE) * _xlfn.POISSON.DIST(N$4, 'First 5 Innings'!$G$31, FALSE)</f>
        <v>1.064313329199968E-14</v>
      </c>
      <c r="O20" s="1">
        <f>_xlfn.POISSON.DIST($D20,'First 5 Innings'!$G$32, FALSE) * _xlfn.POISSON.DIST(O$4, 'First 5 Innings'!$G$31, FALSE)</f>
        <v>2.0064679936598113E-15</v>
      </c>
      <c r="P20" s="1">
        <f>_xlfn.POISSON.DIST($D20,'First 5 Innings'!$G$32, FALSE) * _xlfn.POISSON.DIST(P$4, 'First 5 Innings'!$G$31, FALSE)</f>
        <v>3.4387633271726102E-16</v>
      </c>
      <c r="Q20" s="1">
        <f>_xlfn.POISSON.DIST($D20,'First 5 Innings'!$G$32, FALSE) * _xlfn.POISSON.DIST(Q$4, 'First 5 Innings'!$G$31, FALSE)</f>
        <v>5.4023631672838111E-17</v>
      </c>
      <c r="R20" s="1">
        <f>_xlfn.POISSON.DIST($D20,'First 5 Innings'!$G$32, FALSE) * _xlfn.POISSON.DIST(R$4, 'First 5 Innings'!$G$31, FALSE)</f>
        <v>7.8343534081046064E-18</v>
      </c>
      <c r="S20" s="1">
        <f>_xlfn.POISSON.DIST($D20,'First 5 Innings'!$G$32, FALSE) * _xlfn.POISSON.DIST(S$4, 'First 5 Innings'!$G$31, FALSE)</f>
        <v>1.0549645305913316E-18</v>
      </c>
      <c r="T20" s="1">
        <f>_xlfn.POISSON.DIST($D20,'First 5 Innings'!$G$32, FALSE) * _xlfn.POISSON.DIST(T$4, 'First 5 Innings'!$G$31, FALSE)</f>
        <v>1.3258956155132623E-19</v>
      </c>
    </row>
    <row r="24" spans="2:20">
      <c r="D24" s="1" t="s">
        <v>738</v>
      </c>
      <c r="E24" s="1" t="e">
        <f>E3</f>
        <v>#REF!</v>
      </c>
      <c r="F24" s="1">
        <f>1-F25</f>
        <v>0.57681006276522295</v>
      </c>
      <c r="H24" s="1" t="s">
        <v>345</v>
      </c>
      <c r="I24" s="1">
        <v>3</v>
      </c>
      <c r="J24" s="1">
        <f>SUM(E9:E20,F8:F20,G7:G20,H6:H20,I5:T20)</f>
        <v>0.44144160924819137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0.42318993723477705</v>
      </c>
      <c r="H25" s="1" t="s">
        <v>348</v>
      </c>
      <c r="I25" s="1">
        <v>3</v>
      </c>
      <c r="J25" s="1">
        <f>SUM(E8,F7,G6,H5)</f>
        <v>0.21864082952398042</v>
      </c>
    </row>
    <row r="26" spans="2:20">
      <c r="H26" s="1" t="s">
        <v>346</v>
      </c>
      <c r="I26" s="1">
        <v>3</v>
      </c>
      <c r="J26" s="1">
        <f>SUM(E5:E7,F5:F6,G5)</f>
        <v>0.33991756101149651</v>
      </c>
    </row>
    <row r="27" spans="2:20">
      <c r="H27" s="1" t="s">
        <v>345</v>
      </c>
      <c r="I27" s="1">
        <v>3.5</v>
      </c>
      <c r="J27" s="1">
        <f>SUM(E9:E20,F8:F20,G7:G20,H6:H20,I5:T20)</f>
        <v>0.44144160924819137</v>
      </c>
    </row>
    <row r="28" spans="2:20">
      <c r="H28" s="1" t="s">
        <v>346</v>
      </c>
      <c r="I28" s="1">
        <v>3.5</v>
      </c>
      <c r="J28" s="1">
        <f>SUM(E5:E8,F5:F7,G5:G6,H5)</f>
        <v>0.55855839053547696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0.25564724068891859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0.46548503578802097</v>
      </c>
      <c r="H30" s="1" t="s">
        <v>348</v>
      </c>
      <c r="I30" s="1">
        <v>4</v>
      </c>
      <c r="J30" s="1">
        <f>SUM(E9,F8,G7,H6,I5)</f>
        <v>0.18579436855927264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0.31186491047390674</v>
      </c>
      <c r="H31" s="1" t="s">
        <v>346</v>
      </c>
      <c r="I31" s="1">
        <v>4</v>
      </c>
      <c r="J31" s="1">
        <f>1-J30-J29</f>
        <v>0.5585583907518088</v>
      </c>
    </row>
    <row r="32" spans="2:20">
      <c r="D32" s="1" t="s">
        <v>348</v>
      </c>
      <c r="F32" s="1">
        <f>1-F31-F30</f>
        <v>0.22265005373807228</v>
      </c>
      <c r="H32" s="1" t="s">
        <v>345</v>
      </c>
      <c r="I32" s="1">
        <v>4.5</v>
      </c>
      <c r="J32" s="1">
        <f>SUM(E10:E20,F9:F20,G8:G20,H7:H20,I6:I20,J5:T20)</f>
        <v>0.25564724068891859</v>
      </c>
    </row>
    <row r="33" spans="8:10">
      <c r="H33" s="1" t="s">
        <v>346</v>
      </c>
      <c r="I33" s="1">
        <v>4.5</v>
      </c>
      <c r="J33" s="1">
        <f>1-J32</f>
        <v>0.74435275931108147</v>
      </c>
    </row>
    <row r="34" spans="8:10">
      <c r="H34" s="1" t="s">
        <v>345</v>
      </c>
      <c r="I34" s="1">
        <v>5</v>
      </c>
      <c r="J34" s="1">
        <f>SUM(E11:E20,F10:F20,G9:G20,H8:H20,I7:I20,J6:J20,K5:T20)</f>
        <v>0.1293412896421943</v>
      </c>
    </row>
    <row r="35" spans="8:10">
      <c r="H35" s="1" t="s">
        <v>348</v>
      </c>
      <c r="I35" s="1">
        <v>5</v>
      </c>
      <c r="J35" s="1">
        <f>SUM(E10,F9,G8,H7,I6,J5)</f>
        <v>0.12630595104672435</v>
      </c>
    </row>
    <row r="36" spans="8:10">
      <c r="H36" s="1" t="s">
        <v>346</v>
      </c>
      <c r="I36" s="1">
        <v>5</v>
      </c>
      <c r="J36" s="1">
        <f>SUM(E5:E9,F5:F8,G5:G7,H5:H6,I5)</f>
        <v>0.74435275909474963</v>
      </c>
    </row>
    <row r="37" spans="8:10">
      <c r="H37" s="1" t="s">
        <v>345</v>
      </c>
      <c r="I37" s="1">
        <v>5.5</v>
      </c>
      <c r="J37" s="1">
        <f>SUM(E11:E20,F10:F20,G9:G20,H8:H20,I7:I20,J6:J20,K5:T20)</f>
        <v>0.1293412896421943</v>
      </c>
    </row>
    <row r="38" spans="8:10">
      <c r="H38" s="1" t="s">
        <v>346</v>
      </c>
      <c r="I38" s="1">
        <v>5.5</v>
      </c>
      <c r="J38" s="1">
        <f>1-J37</f>
        <v>0.87065871035780573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5.7787303221950734E-2</v>
      </c>
    </row>
    <row r="40" spans="8:10">
      <c r="H40" s="1" t="s">
        <v>348</v>
      </c>
      <c r="I40" s="1">
        <v>6</v>
      </c>
      <c r="J40" s="1">
        <f>SUM(E11,F10,G9,H8,I7,J6,K5)</f>
        <v>7.1553986420243645E-2</v>
      </c>
    </row>
    <row r="41" spans="8:10">
      <c r="H41" s="1" t="s">
        <v>346</v>
      </c>
      <c r="I41" s="1">
        <v>6</v>
      </c>
      <c r="J41" s="1">
        <f>SUM(E5:E10,F5:F9,G5:G8,H5:H7,I5:I6,J5)</f>
        <v>0.870658710141474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5.7787303221950734E-2</v>
      </c>
    </row>
    <row r="43" spans="8:10">
      <c r="H43" s="1" t="s">
        <v>346</v>
      </c>
      <c r="I43" s="1">
        <v>6.5</v>
      </c>
      <c r="J43" s="1">
        <f>1-J42</f>
        <v>0.94221269677804931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B2:T43"/>
  <sheetViews>
    <sheetView workbookViewId="0"/>
  </sheetViews>
  <sheetFormatPr defaultColWidth="12.5703125" defaultRowHeight="15" customHeight="1"/>
  <cols>
    <col min="1" max="1" width="14.42578125" customWidth="1"/>
    <col min="2" max="3" width="3.5703125" customWidth="1"/>
    <col min="4" max="4" width="5.42578125" customWidth="1"/>
  </cols>
  <sheetData>
    <row r="2" spans="2:20">
      <c r="E2" s="398" t="s">
        <v>735</v>
      </c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7"/>
      <c r="T2" s="377"/>
    </row>
    <row r="3" spans="2:20">
      <c r="E3" s="398" t="e">
        <f>#REF!</f>
        <v>#REF!</v>
      </c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</row>
    <row r="4" spans="2:20">
      <c r="E4" s="1">
        <v>0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</row>
    <row r="5" spans="2:20">
      <c r="B5" s="405" t="s">
        <v>736</v>
      </c>
      <c r="C5" s="405" t="e">
        <f>#REF!</f>
        <v>#REF!</v>
      </c>
      <c r="D5" s="1">
        <v>0</v>
      </c>
      <c r="E5" s="1">
        <f>_xlfn.POISSON.DIST($D5,'First 5 Innings'!$G$34, FALSE) * _xlfn.POISSON.DIST(E$4, 'First 5 Innings'!$G$33, FALSE)</f>
        <v>4.7348283287839313E-2</v>
      </c>
      <c r="F5" s="1">
        <f>_xlfn.POISSON.DIST($D5,'First 5 Innings'!$G$34, FALSE) * _xlfn.POISSON.DIST(F$4, 'First 5 Innings'!$G$33, FALSE)</f>
        <v>7.4901860267138645E-2</v>
      </c>
      <c r="G5" s="1">
        <f>_xlfn.POISSON.DIST($D5,'First 5 Innings'!$G$34, FALSE) * _xlfn.POISSON.DIST(G$4, 'First 5 Innings'!$G$33, FALSE)</f>
        <v>5.9244900574028633E-2</v>
      </c>
      <c r="H5" s="1">
        <f>_xlfn.POISSON.DIST($D5,'First 5 Innings'!$G$34, FALSE) * _xlfn.POISSON.DIST(H$4, 'First 5 Innings'!$G$33, FALSE)</f>
        <v>3.1240507970547216E-2</v>
      </c>
      <c r="I5" s="1">
        <f>_xlfn.POISSON.DIST($D5,'First 5 Innings'!$G$34, FALSE) * _xlfn.POISSON.DIST(I$4, 'First 5 Innings'!$G$33, FALSE)</f>
        <v>1.2355105614174107E-2</v>
      </c>
      <c r="J5" s="1">
        <f>_xlfn.POISSON.DIST($D5,'First 5 Innings'!$G$34, FALSE) * _xlfn.POISSON.DIST(J$4, 'First 5 Innings'!$G$33, FALSE)</f>
        <v>3.9089923859448074E-3</v>
      </c>
      <c r="K5" s="1">
        <f>_xlfn.POISSON.DIST($D5,'First 5 Innings'!$G$34, FALSE) * _xlfn.POISSON.DIST(K$4, 'First 5 Innings'!$G$33, FALSE)</f>
        <v>1.0306280085433284E-3</v>
      </c>
      <c r="L5" s="1">
        <f>_xlfn.POISSON.DIST($D5,'First 5 Innings'!$G$34, FALSE) * _xlfn.POISSON.DIST(L$4, 'First 5 Innings'!$G$33, FALSE)</f>
        <v>2.3291221597811633E-4</v>
      </c>
      <c r="M5" s="1">
        <f>_xlfn.POISSON.DIST($D5,'First 5 Innings'!$G$34, FALSE) * _xlfn.POISSON.DIST(M$4, 'First 5 Innings'!$G$33, FALSE)</f>
        <v>4.6056469855642811E-5</v>
      </c>
      <c r="N5" s="1">
        <f>_xlfn.POISSON.DIST($D5,'First 5 Innings'!$G$34, FALSE) * _xlfn.POISSON.DIST(N$4, 'First 5 Innings'!$G$33, FALSE)</f>
        <v>8.0953662941426865E-6</v>
      </c>
      <c r="O5" s="1">
        <f>_xlfn.POISSON.DIST($D5,'First 5 Innings'!$G$34, FALSE) * _xlfn.POISSON.DIST(O$4, 'First 5 Innings'!$G$33, FALSE)</f>
        <v>1.2806335369943883E-6</v>
      </c>
      <c r="P5" s="1">
        <f>_xlfn.POISSON.DIST($D5,'First 5 Innings'!$G$34, FALSE) * _xlfn.POISSON.DIST(P$4, 'First 5 Innings'!$G$33, FALSE)</f>
        <v>1.8417070575090159E-7</v>
      </c>
      <c r="Q5" s="1">
        <f>_xlfn.POISSON.DIST($D5,'First 5 Innings'!$G$34, FALSE) * _xlfn.POISSON.DIST(Q$4, 'First 5 Innings'!$G$33, FALSE)</f>
        <v>2.4278825456728823E-8</v>
      </c>
      <c r="R5" s="1">
        <f>_xlfn.POISSON.DIST($D5,'First 5 Innings'!$G$34, FALSE) * _xlfn.POISSON.DIST(R$4, 'First 5 Innings'!$G$33, FALSE)</f>
        <v>2.9544230792502694E-9</v>
      </c>
      <c r="S5" s="1">
        <f>_xlfn.POISSON.DIST($D5,'First 5 Innings'!$G$34, FALSE) * _xlfn.POISSON.DIST(S$4, 'First 5 Innings'!$G$33, FALSE)</f>
        <v>3.3383588482989675E-10</v>
      </c>
      <c r="T5" s="1">
        <f>_xlfn.POISSON.DIST($D5,'First 5 Innings'!$G$34, FALSE) * _xlfn.POISSON.DIST(T$4, 'First 5 Innings'!$G$33, FALSE)</f>
        <v>3.5207089622342466E-11</v>
      </c>
    </row>
    <row r="6" spans="2:20">
      <c r="B6" s="377"/>
      <c r="C6" s="377"/>
      <c r="D6" s="1">
        <v>1</v>
      </c>
      <c r="E6" s="1">
        <f>_xlfn.POISSON.DIST($D6,'First 5 Innings'!$G$34, FALSE) * _xlfn.POISSON.DIST(E$4, 'First 5 Innings'!$G$33, FALSE)</f>
        <v>6.9521043668505589E-2</v>
      </c>
      <c r="F6" s="1">
        <f>_xlfn.POISSON.DIST($D6,'First 5 Innings'!$G$34, FALSE) * _xlfn.POISSON.DIST(F$4, 'First 5 Innings'!$G$33, FALSE)</f>
        <v>0.1099777042987629</v>
      </c>
      <c r="G6" s="1">
        <f>_xlfn.POISSON.DIST($D6,'First 5 Innings'!$G$34, FALSE) * _xlfn.POISSON.DIST(G$4, 'First 5 Innings'!$G$33, FALSE)</f>
        <v>8.6988736104845421E-2</v>
      </c>
      <c r="H6" s="1">
        <f>_xlfn.POISSON.DIST($D6,'First 5 Innings'!$G$34, FALSE) * _xlfn.POISSON.DIST(H$4, 'First 5 Innings'!$G$33, FALSE)</f>
        <v>4.5870147089462111E-2</v>
      </c>
      <c r="I6" s="1">
        <f>_xlfn.POISSON.DIST($D6,'First 5 Innings'!$G$34, FALSE) * _xlfn.POISSON.DIST(I$4, 'First 5 Innings'!$G$33, FALSE)</f>
        <v>1.8140886581047434E-2</v>
      </c>
      <c r="J6" s="1">
        <f>_xlfn.POISSON.DIST($D6,'First 5 Innings'!$G$34, FALSE) * _xlfn.POISSON.DIST(J$4, 'First 5 Innings'!$G$33, FALSE)</f>
        <v>5.7395371382539971E-3</v>
      </c>
      <c r="K6" s="1">
        <f>_xlfn.POISSON.DIST($D6,'First 5 Innings'!$G$34, FALSE) * _xlfn.POISSON.DIST(K$4, 'First 5 Innings'!$G$33, FALSE)</f>
        <v>1.5132615126159808E-3</v>
      </c>
      <c r="L6" s="1">
        <f>_xlfn.POISSON.DIST($D6,'First 5 Innings'!$G$34, FALSE) * _xlfn.POISSON.DIST(L$4, 'First 5 Innings'!$G$33, FALSE)</f>
        <v>3.4198283894490802E-4</v>
      </c>
      <c r="M6" s="1">
        <f>_xlfn.POISSON.DIST($D6,'First 5 Innings'!$G$34, FALSE) * _xlfn.POISSON.DIST(M$4, 'First 5 Innings'!$G$33, FALSE)</f>
        <v>6.7624286029261652E-5</v>
      </c>
      <c r="N6" s="1">
        <f>_xlfn.POISSON.DIST($D6,'First 5 Innings'!$G$34, FALSE) * _xlfn.POISSON.DIST(N$4, 'First 5 Innings'!$G$33, FALSE)</f>
        <v>1.1886350983968793E-5</v>
      </c>
      <c r="O6" s="1">
        <f>_xlfn.POISSON.DIST($D6,'First 5 Innings'!$G$34, FALSE) * _xlfn.POISSON.DIST(O$4, 'First 5 Innings'!$G$33, FALSE)</f>
        <v>1.8803423031729197E-6</v>
      </c>
      <c r="P6" s="1">
        <f>_xlfn.POISSON.DIST($D6,'First 5 Innings'!$G$34, FALSE) * _xlfn.POISSON.DIST(P$4, 'First 5 Innings'!$G$33, FALSE)</f>
        <v>2.7041613312845007E-7</v>
      </c>
      <c r="Q6" s="1">
        <f>_xlfn.POISSON.DIST($D6,'First 5 Innings'!$G$34, FALSE) * _xlfn.POISSON.DIST(Q$4, 'First 5 Innings'!$G$33, FALSE)</f>
        <v>3.5648373448647894E-8</v>
      </c>
      <c r="R6" s="1">
        <f>_xlfn.POISSON.DIST($D6,'First 5 Innings'!$G$34, FALSE) * _xlfn.POISSON.DIST(R$4, 'First 5 Innings'!$G$33, FALSE)</f>
        <v>4.3379519096640877E-9</v>
      </c>
      <c r="S6" s="1">
        <f>_xlfn.POISSON.DIST($D6,'First 5 Innings'!$G$34, FALSE) * _xlfn.POISSON.DIST(S$4, 'First 5 Innings'!$G$33, FALSE)</f>
        <v>4.9016812259662714E-10</v>
      </c>
      <c r="T6" s="1">
        <f>_xlfn.POISSON.DIST($D6,'First 5 Innings'!$G$34, FALSE) * _xlfn.POISSON.DIST(T$4, 'First 5 Innings'!$G$33, FALSE)</f>
        <v>5.169424201076574E-11</v>
      </c>
    </row>
    <row r="7" spans="2:20">
      <c r="B7" s="377"/>
      <c r="C7" s="377"/>
      <c r="D7" s="1">
        <v>2</v>
      </c>
      <c r="E7" s="1">
        <f>_xlfn.POISSON.DIST($D7,'First 5 Innings'!$G$34, FALSE) * _xlfn.POISSON.DIST(E$4, 'First 5 Innings'!$G$33, FALSE)</f>
        <v>5.1038550683838523E-2</v>
      </c>
      <c r="F7" s="1">
        <f>_xlfn.POISSON.DIST($D7,'First 5 Innings'!$G$34, FALSE) * _xlfn.POISSON.DIST(F$4, 'First 5 Innings'!$G$33, FALSE)</f>
        <v>8.0739619815107327E-2</v>
      </c>
      <c r="G7" s="1">
        <f>_xlfn.POISSON.DIST($D7,'First 5 Innings'!$G$34, FALSE) * _xlfn.POISSON.DIST(G$4, 'First 5 Innings'!$G$33, FALSE)</f>
        <v>6.3862375797754528E-2</v>
      </c>
      <c r="H7" s="1">
        <f>_xlfn.POISSON.DIST($D7,'First 5 Innings'!$G$34, FALSE) * _xlfn.POISSON.DIST(H$4, 'First 5 Innings'!$G$33, FALSE)</f>
        <v>3.3675355022916971E-2</v>
      </c>
      <c r="I7" s="1">
        <f>_xlfn.POISSON.DIST($D7,'First 5 Innings'!$G$34, FALSE) * _xlfn.POISSON.DIST(I$4, 'First 5 Innings'!$G$33, FALSE)</f>
        <v>1.3318047462454878E-2</v>
      </c>
      <c r="J7" s="1">
        <f>_xlfn.POISSON.DIST($D7,'First 5 Innings'!$G$34, FALSE) * _xlfn.POISSON.DIST(J$4, 'First 5 Innings'!$G$33, FALSE)</f>
        <v>4.2136544803520653E-3</v>
      </c>
      <c r="K7" s="1">
        <f>_xlfn.POISSON.DIST($D7,'First 5 Innings'!$G$34, FALSE) * _xlfn.POISSON.DIST(K$4, 'First 5 Innings'!$G$33, FALSE)</f>
        <v>1.1109538973239224E-3</v>
      </c>
      <c r="L7" s="1">
        <f>_xlfn.POISSON.DIST($D7,'First 5 Innings'!$G$34, FALSE) * _xlfn.POISSON.DIST(L$4, 'First 5 Innings'!$G$33, FALSE)</f>
        <v>2.5106510974891793E-4</v>
      </c>
      <c r="M7" s="1">
        <f>_xlfn.POISSON.DIST($D7,'First 5 Innings'!$G$34, FALSE) * _xlfn.POISSON.DIST(M$4, 'First 5 Innings'!$G$33, FALSE)</f>
        <v>4.9646054889800765E-5</v>
      </c>
      <c r="N7" s="1">
        <f>_xlfn.POISSON.DIST($D7,'First 5 Innings'!$G$34, FALSE) * _xlfn.POISSON.DIST(N$4, 'First 5 Innings'!$G$33, FALSE)</f>
        <v>8.7263092601703145E-6</v>
      </c>
      <c r="O7" s="1">
        <f>_xlfn.POISSON.DIST($D7,'First 5 Innings'!$G$34, FALSE) * _xlfn.POISSON.DIST(O$4, 'First 5 Innings'!$G$33, FALSE)</f>
        <v>1.3804445514521672E-6</v>
      </c>
      <c r="P7" s="1">
        <f>_xlfn.POISSON.DIST($D7,'First 5 Innings'!$G$34, FALSE) * _xlfn.POISSON.DIST(P$4, 'First 5 Innings'!$G$33, FALSE)</f>
        <v>1.9852474571892029E-7</v>
      </c>
      <c r="Q7" s="1">
        <f>_xlfn.POISSON.DIST($D7,'First 5 Innings'!$G$34, FALSE) * _xlfn.POISSON.DIST(Q$4, 'First 5 Innings'!$G$33, FALSE)</f>
        <v>2.6171087472892209E-8</v>
      </c>
      <c r="R7" s="1">
        <f>_xlfn.POISSON.DIST($D7,'First 5 Innings'!$G$34, FALSE) * _xlfn.POISSON.DIST(R$4, 'First 5 Innings'!$G$33, FALSE)</f>
        <v>3.1846872072454872E-9</v>
      </c>
      <c r="S7" s="1">
        <f>_xlfn.POISSON.DIST($D7,'First 5 Innings'!$G$34, FALSE) * _xlfn.POISSON.DIST(S$4, 'First 5 Innings'!$G$33, FALSE)</f>
        <v>3.5985464614196147E-10</v>
      </c>
      <c r="T7" s="1">
        <f>_xlfn.POISSON.DIST($D7,'First 5 Innings'!$G$34, FALSE) * _xlfn.POISSON.DIST(T$4, 'First 5 Innings'!$G$33, FALSE)</f>
        <v>3.7951087206194073E-11</v>
      </c>
    </row>
    <row r="8" spans="2:20">
      <c r="B8" s="377"/>
      <c r="C8" s="377"/>
      <c r="D8" s="1">
        <v>3</v>
      </c>
      <c r="E8" s="1">
        <f>_xlfn.POISSON.DIST($D8,'First 5 Innings'!$G$34, FALSE) * _xlfn.POISSON.DIST(E$4, 'First 5 Innings'!$G$33, FALSE)</f>
        <v>2.4979809646584649E-2</v>
      </c>
      <c r="F8" s="1">
        <f>_xlfn.POISSON.DIST($D8,'First 5 Innings'!$G$34, FALSE) * _xlfn.POISSON.DIST(F$4, 'First 5 Innings'!$G$33, FALSE)</f>
        <v>3.9516410769823027E-2</v>
      </c>
      <c r="G8" s="1">
        <f>_xlfn.POISSON.DIST($D8,'First 5 Innings'!$G$34, FALSE) * _xlfn.POISSON.DIST(G$4, 'First 5 Innings'!$G$33, FALSE)</f>
        <v>3.125617733325857E-2</v>
      </c>
      <c r="H8" s="1">
        <f>_xlfn.POISSON.DIST($D8,'First 5 Innings'!$G$34, FALSE) * _xlfn.POISSON.DIST(H$4, 'First 5 Innings'!$G$33, FALSE)</f>
        <v>1.6481736784896471E-2</v>
      </c>
      <c r="I8" s="1">
        <f>_xlfn.POISSON.DIST($D8,'First 5 Innings'!$G$34, FALSE) * _xlfn.POISSON.DIST(I$4, 'First 5 Innings'!$G$33, FALSE)</f>
        <v>6.5182550448409813E-3</v>
      </c>
      <c r="J8" s="1">
        <f>_xlfn.POISSON.DIST($D8,'First 5 Innings'!$G$34, FALSE) * _xlfn.POISSON.DIST(J$4, 'First 5 Innings'!$G$33, FALSE)</f>
        <v>2.0622898853004225E-3</v>
      </c>
      <c r="K8" s="1">
        <f>_xlfn.POISSON.DIST($D8,'First 5 Innings'!$G$34, FALSE) * _xlfn.POISSON.DIST(K$4, 'First 5 Innings'!$G$33, FALSE)</f>
        <v>5.4373442249939282E-4</v>
      </c>
      <c r="L8" s="1">
        <f>_xlfn.POISSON.DIST($D8,'First 5 Innings'!$G$34, FALSE) * _xlfn.POISSON.DIST(L$4, 'First 5 Innings'!$G$33, FALSE)</f>
        <v>1.2287885463825991E-4</v>
      </c>
      <c r="M8" s="1">
        <f>_xlfn.POISSON.DIST($D8,'First 5 Innings'!$G$34, FALSE) * _xlfn.POISSON.DIST(M$4, 'First 5 Innings'!$G$33, FALSE)</f>
        <v>2.4298280108565313E-5</v>
      </c>
      <c r="N8" s="1">
        <f>_xlfn.POISSON.DIST($D8,'First 5 Innings'!$G$34, FALSE) * _xlfn.POISSON.DIST(N$4, 'First 5 Innings'!$G$33, FALSE)</f>
        <v>4.2709195562112181E-6</v>
      </c>
      <c r="O8" s="1">
        <f>_xlfn.POISSON.DIST($D8,'First 5 Innings'!$G$34, FALSE) * _xlfn.POISSON.DIST(O$4, 'First 5 Innings'!$G$33, FALSE)</f>
        <v>6.7563129557789856E-7</v>
      </c>
      <c r="P8" s="1">
        <f>_xlfn.POISSON.DIST($D8,'First 5 Innings'!$G$34, FALSE) * _xlfn.POISSON.DIST(P$4, 'First 5 Innings'!$G$33, FALSE)</f>
        <v>9.716401213887845E-8</v>
      </c>
      <c r="Q8" s="1">
        <f>_xlfn.POISSON.DIST($D8,'First 5 Innings'!$G$34, FALSE) * _xlfn.POISSON.DIST(Q$4, 'First 5 Innings'!$G$33, FALSE)</f>
        <v>1.2808921385065398E-8</v>
      </c>
      <c r="R8" s="1">
        <f>_xlfn.POISSON.DIST($D8,'First 5 Innings'!$G$34, FALSE) * _xlfn.POISSON.DIST(R$4, 'First 5 Innings'!$G$33, FALSE)</f>
        <v>1.5586821952233874E-9</v>
      </c>
      <c r="S8" s="1">
        <f>_xlfn.POISSON.DIST($D8,'First 5 Innings'!$G$34, FALSE) * _xlfn.POISSON.DIST(S$4, 'First 5 Innings'!$G$33, FALSE)</f>
        <v>1.7612374255587345E-10</v>
      </c>
      <c r="T8" s="1">
        <f>_xlfn.POISSON.DIST($D8,'First 5 Innings'!$G$34, FALSE) * _xlfn.POISSON.DIST(T$4, 'First 5 Innings'!$G$33, FALSE)</f>
        <v>1.8574409374673952E-11</v>
      </c>
    </row>
    <row r="9" spans="2:20">
      <c r="B9" s="377"/>
      <c r="C9" s="377"/>
      <c r="D9" s="1">
        <v>4</v>
      </c>
      <c r="E9" s="1">
        <f>_xlfn.POISSON.DIST($D9,'First 5 Innings'!$G$34, FALSE) * _xlfn.POISSON.DIST(E$4, 'First 5 Innings'!$G$33, FALSE)</f>
        <v>9.1694055025918642E-3</v>
      </c>
      <c r="F9" s="1">
        <f>_xlfn.POISSON.DIST($D9,'First 5 Innings'!$G$34, FALSE) * _xlfn.POISSON.DIST(F$4, 'First 5 Innings'!$G$33, FALSE)</f>
        <v>1.4505394535904189E-2</v>
      </c>
      <c r="G9" s="1">
        <f>_xlfn.POISSON.DIST($D9,'First 5 Innings'!$G$34, FALSE) * _xlfn.POISSON.DIST(G$4, 'First 5 Innings'!$G$33, FALSE)</f>
        <v>1.1473288567223072E-2</v>
      </c>
      <c r="H9" s="1">
        <f>_xlfn.POISSON.DIST($D9,'First 5 Innings'!$G$34, FALSE) * _xlfn.POISSON.DIST(H$4, 'First 5 Innings'!$G$33, FALSE)</f>
        <v>6.0499951803421092E-3</v>
      </c>
      <c r="I9" s="1">
        <f>_xlfn.POISSON.DIST($D9,'First 5 Innings'!$G$34, FALSE) * _xlfn.POISSON.DIST(I$4, 'First 5 Innings'!$G$33, FALSE)</f>
        <v>2.3926733038029334E-3</v>
      </c>
      <c r="J9" s="1">
        <f>_xlfn.POISSON.DIST($D9,'First 5 Innings'!$G$34, FALSE) * _xlfn.POISSON.DIST(J$4, 'First 5 Innings'!$G$33, FALSE)</f>
        <v>7.5701026107693721E-4</v>
      </c>
      <c r="K9" s="1">
        <f>_xlfn.POISSON.DIST($D9,'First 5 Innings'!$G$34, FALSE) * _xlfn.POISSON.DIST(K$4, 'First 5 Innings'!$G$33, FALSE)</f>
        <v>1.9959004796884881E-4</v>
      </c>
      <c r="L9" s="1">
        <f>_xlfn.POISSON.DIST($D9,'First 5 Innings'!$G$34, FALSE) * _xlfn.POISSON.DIST(L$4, 'First 5 Innings'!$G$33, FALSE)</f>
        <v>4.5105469649817655E-5</v>
      </c>
      <c r="M9" s="1">
        <f>_xlfn.POISSON.DIST($D9,'First 5 Innings'!$G$34, FALSE) * _xlfn.POISSON.DIST(M$4, 'First 5 Innings'!$G$33, FALSE)</f>
        <v>8.9192346332174527E-6</v>
      </c>
      <c r="N9" s="1">
        <f>_xlfn.POISSON.DIST($D9,'First 5 Innings'!$G$34, FALSE) * _xlfn.POISSON.DIST(N$4, 'First 5 Innings'!$G$33, FALSE)</f>
        <v>1.5677378584510039E-6</v>
      </c>
      <c r="O9" s="1">
        <f>_xlfn.POISSON.DIST($D9,'First 5 Innings'!$G$34, FALSE) * _xlfn.POISSON.DIST(O$4, 'First 5 Innings'!$G$33, FALSE)</f>
        <v>2.4800578575434744E-7</v>
      </c>
      <c r="P9" s="1">
        <f>_xlfn.POISSON.DIST($D9,'First 5 Innings'!$G$34, FALSE) * _xlfn.POISSON.DIST(P$4, 'First 5 Innings'!$G$33, FALSE)</f>
        <v>3.566625367307183E-8</v>
      </c>
      <c r="Q9" s="1">
        <f>_xlfn.POISSON.DIST($D9,'First 5 Innings'!$G$34, FALSE) * _xlfn.POISSON.DIST(Q$4, 'First 5 Innings'!$G$33, FALSE)</f>
        <v>4.7018050134158484E-9</v>
      </c>
      <c r="R9" s="1">
        <f>_xlfn.POISSON.DIST($D9,'First 5 Innings'!$G$34, FALSE) * _xlfn.POISSON.DIST(R$4, 'First 5 Innings'!$G$33, FALSE)</f>
        <v>5.7214964004449041E-10</v>
      </c>
      <c r="S9" s="1">
        <f>_xlfn.POISSON.DIST($D9,'First 5 Innings'!$G$34, FALSE) * _xlfn.POISSON.DIST(S$4, 'First 5 Innings'!$G$33, FALSE)</f>
        <v>6.4650212991102682E-11</v>
      </c>
      <c r="T9" s="1">
        <f>_xlfn.POISSON.DIST($D9,'First 5 Innings'!$G$34, FALSE) * _xlfn.POISSON.DIST(T$4, 'First 5 Innings'!$G$33, FALSE)</f>
        <v>6.8181581019699906E-12</v>
      </c>
    </row>
    <row r="10" spans="2:20">
      <c r="B10" s="377"/>
      <c r="C10" s="377"/>
      <c r="D10" s="1">
        <v>5</v>
      </c>
      <c r="E10" s="1">
        <f>_xlfn.POISSON.DIST($D10,'First 5 Innings'!$G$34, FALSE) * _xlfn.POISSON.DIST(E$4, 'First 5 Innings'!$G$33, FALSE)</f>
        <v>2.6926705514733963E-3</v>
      </c>
      <c r="F10" s="1">
        <f>_xlfn.POISSON.DIST($D10,'First 5 Innings'!$G$34, FALSE) * _xlfn.POISSON.DIST(F$4, 'First 5 Innings'!$G$33, FALSE)</f>
        <v>4.2596271583028962E-3</v>
      </c>
      <c r="G10" s="1">
        <f>_xlfn.POISSON.DIST($D10,'First 5 Innings'!$G$34, FALSE) * _xlfn.POISSON.DIST(G$4, 'First 5 Innings'!$G$33, FALSE)</f>
        <v>3.3692245636628669E-3</v>
      </c>
      <c r="H10" s="1">
        <f>_xlfn.POISSON.DIST($D10,'First 5 Innings'!$G$34, FALSE) * _xlfn.POISSON.DIST(H$4, 'First 5 Innings'!$G$33, FALSE)</f>
        <v>1.7766303228773546E-3</v>
      </c>
      <c r="I10" s="1">
        <f>_xlfn.POISSON.DIST($D10,'First 5 Innings'!$G$34, FALSE) * _xlfn.POISSON.DIST(I$4, 'First 5 Innings'!$G$33, FALSE)</f>
        <v>7.0262798854577881E-4</v>
      </c>
      <c r="J10" s="1">
        <f>_xlfn.POISSON.DIST($D10,'First 5 Innings'!$G$34, FALSE) * _xlfn.POISSON.DIST(J$4, 'First 5 Innings'!$G$33, FALSE)</f>
        <v>2.2230222412880301E-4</v>
      </c>
      <c r="K10" s="1">
        <f>_xlfn.POISSON.DIST($D10,'First 5 Innings'!$G$34, FALSE) * _xlfn.POISSON.DIST(K$4, 'First 5 Innings'!$G$33, FALSE)</f>
        <v>5.8611241959030968E-5</v>
      </c>
      <c r="L10" s="1">
        <f>_xlfn.POISSON.DIST($D10,'First 5 Innings'!$G$34, FALSE) * _xlfn.POISSON.DIST(L$4, 'First 5 Innings'!$G$33, FALSE)</f>
        <v>1.3245588255651938E-5</v>
      </c>
      <c r="M10" s="1">
        <f>_xlfn.POISSON.DIST($D10,'First 5 Innings'!$G$34, FALSE) * _xlfn.POISSON.DIST(M$4, 'First 5 Innings'!$G$33, FALSE)</f>
        <v>2.6192058396542317E-6</v>
      </c>
      <c r="N10" s="1">
        <f>_xlfn.POISSON.DIST($D10,'First 5 Innings'!$G$34, FALSE) * _xlfn.POISSON.DIST(N$4, 'First 5 Innings'!$G$33, FALSE)</f>
        <v>4.6037898124232226E-7</v>
      </c>
      <c r="O10" s="1">
        <f>_xlfn.POISSON.DIST($D10,'First 5 Innings'!$G$34, FALSE) * _xlfn.POISSON.DIST(O$4, 'First 5 Innings'!$G$33, FALSE)</f>
        <v>7.2828917393498314E-8</v>
      </c>
      <c r="P10" s="1">
        <f>_xlfn.POISSON.DIST($D10,'First 5 Innings'!$G$34, FALSE) * _xlfn.POISSON.DIST(P$4, 'First 5 Innings'!$G$33, FALSE)</f>
        <v>1.0473685662578016E-8</v>
      </c>
      <c r="Q10" s="1">
        <f>_xlfn.POISSON.DIST($D10,'First 5 Innings'!$G$34, FALSE) * _xlfn.POISSON.DIST(Q$4, 'First 5 Innings'!$G$33, FALSE)</f>
        <v>1.3807233080504712E-9</v>
      </c>
      <c r="R10" s="1">
        <f>_xlfn.POISSON.DIST($D10,'First 5 Innings'!$G$34, FALSE) * _xlfn.POISSON.DIST(R$4, 'First 5 Innings'!$G$33, FALSE)</f>
        <v>1.6801639826577934E-10</v>
      </c>
      <c r="S10" s="1">
        <f>_xlfn.POISSON.DIST($D10,'First 5 Innings'!$G$34, FALSE) * _xlfn.POISSON.DIST(S$4, 'First 5 Innings'!$G$33, FALSE)</f>
        <v>1.8985061203631826E-11</v>
      </c>
      <c r="T10" s="1">
        <f>_xlfn.POISSON.DIST($D10,'First 5 Innings'!$G$34, FALSE) * _xlfn.POISSON.DIST(T$4, 'First 5 Innings'!$G$33, FALSE)</f>
        <v>2.0022076165433942E-12</v>
      </c>
    </row>
    <row r="11" spans="2:20">
      <c r="B11" s="377"/>
      <c r="C11" s="377"/>
      <c r="D11" s="1">
        <v>6</v>
      </c>
      <c r="E11" s="1">
        <f>_xlfn.POISSON.DIST($D11,'First 5 Innings'!$G$34, FALSE) * _xlfn.POISSON.DIST(E$4, 'First 5 Innings'!$G$33, FALSE)</f>
        <v>6.5893718488824941E-4</v>
      </c>
      <c r="F11" s="1">
        <f>_xlfn.POISSON.DIST($D11,'First 5 Innings'!$G$34, FALSE) * _xlfn.POISSON.DIST(F$4, 'First 5 Innings'!$G$33, FALSE)</f>
        <v>1.0423951518427619E-3</v>
      </c>
      <c r="G11" s="1">
        <f>_xlfn.POISSON.DIST($D11,'First 5 Innings'!$G$34, FALSE) * _xlfn.POISSON.DIST(G$4, 'First 5 Innings'!$G$33, FALSE)</f>
        <v>8.2450017809328159E-4</v>
      </c>
      <c r="H11" s="1">
        <f>_xlfn.POISSON.DIST($D11,'First 5 Innings'!$G$34, FALSE) * _xlfn.POISSON.DIST(H$4, 'First 5 Innings'!$G$33, FALSE)</f>
        <v>4.347682945852101E-4</v>
      </c>
      <c r="I11" s="1">
        <f>_xlfn.POISSON.DIST($D11,'First 5 Innings'!$G$34, FALSE) * _xlfn.POISSON.DIST(I$4, 'First 5 Innings'!$G$33, FALSE)</f>
        <v>1.7194368933945797E-4</v>
      </c>
      <c r="J11" s="1">
        <f>_xlfn.POISSON.DIST($D11,'First 5 Innings'!$G$34, FALSE) * _xlfn.POISSON.DIST(J$4, 'First 5 Innings'!$G$33, FALSE)</f>
        <v>5.4400714443761538E-5</v>
      </c>
      <c r="K11" s="1">
        <f>_xlfn.POISSON.DIST($D11,'First 5 Innings'!$G$34, FALSE) * _xlfn.POISSON.DIST(K$4, 'First 5 Innings'!$G$33, FALSE)</f>
        <v>1.4343056843012193E-5</v>
      </c>
      <c r="L11" s="1">
        <f>_xlfn.POISSON.DIST($D11,'First 5 Innings'!$G$34, FALSE) * _xlfn.POISSON.DIST(L$4, 'First 5 Innings'!$G$33, FALSE)</f>
        <v>3.2413956592618751E-6</v>
      </c>
      <c r="M11" s="1">
        <f>_xlfn.POISSON.DIST($D11,'First 5 Innings'!$G$34, FALSE) * _xlfn.POISSON.DIST(M$4, 'First 5 Innings'!$G$33, FALSE)</f>
        <v>6.409592594534953E-7</v>
      </c>
      <c r="N11" s="1">
        <f>_xlfn.POISSON.DIST($D11,'First 5 Innings'!$G$34, FALSE) * _xlfn.POISSON.DIST(N$4, 'First 5 Innings'!$G$33, FALSE)</f>
        <v>1.1266169554813925E-7</v>
      </c>
      <c r="O11" s="1">
        <f>_xlfn.POISSON.DIST($D11,'First 5 Innings'!$G$34, FALSE) * _xlfn.POISSON.DIST(O$4, 'First 5 Innings'!$G$33, FALSE)</f>
        <v>1.7822336928470983E-8</v>
      </c>
      <c r="P11" s="1">
        <f>_xlfn.POISSON.DIST($D11,'First 5 Innings'!$G$34, FALSE) * _xlfn.POISSON.DIST(P$4, 'First 5 Innings'!$G$33, FALSE)</f>
        <v>2.5630691961655539E-9</v>
      </c>
      <c r="Q11" s="1">
        <f>_xlfn.POISSON.DIST($D11,'First 5 Innings'!$G$34, FALSE) * _xlfn.POISSON.DIST(Q$4, 'First 5 Innings'!$G$33, FALSE)</f>
        <v>3.3788386374208755E-10</v>
      </c>
      <c r="R11" s="1">
        <f>_xlfn.POISSON.DIST($D11,'First 5 Innings'!$G$34, FALSE) * _xlfn.POISSON.DIST(R$4, 'First 5 Innings'!$G$33, FALSE)</f>
        <v>4.111615230007815E-11</v>
      </c>
      <c r="S11" s="1">
        <f>_xlfn.POISSON.DIST($D11,'First 5 Innings'!$G$34, FALSE) * _xlfn.POISSON.DIST(S$4, 'First 5 Innings'!$G$33, FALSE)</f>
        <v>4.6459314443822241E-12</v>
      </c>
      <c r="T11" s="1">
        <f>_xlfn.POISSON.DIST($D11,'First 5 Innings'!$G$34, FALSE) * _xlfn.POISSON.DIST(T$4, 'First 5 Innings'!$G$33, FALSE)</f>
        <v>4.8997046804890228E-13</v>
      </c>
    </row>
    <row r="12" spans="2:20">
      <c r="B12" s="377"/>
      <c r="C12" s="377"/>
      <c r="D12" s="1">
        <v>7</v>
      </c>
      <c r="E12" s="1">
        <f>_xlfn.POISSON.DIST($D12,'First 5 Innings'!$G$34, FALSE) * _xlfn.POISSON.DIST(E$4, 'First 5 Innings'!$G$33, FALSE)</f>
        <v>1.3821590509547043E-4</v>
      </c>
      <c r="F12" s="1">
        <f>_xlfn.POISSON.DIST($D12,'First 5 Innings'!$G$34, FALSE) * _xlfn.POISSON.DIST(F$4, 'First 5 Innings'!$G$33, FALSE)</f>
        <v>2.1864844280037368E-4</v>
      </c>
      <c r="G12" s="1">
        <f>_xlfn.POISSON.DIST($D12,'First 5 Innings'!$G$34, FALSE) * _xlfn.POISSON.DIST(G$4, 'First 5 Innings'!$G$33, FALSE)</f>
        <v>1.729437053789369E-4</v>
      </c>
      <c r="H12" s="1">
        <f>_xlfn.POISSON.DIST($D12,'First 5 Innings'!$G$34, FALSE) * _xlfn.POISSON.DIST(H$4, 'First 5 Innings'!$G$33, FALSE)</f>
        <v>9.1195177205092841E-5</v>
      </c>
      <c r="I12" s="1">
        <f>_xlfn.POISSON.DIST($D12,'First 5 Innings'!$G$34, FALSE) * _xlfn.POISSON.DIST(I$4, 'First 5 Innings'!$G$33, FALSE)</f>
        <v>3.6066188390230238E-5</v>
      </c>
      <c r="J12" s="1">
        <f>_xlfn.POISSON.DIST($D12,'First 5 Innings'!$G$34, FALSE) * _xlfn.POISSON.DIST(J$4, 'First 5 Innings'!$G$33, FALSE)</f>
        <v>1.141086609941417E-5</v>
      </c>
      <c r="K12" s="1">
        <f>_xlfn.POISSON.DIST($D12,'First 5 Innings'!$G$34, FALSE) * _xlfn.POISSON.DIST(K$4, 'First 5 Innings'!$G$33, FALSE)</f>
        <v>3.0085395525658752E-6</v>
      </c>
      <c r="L12" s="1">
        <f>_xlfn.POISSON.DIST($D12,'First 5 Innings'!$G$34, FALSE) * _xlfn.POISSON.DIST(L$4, 'First 5 Innings'!$G$33, FALSE)</f>
        <v>6.7990158256646055E-7</v>
      </c>
      <c r="M12" s="1">
        <f>_xlfn.POISSON.DIST($D12,'First 5 Innings'!$G$34, FALSE) * _xlfn.POISSON.DIST(M$4, 'First 5 Innings'!$G$33, FALSE)</f>
        <v>1.3444493072539475E-7</v>
      </c>
      <c r="N12" s="1">
        <f>_xlfn.POISSON.DIST($D12,'First 5 Innings'!$G$34, FALSE) * _xlfn.POISSON.DIST(N$4, 'First 5 Innings'!$G$33, FALSE)</f>
        <v>2.3631445571579373E-8</v>
      </c>
      <c r="O12" s="1">
        <f>_xlfn.POISSON.DIST($D12,'First 5 Innings'!$G$34, FALSE) * _xlfn.POISSON.DIST(O$4, 'First 5 Innings'!$G$33, FALSE)</f>
        <v>3.7383387764082627E-9</v>
      </c>
      <c r="P12" s="1">
        <f>_xlfn.POISSON.DIST($D12,'First 5 Innings'!$G$34, FALSE) * _xlfn.POISSON.DIST(P$4, 'First 5 Innings'!$G$33, FALSE)</f>
        <v>5.3761866365216751E-10</v>
      </c>
      <c r="Q12" s="1">
        <f>_xlfn.POISSON.DIST($D12,'First 5 Innings'!$G$34, FALSE) * _xlfn.POISSON.DIST(Q$4, 'First 5 Innings'!$G$33, FALSE)</f>
        <v>7.0873104622540528E-11</v>
      </c>
      <c r="R12" s="1">
        <f>_xlfn.POISSON.DIST($D12,'First 5 Innings'!$G$34, FALSE) * _xlfn.POISSON.DIST(R$4, 'First 5 Innings'!$G$33, FALSE)</f>
        <v>8.6243519633245258E-12</v>
      </c>
      <c r="S12" s="1">
        <f>_xlfn.POISSON.DIST($D12,'First 5 Innings'!$G$34, FALSE) * _xlfn.POISSON.DIST(S$4, 'First 5 Innings'!$G$33, FALSE)</f>
        <v>9.7451112841005864E-13</v>
      </c>
      <c r="T12" s="1">
        <f>_xlfn.POISSON.DIST($D12,'First 5 Innings'!$G$34, FALSE) * _xlfn.POISSON.DIST(T$4, 'First 5 Innings'!$G$33, FALSE)</f>
        <v>1.0277415399301738E-13</v>
      </c>
    </row>
    <row r="13" spans="2:20">
      <c r="B13" s="377"/>
      <c r="C13" s="377"/>
      <c r="D13" s="1">
        <v>8</v>
      </c>
      <c r="E13" s="1">
        <f>_xlfn.POISSON.DIST($D13,'First 5 Innings'!$G$34, FALSE) * _xlfn.POISSON.DIST(E$4, 'First 5 Innings'!$G$33, FALSE)</f>
        <v>2.5367640879949603E-5</v>
      </c>
      <c r="F13" s="1">
        <f>_xlfn.POISSON.DIST($D13,'First 5 Innings'!$G$34, FALSE) * _xlfn.POISSON.DIST(F$4, 'First 5 Innings'!$G$33, FALSE)</f>
        <v>4.0129934193093476E-5</v>
      </c>
      <c r="G13" s="1">
        <f>_xlfn.POISSON.DIST($D13,'First 5 Innings'!$G$34, FALSE) * _xlfn.POISSON.DIST(G$4, 'First 5 Innings'!$G$33, FALSE)</f>
        <v>3.1741454121870486E-5</v>
      </c>
      <c r="H13" s="1">
        <f>_xlfn.POISSON.DIST($D13,'First 5 Innings'!$G$34, FALSE) * _xlfn.POISSON.DIST(H$4, 'First 5 Innings'!$G$33, FALSE)</f>
        <v>1.6737628739067421E-5</v>
      </c>
      <c r="I13" s="1">
        <f>_xlfn.POISSON.DIST($D13,'First 5 Innings'!$G$34, FALSE) * _xlfn.POISSON.DIST(I$4, 'First 5 Innings'!$G$33, FALSE)</f>
        <v>6.6194560919744072E-6</v>
      </c>
      <c r="J13" s="1">
        <f>_xlfn.POISSON.DIST($D13,'First 5 Innings'!$G$34, FALSE) * _xlfn.POISSON.DIST(J$4, 'First 5 Innings'!$G$33, FALSE)</f>
        <v>2.0943085612266216E-6</v>
      </c>
      <c r="K13" s="1">
        <f>_xlfn.POISSON.DIST($D13,'First 5 Innings'!$G$34, FALSE) * _xlfn.POISSON.DIST(K$4, 'First 5 Innings'!$G$33, FALSE)</f>
        <v>5.5217632796962739E-7</v>
      </c>
      <c r="L13" s="1">
        <f>_xlfn.POISSON.DIST($D13,'First 5 Innings'!$G$34, FALSE) * _xlfn.POISSON.DIST(L$4, 'First 5 Innings'!$G$33, FALSE)</f>
        <v>1.2478664570725009E-7</v>
      </c>
      <c r="M13" s="1">
        <f>_xlfn.POISSON.DIST($D13,'First 5 Innings'!$G$34, FALSE) * _xlfn.POISSON.DIST(M$4, 'First 5 Innings'!$G$33, FALSE)</f>
        <v>2.4675530058684148E-8</v>
      </c>
      <c r="N13" s="1">
        <f>_xlfn.POISSON.DIST($D13,'First 5 Innings'!$G$34, FALSE) * _xlfn.POISSON.DIST(N$4, 'First 5 Innings'!$G$33, FALSE)</f>
        <v>4.3372289485773995E-9</v>
      </c>
      <c r="O13" s="1">
        <f>_xlfn.POISSON.DIST($D13,'First 5 Innings'!$G$34, FALSE) * _xlfn.POISSON.DIST(O$4, 'First 5 Innings'!$G$33, FALSE)</f>
        <v>6.8612100396123551E-10</v>
      </c>
      <c r="P13" s="1">
        <f>_xlfn.POISSON.DIST($D13,'First 5 Innings'!$G$34, FALSE) * _xlfn.POISSON.DIST(P$4, 'First 5 Innings'!$G$33, FALSE)</f>
        <v>9.8672560010125374E-11</v>
      </c>
      <c r="Q13" s="1">
        <f>_xlfn.POISSON.DIST($D13,'First 5 Innings'!$G$34, FALSE) * _xlfn.POISSON.DIST(Q$4, 'First 5 Innings'!$G$33, FALSE)</f>
        <v>1.3007789985312073E-11</v>
      </c>
      <c r="R13" s="1">
        <f>_xlfn.POISSON.DIST($D13,'First 5 Innings'!$G$34, FALSE) * _xlfn.POISSON.DIST(R$4, 'First 5 Innings'!$G$33, FALSE)</f>
        <v>1.5828819648273217E-12</v>
      </c>
      <c r="S13" s="1">
        <f>_xlfn.POISSON.DIST($D13,'First 5 Innings'!$G$34, FALSE) * _xlfn.POISSON.DIST(S$4, 'First 5 Innings'!$G$33, FALSE)</f>
        <v>1.788582024763731E-13</v>
      </c>
      <c r="T13" s="1">
        <f>_xlfn.POISSON.DIST($D13,'First 5 Innings'!$G$34, FALSE) * _xlfn.POISSON.DIST(T$4, 'First 5 Innings'!$G$33, FALSE)</f>
        <v>1.8862791720205167E-14</v>
      </c>
    </row>
    <row r="14" spans="2:20">
      <c r="B14" s="377"/>
      <c r="C14" s="377"/>
      <c r="D14" s="1">
        <v>9</v>
      </c>
      <c r="E14" s="1">
        <f>_xlfn.POISSON.DIST($D14,'First 5 Innings'!$G$34, FALSE) * _xlfn.POISSON.DIST(E$4, 'First 5 Innings'!$G$33, FALSE)</f>
        <v>4.1385634445187853E-6</v>
      </c>
      <c r="F14" s="1">
        <f>_xlfn.POISSON.DIST($D14,'First 5 Innings'!$G$34, FALSE) * _xlfn.POISSON.DIST(F$4, 'First 5 Innings'!$G$33, FALSE)</f>
        <v>6.5469343195310588E-6</v>
      </c>
      <c r="G14" s="1">
        <f>_xlfn.POISSON.DIST($D14,'First 5 Innings'!$G$34, FALSE) * _xlfn.POISSON.DIST(G$4, 'First 5 Innings'!$G$33, FALSE)</f>
        <v>5.1784090734457083E-6</v>
      </c>
      <c r="H14" s="1">
        <f>_xlfn.POISSON.DIST($D14,'First 5 Innings'!$G$34, FALSE) * _xlfn.POISSON.DIST(H$4, 'First 5 Innings'!$G$33, FALSE)</f>
        <v>2.730633832891484E-6</v>
      </c>
      <c r="I14" s="1">
        <f>_xlfn.POISSON.DIST($D14,'First 5 Innings'!$G$34, FALSE) * _xlfn.POISSON.DIST(I$4, 'First 5 Innings'!$G$33, FALSE)</f>
        <v>1.0799206412014173E-6</v>
      </c>
      <c r="J14" s="1">
        <f>_xlfn.POISSON.DIST($D14,'First 5 Innings'!$G$34, FALSE) * _xlfn.POISSON.DIST(J$4, 'First 5 Innings'!$G$33, FALSE)</f>
        <v>3.4167264090709755E-7</v>
      </c>
      <c r="K14" s="1">
        <f>_xlfn.POISSON.DIST($D14,'First 5 Innings'!$G$34, FALSE) * _xlfn.POISSON.DIST(K$4, 'First 5 Innings'!$G$33, FALSE)</f>
        <v>9.0083929234031929E-8</v>
      </c>
      <c r="L14" s="1">
        <f>_xlfn.POISSON.DIST($D14,'First 5 Innings'!$G$34, FALSE) * _xlfn.POISSON.DIST(L$4, 'First 5 Innings'!$G$33, FALSE)</f>
        <v>2.0358118941061275E-8</v>
      </c>
      <c r="M14" s="1">
        <f>_xlfn.POISSON.DIST($D14,'First 5 Innings'!$G$34, FALSE) * _xlfn.POISSON.DIST(M$4, 'First 5 Innings'!$G$33, FALSE)</f>
        <v>4.0256501248293283E-9</v>
      </c>
      <c r="N14" s="1">
        <f>_xlfn.POISSON.DIST($D14,'First 5 Innings'!$G$34, FALSE) * _xlfn.POISSON.DIST(N$4, 'First 5 Innings'!$G$33, FALSE)</f>
        <v>7.0759032193957539E-10</v>
      </c>
      <c r="O14" s="1">
        <f>_xlfn.POISSON.DIST($D14,'First 5 Innings'!$G$34, FALSE) * _xlfn.POISSON.DIST(O$4, 'First 5 Innings'!$G$33, FALSE)</f>
        <v>1.1193612046734947E-10</v>
      </c>
      <c r="P14" s="1">
        <f>_xlfn.POISSON.DIST($D14,'First 5 Innings'!$G$34, FALSE) * _xlfn.POISSON.DIST(P$4, 'First 5 Innings'!$G$33, FALSE)</f>
        <v>1.6097777943464892E-11</v>
      </c>
      <c r="Q14" s="1">
        <f>_xlfn.POISSON.DIST($D14,'First 5 Innings'!$G$34, FALSE) * _xlfn.POISSON.DIST(Q$4, 'First 5 Innings'!$G$33, FALSE)</f>
        <v>2.1221352187203087E-12</v>
      </c>
      <c r="R14" s="1">
        <f>_xlfn.POISSON.DIST($D14,'First 5 Innings'!$G$34, FALSE) * _xlfn.POISSON.DIST(R$4, 'First 5 Innings'!$G$33, FALSE)</f>
        <v>2.58236761850416E-13</v>
      </c>
      <c r="S14" s="1">
        <f>_xlfn.POISSON.DIST($D14,'First 5 Innings'!$G$34, FALSE) * _xlfn.POISSON.DIST(S$4, 'First 5 Innings'!$G$33, FALSE)</f>
        <v>2.9179537112815184E-14</v>
      </c>
      <c r="T14" s="1">
        <f>_xlfn.POISSON.DIST($D14,'First 5 Innings'!$G$34, FALSE) * _xlfn.POISSON.DIST(T$4, 'First 5 Innings'!$G$33, FALSE)</f>
        <v>3.0773401690858301E-15</v>
      </c>
    </row>
    <row r="15" spans="2:20">
      <c r="B15" s="377"/>
      <c r="C15" s="377"/>
      <c r="D15" s="1">
        <v>10</v>
      </c>
      <c r="E15" s="1">
        <f>_xlfn.POISSON.DIST($D15,'First 5 Innings'!$G$34, FALSE) * _xlfn.POISSON.DIST(E$4, 'First 5 Innings'!$G$33, FALSE)</f>
        <v>6.076614186879458E-7</v>
      </c>
      <c r="F15" s="1">
        <f>_xlfn.POISSON.DIST($D15,'First 5 Innings'!$G$34, FALSE) * _xlfn.POISSON.DIST(F$4, 'First 5 Innings'!$G$33, FALSE)</f>
        <v>9.6128027273135749E-7</v>
      </c>
      <c r="G15" s="1">
        <f>_xlfn.POISSON.DIST($D15,'First 5 Innings'!$G$34, FALSE) * _xlfn.POISSON.DIST(G$4, 'First 5 Innings'!$G$33, FALSE)</f>
        <v>7.6034098457138372E-7</v>
      </c>
      <c r="H15" s="1">
        <f>_xlfn.POISSON.DIST($D15,'First 5 Innings'!$G$34, FALSE) * _xlfn.POISSON.DIST(H$4, 'First 5 Innings'!$G$33, FALSE)</f>
        <v>4.0093642421013531E-7</v>
      </c>
      <c r="I15" s="1">
        <f>_xlfn.POISSON.DIST($D15,'First 5 Innings'!$G$34, FALSE) * _xlfn.POISSON.DIST(I$4, 'First 5 Innings'!$G$33, FALSE)</f>
        <v>1.5856374263682516E-7</v>
      </c>
      <c r="J15" s="1">
        <f>_xlfn.POISSON.DIST($D15,'First 5 Innings'!$G$34, FALSE) * _xlfn.POISSON.DIST(J$4, 'First 5 Innings'!$G$33, FALSE)</f>
        <v>5.01674758606015E-8</v>
      </c>
      <c r="K15" s="1">
        <f>_xlfn.POISSON.DIST($D15,'First 5 Innings'!$G$34, FALSE) * _xlfn.POISSON.DIST(K$4, 'First 5 Innings'!$G$33, FALSE)</f>
        <v>1.3226939485931056E-8</v>
      </c>
      <c r="L15" s="1">
        <f>_xlfn.POISSON.DIST($D15,'First 5 Innings'!$G$34, FALSE) * _xlfn.POISSON.DIST(L$4, 'First 5 Innings'!$G$33, FALSE)</f>
        <v>2.989163656274856E-9</v>
      </c>
      <c r="M15" s="1">
        <f>_xlfn.POISSON.DIST($D15,'First 5 Innings'!$G$34, FALSE) * _xlfn.POISSON.DIST(M$4, 'First 5 Innings'!$G$33, FALSE)</f>
        <v>5.9108246104936379E-10</v>
      </c>
      <c r="N15" s="1">
        <f>_xlfn.POISSON.DIST($D15,'First 5 Innings'!$G$34, FALSE) * _xlfn.POISSON.DIST(N$4, 'First 5 Innings'!$G$33, FALSE)</f>
        <v>1.038948283973108E-10</v>
      </c>
      <c r="O15" s="1">
        <f>_xlfn.POISSON.DIST($D15,'First 5 Innings'!$G$34, FALSE) * _xlfn.POISSON.DIST(O$4, 'First 5 Innings'!$G$33, FALSE)</f>
        <v>1.6435476386305197E-11</v>
      </c>
      <c r="P15" s="1">
        <f>_xlfn.POISSON.DIST($D15,'First 5 Innings'!$G$34, FALSE) * _xlfn.POISSON.DIST(P$4, 'First 5 Innings'!$G$33, FALSE)</f>
        <v>2.363621752810125E-12</v>
      </c>
      <c r="Q15" s="1">
        <f>_xlfn.POISSON.DIST($D15,'First 5 Innings'!$G$34, FALSE) * _xlfn.POISSON.DIST(Q$4, 'First 5 Innings'!$G$33, FALSE)</f>
        <v>3.1159113903717844E-13</v>
      </c>
      <c r="R15" s="1">
        <f>_xlfn.POISSON.DIST($D15,'First 5 Innings'!$G$34, FALSE) * _xlfn.POISSON.DIST(R$4, 'First 5 Innings'!$G$33, FALSE)</f>
        <v>3.7916663394694209E-14</v>
      </c>
      <c r="S15" s="1">
        <f>_xlfn.POISSON.DIST($D15,'First 5 Innings'!$G$34, FALSE) * _xlfn.POISSON.DIST(S$4, 'First 5 Innings'!$G$33, FALSE)</f>
        <v>4.2844042761056572E-15</v>
      </c>
      <c r="T15" s="1">
        <f>_xlfn.POISSON.DIST($D15,'First 5 Innings'!$G$34, FALSE) * _xlfn.POISSON.DIST(T$4, 'First 5 Innings'!$G$33, FALSE)</f>
        <v>4.5184299286476979E-16</v>
      </c>
    </row>
    <row r="16" spans="2:20">
      <c r="B16" s="377"/>
      <c r="C16" s="377"/>
      <c r="D16" s="1">
        <v>11</v>
      </c>
      <c r="E16" s="1">
        <f>_xlfn.POISSON.DIST($D16,'First 5 Innings'!$G$34, FALSE) * _xlfn.POISSON.DIST(E$4, 'First 5 Innings'!$G$33, FALSE)</f>
        <v>8.1111236853958183E-8</v>
      </c>
      <c r="F16" s="1">
        <f>_xlfn.POISSON.DIST($D16,'First 5 Innings'!$G$34, FALSE) * _xlfn.POISSON.DIST(F$4, 'First 5 Innings'!$G$33, FALSE)</f>
        <v>1.2831262523282088E-7</v>
      </c>
      <c r="G16" s="1">
        <f>_xlfn.POISSON.DIST($D16,'First 5 Innings'!$G$34, FALSE) * _xlfn.POISSON.DIST(G$4, 'First 5 Innings'!$G$33, FALSE)</f>
        <v>1.0149105372281662E-7</v>
      </c>
      <c r="H16" s="1">
        <f>_xlfn.POISSON.DIST($D16,'First 5 Innings'!$G$34, FALSE) * _xlfn.POISSON.DIST(H$4, 'First 5 Innings'!$G$33, FALSE)</f>
        <v>5.3517383640556029E-8</v>
      </c>
      <c r="I16" s="1">
        <f>_xlfn.POISSON.DIST($D16,'First 5 Innings'!$G$34, FALSE) * _xlfn.POISSON.DIST(I$4, 'First 5 Innings'!$G$33, FALSE)</f>
        <v>2.1165242501713436E-8</v>
      </c>
      <c r="J16" s="1">
        <f>_xlfn.POISSON.DIST($D16,'First 5 Innings'!$G$34, FALSE) * _xlfn.POISSON.DIST(J$4, 'First 5 Innings'!$G$33, FALSE)</f>
        <v>6.6964034440108472E-9</v>
      </c>
      <c r="K16" s="1">
        <f>_xlfn.POISSON.DIST($D16,'First 5 Innings'!$G$34, FALSE) * _xlfn.POISSON.DIST(K$4, 'First 5 Innings'!$G$33, FALSE)</f>
        <v>1.7655447400508264E-9</v>
      </c>
      <c r="L16" s="1">
        <f>_xlfn.POISSON.DIST($D16,'First 5 Innings'!$G$34, FALSE) * _xlfn.POISSON.DIST(L$4, 'First 5 Innings'!$G$33, FALSE)</f>
        <v>3.9899647050631995E-10</v>
      </c>
      <c r="M16" s="1">
        <f>_xlfn.POISSON.DIST($D16,'First 5 Innings'!$G$34, FALSE) * _xlfn.POISSON.DIST(M$4, 'First 5 Innings'!$G$33, FALSE)</f>
        <v>7.8898261472505953E-11</v>
      </c>
      <c r="N16" s="1">
        <f>_xlfn.POISSON.DIST($D16,'First 5 Innings'!$G$34, FALSE) * _xlfn.POISSON.DIST(N$4, 'First 5 Innings'!$G$33, FALSE)</f>
        <v>1.3867982687186494E-11</v>
      </c>
      <c r="O16" s="1">
        <f>_xlfn.POISSON.DIST($D16,'First 5 Innings'!$G$34, FALSE) * _xlfn.POISSON.DIST(O$4, 'First 5 Innings'!$G$33, FALSE)</f>
        <v>2.1938233644249664E-12</v>
      </c>
      <c r="P16" s="1">
        <f>_xlfn.POISSON.DIST($D16,'First 5 Innings'!$G$34, FALSE) * _xlfn.POISSON.DIST(P$4, 'First 5 Innings'!$G$33, FALSE)</f>
        <v>3.1549852916333081E-13</v>
      </c>
      <c r="Q16" s="1">
        <f>_xlfn.POISSON.DIST($D16,'First 5 Innings'!$G$34, FALSE) * _xlfn.POISSON.DIST(Q$4, 'First 5 Innings'!$G$33, FALSE)</f>
        <v>4.1591488126084231E-14</v>
      </c>
      <c r="R16" s="1">
        <f>_xlfn.POISSON.DIST($D16,'First 5 Innings'!$G$34, FALSE) * _xlfn.POISSON.DIST(R$4, 'First 5 Innings'!$G$33, FALSE)</f>
        <v>5.0611530874534624E-15</v>
      </c>
      <c r="S16" s="1">
        <f>_xlfn.POISSON.DIST($D16,'First 5 Innings'!$G$34, FALSE) * _xlfn.POISSON.DIST(S$4, 'First 5 Innings'!$G$33, FALSE)</f>
        <v>5.7188644750174068E-16</v>
      </c>
      <c r="T16" s="1">
        <f>_xlfn.POISSON.DIST($D16,'First 5 Innings'!$G$34, FALSE) * _xlfn.POISSON.DIST(T$4, 'First 5 Innings'!$G$33, FALSE)</f>
        <v>6.0312441909161971E-17</v>
      </c>
    </row>
    <row r="17" spans="2:20">
      <c r="B17" s="377"/>
      <c r="C17" s="377"/>
      <c r="D17" s="1">
        <v>12</v>
      </c>
      <c r="E17" s="1">
        <f>_xlfn.POISSON.DIST($D17,'First 5 Innings'!$G$34, FALSE) * _xlfn.POISSON.DIST(E$4, 'First 5 Innings'!$G$33, FALSE)</f>
        <v>9.9245728457396276E-9</v>
      </c>
      <c r="F17" s="1">
        <f>_xlfn.POISSON.DIST($D17,'First 5 Innings'!$G$34, FALSE) * _xlfn.POISSON.DIST(F$4, 'First 5 Innings'!$G$33, FALSE)</f>
        <v>1.570001944914339E-8</v>
      </c>
      <c r="G17" s="1">
        <f>_xlfn.POISSON.DIST($D17,'First 5 Innings'!$G$34, FALSE) * _xlfn.POISSON.DIST(G$4, 'First 5 Innings'!$G$33, FALSE)</f>
        <v>1.2418197464755019E-8</v>
      </c>
      <c r="H17" s="1">
        <f>_xlfn.POISSON.DIST($D17,'First 5 Innings'!$G$34, FALSE) * _xlfn.POISSON.DIST(H$4, 'First 5 Innings'!$G$33, FALSE)</f>
        <v>6.5482563582455505E-9</v>
      </c>
      <c r="I17" s="1">
        <f>_xlfn.POISSON.DIST($D17,'First 5 Innings'!$G$34, FALSE) * _xlfn.POISSON.DIST(I$4, 'First 5 Innings'!$G$33, FALSE)</f>
        <v>2.5897273812284222E-9</v>
      </c>
      <c r="J17" s="1">
        <f>_xlfn.POISSON.DIST($D17,'First 5 Innings'!$G$34, FALSE) * _xlfn.POISSON.DIST(J$4, 'First 5 Innings'!$G$33, FALSE)</f>
        <v>8.193555709698713E-10</v>
      </c>
      <c r="K17" s="1">
        <f>_xlfn.POISSON.DIST($D17,'First 5 Innings'!$G$34, FALSE) * _xlfn.POISSON.DIST(K$4, 'First 5 Innings'!$G$33, FALSE)</f>
        <v>2.1602774245196069E-10</v>
      </c>
      <c r="L17" s="1">
        <f>_xlfn.POISSON.DIST($D17,'First 5 Innings'!$G$34, FALSE) * _xlfn.POISSON.DIST(L$4, 'First 5 Innings'!$G$33, FALSE)</f>
        <v>4.8820233673205728E-11</v>
      </c>
      <c r="M17" s="1">
        <f>_xlfn.POISSON.DIST($D17,'First 5 Innings'!$G$34, FALSE) * _xlfn.POISSON.DIST(M$4, 'First 5 Innings'!$G$33, FALSE)</f>
        <v>9.6537985827531622E-12</v>
      </c>
      <c r="N17" s="1">
        <f>_xlfn.POISSON.DIST($D17,'First 5 Innings'!$G$34, FALSE) * _xlfn.POISSON.DIST(N$4, 'First 5 Innings'!$G$33, FALSE)</f>
        <v>1.696852492216951E-12</v>
      </c>
      <c r="O17" s="1">
        <f>_xlfn.POISSON.DIST($D17,'First 5 Innings'!$G$34, FALSE) * _xlfn.POISSON.DIST(O$4, 'First 5 Innings'!$G$33, FALSE)</f>
        <v>2.6843086895744552E-13</v>
      </c>
      <c r="P17" s="1">
        <f>_xlfn.POISSON.DIST($D17,'First 5 Innings'!$G$34, FALSE) * _xlfn.POISSON.DIST(P$4, 'First 5 Innings'!$G$33, FALSE)</f>
        <v>3.8603629495170058E-14</v>
      </c>
      <c r="Q17" s="1">
        <f>_xlfn.POISSON.DIST($D17,'First 5 Innings'!$G$34, FALSE) * _xlfn.POISSON.DIST(Q$4, 'First 5 Innings'!$G$33, FALSE)</f>
        <v>5.089032909376654E-15</v>
      </c>
      <c r="R17" s="1">
        <f>_xlfn.POISSON.DIST($D17,'First 5 Innings'!$G$34, FALSE) * _xlfn.POISSON.DIST(R$4, 'First 5 Innings'!$G$33, FALSE)</f>
        <v>6.1927033106783056E-16</v>
      </c>
      <c r="S17" s="1">
        <f>_xlfn.POISSON.DIST($D17,'First 5 Innings'!$G$34, FALSE) * _xlfn.POISSON.DIST(S$4, 'First 5 Innings'!$G$33, FALSE)</f>
        <v>6.9974629013998365E-17</v>
      </c>
      <c r="T17" s="1">
        <f>_xlfn.POISSON.DIST($D17,'First 5 Innings'!$G$34, FALSE) * _xlfn.POISSON.DIST(T$4, 'First 5 Innings'!$G$33, FALSE)</f>
        <v>7.3796830926109513E-18</v>
      </c>
    </row>
    <row r="18" spans="2:20">
      <c r="B18" s="377"/>
      <c r="C18" s="377"/>
      <c r="D18" s="1">
        <v>13</v>
      </c>
      <c r="E18" s="1">
        <f>_xlfn.POISSON.DIST($D18,'First 5 Innings'!$G$34, FALSE) * _xlfn.POISSON.DIST(E$4, 'First 5 Innings'!$G$33, FALSE)</f>
        <v>1.1209352260590918E-9</v>
      </c>
      <c r="F18" s="1">
        <f>_xlfn.POISSON.DIST($D18,'First 5 Innings'!$G$34, FALSE) * _xlfn.POISSON.DIST(F$4, 'First 5 Innings'!$G$33, FALSE)</f>
        <v>1.7732455717640652E-9</v>
      </c>
      <c r="G18" s="1">
        <f>_xlfn.POISSON.DIST($D18,'First 5 Innings'!$G$34, FALSE) * _xlfn.POISSON.DIST(G$4, 'First 5 Innings'!$G$33, FALSE)</f>
        <v>1.4025787506186845E-9</v>
      </c>
      <c r="H18" s="1">
        <f>_xlfn.POISSON.DIST($D18,'First 5 Innings'!$G$34, FALSE) * _xlfn.POISSON.DIST(H$4, 'First 5 Innings'!$G$33, FALSE)</f>
        <v>7.3959568188104076E-10</v>
      </c>
      <c r="I18" s="1">
        <f>_xlfn.POISSON.DIST($D18,'First 5 Innings'!$G$34, FALSE) * _xlfn.POISSON.DIST(I$4, 'First 5 Innings'!$G$33, FALSE)</f>
        <v>2.924978931214003E-10</v>
      </c>
      <c r="J18" s="1">
        <f>_xlfn.POISSON.DIST($D18,'First 5 Innings'!$G$34, FALSE) * _xlfn.POISSON.DIST(J$4, 'First 5 Innings'!$G$33, FALSE)</f>
        <v>9.2542473761191074E-11</v>
      </c>
      <c r="K18" s="1">
        <f>_xlfn.POISSON.DIST($D18,'First 5 Innings'!$G$34, FALSE) * _xlfn.POISSON.DIST(K$4, 'First 5 Innings'!$G$33, FALSE)</f>
        <v>2.4399347970363695E-11</v>
      </c>
      <c r="L18" s="1">
        <f>_xlfn.POISSON.DIST($D18,'First 5 Innings'!$G$34, FALSE) * _xlfn.POISSON.DIST(L$4, 'First 5 Innings'!$G$33, FALSE)</f>
        <v>5.5140226707312984E-12</v>
      </c>
      <c r="M18" s="1">
        <f>_xlfn.POISSON.DIST($D18,'First 5 Innings'!$G$34, FALSE) * _xlfn.POISSON.DIST(M$4, 'First 5 Innings'!$G$33, FALSE)</f>
        <v>1.0903525083533104E-12</v>
      </c>
      <c r="N18" s="1">
        <f>_xlfn.POISSON.DIST($D18,'First 5 Innings'!$G$34, FALSE) * _xlfn.POISSON.DIST(N$4, 'First 5 Innings'!$G$33, FALSE)</f>
        <v>1.9165174778969446E-13</v>
      </c>
      <c r="O18" s="1">
        <f>_xlfn.POISSON.DIST($D18,'First 5 Innings'!$G$34, FALSE) * _xlfn.POISSON.DIST(O$4, 'First 5 Innings'!$G$33, FALSE)</f>
        <v>3.0318042040995122E-14</v>
      </c>
      <c r="P18" s="1">
        <f>_xlfn.POISSON.DIST($D18,'First 5 Innings'!$G$34, FALSE) * _xlfn.POISSON.DIST(P$4, 'First 5 Innings'!$G$33, FALSE)</f>
        <v>4.3601038379647279E-15</v>
      </c>
      <c r="Q18" s="1">
        <f>_xlfn.POISSON.DIST($D18,'First 5 Innings'!$G$34, FALSE) * _xlfn.POISSON.DIST(Q$4, 'First 5 Innings'!$G$33, FALSE)</f>
        <v>5.7478305045068687E-16</v>
      </c>
      <c r="R18" s="1">
        <f>_xlfn.POISSON.DIST($D18,'First 5 Innings'!$G$34, FALSE) * _xlfn.POISSON.DIST(R$4, 'First 5 Innings'!$G$33, FALSE)</f>
        <v>6.9943758722592652E-17</v>
      </c>
      <c r="S18" s="1">
        <f>_xlfn.POISSON.DIST($D18,'First 5 Innings'!$G$34, FALSE) * _xlfn.POISSON.DIST(S$4, 'First 5 Innings'!$G$33, FALSE)</f>
        <v>7.9033151160635001E-18</v>
      </c>
      <c r="T18" s="1">
        <f>_xlfn.POISSON.DIST($D18,'First 5 Innings'!$G$34, FALSE) * _xlfn.POISSON.DIST(T$4, 'First 5 Innings'!$G$33, FALSE)</f>
        <v>8.3350153847793478E-19</v>
      </c>
    </row>
    <row r="19" spans="2:20">
      <c r="B19" s="377"/>
      <c r="C19" s="377"/>
      <c r="D19" s="1">
        <v>14</v>
      </c>
      <c r="E19" s="1">
        <f>_xlfn.POISSON.DIST($D19,'First 5 Innings'!$G$34, FALSE) * _xlfn.POISSON.DIST(E$4, 'First 5 Innings'!$G$33, FALSE)</f>
        <v>1.1756133997008204E-10</v>
      </c>
      <c r="F19" s="1">
        <f>_xlfn.POISSON.DIST($D19,'First 5 Innings'!$G$34, FALSE) * _xlfn.POISSON.DIST(F$4, 'First 5 Innings'!$G$33, FALSE)</f>
        <v>1.8597428349674171E-10</v>
      </c>
      <c r="G19" s="1">
        <f>_xlfn.POISSON.DIST($D19,'First 5 Innings'!$G$34, FALSE) * _xlfn.POISSON.DIST(G$4, 'First 5 Innings'!$G$33, FALSE)</f>
        <v>1.470995232400732E-10</v>
      </c>
      <c r="H19" s="1">
        <f>_xlfn.POISSON.DIST($D19,'First 5 Innings'!$G$34, FALSE) * _xlfn.POISSON.DIST(H$4, 'First 5 Innings'!$G$33, FALSE)</f>
        <v>7.7567246863770246E-11</v>
      </c>
      <c r="I19" s="1">
        <f>_xlfn.POISSON.DIST($D19,'First 5 Innings'!$G$34, FALSE) * _xlfn.POISSON.DIST(I$4, 'First 5 Innings'!$G$33, FALSE)</f>
        <v>3.0676566722477977E-11</v>
      </c>
      <c r="J19" s="1">
        <f>_xlfn.POISSON.DIST($D19,'First 5 Innings'!$G$34, FALSE) * _xlfn.POISSON.DIST(J$4, 'First 5 Innings'!$G$33, FALSE)</f>
        <v>9.7056609218722651E-12</v>
      </c>
      <c r="K19" s="1">
        <f>_xlfn.POISSON.DIST($D19,'First 5 Innings'!$G$34, FALSE) * _xlfn.POISSON.DIST(K$4, 'First 5 Innings'!$G$33, FALSE)</f>
        <v>2.5589525381202041E-12</v>
      </c>
      <c r="L19" s="1">
        <f>_xlfn.POISSON.DIST($D19,'First 5 Innings'!$G$34, FALSE) * _xlfn.POISSON.DIST(L$4, 'First 5 Innings'!$G$33, FALSE)</f>
        <v>5.7829915478310543E-13</v>
      </c>
      <c r="M19" s="1">
        <f>_xlfn.POISSON.DIST($D19,'First 5 Innings'!$G$34, FALSE) * _xlfn.POISSON.DIST(M$4, 'First 5 Innings'!$G$33, FALSE)</f>
        <v>1.1435388855822958E-13</v>
      </c>
      <c r="N19" s="1">
        <f>_xlfn.POISSON.DIST($D19,'First 5 Innings'!$G$34, FALSE) * _xlfn.POISSON.DIST(N$4, 'First 5 Innings'!$G$33, FALSE)</f>
        <v>2.010003410899761E-14</v>
      </c>
      <c r="O19" s="1">
        <f>_xlfn.POISSON.DIST($D19,'First 5 Innings'!$G$34, FALSE) * _xlfn.POISSON.DIST(O$4, 'First 5 Innings'!$G$33, FALSE)</f>
        <v>3.1796927821954039E-15</v>
      </c>
      <c r="P19" s="1">
        <f>_xlfn.POISSON.DIST($D19,'First 5 Innings'!$G$34, FALSE) * _xlfn.POISSON.DIST(P$4, 'First 5 Innings'!$G$33, FALSE)</f>
        <v>4.5727856318863649E-16</v>
      </c>
      <c r="Q19" s="1">
        <f>_xlfn.POISSON.DIST($D19,'First 5 Innings'!$G$34, FALSE) * _xlfn.POISSON.DIST(Q$4, 'First 5 Innings'!$G$33, FALSE)</f>
        <v>6.0282043094175943E-17</v>
      </c>
      <c r="R19" s="1">
        <f>_xlfn.POISSON.DIST($D19,'First 5 Innings'!$G$34, FALSE) * _xlfn.POISSON.DIST(R$4, 'First 5 Innings'!$G$33, FALSE)</f>
        <v>7.3355549962336854E-18</v>
      </c>
      <c r="S19" s="1">
        <f>_xlfn.POISSON.DIST($D19,'First 5 Innings'!$G$34, FALSE) * _xlfn.POISSON.DIST(S$4, 'First 5 Innings'!$G$33, FALSE)</f>
        <v>8.2888314476188062E-19</v>
      </c>
      <c r="T19" s="1">
        <f>_xlfn.POISSON.DIST($D19,'First 5 Innings'!$G$34, FALSE) * _xlfn.POISSON.DIST(T$4, 'First 5 Innings'!$G$33, FALSE)</f>
        <v>8.7415896523378019E-20</v>
      </c>
    </row>
    <row r="20" spans="2:20">
      <c r="B20" s="377"/>
      <c r="C20" s="377"/>
      <c r="D20" s="1">
        <v>15</v>
      </c>
      <c r="E20" s="1">
        <f>_xlfn.POISSON.DIST($D20,'First 5 Innings'!$G$34, FALSE) * _xlfn.POISSON.DIST(E$4, 'First 5 Innings'!$G$33, FALSE)</f>
        <v>1.1507614753566865E-11</v>
      </c>
      <c r="F20" s="1">
        <f>_xlfn.POISSON.DIST($D20,'First 5 Innings'!$G$34, FALSE) * _xlfn.POISSON.DIST(F$4, 'First 5 Innings'!$G$33, FALSE)</f>
        <v>1.8204287303085919E-11</v>
      </c>
      <c r="G20" s="1">
        <f>_xlfn.POISSON.DIST($D20,'First 5 Innings'!$G$34, FALSE) * _xlfn.POISSON.DIST(G$4, 'First 5 Innings'!$G$33, FALSE)</f>
        <v>1.439899072527505E-11</v>
      </c>
      <c r="H20" s="1">
        <f>_xlfn.POISSON.DIST($D20,'First 5 Innings'!$G$34, FALSE) * _xlfn.POISSON.DIST(H$4, 'First 5 Innings'!$G$33, FALSE)</f>
        <v>7.5927511087424248E-12</v>
      </c>
      <c r="I20" s="1">
        <f>_xlfn.POISSON.DIST($D20,'First 5 Innings'!$G$34, FALSE) * _xlfn.POISSON.DIST(I$4, 'First 5 Innings'!$G$33, FALSE)</f>
        <v>3.0028078269114982E-12</v>
      </c>
      <c r="J20" s="1">
        <f>_xlfn.POISSON.DIST($D20,'First 5 Innings'!$G$34, FALSE) * _xlfn.POISSON.DIST(J$4, 'First 5 Innings'!$G$33, FALSE)</f>
        <v>9.5004877322832642E-13</v>
      </c>
      <c r="K20" s="1">
        <f>_xlfn.POISSON.DIST($D20,'First 5 Innings'!$G$34, FALSE) * _xlfn.POISSON.DIST(K$4, 'First 5 Innings'!$G$33, FALSE)</f>
        <v>2.5048574632479912E-13</v>
      </c>
      <c r="L20" s="1">
        <f>_xlfn.POISSON.DIST($D20,'First 5 Innings'!$G$34, FALSE) * _xlfn.POISSON.DIST(L$4, 'First 5 Innings'!$G$33, FALSE)</f>
        <v>5.6607417772295636E-14</v>
      </c>
      <c r="M20" s="1">
        <f>_xlfn.POISSON.DIST($D20,'First 5 Innings'!$G$34, FALSE) * _xlfn.POISSON.DIST(M$4, 'First 5 Innings'!$G$33, FALSE)</f>
        <v>1.1193650016538726E-14</v>
      </c>
      <c r="N20" s="1">
        <f>_xlfn.POISSON.DIST($D20,'First 5 Innings'!$G$34, FALSE) * _xlfn.POISSON.DIST(N$4, 'First 5 Innings'!$G$33, FALSE)</f>
        <v>1.967512867059546E-15</v>
      </c>
      <c r="O20" s="1">
        <f>_xlfn.POISSON.DIST($D20,'First 5 Innings'!$G$34, FALSE) * _xlfn.POISSON.DIST(O$4, 'First 5 Innings'!$G$33, FALSE)</f>
        <v>3.1124755452356866E-16</v>
      </c>
      <c r="P20" s="1">
        <f>_xlfn.POISSON.DIST($D20,'First 5 Innings'!$G$34, FALSE) * _xlfn.POISSON.DIST(P$4, 'First 5 Innings'!$G$33, FALSE)</f>
        <v>4.4761190554467768E-17</v>
      </c>
      <c r="Q20" s="1">
        <f>_xlfn.POISSON.DIST($D20,'First 5 Innings'!$G$34, FALSE) * _xlfn.POISSON.DIST(Q$4, 'First 5 Innings'!$G$33, FALSE)</f>
        <v>5.9007708542811064E-18</v>
      </c>
      <c r="R20" s="1">
        <f>_xlfn.POISSON.DIST($D20,'First 5 Innings'!$G$34, FALSE) * _xlfn.POISSON.DIST(R$4, 'First 5 Innings'!$G$33, FALSE)</f>
        <v>7.180484751342783E-19</v>
      </c>
      <c r="S20" s="1">
        <f>_xlfn.POISSON.DIST($D20,'First 5 Innings'!$G$34, FALSE) * _xlfn.POISSON.DIST(S$4, 'First 5 Innings'!$G$33, FALSE)</f>
        <v>8.1136093787908029E-20</v>
      </c>
      <c r="T20" s="1">
        <f>_xlfn.POISSON.DIST($D20,'First 5 Innings'!$G$34, FALSE) * _xlfn.POISSON.DIST(T$4, 'First 5 Innings'!$G$33, FALSE)</f>
        <v>8.556796484156281E-21</v>
      </c>
    </row>
    <row r="24" spans="2:20">
      <c r="D24" s="1" t="s">
        <v>738</v>
      </c>
      <c r="E24" s="1" t="e">
        <f>E3</f>
        <v>#REF!</v>
      </c>
      <c r="F24" s="1">
        <f>1-F25</f>
        <v>0.52479412488734489</v>
      </c>
      <c r="H24" s="1" t="s">
        <v>345</v>
      </c>
      <c r="I24" s="1">
        <v>3</v>
      </c>
      <c r="J24" s="1">
        <f>SUM(E9:E20,F8:F20,G7:G20,H6:H20,I5:T20)</f>
        <v>0.36401898366052737</v>
      </c>
    </row>
    <row r="25" spans="2:20">
      <c r="D25" s="1" t="s">
        <v>739</v>
      </c>
      <c r="E25" s="1" t="e">
        <f>C5</f>
        <v>#REF!</v>
      </c>
      <c r="F25" s="1">
        <f>SUM(E6:E20,F7:F20,G8:G20,H9:H20,I10:I20,J11:J20,K12:K20,L13:L20,M14:M20,N15:N20,O16:O20,P17:P20,Q18:Q20,R19:R20,S20) + (SUM(E5,F6,G7,H8,I9,J10,K11,L12,M13,N14,O15,P16,Q17,R18,S19,T20)/2)</f>
        <v>0.47520587511265516</v>
      </c>
      <c r="H25" s="1" t="s">
        <v>348</v>
      </c>
      <c r="I25" s="1">
        <v>3</v>
      </c>
      <c r="J25" s="1">
        <f>SUM(E8,F7,G6,H5)</f>
        <v>0.22394867353708464</v>
      </c>
    </row>
    <row r="26" spans="2:20">
      <c r="H26" s="1" t="s">
        <v>346</v>
      </c>
      <c r="I26" s="1">
        <v>3</v>
      </c>
      <c r="J26" s="1">
        <f>SUM(E5:E7,F5:F6,G5)</f>
        <v>0.41203234278011364</v>
      </c>
    </row>
    <row r="27" spans="2:20">
      <c r="H27" s="1" t="s">
        <v>345</v>
      </c>
      <c r="I27" s="1">
        <v>3.5</v>
      </c>
      <c r="J27" s="1">
        <f>SUM(E9:E20,F8:F20,G7:G20,H6:H20,I5:T20)</f>
        <v>0.36401898366052737</v>
      </c>
    </row>
    <row r="28" spans="2:20">
      <c r="H28" s="1" t="s">
        <v>346</v>
      </c>
      <c r="I28" s="1">
        <v>3.5</v>
      </c>
      <c r="J28" s="1">
        <f>SUM(E5:E8,F5:F7,G5:G6,H5)</f>
        <v>0.63598101631719828</v>
      </c>
    </row>
    <row r="29" spans="2:20">
      <c r="D29" s="1" t="s">
        <v>740</v>
      </c>
      <c r="H29" s="1" t="s">
        <v>345</v>
      </c>
      <c r="I29" s="1">
        <v>4</v>
      </c>
      <c r="J29" s="1">
        <f>SUM(E10:E20,F9:F20,G8:G20,H7:H20,I6:I20,J5:T20)</f>
        <v>0.1932455388867218</v>
      </c>
    </row>
    <row r="30" spans="2:20">
      <c r="D30" s="1" t="s">
        <v>738</v>
      </c>
      <c r="E30" s="1" t="e">
        <f>$E$3</f>
        <v>#REF!</v>
      </c>
      <c r="F30" s="1">
        <f>SUM(F5,G5:G6,H5:H7,I5:I8,J5:J9,K5:K10,L5:L11,M5:M12,N5:N13,O5:O14,P5:P15,Q5:Q16,R5:R17,S5:S18,T5:T19)</f>
        <v>0.40464406283732701</v>
      </c>
      <c r="H30" s="1" t="s">
        <v>348</v>
      </c>
      <c r="I30" s="1">
        <v>4</v>
      </c>
      <c r="J30" s="1">
        <f>SUM(E9,F8,G7,H6,I5)</f>
        <v>0.17077344477380563</v>
      </c>
    </row>
    <row r="31" spans="2:20">
      <c r="D31" s="1" t="s">
        <v>739</v>
      </c>
      <c r="E31" s="1" t="e">
        <f>$C$5</f>
        <v>#REF!</v>
      </c>
      <c r="F31" s="1">
        <f>SUM(E6:E20,F7:F20,G8:G20,H9:H20,I10:I20,J11:J20,K12:K20,L13:L20,M14:M20,N15:N20,O16:O20,P17:P20,Q18:Q20,R19:R20,S20)</f>
        <v>0.35505581308491163</v>
      </c>
      <c r="H31" s="1" t="s">
        <v>346</v>
      </c>
      <c r="I31" s="1">
        <v>4</v>
      </c>
      <c r="J31" s="1">
        <f>1-J30-J29</f>
        <v>0.63598101633947257</v>
      </c>
    </row>
    <row r="32" spans="2:20">
      <c r="D32" s="1" t="s">
        <v>348</v>
      </c>
      <c r="F32" s="1">
        <f>1-F31-F30</f>
        <v>0.24030012407776136</v>
      </c>
      <c r="H32" s="1" t="s">
        <v>345</v>
      </c>
      <c r="I32" s="1">
        <v>4.5</v>
      </c>
      <c r="J32" s="1">
        <f>SUM(E10:E20,F9:F20,G8:G20,H7:H20,I6:I20,J5:T20)</f>
        <v>0.1932455388867218</v>
      </c>
    </row>
    <row r="33" spans="8:10">
      <c r="H33" s="1" t="s">
        <v>346</v>
      </c>
      <c r="I33" s="1">
        <v>4.5</v>
      </c>
      <c r="J33" s="1">
        <f>1-J32</f>
        <v>0.8067544611132782</v>
      </c>
    </row>
    <row r="34" spans="8:10">
      <c r="H34" s="1" t="s">
        <v>345</v>
      </c>
      <c r="I34" s="1">
        <v>5</v>
      </c>
      <c r="J34" s="1">
        <f>SUM(E11:E20,F10:F20,G9:G20,H8:H20,I7:I20,J6:J20,K5:T20)</f>
        <v>8.9066062476176419E-2</v>
      </c>
    </row>
    <row r="35" spans="8:10">
      <c r="H35" s="1" t="s">
        <v>348</v>
      </c>
      <c r="I35" s="1">
        <v>5</v>
      </c>
      <c r="J35" s="1">
        <f>SUM(E10,F9,G8,H7,I6,J5)</f>
        <v>0.10417947641054537</v>
      </c>
    </row>
    <row r="36" spans="8:10">
      <c r="H36" s="1" t="s">
        <v>346</v>
      </c>
      <c r="I36" s="1">
        <v>5</v>
      </c>
      <c r="J36" s="1">
        <f>SUM(E5:E9,F5:F8,G5:G7,H5:H6,I5)</f>
        <v>0.8067544610910039</v>
      </c>
    </row>
    <row r="37" spans="8:10">
      <c r="H37" s="1" t="s">
        <v>345</v>
      </c>
      <c r="I37" s="1">
        <v>5.5</v>
      </c>
      <c r="J37" s="1">
        <f>SUM(E11:E20,F10:F20,G9:G20,H8:H20,I7:I20,J6:J20,K5:T20)</f>
        <v>8.9066062476176419E-2</v>
      </c>
    </row>
    <row r="38" spans="8:10">
      <c r="H38" s="1" t="s">
        <v>346</v>
      </c>
      <c r="I38" s="1">
        <v>5.5</v>
      </c>
      <c r="J38" s="1">
        <f>1-J37</f>
        <v>0.91093393752382357</v>
      </c>
    </row>
    <row r="39" spans="8:10">
      <c r="H39" s="1" t="s">
        <v>345</v>
      </c>
      <c r="I39" s="1">
        <v>6</v>
      </c>
      <c r="J39" s="1">
        <f>SUM(E12:E20,F11:F20,G10:G20,H9:H20,I8:I20,J7:J20,K6:K20,L5:T20)</f>
        <v>3.6104260171613493E-2</v>
      </c>
    </row>
    <row r="40" spans="8:10">
      <c r="H40" s="1" t="s">
        <v>348</v>
      </c>
      <c r="I40" s="1">
        <v>6</v>
      </c>
      <c r="J40" s="1">
        <f>SUM(E11,F10,G9,H8,I7,J6,K5)</f>
        <v>5.2961802304562898E-2</v>
      </c>
    </row>
    <row r="41" spans="8:10">
      <c r="H41" s="1" t="s">
        <v>346</v>
      </c>
      <c r="I41" s="1">
        <v>6</v>
      </c>
      <c r="J41" s="1">
        <f>SUM(E5:E10,F5:F9,G5:G8,H5:H7,I5:I6,J5)</f>
        <v>0.91093393750154916</v>
      </c>
    </row>
    <row r="42" spans="8:10">
      <c r="H42" s="1" t="s">
        <v>345</v>
      </c>
      <c r="I42" s="1">
        <v>6.5</v>
      </c>
      <c r="J42" s="1">
        <f>SUM(E12:E20,F11:F20,G10:G20,H9:H20,I8:I20,J7:J20,K6:K20,L5:T20)</f>
        <v>3.6104260171613493E-2</v>
      </c>
    </row>
    <row r="43" spans="8:10">
      <c r="H43" s="1" t="s">
        <v>346</v>
      </c>
      <c r="I43" s="1">
        <v>6.5</v>
      </c>
      <c r="J43" s="1">
        <f>1-J42</f>
        <v>0.9638957398283865</v>
      </c>
    </row>
  </sheetData>
  <mergeCells count="4">
    <mergeCell ref="C5:C20"/>
    <mergeCell ref="E2:T2"/>
    <mergeCell ref="B5:B20"/>
    <mergeCell ref="E3:T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Z52"/>
  <sheetViews>
    <sheetView workbookViewId="0"/>
  </sheetViews>
  <sheetFormatPr defaultColWidth="12.5703125" defaultRowHeight="15" customHeight="1"/>
  <cols>
    <col min="1" max="1" width="2.85546875" customWidth="1"/>
    <col min="2" max="2" width="23.42578125" customWidth="1"/>
    <col min="3" max="3" width="4.7109375" customWidth="1"/>
    <col min="4" max="4" width="6.28515625" customWidth="1"/>
    <col min="5" max="5" width="12.42578125" customWidth="1"/>
    <col min="6" max="6" width="16.42578125" customWidth="1"/>
    <col min="7" max="7" width="16.140625" customWidth="1"/>
    <col min="8" max="8" width="8.42578125" customWidth="1"/>
    <col min="9" max="9" width="26.5703125" customWidth="1"/>
    <col min="10" max="10" width="7.7109375" customWidth="1"/>
    <col min="11" max="11" width="10.28515625" customWidth="1"/>
    <col min="12" max="12" width="5" customWidth="1"/>
    <col min="13" max="13" width="4.42578125" customWidth="1"/>
    <col min="14" max="14" width="7.42578125" customWidth="1"/>
    <col min="15" max="15" width="10.28515625" customWidth="1"/>
    <col min="16" max="16" width="5" customWidth="1"/>
    <col min="17" max="17" width="4.42578125" customWidth="1"/>
    <col min="18" max="18" width="4.28515625" customWidth="1"/>
    <col min="19" max="19" width="2.85546875" customWidth="1"/>
    <col min="20" max="20" width="16" customWidth="1"/>
    <col min="21" max="21" width="6.42578125" customWidth="1"/>
    <col min="22" max="22" width="4.28515625" customWidth="1"/>
    <col min="23" max="23" width="16" customWidth="1"/>
    <col min="24" max="24" width="6.42578125" customWidth="1"/>
    <col min="25" max="25" width="5.140625" customWidth="1"/>
    <col min="26" max="27" width="2.85546875" customWidth="1"/>
  </cols>
  <sheetData>
    <row r="1" spans="1:26" ht="15" customHeight="1">
      <c r="A1" s="1"/>
      <c r="B1" s="406"/>
      <c r="C1" s="377"/>
      <c r="D1" s="377"/>
      <c r="E1" s="377"/>
      <c r="F1" s="377"/>
      <c r="G1" s="377"/>
      <c r="H1" s="377"/>
      <c r="I1" s="377"/>
      <c r="K1" s="407"/>
      <c r="L1" s="377"/>
      <c r="M1" s="377"/>
      <c r="N1" s="377"/>
      <c r="T1" s="1"/>
      <c r="U1" s="1"/>
      <c r="X1" s="1"/>
      <c r="Y1" s="1"/>
      <c r="Z1" s="1"/>
    </row>
    <row r="2" spans="1:26" ht="15" customHeight="1">
      <c r="A2" s="1">
        <v>1</v>
      </c>
      <c r="B2" s="156" t="str">
        <f ca="1">IFERROR(__xludf.DUMMYFUNCTION("importhtml(""https://www.cbssports.com/fantasy/baseball/probable-pitchers/"",""table"",A2)"),"players")</f>
        <v>players</v>
      </c>
      <c r="C2" s="1" t="str">
        <f ca="1">IFERROR(__xludf.DUMMYFUNCTION("""COMPUTED_VALUE"""),"W 
Wins")</f>
        <v>W 
Wins</v>
      </c>
      <c r="D2" s="1" t="str">
        <f ca="1">IFERROR(__xludf.DUMMYFUNCTION("""COMPUTED_VALUE"""),"L 
Losses")</f>
        <v>L 
Losses</v>
      </c>
      <c r="E2" s="1" t="str">
        <f ca="1">IFERROR(__xludf.DUMMYFUNCTION("""COMPUTED_VALUE"""),"IP 
Innings Pitched")</f>
        <v>IP 
Innings Pitched</v>
      </c>
      <c r="F2" s="1" t="str">
        <f ca="1">IFERROR(__xludf.DUMMYFUNCTION("""COMPUTED_VALUE"""),"ERA 
Earned Run Average")</f>
        <v>ERA 
Earned Run Average</v>
      </c>
      <c r="G2" s="1" t="str">
        <f ca="1">IFERROR(__xludf.DUMMYFUNCTION("""COMPUTED_VALUE"""),"BB 
Base on Balls/Walks")</f>
        <v>BB 
Base on Balls/Walks</v>
      </c>
      <c r="H2" s="1" t="str">
        <f ca="1">IFERROR(__xludf.DUMMYFUNCTION("""COMPUTED_VALUE"""),"SO 
Strikeouts")</f>
        <v>SO 
Strikeouts</v>
      </c>
      <c r="I2" s="1" t="str">
        <f ca="1">IFERROR(__xludf.DUMMYFUNCTION("""COMPUTED_VALUE"""),"WHIP 
Walks And Hits Allowed Per Inning")</f>
        <v>WHIP 
Walks And Hits Allowed Per Inning</v>
      </c>
      <c r="K2" s="377"/>
      <c r="L2" s="377"/>
      <c r="M2" s="377"/>
      <c r="N2" s="377"/>
      <c r="T2" s="1" t="s">
        <v>295</v>
      </c>
      <c r="U2" s="1" t="s">
        <v>296</v>
      </c>
      <c r="W2" s="1" t="str">
        <f ca="1">IFERROR(__xludf.DUMMYFUNCTION("filter(T2:T54,T2:T54&lt;&gt;"""")"),"Player")</f>
        <v>Player</v>
      </c>
      <c r="X2" s="1" t="s">
        <v>296</v>
      </c>
      <c r="Y2" s="1" t="s">
        <v>9</v>
      </c>
    </row>
    <row r="3" spans="1:26" ht="12.75" customHeight="1">
      <c r="B3" s="1" t="str">
        <f ca="1">IFERROR(__xludf.DUMMYFUNCTION("""COMPUTED_VALUE"""),"P. Skenes PIT RHP 
Paul Skenes PIT RHP")</f>
        <v>P. Skenes PIT RHP 
Paul Skenes PIT RHP</v>
      </c>
      <c r="C3" s="1" t="str">
        <f ca="1">IFERROR(__xludf.DUMMYFUNCTION("""COMPUTED_VALUE"""),"—")</f>
        <v>—</v>
      </c>
      <c r="D3" s="1" t="str">
        <f ca="1">IFERROR(__xludf.DUMMYFUNCTION("""COMPUTED_VALUE"""),"—")</f>
        <v>—</v>
      </c>
      <c r="E3" s="1" t="str">
        <f ca="1">IFERROR(__xludf.DUMMYFUNCTION("""COMPUTED_VALUE"""),"—")</f>
        <v>—</v>
      </c>
      <c r="F3" s="1" t="str">
        <f ca="1">IFERROR(__xludf.DUMMYFUNCTION("""COMPUTED_VALUE"""),"—")</f>
        <v>—</v>
      </c>
      <c r="G3" s="1" t="str">
        <f ca="1">IFERROR(__xludf.DUMMYFUNCTION("""COMPUTED_VALUE"""),"—")</f>
        <v>—</v>
      </c>
      <c r="H3" s="1" t="str">
        <f ca="1">IFERROR(__xludf.DUMMYFUNCTION("""COMPUTED_VALUE"""),"—")</f>
        <v>—</v>
      </c>
      <c r="I3" s="1" t="str">
        <f ca="1">IFERROR(__xludf.DUMMYFUNCTION("""COMPUTED_VALUE"""),"—")</f>
        <v>—</v>
      </c>
      <c r="J3" s="1" t="str">
        <f ca="1">IFERROR(__xludf.DUMMYFUNCTION("split(B3,"" "")"),"P.")</f>
        <v>P.</v>
      </c>
      <c r="K3" s="1" t="str">
        <f ca="1">IFERROR(__xludf.DUMMYFUNCTION("""COMPUTED_VALUE"""),"Skenes")</f>
        <v>Skenes</v>
      </c>
      <c r="L3" s="1" t="str">
        <f ca="1">IFERROR(__xludf.DUMMYFUNCTION("""COMPUTED_VALUE"""),"PIT")</f>
        <v>PIT</v>
      </c>
      <c r="M3" s="1" t="str">
        <f ca="1">IFERROR(__xludf.DUMMYFUNCTION("""COMPUTED_VALUE"""),"RHP")</f>
        <v>RHP</v>
      </c>
      <c r="N3" s="1" t="str">
        <f ca="1">IFERROR(__xludf.DUMMYFUNCTION("""COMPUTED_VALUE"""),"
Paul")</f>
        <v xml:space="preserve">
Paul</v>
      </c>
      <c r="O3" s="1" t="str">
        <f ca="1">IFERROR(__xludf.DUMMYFUNCTION("""COMPUTED_VALUE"""),"Skenes")</f>
        <v>Skenes</v>
      </c>
      <c r="P3" s="1" t="str">
        <f ca="1">IFERROR(__xludf.DUMMYFUNCTION("""COMPUTED_VALUE"""),"PIT")</f>
        <v>PIT</v>
      </c>
      <c r="Q3" s="1" t="str">
        <f ca="1">IFERROR(__xludf.DUMMYFUNCTION("""COMPUTED_VALUE"""),"RHP")</f>
        <v>RHP</v>
      </c>
      <c r="T3" s="1" t="str">
        <f ca="1">IF(TRIM(O3)="Lynn","Lance Lynn",IFERROR(_xludf.SWITCH(TRIM(N3),"Chi","Chi Chi Gonzalez","J.T.","JT Brubaker","Kwang","Kwang-hyun Kim","Lance","Lance McCullers Jr."),IF(N3&lt;&gt;"",TRIM(N3&amp;" "&amp;O3),"TBD")))</f>
        <v xml:space="preserve">
Paul Skenes</v>
      </c>
      <c r="U3" s="1" t="str">
        <f t="shared" ref="U3:U46" ca="1" si="0">LEFT(M3,1)</f>
        <v>R</v>
      </c>
      <c r="W3" s="1" t="str">
        <f ca="1">IFERROR(__xludf.DUMMYFUNCTION("""COMPUTED_VALUE"""),"Paul Skenes")</f>
        <v>Paul Skenes</v>
      </c>
      <c r="X3" s="1" t="str">
        <f t="shared" ref="X3:X46" ca="1" si="1">IFERROR(VLOOKUP(W3,$T$3:$V$54,2,FALSE),"")</f>
        <v/>
      </c>
      <c r="Y3" s="157" t="str">
        <f ca="1">IFERROR(VLOOKUP(W3,'Starting Pitchers'!$B$6:$C995,2,0),"")</f>
        <v>PIT</v>
      </c>
    </row>
    <row r="4" spans="1:26" ht="12.75" customHeight="1">
      <c r="B4" s="1" t="str">
        <f ca="1">IFERROR(__xludf.DUMMYFUNCTION("""COMPUTED_VALUE"""),"F. Peralta NYM RHP 
Freddy Peralta NYM RHP")</f>
        <v>F. Peralta NYM RHP 
Freddy Peralta NYM RHP</v>
      </c>
      <c r="C4" s="1" t="str">
        <f ca="1">IFERROR(__xludf.DUMMYFUNCTION("""COMPUTED_VALUE"""),"—")</f>
        <v>—</v>
      </c>
      <c r="D4" s="1" t="str">
        <f ca="1">IFERROR(__xludf.DUMMYFUNCTION("""COMPUTED_VALUE"""),"—")</f>
        <v>—</v>
      </c>
      <c r="E4" s="1" t="str">
        <f ca="1">IFERROR(__xludf.DUMMYFUNCTION("""COMPUTED_VALUE"""),"—")</f>
        <v>—</v>
      </c>
      <c r="F4" s="1" t="str">
        <f ca="1">IFERROR(__xludf.DUMMYFUNCTION("""COMPUTED_VALUE"""),"—")</f>
        <v>—</v>
      </c>
      <c r="G4" s="1" t="str">
        <f ca="1">IFERROR(__xludf.DUMMYFUNCTION("""COMPUTED_VALUE"""),"—")</f>
        <v>—</v>
      </c>
      <c r="H4" s="1" t="str">
        <f ca="1">IFERROR(__xludf.DUMMYFUNCTION("""COMPUTED_VALUE"""),"—")</f>
        <v>—</v>
      </c>
      <c r="I4" s="1" t="str">
        <f ca="1">IFERROR(__xludf.DUMMYFUNCTION("""COMPUTED_VALUE"""),"—")</f>
        <v>—</v>
      </c>
      <c r="J4" s="1" t="str">
        <f ca="1">IFERROR(__xludf.DUMMYFUNCTION("split(B4,"" "")"),"F.")</f>
        <v>F.</v>
      </c>
      <c r="K4" s="1" t="str">
        <f ca="1">IFERROR(__xludf.DUMMYFUNCTION("""COMPUTED_VALUE"""),"Peralta")</f>
        <v>Peralta</v>
      </c>
      <c r="L4" s="1" t="str">
        <f ca="1">IFERROR(__xludf.DUMMYFUNCTION("""COMPUTED_VALUE"""),"NYM")</f>
        <v>NYM</v>
      </c>
      <c r="M4" s="1" t="str">
        <f ca="1">IFERROR(__xludf.DUMMYFUNCTION("""COMPUTED_VALUE"""),"RHP")</f>
        <v>RHP</v>
      </c>
      <c r="N4" s="1" t="str">
        <f ca="1">IFERROR(__xludf.DUMMYFUNCTION("""COMPUTED_VALUE"""),"
Freddy")</f>
        <v xml:space="preserve">
Freddy</v>
      </c>
      <c r="O4" s="1" t="str">
        <f ca="1">IFERROR(__xludf.DUMMYFUNCTION("""COMPUTED_VALUE"""),"Peralta")</f>
        <v>Peralta</v>
      </c>
      <c r="P4" s="1" t="str">
        <f ca="1">IFERROR(__xludf.DUMMYFUNCTION("""COMPUTED_VALUE"""),"NYM")</f>
        <v>NYM</v>
      </c>
      <c r="Q4" s="1" t="str">
        <f ca="1">IFERROR(__xludf.DUMMYFUNCTION("""COMPUTED_VALUE"""),"RHP")</f>
        <v>RHP</v>
      </c>
      <c r="T4" s="1" t="str">
        <f ca="1">IF(TRIM(O4)="Lynn","Lance Lynn",IFERROR(_xludf.SWITCH(TRIM(N4),"Chi","Chi Chi Gonzalez","J.T.","JT Brubaker","Kwang","Kwang-hyun Kim","Lance","Lance McCullers Jr."),IF(N4&lt;&gt;"",TRIM(N4&amp;" "&amp;O4),"TBD")))</f>
        <v xml:space="preserve">
Freddy Peralta</v>
      </c>
      <c r="U4" s="1" t="str">
        <f t="shared" ca="1" si="0"/>
        <v>R</v>
      </c>
      <c r="W4" s="1" t="str">
        <f ca="1">IFERROR(__xludf.DUMMYFUNCTION("""COMPUTED_VALUE"""),"Freddy Peralta")</f>
        <v>Freddy Peralta</v>
      </c>
      <c r="X4" s="1" t="str">
        <f t="shared" ca="1" si="1"/>
        <v/>
      </c>
      <c r="Y4" s="157" t="str">
        <f ca="1">IFERROR(VLOOKUP(W4,'Starting Pitchers'!$B$6:$C995,2,0),"")</f>
        <v>2 Tms</v>
      </c>
    </row>
    <row r="5" spans="1:26" ht="15" customHeight="1">
      <c r="A5" s="1">
        <v>2</v>
      </c>
      <c r="B5" s="156" t="str">
        <f ca="1">IFERROR(__xludf.DUMMYFUNCTION("importhtml(""https://www.cbssports.com/fantasy/baseball/probable-pitchers/"",""table"",A5)"),"players")</f>
        <v>players</v>
      </c>
      <c r="C5" s="1" t="str">
        <f ca="1">IFERROR(__xludf.DUMMYFUNCTION("""COMPUTED_VALUE"""),"W 
Wins")</f>
        <v>W 
Wins</v>
      </c>
      <c r="D5" s="1" t="str">
        <f ca="1">IFERROR(__xludf.DUMMYFUNCTION("""COMPUTED_VALUE"""),"L 
Losses")</f>
        <v>L 
Losses</v>
      </c>
      <c r="E5" s="1" t="str">
        <f ca="1">IFERROR(__xludf.DUMMYFUNCTION("""COMPUTED_VALUE"""),"IP 
Innings Pitched")</f>
        <v>IP 
Innings Pitched</v>
      </c>
      <c r="F5" s="1" t="str">
        <f ca="1">IFERROR(__xludf.DUMMYFUNCTION("""COMPUTED_VALUE"""),"ERA 
Earned Run Average")</f>
        <v>ERA 
Earned Run Average</v>
      </c>
      <c r="G5" s="1" t="str">
        <f ca="1">IFERROR(__xludf.DUMMYFUNCTION("""COMPUTED_VALUE"""),"BB 
Base on Balls/Walks")</f>
        <v>BB 
Base on Balls/Walks</v>
      </c>
      <c r="H5" s="1" t="str">
        <f ca="1">IFERROR(__xludf.DUMMYFUNCTION("""COMPUTED_VALUE"""),"SO 
Strikeouts")</f>
        <v>SO 
Strikeouts</v>
      </c>
      <c r="I5" s="1" t="str">
        <f ca="1">IFERROR(__xludf.DUMMYFUNCTION("""COMPUTED_VALUE"""),"WHIP 
Walks And Hits Allowed Per Inning")</f>
        <v>WHIP 
Walks And Hits Allowed Per Inning</v>
      </c>
      <c r="U5" s="1" t="str">
        <f t="shared" si="0"/>
        <v/>
      </c>
      <c r="W5" s="1" t="str">
        <f ca="1">IFERROR(__xludf.DUMMYFUNCTION("""COMPUTED_VALUE"""),"Shane Smith")</f>
        <v>Shane Smith</v>
      </c>
      <c r="X5" s="1" t="str">
        <f t="shared" ca="1" si="1"/>
        <v/>
      </c>
      <c r="Y5" s="157" t="str">
        <f ca="1">IFERROR(VLOOKUP(W5,'Starting Pitchers'!$B$6:$C995,2,0),"")</f>
        <v>CHW</v>
      </c>
    </row>
    <row r="6" spans="1:26" ht="12.75" customHeight="1">
      <c r="B6" s="1" t="str">
        <f ca="1">IFERROR(__xludf.DUMMYFUNCTION("""COMPUTED_VALUE"""),"S. Smith CHW RHP 
Shane Smith CHW RHP")</f>
        <v>S. Smith CHW RHP 
Shane Smith CHW RHP</v>
      </c>
      <c r="C6" s="1" t="str">
        <f ca="1">IFERROR(__xludf.DUMMYFUNCTION("""COMPUTED_VALUE"""),"—")</f>
        <v>—</v>
      </c>
      <c r="D6" s="1" t="str">
        <f ca="1">IFERROR(__xludf.DUMMYFUNCTION("""COMPUTED_VALUE"""),"—")</f>
        <v>—</v>
      </c>
      <c r="E6" s="1" t="str">
        <f ca="1">IFERROR(__xludf.DUMMYFUNCTION("""COMPUTED_VALUE"""),"—")</f>
        <v>—</v>
      </c>
      <c r="F6" s="1" t="str">
        <f ca="1">IFERROR(__xludf.DUMMYFUNCTION("""COMPUTED_VALUE"""),"—")</f>
        <v>—</v>
      </c>
      <c r="G6" s="1" t="str">
        <f ca="1">IFERROR(__xludf.DUMMYFUNCTION("""COMPUTED_VALUE"""),"—")</f>
        <v>—</v>
      </c>
      <c r="H6" s="1" t="str">
        <f ca="1">IFERROR(__xludf.DUMMYFUNCTION("""COMPUTED_VALUE"""),"—")</f>
        <v>—</v>
      </c>
      <c r="I6" s="1" t="str">
        <f ca="1">IFERROR(__xludf.DUMMYFUNCTION("""COMPUTED_VALUE"""),"—")</f>
        <v>—</v>
      </c>
      <c r="J6" s="1" t="str">
        <f ca="1">IFERROR(__xludf.DUMMYFUNCTION("split(B6,"" "")"),"S.")</f>
        <v>S.</v>
      </c>
      <c r="K6" s="1" t="str">
        <f ca="1">IFERROR(__xludf.DUMMYFUNCTION("""COMPUTED_VALUE"""),"Smith")</f>
        <v>Smith</v>
      </c>
      <c r="L6" s="1" t="str">
        <f ca="1">IFERROR(__xludf.DUMMYFUNCTION("""COMPUTED_VALUE"""),"CHW")</f>
        <v>CHW</v>
      </c>
      <c r="M6" s="1" t="str">
        <f ca="1">IFERROR(__xludf.DUMMYFUNCTION("""COMPUTED_VALUE"""),"RHP")</f>
        <v>RHP</v>
      </c>
      <c r="N6" s="1" t="str">
        <f ca="1">IFERROR(__xludf.DUMMYFUNCTION("""COMPUTED_VALUE"""),"
Shane")</f>
        <v xml:space="preserve">
Shane</v>
      </c>
      <c r="O6" s="1" t="str">
        <f ca="1">IFERROR(__xludf.DUMMYFUNCTION("""COMPUTED_VALUE"""),"Smith")</f>
        <v>Smith</v>
      </c>
      <c r="P6" s="1" t="str">
        <f ca="1">IFERROR(__xludf.DUMMYFUNCTION("""COMPUTED_VALUE"""),"CHW")</f>
        <v>CHW</v>
      </c>
      <c r="Q6" s="1" t="str">
        <f ca="1">IFERROR(__xludf.DUMMYFUNCTION("""COMPUTED_VALUE"""),"RHP")</f>
        <v>RHP</v>
      </c>
      <c r="T6" s="1" t="str">
        <f ca="1">IF(TRIM(O6)="Lynn","Lance Lynn",IFERROR(_xludf.SWITCH(TRIM(N6),"Chi","Chi Chi Gonzalez","J.T.","JT Brubaker","Kwang","Kwang-hyun Kim","Lance","Lance McCullers Jr."),IF(N6&lt;&gt;"",TRIM(N6&amp;" "&amp;O6),"TBD")))</f>
        <v xml:space="preserve">
Shane Smith</v>
      </c>
      <c r="U6" s="1" t="str">
        <f t="shared" ca="1" si="0"/>
        <v>R</v>
      </c>
      <c r="W6" s="1" t="str">
        <f ca="1">IFERROR(__xludf.DUMMYFUNCTION("""COMPUTED_VALUE"""),"Jacob Misiorowski")</f>
        <v>Jacob Misiorowski</v>
      </c>
      <c r="X6" s="1" t="str">
        <f t="shared" ca="1" si="1"/>
        <v/>
      </c>
      <c r="Y6" s="157" t="str">
        <f ca="1">IFERROR(VLOOKUP(W6,'Starting Pitchers'!$B$6:$C995,2,0),"")</f>
        <v>MIL</v>
      </c>
    </row>
    <row r="7" spans="1:26" ht="12.75" customHeight="1">
      <c r="B7" s="1" t="str">
        <f ca="1">IFERROR(__xludf.DUMMYFUNCTION("""COMPUTED_VALUE"""),"J. Misiorowski MIL RHP 
Jacob Misiorowski MIL RHP")</f>
        <v>J. Misiorowski MIL RHP 
Jacob Misiorowski MIL RHP</v>
      </c>
      <c r="C7" s="1" t="str">
        <f ca="1">IFERROR(__xludf.DUMMYFUNCTION("""COMPUTED_VALUE"""),"—")</f>
        <v>—</v>
      </c>
      <c r="D7" s="1" t="str">
        <f ca="1">IFERROR(__xludf.DUMMYFUNCTION("""COMPUTED_VALUE"""),"—")</f>
        <v>—</v>
      </c>
      <c r="E7" s="1" t="str">
        <f ca="1">IFERROR(__xludf.DUMMYFUNCTION("""COMPUTED_VALUE"""),"—")</f>
        <v>—</v>
      </c>
      <c r="F7" s="1" t="str">
        <f ca="1">IFERROR(__xludf.DUMMYFUNCTION("""COMPUTED_VALUE"""),"—")</f>
        <v>—</v>
      </c>
      <c r="G7" s="1" t="str">
        <f ca="1">IFERROR(__xludf.DUMMYFUNCTION("""COMPUTED_VALUE"""),"—")</f>
        <v>—</v>
      </c>
      <c r="H7" s="1" t="str">
        <f ca="1">IFERROR(__xludf.DUMMYFUNCTION("""COMPUTED_VALUE"""),"—")</f>
        <v>—</v>
      </c>
      <c r="I7" s="1" t="str">
        <f ca="1">IFERROR(__xludf.DUMMYFUNCTION("""COMPUTED_VALUE"""),"—")</f>
        <v>—</v>
      </c>
      <c r="J7" s="1" t="str">
        <f ca="1">IFERROR(__xludf.DUMMYFUNCTION("split(B7,"" "")"),"J.")</f>
        <v>J.</v>
      </c>
      <c r="K7" s="1" t="str">
        <f ca="1">IFERROR(__xludf.DUMMYFUNCTION("""COMPUTED_VALUE"""),"Misiorowski")</f>
        <v>Misiorowski</v>
      </c>
      <c r="L7" s="1" t="str">
        <f ca="1">IFERROR(__xludf.DUMMYFUNCTION("""COMPUTED_VALUE"""),"MIL")</f>
        <v>MIL</v>
      </c>
      <c r="M7" s="1" t="str">
        <f ca="1">IFERROR(__xludf.DUMMYFUNCTION("""COMPUTED_VALUE"""),"RHP")</f>
        <v>RHP</v>
      </c>
      <c r="N7" s="1" t="str">
        <f ca="1">IFERROR(__xludf.DUMMYFUNCTION("""COMPUTED_VALUE"""),"
Jacob")</f>
        <v xml:space="preserve">
Jacob</v>
      </c>
      <c r="O7" s="1" t="str">
        <f ca="1">IFERROR(__xludf.DUMMYFUNCTION("""COMPUTED_VALUE"""),"Misiorowski")</f>
        <v>Misiorowski</v>
      </c>
      <c r="P7" s="1" t="str">
        <f ca="1">IFERROR(__xludf.DUMMYFUNCTION("""COMPUTED_VALUE"""),"MIL")</f>
        <v>MIL</v>
      </c>
      <c r="Q7" s="1" t="str">
        <f ca="1">IFERROR(__xludf.DUMMYFUNCTION("""COMPUTED_VALUE"""),"RHP")</f>
        <v>RHP</v>
      </c>
      <c r="T7" s="1" t="str">
        <f ca="1">IF(TRIM(O7)="Lynn","Lance Lynn",IFERROR(_xludf.SWITCH(TRIM(N7),"Chi","Chi Chi Gonzalez","J.T.","JT Brubaker","Kwang","Kwang-hyun Kim","Lance","Lance McCullers Jr."),IF(N7&lt;&gt;"",TRIM(N7&amp;" "&amp;O7),"TBD")))</f>
        <v xml:space="preserve">
Jacob Misiorowski</v>
      </c>
      <c r="U7" s="1" t="str">
        <f t="shared" ca="1" si="0"/>
        <v>R</v>
      </c>
      <c r="W7" s="1" t="str">
        <f ca="1">IFERROR(__xludf.DUMMYFUNCTION("""COMPUTED_VALUE"""),"Cade Cavalli")</f>
        <v>Cade Cavalli</v>
      </c>
      <c r="X7" s="1" t="str">
        <f t="shared" ca="1" si="1"/>
        <v/>
      </c>
      <c r="Y7" s="157" t="str">
        <f ca="1">IFERROR(VLOOKUP(W7,'Starting Pitchers'!$B$6:$C995,2,0),"")</f>
        <v>WSN</v>
      </c>
    </row>
    <row r="8" spans="1:26" ht="12.75" customHeight="1">
      <c r="A8" s="1">
        <v>3</v>
      </c>
      <c r="B8" s="1" t="str">
        <f ca="1">IFERROR(__xludf.DUMMYFUNCTION("importhtml(""https://www.cbssports.com/fantasy/baseball/probable-pitchers/"",""table"",A8)"),"players")</f>
        <v>players</v>
      </c>
      <c r="C8" s="1" t="str">
        <f ca="1">IFERROR(__xludf.DUMMYFUNCTION("""COMPUTED_VALUE"""),"W 
Wins")</f>
        <v>W 
Wins</v>
      </c>
      <c r="D8" s="1" t="str">
        <f ca="1">IFERROR(__xludf.DUMMYFUNCTION("""COMPUTED_VALUE"""),"L 
Losses")</f>
        <v>L 
Losses</v>
      </c>
      <c r="E8" s="1" t="str">
        <f ca="1">IFERROR(__xludf.DUMMYFUNCTION("""COMPUTED_VALUE"""),"IP 
Innings Pitched")</f>
        <v>IP 
Innings Pitched</v>
      </c>
      <c r="F8" s="1" t="str">
        <f ca="1">IFERROR(__xludf.DUMMYFUNCTION("""COMPUTED_VALUE"""),"ERA 
Earned Run Average")</f>
        <v>ERA 
Earned Run Average</v>
      </c>
      <c r="G8" s="1" t="str">
        <f ca="1">IFERROR(__xludf.DUMMYFUNCTION("""COMPUTED_VALUE"""),"BB 
Base on Balls/Walks")</f>
        <v>BB 
Base on Balls/Walks</v>
      </c>
      <c r="H8" s="1" t="str">
        <f ca="1">IFERROR(__xludf.DUMMYFUNCTION("""COMPUTED_VALUE"""),"SO 
Strikeouts")</f>
        <v>SO 
Strikeouts</v>
      </c>
      <c r="I8" s="1" t="str">
        <f ca="1">IFERROR(__xludf.DUMMYFUNCTION("""COMPUTED_VALUE"""),"WHIP 
Walks And Hits Allowed Per Inning")</f>
        <v>WHIP 
Walks And Hits Allowed Per Inning</v>
      </c>
      <c r="U8" s="1" t="str">
        <f t="shared" si="0"/>
        <v/>
      </c>
      <c r="W8" s="1" t="str">
        <f ca="1">IFERROR(__xludf.DUMMYFUNCTION("""COMPUTED_VALUE"""),"Matthew Boyd")</f>
        <v>Matthew Boyd</v>
      </c>
      <c r="X8" s="1" t="str">
        <f t="shared" ca="1" si="1"/>
        <v/>
      </c>
      <c r="Y8" s="157" t="str">
        <f ca="1">IFERROR(VLOOKUP(W8,'Starting Pitchers'!$B$6:$C995,2,0),"")</f>
        <v>CHC</v>
      </c>
    </row>
    <row r="9" spans="1:26" ht="12.75" customHeight="1">
      <c r="B9" s="1" t="str">
        <f ca="1">IFERROR(__xludf.DUMMYFUNCTION("""COMPUTED_VALUE"""),"C. Cavalli WAS RHP 
Cade Cavalli WAS RHP")</f>
        <v>C. Cavalli WAS RHP 
Cade Cavalli WAS RHP</v>
      </c>
      <c r="C9" s="1" t="str">
        <f ca="1">IFERROR(__xludf.DUMMYFUNCTION("""COMPUTED_VALUE"""),"—")</f>
        <v>—</v>
      </c>
      <c r="D9" s="1" t="str">
        <f ca="1">IFERROR(__xludf.DUMMYFUNCTION("""COMPUTED_VALUE"""),"—")</f>
        <v>—</v>
      </c>
      <c r="E9" s="1" t="str">
        <f ca="1">IFERROR(__xludf.DUMMYFUNCTION("""COMPUTED_VALUE"""),"—")</f>
        <v>—</v>
      </c>
      <c r="F9" s="1" t="str">
        <f ca="1">IFERROR(__xludf.DUMMYFUNCTION("""COMPUTED_VALUE"""),"—")</f>
        <v>—</v>
      </c>
      <c r="G9" s="1" t="str">
        <f ca="1">IFERROR(__xludf.DUMMYFUNCTION("""COMPUTED_VALUE"""),"—")</f>
        <v>—</v>
      </c>
      <c r="H9" s="1" t="str">
        <f ca="1">IFERROR(__xludf.DUMMYFUNCTION("""COMPUTED_VALUE"""),"—")</f>
        <v>—</v>
      </c>
      <c r="I9" s="1" t="str">
        <f ca="1">IFERROR(__xludf.DUMMYFUNCTION("""COMPUTED_VALUE"""),"—")</f>
        <v>—</v>
      </c>
      <c r="J9" s="1" t="str">
        <f ca="1">IFERROR(__xludf.DUMMYFUNCTION("split(B9,"" "")"),"C.")</f>
        <v>C.</v>
      </c>
      <c r="K9" s="1" t="str">
        <f ca="1">IFERROR(__xludf.DUMMYFUNCTION("""COMPUTED_VALUE"""),"Cavalli")</f>
        <v>Cavalli</v>
      </c>
      <c r="L9" s="1" t="str">
        <f ca="1">IFERROR(__xludf.DUMMYFUNCTION("""COMPUTED_VALUE"""),"WAS")</f>
        <v>WAS</v>
      </c>
      <c r="M9" s="1" t="str">
        <f ca="1">IFERROR(__xludf.DUMMYFUNCTION("""COMPUTED_VALUE"""),"RHP")</f>
        <v>RHP</v>
      </c>
      <c r="N9" s="1" t="str">
        <f ca="1">IFERROR(__xludf.DUMMYFUNCTION("""COMPUTED_VALUE"""),"
Cade")</f>
        <v xml:space="preserve">
Cade</v>
      </c>
      <c r="O9" s="1" t="str">
        <f ca="1">IFERROR(__xludf.DUMMYFUNCTION("""COMPUTED_VALUE"""),"Cavalli")</f>
        <v>Cavalli</v>
      </c>
      <c r="P9" s="1" t="str">
        <f ca="1">IFERROR(__xludf.DUMMYFUNCTION("""COMPUTED_VALUE"""),"WAS")</f>
        <v>WAS</v>
      </c>
      <c r="Q9" s="1" t="str">
        <f ca="1">IFERROR(__xludf.DUMMYFUNCTION("""COMPUTED_VALUE"""),"RHP")</f>
        <v>RHP</v>
      </c>
      <c r="T9" s="1" t="str">
        <f ca="1">IF(TRIM(O9)="Lynn","Lance Lynn",IFERROR(_xludf.SWITCH(TRIM(N9),"Chi","Chi Chi Gonzalez","J.T.","JT Brubaker","Kwang","Kwang-hyun Kim","Lance","Lance McCullers Jr."),IF(N9&lt;&gt;"",TRIM(N9&amp;" "&amp;O9),"TBD")))</f>
        <v xml:space="preserve">
Cade Cavalli</v>
      </c>
      <c r="U9" s="1" t="str">
        <f t="shared" ca="1" si="0"/>
        <v>R</v>
      </c>
      <c r="W9" s="1" t="str">
        <f ca="1">IFERROR(__xludf.DUMMYFUNCTION("""COMPUTED_VALUE"""),"Joe Ryan")</f>
        <v>Joe Ryan</v>
      </c>
      <c r="X9" s="1" t="str">
        <f t="shared" ca="1" si="1"/>
        <v/>
      </c>
      <c r="Y9" s="157" t="str">
        <f ca="1">IFERROR(VLOOKUP(W9,'Starting Pitchers'!$B$6:$C995,2,0),"")</f>
        <v>MIN</v>
      </c>
    </row>
    <row r="10" spans="1:26" ht="12.75" customHeight="1">
      <c r="B10" s="1" t="str">
        <f ca="1">IFERROR(__xludf.DUMMYFUNCTION("""COMPUTED_VALUE"""),"M. Boyd CHC LHP 
Matthew Boyd CHC LHP")</f>
        <v>M. Boyd CHC LHP 
Matthew Boyd CHC LHP</v>
      </c>
      <c r="C10" s="1" t="str">
        <f ca="1">IFERROR(__xludf.DUMMYFUNCTION("""COMPUTED_VALUE"""),"—")</f>
        <v>—</v>
      </c>
      <c r="D10" s="1" t="str">
        <f ca="1">IFERROR(__xludf.DUMMYFUNCTION("""COMPUTED_VALUE"""),"—")</f>
        <v>—</v>
      </c>
      <c r="E10" s="1" t="str">
        <f ca="1">IFERROR(__xludf.DUMMYFUNCTION("""COMPUTED_VALUE"""),"—")</f>
        <v>—</v>
      </c>
      <c r="F10" s="1" t="str">
        <f ca="1">IFERROR(__xludf.DUMMYFUNCTION("""COMPUTED_VALUE"""),"—")</f>
        <v>—</v>
      </c>
      <c r="G10" s="1" t="str">
        <f ca="1">IFERROR(__xludf.DUMMYFUNCTION("""COMPUTED_VALUE"""),"—")</f>
        <v>—</v>
      </c>
      <c r="H10" s="1" t="str">
        <f ca="1">IFERROR(__xludf.DUMMYFUNCTION("""COMPUTED_VALUE"""),"—")</f>
        <v>—</v>
      </c>
      <c r="I10" s="1" t="str">
        <f ca="1">IFERROR(__xludf.DUMMYFUNCTION("""COMPUTED_VALUE"""),"—")</f>
        <v>—</v>
      </c>
      <c r="J10" s="1" t="str">
        <f ca="1">IFERROR(__xludf.DUMMYFUNCTION("split(B10,"" "")"),"M.")</f>
        <v>M.</v>
      </c>
      <c r="K10" s="1" t="str">
        <f ca="1">IFERROR(__xludf.DUMMYFUNCTION("""COMPUTED_VALUE"""),"Boyd")</f>
        <v>Boyd</v>
      </c>
      <c r="L10" s="1" t="str">
        <f ca="1">IFERROR(__xludf.DUMMYFUNCTION("""COMPUTED_VALUE"""),"CHC")</f>
        <v>CHC</v>
      </c>
      <c r="M10" s="1" t="str">
        <f ca="1">IFERROR(__xludf.DUMMYFUNCTION("""COMPUTED_VALUE"""),"LHP")</f>
        <v>LHP</v>
      </c>
      <c r="N10" s="1" t="str">
        <f ca="1">IFERROR(__xludf.DUMMYFUNCTION("""COMPUTED_VALUE"""),"
Matthew")</f>
        <v xml:space="preserve">
Matthew</v>
      </c>
      <c r="O10" s="1" t="str">
        <f ca="1">IFERROR(__xludf.DUMMYFUNCTION("""COMPUTED_VALUE"""),"Boyd")</f>
        <v>Boyd</v>
      </c>
      <c r="P10" s="1" t="str">
        <f ca="1">IFERROR(__xludf.DUMMYFUNCTION("""COMPUTED_VALUE"""),"CHC")</f>
        <v>CHC</v>
      </c>
      <c r="Q10" s="1" t="str">
        <f ca="1">IFERROR(__xludf.DUMMYFUNCTION("""COMPUTED_VALUE"""),"LHP")</f>
        <v>LHP</v>
      </c>
      <c r="T10" s="1" t="str">
        <f ca="1">IF(TRIM(O10)="Lynn","Lance Lynn",IFERROR(_xludf.SWITCH(TRIM(N10),"Chi","Chi Chi Gonzalez","J.T.","JT Brubaker","Kwang","Kwang-hyun Kim","Lance","Lance McCullers Jr."),IF(N10&lt;&gt;"",TRIM(N10&amp;" "&amp;O10),"TBD")))</f>
        <v xml:space="preserve">
Matthew Boyd</v>
      </c>
      <c r="U10" s="1" t="str">
        <f t="shared" ca="1" si="0"/>
        <v>L</v>
      </c>
      <c r="W10" s="1" t="str">
        <f ca="1">IFERROR(__xludf.DUMMYFUNCTION("""COMPUTED_VALUE"""),"Trevor Rogers")</f>
        <v>Trevor Rogers</v>
      </c>
      <c r="X10" s="1" t="str">
        <f t="shared" ca="1" si="1"/>
        <v/>
      </c>
      <c r="Y10" s="157" t="str">
        <f ca="1">IFERROR(VLOOKUP(W10,'Starting Pitchers'!$B$6:$C995,2,0),"")</f>
        <v>BAL</v>
      </c>
    </row>
    <row r="11" spans="1:26" ht="12.75" customHeight="1">
      <c r="A11" s="1">
        <v>4</v>
      </c>
      <c r="B11" s="1" t="str">
        <f ca="1">IFERROR(__xludf.DUMMYFUNCTION("importhtml(""https://www.cbssports.com/fantasy/baseball/probable-pitchers/"",""table"",A11)"),"players")</f>
        <v>players</v>
      </c>
      <c r="C11" s="1" t="str">
        <f ca="1">IFERROR(__xludf.DUMMYFUNCTION("""COMPUTED_VALUE"""),"W 
Wins")</f>
        <v>W 
Wins</v>
      </c>
      <c r="D11" s="1" t="str">
        <f ca="1">IFERROR(__xludf.DUMMYFUNCTION("""COMPUTED_VALUE"""),"L 
Losses")</f>
        <v>L 
Losses</v>
      </c>
      <c r="E11" s="1" t="str">
        <f ca="1">IFERROR(__xludf.DUMMYFUNCTION("""COMPUTED_VALUE"""),"IP 
Innings Pitched")</f>
        <v>IP 
Innings Pitched</v>
      </c>
      <c r="F11" s="1" t="str">
        <f ca="1">IFERROR(__xludf.DUMMYFUNCTION("""COMPUTED_VALUE"""),"ERA 
Earned Run Average")</f>
        <v>ERA 
Earned Run Average</v>
      </c>
      <c r="G11" s="1" t="str">
        <f ca="1">IFERROR(__xludf.DUMMYFUNCTION("""COMPUTED_VALUE"""),"BB 
Base on Balls/Walks")</f>
        <v>BB 
Base on Balls/Walks</v>
      </c>
      <c r="H11" s="1" t="str">
        <f ca="1">IFERROR(__xludf.DUMMYFUNCTION("""COMPUTED_VALUE"""),"SO 
Strikeouts")</f>
        <v>SO 
Strikeouts</v>
      </c>
      <c r="I11" s="1" t="str">
        <f ca="1">IFERROR(__xludf.DUMMYFUNCTION("""COMPUTED_VALUE"""),"WHIP 
Walks And Hits Allowed Per Inning")</f>
        <v>WHIP 
Walks And Hits Allowed Per Inning</v>
      </c>
      <c r="U11" s="1" t="str">
        <f t="shared" si="0"/>
        <v/>
      </c>
      <c r="W11" s="1" t="str">
        <f ca="1">IFERROR(__xludf.DUMMYFUNCTION("""COMPUTED_VALUE"""),"Jose Soriano")</f>
        <v>Jose Soriano</v>
      </c>
      <c r="X11" s="1" t="str">
        <f t="shared" ca="1" si="1"/>
        <v/>
      </c>
      <c r="Y11" s="1" t="str">
        <f ca="1">IFERROR(VLOOKUP(W11,'Starting Pitchers'!$B$6:$C995,2,0),"")</f>
        <v/>
      </c>
    </row>
    <row r="12" spans="1:26" ht="12.75" customHeight="1">
      <c r="B12" s="1" t="str">
        <f ca="1">IFERROR(__xludf.DUMMYFUNCTION("""COMPUTED_VALUE"""),"J. Ryan MIN RHP 
Joe Ryan MIN RHP")</f>
        <v>J. Ryan MIN RHP 
Joe Ryan MIN RHP</v>
      </c>
      <c r="C12" s="1" t="str">
        <f ca="1">IFERROR(__xludf.DUMMYFUNCTION("""COMPUTED_VALUE"""),"—")</f>
        <v>—</v>
      </c>
      <c r="D12" s="1" t="str">
        <f ca="1">IFERROR(__xludf.DUMMYFUNCTION("""COMPUTED_VALUE"""),"—")</f>
        <v>—</v>
      </c>
      <c r="E12" s="1" t="str">
        <f ca="1">IFERROR(__xludf.DUMMYFUNCTION("""COMPUTED_VALUE"""),"—")</f>
        <v>—</v>
      </c>
      <c r="F12" s="1" t="str">
        <f ca="1">IFERROR(__xludf.DUMMYFUNCTION("""COMPUTED_VALUE"""),"—")</f>
        <v>—</v>
      </c>
      <c r="G12" s="1" t="str">
        <f ca="1">IFERROR(__xludf.DUMMYFUNCTION("""COMPUTED_VALUE"""),"—")</f>
        <v>—</v>
      </c>
      <c r="H12" s="1" t="str">
        <f ca="1">IFERROR(__xludf.DUMMYFUNCTION("""COMPUTED_VALUE"""),"—")</f>
        <v>—</v>
      </c>
      <c r="I12" s="1" t="str">
        <f ca="1">IFERROR(__xludf.DUMMYFUNCTION("""COMPUTED_VALUE"""),"—")</f>
        <v>—</v>
      </c>
      <c r="J12" s="1" t="str">
        <f ca="1">IFERROR(__xludf.DUMMYFUNCTION("split(B12,"" "")"),"J.")</f>
        <v>J.</v>
      </c>
      <c r="K12" s="1" t="str">
        <f ca="1">IFERROR(__xludf.DUMMYFUNCTION("""COMPUTED_VALUE"""),"Ryan")</f>
        <v>Ryan</v>
      </c>
      <c r="L12" s="1" t="str">
        <f ca="1">IFERROR(__xludf.DUMMYFUNCTION("""COMPUTED_VALUE"""),"MIN")</f>
        <v>MIN</v>
      </c>
      <c r="M12" s="1" t="str">
        <f ca="1">IFERROR(__xludf.DUMMYFUNCTION("""COMPUTED_VALUE"""),"RHP")</f>
        <v>RHP</v>
      </c>
      <c r="N12" s="1" t="str">
        <f ca="1">IFERROR(__xludf.DUMMYFUNCTION("""COMPUTED_VALUE"""),"
Joe")</f>
        <v xml:space="preserve">
Joe</v>
      </c>
      <c r="O12" s="1" t="str">
        <f ca="1">IFERROR(__xludf.DUMMYFUNCTION("""COMPUTED_VALUE"""),"Ryan")</f>
        <v>Ryan</v>
      </c>
      <c r="P12" s="1" t="str">
        <f ca="1">IFERROR(__xludf.DUMMYFUNCTION("""COMPUTED_VALUE"""),"MIN")</f>
        <v>MIN</v>
      </c>
      <c r="Q12" s="1" t="str">
        <f ca="1">IFERROR(__xludf.DUMMYFUNCTION("""COMPUTED_VALUE"""),"RHP")</f>
        <v>RHP</v>
      </c>
      <c r="T12" s="1" t="str">
        <f ca="1">IF(TRIM(O12)="Lynn","Lance Lynn",IFERROR(_xludf.SWITCH(TRIM(N12),"Chi","Chi Chi Gonzalez","J.T.","JT Brubaker","Kwang","Kwang-hyun Kim","Lance","Lance McCullers Jr."),IF(N12&lt;&gt;"",TRIM(N12&amp;" "&amp;O12),"TBD")))</f>
        <v xml:space="preserve">
Joe Ryan</v>
      </c>
      <c r="U12" s="1" t="str">
        <f t="shared" ca="1" si="0"/>
        <v>R</v>
      </c>
      <c r="W12" s="1" t="str">
        <f ca="1">IFERROR(__xludf.DUMMYFUNCTION("""COMPUTED_VALUE"""),"Hunter Brown")</f>
        <v>Hunter Brown</v>
      </c>
      <c r="X12" s="1" t="str">
        <f t="shared" ca="1" si="1"/>
        <v/>
      </c>
      <c r="Y12" s="157" t="str">
        <f ca="1">IFERROR(VLOOKUP(W12,'Starting Pitchers'!$B$6:$C995,2,0),"")</f>
        <v>HOU</v>
      </c>
    </row>
    <row r="13" spans="1:26" ht="12.75" customHeight="1">
      <c r="B13" s="1" t="str">
        <f ca="1">IFERROR(__xludf.DUMMYFUNCTION("""COMPUTED_VALUE"""),"T. Rogers BAL LHP 
Trevor Rogers BAL LHP")</f>
        <v>T. Rogers BAL LHP 
Trevor Rogers BAL LHP</v>
      </c>
      <c r="C13" s="1" t="str">
        <f ca="1">IFERROR(__xludf.DUMMYFUNCTION("""COMPUTED_VALUE"""),"—")</f>
        <v>—</v>
      </c>
      <c r="D13" s="1" t="str">
        <f ca="1">IFERROR(__xludf.DUMMYFUNCTION("""COMPUTED_VALUE"""),"—")</f>
        <v>—</v>
      </c>
      <c r="E13" s="1" t="str">
        <f ca="1">IFERROR(__xludf.DUMMYFUNCTION("""COMPUTED_VALUE"""),"—")</f>
        <v>—</v>
      </c>
      <c r="F13" s="1" t="str">
        <f ca="1">IFERROR(__xludf.DUMMYFUNCTION("""COMPUTED_VALUE"""),"—")</f>
        <v>—</v>
      </c>
      <c r="G13" s="1" t="str">
        <f ca="1">IFERROR(__xludf.DUMMYFUNCTION("""COMPUTED_VALUE"""),"—")</f>
        <v>—</v>
      </c>
      <c r="H13" s="1" t="str">
        <f ca="1">IFERROR(__xludf.DUMMYFUNCTION("""COMPUTED_VALUE"""),"—")</f>
        <v>—</v>
      </c>
      <c r="I13" s="1" t="str">
        <f ca="1">IFERROR(__xludf.DUMMYFUNCTION("""COMPUTED_VALUE"""),"—")</f>
        <v>—</v>
      </c>
      <c r="J13" s="1" t="str">
        <f ca="1">IFERROR(__xludf.DUMMYFUNCTION("split(B13,"" "")"),"T.")</f>
        <v>T.</v>
      </c>
      <c r="K13" s="1" t="str">
        <f ca="1">IFERROR(__xludf.DUMMYFUNCTION("""COMPUTED_VALUE"""),"Rogers")</f>
        <v>Rogers</v>
      </c>
      <c r="L13" s="1" t="str">
        <f ca="1">IFERROR(__xludf.DUMMYFUNCTION("""COMPUTED_VALUE"""),"BAL")</f>
        <v>BAL</v>
      </c>
      <c r="M13" s="1" t="str">
        <f ca="1">IFERROR(__xludf.DUMMYFUNCTION("""COMPUTED_VALUE"""),"LHP")</f>
        <v>LHP</v>
      </c>
      <c r="N13" s="1" t="str">
        <f ca="1">IFERROR(__xludf.DUMMYFUNCTION("""COMPUTED_VALUE"""),"
Trevor")</f>
        <v xml:space="preserve">
Trevor</v>
      </c>
      <c r="O13" s="1" t="str">
        <f ca="1">IFERROR(__xludf.DUMMYFUNCTION("""COMPUTED_VALUE"""),"Rogers")</f>
        <v>Rogers</v>
      </c>
      <c r="P13" s="1" t="str">
        <f ca="1">IFERROR(__xludf.DUMMYFUNCTION("""COMPUTED_VALUE"""),"BAL")</f>
        <v>BAL</v>
      </c>
      <c r="Q13" s="1" t="str">
        <f ca="1">IFERROR(__xludf.DUMMYFUNCTION("""COMPUTED_VALUE"""),"LHP")</f>
        <v>LHP</v>
      </c>
      <c r="T13" s="1" t="str">
        <f ca="1">IF(TRIM(O13)="Lynn","Lance Lynn",IFERROR(_xludf.SWITCH(TRIM(N13),"Chi","Chi Chi Gonzalez","J.T.","JT Brubaker","Kwang","Kwang-hyun Kim","Lance","Lance McCullers Jr."),IF(N13&lt;&gt;"",TRIM(N13&amp;" "&amp;O13),"TBD")))</f>
        <v xml:space="preserve">
Trevor Rogers</v>
      </c>
      <c r="U13" s="1" t="str">
        <f t="shared" ca="1" si="0"/>
        <v>L</v>
      </c>
      <c r="W13" s="1" t="str">
        <f ca="1">IFERROR(__xludf.DUMMYFUNCTION("""COMPUTED_VALUE"""),"Garrett Crochet")</f>
        <v>Garrett Crochet</v>
      </c>
      <c r="X13" s="1" t="str">
        <f t="shared" ca="1" si="1"/>
        <v/>
      </c>
      <c r="Y13" s="157" t="str">
        <f ca="1">IFERROR(VLOOKUP(W13,'Starting Pitchers'!$B$6:$C995,2,0),"")</f>
        <v>BOS</v>
      </c>
    </row>
    <row r="14" spans="1:26" ht="12.75" customHeight="1">
      <c r="A14" s="1">
        <v>5</v>
      </c>
      <c r="B14" s="1" t="str">
        <f ca="1">IFERROR(__xludf.DUMMYFUNCTION("importhtml(""https://www.cbssports.com/fantasy/baseball/probable-pitchers/"",""table"",A14)"),"players")</f>
        <v>players</v>
      </c>
      <c r="C14" s="1" t="str">
        <f ca="1">IFERROR(__xludf.DUMMYFUNCTION("""COMPUTED_VALUE"""),"W 
Wins")</f>
        <v>W 
Wins</v>
      </c>
      <c r="D14" s="1" t="str">
        <f ca="1">IFERROR(__xludf.DUMMYFUNCTION("""COMPUTED_VALUE"""),"L 
Losses")</f>
        <v>L 
Losses</v>
      </c>
      <c r="E14" s="1" t="str">
        <f ca="1">IFERROR(__xludf.DUMMYFUNCTION("""COMPUTED_VALUE"""),"IP 
Innings Pitched")</f>
        <v>IP 
Innings Pitched</v>
      </c>
      <c r="F14" s="1" t="str">
        <f ca="1">IFERROR(__xludf.DUMMYFUNCTION("""COMPUTED_VALUE"""),"ERA 
Earned Run Average")</f>
        <v>ERA 
Earned Run Average</v>
      </c>
      <c r="G14" s="1" t="str">
        <f ca="1">IFERROR(__xludf.DUMMYFUNCTION("""COMPUTED_VALUE"""),"BB 
Base on Balls/Walks")</f>
        <v>BB 
Base on Balls/Walks</v>
      </c>
      <c r="H14" s="1" t="str">
        <f ca="1">IFERROR(__xludf.DUMMYFUNCTION("""COMPUTED_VALUE"""),"SO 
Strikeouts")</f>
        <v>SO 
Strikeouts</v>
      </c>
      <c r="I14" s="1" t="str">
        <f ca="1">IFERROR(__xludf.DUMMYFUNCTION("""COMPUTED_VALUE"""),"WHIP 
Walks And Hits Allowed Per Inning")</f>
        <v>WHIP 
Walks And Hits Allowed Per Inning</v>
      </c>
      <c r="U14" s="1" t="str">
        <f t="shared" si="0"/>
        <v/>
      </c>
      <c r="W14" s="1" t="str">
        <f ca="1">IFERROR(__xludf.DUMMYFUNCTION("""COMPUTED_VALUE"""),"Andrew Abbott")</f>
        <v>Andrew Abbott</v>
      </c>
      <c r="X14" s="1" t="str">
        <f t="shared" ca="1" si="1"/>
        <v/>
      </c>
      <c r="Y14" s="157" t="str">
        <f ca="1">IFERROR(VLOOKUP(W14,'Starting Pitchers'!$B$6:$C995,2,0),"")</f>
        <v>CIN</v>
      </c>
    </row>
    <row r="15" spans="1:26" ht="12.75" customHeight="1">
      <c r="B15" s="1" t="str">
        <f ca="1">IFERROR(__xludf.DUMMYFUNCTION("""COMPUTED_VALUE"""),"J. Soriano LAA RHP 
Jose Soriano LAA RHP")</f>
        <v>J. Soriano LAA RHP 
Jose Soriano LAA RHP</v>
      </c>
      <c r="C15" s="1" t="str">
        <f ca="1">IFERROR(__xludf.DUMMYFUNCTION("""COMPUTED_VALUE"""),"—")</f>
        <v>—</v>
      </c>
      <c r="D15" s="1" t="str">
        <f ca="1">IFERROR(__xludf.DUMMYFUNCTION("""COMPUTED_VALUE"""),"—")</f>
        <v>—</v>
      </c>
      <c r="E15" s="1" t="str">
        <f ca="1">IFERROR(__xludf.DUMMYFUNCTION("""COMPUTED_VALUE"""),"—")</f>
        <v>—</v>
      </c>
      <c r="F15" s="1" t="str">
        <f ca="1">IFERROR(__xludf.DUMMYFUNCTION("""COMPUTED_VALUE"""),"—")</f>
        <v>—</v>
      </c>
      <c r="G15" s="1" t="str">
        <f ca="1">IFERROR(__xludf.DUMMYFUNCTION("""COMPUTED_VALUE"""),"—")</f>
        <v>—</v>
      </c>
      <c r="H15" s="1" t="str">
        <f ca="1">IFERROR(__xludf.DUMMYFUNCTION("""COMPUTED_VALUE"""),"—")</f>
        <v>—</v>
      </c>
      <c r="I15" s="1" t="str">
        <f ca="1">IFERROR(__xludf.DUMMYFUNCTION("""COMPUTED_VALUE"""),"—")</f>
        <v>—</v>
      </c>
      <c r="J15" s="1" t="str">
        <f ca="1">IFERROR(__xludf.DUMMYFUNCTION("split(B15,"" "")"),"J.")</f>
        <v>J.</v>
      </c>
      <c r="K15" s="1" t="str">
        <f ca="1">IFERROR(__xludf.DUMMYFUNCTION("""COMPUTED_VALUE"""),"Soriano")</f>
        <v>Soriano</v>
      </c>
      <c r="L15" s="1" t="str">
        <f ca="1">IFERROR(__xludf.DUMMYFUNCTION("""COMPUTED_VALUE"""),"LAA")</f>
        <v>LAA</v>
      </c>
      <c r="M15" s="1" t="str">
        <f ca="1">IFERROR(__xludf.DUMMYFUNCTION("""COMPUTED_VALUE"""),"RHP")</f>
        <v>RHP</v>
      </c>
      <c r="N15" s="1" t="str">
        <f ca="1">IFERROR(__xludf.DUMMYFUNCTION("""COMPUTED_VALUE"""),"
Jose")</f>
        <v xml:space="preserve">
Jose</v>
      </c>
      <c r="O15" s="1" t="str">
        <f ca="1">IFERROR(__xludf.DUMMYFUNCTION("""COMPUTED_VALUE"""),"Soriano")</f>
        <v>Soriano</v>
      </c>
      <c r="P15" s="1" t="str">
        <f ca="1">IFERROR(__xludf.DUMMYFUNCTION("""COMPUTED_VALUE"""),"LAA")</f>
        <v>LAA</v>
      </c>
      <c r="Q15" s="1" t="str">
        <f ca="1">IFERROR(__xludf.DUMMYFUNCTION("""COMPUTED_VALUE"""),"RHP")</f>
        <v>RHP</v>
      </c>
      <c r="T15" s="1" t="str">
        <f ca="1">IF(TRIM(O15)="Lynn","Lance Lynn",IFERROR(_xludf.SWITCH(TRIM(N15),"Chi","Chi Chi Gonzalez","J.T.","JT Brubaker","Kwang","Kwang-hyun Kim","Lance","Lance McCullers Jr."),IF(N15&lt;&gt;"",TRIM(N15&amp;" "&amp;O15),"TBD")))</f>
        <v xml:space="preserve">
Jose Soriano</v>
      </c>
      <c r="U15" s="1" t="str">
        <f t="shared" ca="1" si="0"/>
        <v>R</v>
      </c>
      <c r="W15" s="1" t="str">
        <f ca="1">IFERROR(__xludf.DUMMYFUNCTION("""COMPUTED_VALUE"""),"Tarik Skubal")</f>
        <v>Tarik Skubal</v>
      </c>
      <c r="X15" s="1" t="str">
        <f t="shared" ca="1" si="1"/>
        <v/>
      </c>
      <c r="Y15" s="157" t="str">
        <f ca="1">IFERROR(VLOOKUP(W15,'Starting Pitchers'!$B$6:$C995,2,0),"")</f>
        <v>DET</v>
      </c>
    </row>
    <row r="16" spans="1:26" ht="12.75" customHeight="1">
      <c r="B16" s="1" t="str">
        <f ca="1">IFERROR(__xludf.DUMMYFUNCTION("""COMPUTED_VALUE"""),"H. Brown HOU RHP 
Hunter Brown HOU RHP")</f>
        <v>H. Brown HOU RHP 
Hunter Brown HOU RHP</v>
      </c>
      <c r="C16" s="1" t="str">
        <f ca="1">IFERROR(__xludf.DUMMYFUNCTION("""COMPUTED_VALUE"""),"—")</f>
        <v>—</v>
      </c>
      <c r="D16" s="1" t="str">
        <f ca="1">IFERROR(__xludf.DUMMYFUNCTION("""COMPUTED_VALUE"""),"—")</f>
        <v>—</v>
      </c>
      <c r="E16" s="1" t="str">
        <f ca="1">IFERROR(__xludf.DUMMYFUNCTION("""COMPUTED_VALUE"""),"—")</f>
        <v>—</v>
      </c>
      <c r="F16" s="1" t="str">
        <f ca="1">IFERROR(__xludf.DUMMYFUNCTION("""COMPUTED_VALUE"""),"—")</f>
        <v>—</v>
      </c>
      <c r="G16" s="1" t="str">
        <f ca="1">IFERROR(__xludf.DUMMYFUNCTION("""COMPUTED_VALUE"""),"—")</f>
        <v>—</v>
      </c>
      <c r="H16" s="1" t="str">
        <f ca="1">IFERROR(__xludf.DUMMYFUNCTION("""COMPUTED_VALUE"""),"—")</f>
        <v>—</v>
      </c>
      <c r="I16" s="1" t="str">
        <f ca="1">IFERROR(__xludf.DUMMYFUNCTION("""COMPUTED_VALUE"""),"—")</f>
        <v>—</v>
      </c>
      <c r="J16" s="1" t="str">
        <f ca="1">IFERROR(__xludf.DUMMYFUNCTION("split(B16,"" "")"),"H.")</f>
        <v>H.</v>
      </c>
      <c r="K16" s="1" t="str">
        <f ca="1">IFERROR(__xludf.DUMMYFUNCTION("""COMPUTED_VALUE"""),"Brown")</f>
        <v>Brown</v>
      </c>
      <c r="L16" s="1" t="str">
        <f ca="1">IFERROR(__xludf.DUMMYFUNCTION("""COMPUTED_VALUE"""),"HOU")</f>
        <v>HOU</v>
      </c>
      <c r="M16" s="1" t="str">
        <f ca="1">IFERROR(__xludf.DUMMYFUNCTION("""COMPUTED_VALUE"""),"RHP")</f>
        <v>RHP</v>
      </c>
      <c r="N16" s="1" t="str">
        <f ca="1">IFERROR(__xludf.DUMMYFUNCTION("""COMPUTED_VALUE"""),"
Hunter")</f>
        <v xml:space="preserve">
Hunter</v>
      </c>
      <c r="O16" s="1" t="str">
        <f ca="1">IFERROR(__xludf.DUMMYFUNCTION("""COMPUTED_VALUE"""),"Brown")</f>
        <v>Brown</v>
      </c>
      <c r="P16" s="1" t="str">
        <f ca="1">IFERROR(__xludf.DUMMYFUNCTION("""COMPUTED_VALUE"""),"HOU")</f>
        <v>HOU</v>
      </c>
      <c r="Q16" s="1" t="str">
        <f ca="1">IFERROR(__xludf.DUMMYFUNCTION("""COMPUTED_VALUE"""),"RHP")</f>
        <v>RHP</v>
      </c>
      <c r="T16" s="1" t="str">
        <f ca="1">IF(TRIM(O16)="Lynn","Lance Lynn",IFERROR(_xludf.SWITCH(TRIM(N16),"Chi","Chi Chi Gonzalez","J.T.","JT Brubaker","Kwang","Kwang-hyun Kim","Lance","Lance McCullers Jr."),IF(N16&lt;&gt;"",TRIM(N16&amp;" "&amp;O16),"TBD")))</f>
        <v xml:space="preserve">
Hunter Brown</v>
      </c>
      <c r="U16" s="1" t="str">
        <f t="shared" ca="1" si="0"/>
        <v>R</v>
      </c>
      <c r="W16" s="1" t="str">
        <f ca="1">IFERROR(__xludf.DUMMYFUNCTION("""COMPUTED_VALUE"""),"Nick Pivetta")</f>
        <v>Nick Pivetta</v>
      </c>
      <c r="X16" s="1" t="str">
        <f t="shared" ca="1" si="1"/>
        <v/>
      </c>
      <c r="Y16" s="157" t="str">
        <f ca="1">IFERROR(VLOOKUP(W16,'Starting Pitchers'!$B$6:$C995,2,0),"")</f>
        <v>SDP</v>
      </c>
    </row>
    <row r="17" spans="1:25" ht="12.75" customHeight="1">
      <c r="A17" s="1">
        <v>6</v>
      </c>
      <c r="B17" s="1" t="str">
        <f ca="1">IFERROR(__xludf.DUMMYFUNCTION("importhtml(""https://www.cbssports.com/fantasy/baseball/probable-pitchers/"",""table"",A17)"),"players")</f>
        <v>players</v>
      </c>
      <c r="C17" s="1" t="str">
        <f ca="1">IFERROR(__xludf.DUMMYFUNCTION("""COMPUTED_VALUE"""),"W 
Wins")</f>
        <v>W 
Wins</v>
      </c>
      <c r="D17" s="1" t="str">
        <f ca="1">IFERROR(__xludf.DUMMYFUNCTION("""COMPUTED_VALUE"""),"L 
Losses")</f>
        <v>L 
Losses</v>
      </c>
      <c r="E17" s="1" t="str">
        <f ca="1">IFERROR(__xludf.DUMMYFUNCTION("""COMPUTED_VALUE"""),"IP 
Innings Pitched")</f>
        <v>IP 
Innings Pitched</v>
      </c>
      <c r="F17" s="1" t="str">
        <f ca="1">IFERROR(__xludf.DUMMYFUNCTION("""COMPUTED_VALUE"""),"ERA 
Earned Run Average")</f>
        <v>ERA 
Earned Run Average</v>
      </c>
      <c r="G17" s="1" t="str">
        <f ca="1">IFERROR(__xludf.DUMMYFUNCTION("""COMPUTED_VALUE"""),"BB 
Base on Balls/Walks")</f>
        <v>BB 
Base on Balls/Walks</v>
      </c>
      <c r="H17" s="1" t="str">
        <f ca="1">IFERROR(__xludf.DUMMYFUNCTION("""COMPUTED_VALUE"""),"SO 
Strikeouts")</f>
        <v>SO 
Strikeouts</v>
      </c>
      <c r="I17" s="1" t="str">
        <f ca="1">IFERROR(__xludf.DUMMYFUNCTION("""COMPUTED_VALUE"""),"WHIP 
Walks And Hits Allowed Per Inning")</f>
        <v>WHIP 
Walks And Hits Allowed Per Inning</v>
      </c>
      <c r="U17" s="1" t="str">
        <f t="shared" si="0"/>
        <v/>
      </c>
      <c r="W17" s="1" t="str">
        <f ca="1">IFERROR(__xludf.DUMMYFUNCTION("""COMPUTED_VALUE"""),"Nathan Eovaldi")</f>
        <v>Nathan Eovaldi</v>
      </c>
      <c r="X17" s="1" t="str">
        <f t="shared" ca="1" si="1"/>
        <v/>
      </c>
      <c r="Y17" s="157" t="str">
        <f ca="1">IFERROR(VLOOKUP(W17,'Starting Pitchers'!$B$6:$C995,2,0),"")</f>
        <v>TEX</v>
      </c>
    </row>
    <row r="18" spans="1:25" ht="12.75" customHeight="1">
      <c r="B18" s="1" t="str">
        <f ca="1">IFERROR(__xludf.DUMMYFUNCTION("""COMPUTED_VALUE"""),"G. Crochet BOS LHP 
Garrett Crochet BOS LHP")</f>
        <v>G. Crochet BOS LHP 
Garrett Crochet BOS LHP</v>
      </c>
      <c r="C18" s="1" t="str">
        <f ca="1">IFERROR(__xludf.DUMMYFUNCTION("""COMPUTED_VALUE"""),"—")</f>
        <v>—</v>
      </c>
      <c r="D18" s="1" t="str">
        <f ca="1">IFERROR(__xludf.DUMMYFUNCTION("""COMPUTED_VALUE"""),"—")</f>
        <v>—</v>
      </c>
      <c r="E18" s="1" t="str">
        <f ca="1">IFERROR(__xludf.DUMMYFUNCTION("""COMPUTED_VALUE"""),"—")</f>
        <v>—</v>
      </c>
      <c r="F18" s="1" t="str">
        <f ca="1">IFERROR(__xludf.DUMMYFUNCTION("""COMPUTED_VALUE"""),"—")</f>
        <v>—</v>
      </c>
      <c r="G18" s="1" t="str">
        <f ca="1">IFERROR(__xludf.DUMMYFUNCTION("""COMPUTED_VALUE"""),"—")</f>
        <v>—</v>
      </c>
      <c r="H18" s="1" t="str">
        <f ca="1">IFERROR(__xludf.DUMMYFUNCTION("""COMPUTED_VALUE"""),"—")</f>
        <v>—</v>
      </c>
      <c r="I18" s="1" t="str">
        <f ca="1">IFERROR(__xludf.DUMMYFUNCTION("""COMPUTED_VALUE"""),"—")</f>
        <v>—</v>
      </c>
      <c r="J18" s="1" t="str">
        <f ca="1">IFERROR(__xludf.DUMMYFUNCTION("split(B18,"" "")"),"G.")</f>
        <v>G.</v>
      </c>
      <c r="K18" s="1" t="str">
        <f ca="1">IFERROR(__xludf.DUMMYFUNCTION("""COMPUTED_VALUE"""),"Crochet")</f>
        <v>Crochet</v>
      </c>
      <c r="L18" s="1" t="str">
        <f ca="1">IFERROR(__xludf.DUMMYFUNCTION("""COMPUTED_VALUE"""),"BOS")</f>
        <v>BOS</v>
      </c>
      <c r="M18" s="1" t="str">
        <f ca="1">IFERROR(__xludf.DUMMYFUNCTION("""COMPUTED_VALUE"""),"LHP")</f>
        <v>LHP</v>
      </c>
      <c r="N18" s="1" t="str">
        <f ca="1">IFERROR(__xludf.DUMMYFUNCTION("""COMPUTED_VALUE"""),"
Garrett")</f>
        <v xml:space="preserve">
Garrett</v>
      </c>
      <c r="O18" s="1" t="str">
        <f ca="1">IFERROR(__xludf.DUMMYFUNCTION("""COMPUTED_VALUE"""),"Crochet")</f>
        <v>Crochet</v>
      </c>
      <c r="P18" s="1" t="str">
        <f ca="1">IFERROR(__xludf.DUMMYFUNCTION("""COMPUTED_VALUE"""),"BOS")</f>
        <v>BOS</v>
      </c>
      <c r="Q18" s="1" t="str">
        <f ca="1">IFERROR(__xludf.DUMMYFUNCTION("""COMPUTED_VALUE"""),"LHP")</f>
        <v>LHP</v>
      </c>
      <c r="T18" s="1" t="str">
        <f ca="1">IF(TRIM(O18)="Lynn","Lance Lynn",IFERROR(_xludf.SWITCH(TRIM(N18),"Chi","Chi Chi Gonzalez","J.T.","JT Brubaker","Kwang","Kwang-hyun Kim","Lance","Lance McCullers Jr."),IF(N18&lt;&gt;"",TRIM(N18&amp;" "&amp;O18),"TBD")))</f>
        <v xml:space="preserve">
Garrett Crochet</v>
      </c>
      <c r="U18" s="1" t="str">
        <f t="shared" ca="1" si="0"/>
        <v>L</v>
      </c>
      <c r="W18" s="1" t="str">
        <f ca="1">IFERROR(__xludf.DUMMYFUNCTION("""COMPUTED_VALUE"""),"Cristopher Sanchez")</f>
        <v>Cristopher Sanchez</v>
      </c>
      <c r="X18" s="1" t="str">
        <f t="shared" ca="1" si="1"/>
        <v/>
      </c>
      <c r="Y18" s="1" t="str">
        <f ca="1">IFERROR(VLOOKUP(W18,'Starting Pitchers'!$B$6:$C995,2,0),"")</f>
        <v/>
      </c>
    </row>
    <row r="19" spans="1:25" ht="12.75" customHeight="1">
      <c r="B19" s="1" t="str">
        <f ca="1">IFERROR(__xludf.DUMMYFUNCTION("""COMPUTED_VALUE"""),"A. Abbott CIN LHP 
Andrew Abbott CIN LHP")</f>
        <v>A. Abbott CIN LHP 
Andrew Abbott CIN LHP</v>
      </c>
      <c r="C19" s="1" t="str">
        <f ca="1">IFERROR(__xludf.DUMMYFUNCTION("""COMPUTED_VALUE"""),"—")</f>
        <v>—</v>
      </c>
      <c r="D19" s="1" t="str">
        <f ca="1">IFERROR(__xludf.DUMMYFUNCTION("""COMPUTED_VALUE"""),"—")</f>
        <v>—</v>
      </c>
      <c r="E19" s="1" t="str">
        <f ca="1">IFERROR(__xludf.DUMMYFUNCTION("""COMPUTED_VALUE"""),"—")</f>
        <v>—</v>
      </c>
      <c r="F19" s="1" t="str">
        <f ca="1">IFERROR(__xludf.DUMMYFUNCTION("""COMPUTED_VALUE"""),"—")</f>
        <v>—</v>
      </c>
      <c r="G19" s="1" t="str">
        <f ca="1">IFERROR(__xludf.DUMMYFUNCTION("""COMPUTED_VALUE"""),"—")</f>
        <v>—</v>
      </c>
      <c r="H19" s="1" t="str">
        <f ca="1">IFERROR(__xludf.DUMMYFUNCTION("""COMPUTED_VALUE"""),"—")</f>
        <v>—</v>
      </c>
      <c r="I19" s="1" t="str">
        <f ca="1">IFERROR(__xludf.DUMMYFUNCTION("""COMPUTED_VALUE"""),"—")</f>
        <v>—</v>
      </c>
      <c r="J19" s="1" t="str">
        <f ca="1">IFERROR(__xludf.DUMMYFUNCTION("split(B19,"" "")"),"A.")</f>
        <v>A.</v>
      </c>
      <c r="K19" s="1" t="str">
        <f ca="1">IFERROR(__xludf.DUMMYFUNCTION("""COMPUTED_VALUE"""),"Abbott")</f>
        <v>Abbott</v>
      </c>
      <c r="L19" s="1" t="str">
        <f ca="1">IFERROR(__xludf.DUMMYFUNCTION("""COMPUTED_VALUE"""),"CIN")</f>
        <v>CIN</v>
      </c>
      <c r="M19" s="1" t="str">
        <f ca="1">IFERROR(__xludf.DUMMYFUNCTION("""COMPUTED_VALUE"""),"LHP")</f>
        <v>LHP</v>
      </c>
      <c r="N19" s="1" t="str">
        <f ca="1">IFERROR(__xludf.DUMMYFUNCTION("""COMPUTED_VALUE"""),"
Andrew")</f>
        <v xml:space="preserve">
Andrew</v>
      </c>
      <c r="O19" s="1" t="str">
        <f ca="1">IFERROR(__xludf.DUMMYFUNCTION("""COMPUTED_VALUE"""),"Abbott")</f>
        <v>Abbott</v>
      </c>
      <c r="P19" s="1" t="str">
        <f ca="1">IFERROR(__xludf.DUMMYFUNCTION("""COMPUTED_VALUE"""),"CIN")</f>
        <v>CIN</v>
      </c>
      <c r="Q19" s="1" t="str">
        <f ca="1">IFERROR(__xludf.DUMMYFUNCTION("""COMPUTED_VALUE"""),"LHP")</f>
        <v>LHP</v>
      </c>
      <c r="T19" s="1" t="str">
        <f ca="1">IF(TRIM(O19)="Lynn","Lance Lynn",IFERROR(_xludf.SWITCH(TRIM(N19),"Chi","Chi Chi Gonzalez","J.T.","JT Brubaker","Kwang","Kwang-hyun Kim","Lance","Lance McCullers Jr."),IF(N19&lt;&gt;"",TRIM(N19&amp;" "&amp;O19),"TBD")))</f>
        <v xml:space="preserve">
Andrew Abbott</v>
      </c>
      <c r="U19" s="1" t="str">
        <f t="shared" ca="1" si="0"/>
        <v>L</v>
      </c>
      <c r="W19" s="1" t="str">
        <f ca="1">IFERROR(__xludf.DUMMYFUNCTION("""COMPUTED_VALUE"""),"Drew Rasmussen")</f>
        <v>Drew Rasmussen</v>
      </c>
      <c r="X19" s="1" t="str">
        <f t="shared" ca="1" si="1"/>
        <v/>
      </c>
      <c r="Y19" s="157" t="str">
        <f ca="1">IFERROR(VLOOKUP(W19,'Starting Pitchers'!$B$6:$C995,2,0),"")</f>
        <v>TBR</v>
      </c>
    </row>
    <row r="20" spans="1:25" ht="12.75" customHeight="1">
      <c r="A20" s="1">
        <v>7</v>
      </c>
      <c r="B20" s="1" t="str">
        <f ca="1">IFERROR(__xludf.DUMMYFUNCTION("importhtml(""https://www.cbssports.com/fantasy/baseball/probable-pitchers/"",""table"",A20)"),"players")</f>
        <v>players</v>
      </c>
      <c r="C20" s="1" t="str">
        <f ca="1">IFERROR(__xludf.DUMMYFUNCTION("""COMPUTED_VALUE"""),"W 
Wins")</f>
        <v>W 
Wins</v>
      </c>
      <c r="D20" s="1" t="str">
        <f ca="1">IFERROR(__xludf.DUMMYFUNCTION("""COMPUTED_VALUE"""),"L 
Losses")</f>
        <v>L 
Losses</v>
      </c>
      <c r="E20" s="1" t="str">
        <f ca="1">IFERROR(__xludf.DUMMYFUNCTION("""COMPUTED_VALUE"""),"IP 
Innings Pitched")</f>
        <v>IP 
Innings Pitched</v>
      </c>
      <c r="F20" s="1" t="str">
        <f ca="1">IFERROR(__xludf.DUMMYFUNCTION("""COMPUTED_VALUE"""),"ERA 
Earned Run Average")</f>
        <v>ERA 
Earned Run Average</v>
      </c>
      <c r="G20" s="1" t="str">
        <f ca="1">IFERROR(__xludf.DUMMYFUNCTION("""COMPUTED_VALUE"""),"BB 
Base on Balls/Walks")</f>
        <v>BB 
Base on Balls/Walks</v>
      </c>
      <c r="H20" s="1" t="str">
        <f ca="1">IFERROR(__xludf.DUMMYFUNCTION("""COMPUTED_VALUE"""),"SO 
Strikeouts")</f>
        <v>SO 
Strikeouts</v>
      </c>
      <c r="I20" s="1" t="str">
        <f ca="1">IFERROR(__xludf.DUMMYFUNCTION("""COMPUTED_VALUE"""),"WHIP 
Walks And Hits Allowed Per Inning")</f>
        <v>WHIP 
Walks And Hits Allowed Per Inning</v>
      </c>
      <c r="U20" s="1" t="str">
        <f t="shared" si="0"/>
        <v/>
      </c>
      <c r="W20" s="1" t="str">
        <f ca="1">IFERROR(__xludf.DUMMYFUNCTION("""COMPUTED_VALUE"""),"Matthew Liberatore")</f>
        <v>Matthew Liberatore</v>
      </c>
      <c r="X20" s="1" t="str">
        <f t="shared" ca="1" si="1"/>
        <v/>
      </c>
      <c r="Y20" s="157" t="str">
        <f ca="1">IFERROR(VLOOKUP(W20,'Starting Pitchers'!$B$6:$C995,2,0),"")</f>
        <v>STL</v>
      </c>
    </row>
    <row r="21" spans="1:25" ht="12.75" customHeight="1">
      <c r="B21" s="1" t="str">
        <f ca="1">IFERROR(__xludf.DUMMYFUNCTION("""COMPUTED_VALUE"""),"T. Skubal DET LHP 
Tarik Skubal DET LHP")</f>
        <v>T. Skubal DET LHP 
Tarik Skubal DET LHP</v>
      </c>
      <c r="C21" s="1" t="str">
        <f ca="1">IFERROR(__xludf.DUMMYFUNCTION("""COMPUTED_VALUE"""),"—")</f>
        <v>—</v>
      </c>
      <c r="D21" s="1" t="str">
        <f ca="1">IFERROR(__xludf.DUMMYFUNCTION("""COMPUTED_VALUE"""),"—")</f>
        <v>—</v>
      </c>
      <c r="E21" s="1" t="str">
        <f ca="1">IFERROR(__xludf.DUMMYFUNCTION("""COMPUTED_VALUE"""),"—")</f>
        <v>—</v>
      </c>
      <c r="F21" s="1" t="str">
        <f ca="1">IFERROR(__xludf.DUMMYFUNCTION("""COMPUTED_VALUE"""),"—")</f>
        <v>—</v>
      </c>
      <c r="G21" s="1" t="str">
        <f ca="1">IFERROR(__xludf.DUMMYFUNCTION("""COMPUTED_VALUE"""),"—")</f>
        <v>—</v>
      </c>
      <c r="H21" s="1" t="str">
        <f ca="1">IFERROR(__xludf.DUMMYFUNCTION("""COMPUTED_VALUE"""),"—")</f>
        <v>—</v>
      </c>
      <c r="I21" s="1" t="str">
        <f ca="1">IFERROR(__xludf.DUMMYFUNCTION("""COMPUTED_VALUE"""),"—")</f>
        <v>—</v>
      </c>
      <c r="J21" s="1" t="str">
        <f ca="1">IFERROR(__xludf.DUMMYFUNCTION("split(B21,"" "")"),"T.")</f>
        <v>T.</v>
      </c>
      <c r="K21" s="1" t="str">
        <f ca="1">IFERROR(__xludf.DUMMYFUNCTION("""COMPUTED_VALUE"""),"Skubal")</f>
        <v>Skubal</v>
      </c>
      <c r="L21" s="1" t="str">
        <f ca="1">IFERROR(__xludf.DUMMYFUNCTION("""COMPUTED_VALUE"""),"DET")</f>
        <v>DET</v>
      </c>
      <c r="M21" s="1" t="str">
        <f ca="1">IFERROR(__xludf.DUMMYFUNCTION("""COMPUTED_VALUE"""),"LHP")</f>
        <v>LHP</v>
      </c>
      <c r="N21" s="1" t="str">
        <f ca="1">IFERROR(__xludf.DUMMYFUNCTION("""COMPUTED_VALUE"""),"
Tarik")</f>
        <v xml:space="preserve">
Tarik</v>
      </c>
      <c r="O21" s="1" t="str">
        <f ca="1">IFERROR(__xludf.DUMMYFUNCTION("""COMPUTED_VALUE"""),"Skubal")</f>
        <v>Skubal</v>
      </c>
      <c r="P21" s="1" t="str">
        <f ca="1">IFERROR(__xludf.DUMMYFUNCTION("""COMPUTED_VALUE"""),"DET")</f>
        <v>DET</v>
      </c>
      <c r="Q21" s="1" t="str">
        <f ca="1">IFERROR(__xludf.DUMMYFUNCTION("""COMPUTED_VALUE"""),"LHP")</f>
        <v>LHP</v>
      </c>
      <c r="T21" s="1" t="str">
        <f ca="1">IF(TRIM(O21)="Lynn","Lance Lynn",IFERROR(_xludf.SWITCH(TRIM(N21),"Chi","Chi Chi Gonzalez","J.T.","JT Brubaker","Kwang","Kwang-hyun Kim","Lance","Lance McCullers Jr."),IF(N21&lt;&gt;"",TRIM(N21&amp;" "&amp;O21),"TBD")))</f>
        <v xml:space="preserve">
Tarik Skubal</v>
      </c>
      <c r="U21" s="1" t="str">
        <f t="shared" ca="1" si="0"/>
        <v>L</v>
      </c>
      <c r="W21" s="1" t="str">
        <f ca="1">IFERROR(__xludf.DUMMYFUNCTION("""COMPUTED_VALUE"""),"Zac Gallen")</f>
        <v>Zac Gallen</v>
      </c>
      <c r="X21" s="1" t="str">
        <f t="shared" ca="1" si="1"/>
        <v/>
      </c>
      <c r="Y21" s="157" t="str">
        <f ca="1">IFERROR(VLOOKUP(W21,'Starting Pitchers'!$B$6:$C995,2,0),"")</f>
        <v>ARI</v>
      </c>
    </row>
    <row r="22" spans="1:25" ht="12.75" customHeight="1">
      <c r="B22" s="1" t="str">
        <f ca="1">IFERROR(__xludf.DUMMYFUNCTION("""COMPUTED_VALUE"""),"N. Pivetta SD RHP 
Nick Pivetta SD RHP")</f>
        <v>N. Pivetta SD RHP 
Nick Pivetta SD RHP</v>
      </c>
      <c r="C22" s="1" t="str">
        <f ca="1">IFERROR(__xludf.DUMMYFUNCTION("""COMPUTED_VALUE"""),"—")</f>
        <v>—</v>
      </c>
      <c r="D22" s="1" t="str">
        <f ca="1">IFERROR(__xludf.DUMMYFUNCTION("""COMPUTED_VALUE"""),"—")</f>
        <v>—</v>
      </c>
      <c r="E22" s="1" t="str">
        <f ca="1">IFERROR(__xludf.DUMMYFUNCTION("""COMPUTED_VALUE"""),"—")</f>
        <v>—</v>
      </c>
      <c r="F22" s="1" t="str">
        <f ca="1">IFERROR(__xludf.DUMMYFUNCTION("""COMPUTED_VALUE"""),"—")</f>
        <v>—</v>
      </c>
      <c r="G22" s="1" t="str">
        <f ca="1">IFERROR(__xludf.DUMMYFUNCTION("""COMPUTED_VALUE"""),"—")</f>
        <v>—</v>
      </c>
      <c r="H22" s="1" t="str">
        <f ca="1">IFERROR(__xludf.DUMMYFUNCTION("""COMPUTED_VALUE"""),"—")</f>
        <v>—</v>
      </c>
      <c r="I22" s="1" t="str">
        <f ca="1">IFERROR(__xludf.DUMMYFUNCTION("""COMPUTED_VALUE"""),"—")</f>
        <v>—</v>
      </c>
      <c r="J22" s="1" t="str">
        <f ca="1">IFERROR(__xludf.DUMMYFUNCTION("split(B22,"" "")"),"N.")</f>
        <v>N.</v>
      </c>
      <c r="K22" s="1" t="str">
        <f ca="1">IFERROR(__xludf.DUMMYFUNCTION("""COMPUTED_VALUE"""),"Pivetta")</f>
        <v>Pivetta</v>
      </c>
      <c r="L22" s="1" t="str">
        <f ca="1">IFERROR(__xludf.DUMMYFUNCTION("""COMPUTED_VALUE"""),"SD")</f>
        <v>SD</v>
      </c>
      <c r="M22" s="1" t="str">
        <f ca="1">IFERROR(__xludf.DUMMYFUNCTION("""COMPUTED_VALUE"""),"RHP")</f>
        <v>RHP</v>
      </c>
      <c r="N22" s="1" t="str">
        <f ca="1">IFERROR(__xludf.DUMMYFUNCTION("""COMPUTED_VALUE"""),"
Nick")</f>
        <v xml:space="preserve">
Nick</v>
      </c>
      <c r="O22" s="1" t="str">
        <f ca="1">IFERROR(__xludf.DUMMYFUNCTION("""COMPUTED_VALUE"""),"Pivetta")</f>
        <v>Pivetta</v>
      </c>
      <c r="P22" s="1" t="str">
        <f ca="1">IFERROR(__xludf.DUMMYFUNCTION("""COMPUTED_VALUE"""),"SD")</f>
        <v>SD</v>
      </c>
      <c r="Q22" s="1" t="str">
        <f ca="1">IFERROR(__xludf.DUMMYFUNCTION("""COMPUTED_VALUE"""),"RHP")</f>
        <v>RHP</v>
      </c>
      <c r="T22" s="1" t="str">
        <f ca="1">IF(TRIM(O22)="Lynn","Lance Lynn",IFERROR(_xludf.SWITCH(TRIM(N22),"Chi","Chi Chi Gonzalez","J.T.","JT Brubaker","Kwang","Kwang-hyun Kim","Lance","Lance McCullers Jr."),IF(N22&lt;&gt;"",TRIM(N22&amp;" "&amp;O22),"TBD")))</f>
        <v xml:space="preserve">
Nick Pivetta</v>
      </c>
      <c r="U22" s="1" t="str">
        <f t="shared" ca="1" si="0"/>
        <v>R</v>
      </c>
      <c r="W22" s="1" t="str">
        <f ca="1">IFERROR(__xludf.DUMMYFUNCTION("""COMPUTED_VALUE"""),"Yoshinobu Yamamoto")</f>
        <v>Yoshinobu Yamamoto</v>
      </c>
      <c r="X22" s="1" t="str">
        <f t="shared" ca="1" si="1"/>
        <v/>
      </c>
      <c r="Y22" s="157" t="str">
        <f ca="1">IFERROR(VLOOKUP(W22,'Starting Pitchers'!$B$6:$C995,2,0),"")</f>
        <v>LAD</v>
      </c>
    </row>
    <row r="23" spans="1:25" ht="12.75" customHeight="1">
      <c r="A23" s="1">
        <v>8</v>
      </c>
      <c r="B23" s="1" t="str">
        <f ca="1">IFERROR(__xludf.DUMMYFUNCTION("importhtml(""https://www.cbssports.com/fantasy/baseball/probable-pitchers/"",""table"",A23)"),"players")</f>
        <v>players</v>
      </c>
      <c r="C23" s="1" t="str">
        <f ca="1">IFERROR(__xludf.DUMMYFUNCTION("""COMPUTED_VALUE"""),"W 
Wins")</f>
        <v>W 
Wins</v>
      </c>
      <c r="D23" s="1" t="str">
        <f ca="1">IFERROR(__xludf.DUMMYFUNCTION("""COMPUTED_VALUE"""),"L 
Losses")</f>
        <v>L 
Losses</v>
      </c>
      <c r="E23" s="1" t="str">
        <f ca="1">IFERROR(__xludf.DUMMYFUNCTION("""COMPUTED_VALUE"""),"IP 
Innings Pitched")</f>
        <v>IP 
Innings Pitched</v>
      </c>
      <c r="F23" s="1" t="str">
        <f ca="1">IFERROR(__xludf.DUMMYFUNCTION("""COMPUTED_VALUE"""),"ERA 
Earned Run Average")</f>
        <v>ERA 
Earned Run Average</v>
      </c>
      <c r="G23" s="1" t="str">
        <f ca="1">IFERROR(__xludf.DUMMYFUNCTION("""COMPUTED_VALUE"""),"BB 
Base on Balls/Walks")</f>
        <v>BB 
Base on Balls/Walks</v>
      </c>
      <c r="H23" s="1" t="str">
        <f ca="1">IFERROR(__xludf.DUMMYFUNCTION("""COMPUTED_VALUE"""),"SO 
Strikeouts")</f>
        <v>SO 
Strikeouts</v>
      </c>
      <c r="I23" s="1" t="str">
        <f ca="1">IFERROR(__xludf.DUMMYFUNCTION("""COMPUTED_VALUE"""),"WHIP 
Walks And Hits Allowed Per Inning")</f>
        <v>WHIP 
Walks And Hits Allowed Per Inning</v>
      </c>
      <c r="U23" s="1" t="str">
        <f t="shared" si="0"/>
        <v/>
      </c>
      <c r="W23" s="1" t="str">
        <f ca="1">IFERROR(__xludf.DUMMYFUNCTION("""COMPUTED_VALUE"""),"Tanner Bibee")</f>
        <v>Tanner Bibee</v>
      </c>
      <c r="X23" s="1" t="str">
        <f t="shared" ca="1" si="1"/>
        <v/>
      </c>
      <c r="Y23" s="157" t="str">
        <f ca="1">IFERROR(VLOOKUP(W23,'Starting Pitchers'!$B$6:$C995,2,0),"")</f>
        <v>CLE</v>
      </c>
    </row>
    <row r="24" spans="1:25" ht="12.75" customHeight="1">
      <c r="B24" s="1" t="str">
        <f ca="1">IFERROR(__xludf.DUMMYFUNCTION("""COMPUTED_VALUE"""),"N. Eovaldi TEX RHP 
Nathan Eovaldi TEX RHP")</f>
        <v>N. Eovaldi TEX RHP 
Nathan Eovaldi TEX RHP</v>
      </c>
      <c r="C24" s="1" t="str">
        <f ca="1">IFERROR(__xludf.DUMMYFUNCTION("""COMPUTED_VALUE"""),"—")</f>
        <v>—</v>
      </c>
      <c r="D24" s="1" t="str">
        <f ca="1">IFERROR(__xludf.DUMMYFUNCTION("""COMPUTED_VALUE"""),"—")</f>
        <v>—</v>
      </c>
      <c r="E24" s="1" t="str">
        <f ca="1">IFERROR(__xludf.DUMMYFUNCTION("""COMPUTED_VALUE"""),"—")</f>
        <v>—</v>
      </c>
      <c r="F24" s="1" t="str">
        <f ca="1">IFERROR(__xludf.DUMMYFUNCTION("""COMPUTED_VALUE"""),"—")</f>
        <v>—</v>
      </c>
      <c r="G24" s="1" t="str">
        <f ca="1">IFERROR(__xludf.DUMMYFUNCTION("""COMPUTED_VALUE"""),"—")</f>
        <v>—</v>
      </c>
      <c r="H24" s="1" t="str">
        <f ca="1">IFERROR(__xludf.DUMMYFUNCTION("""COMPUTED_VALUE"""),"—")</f>
        <v>—</v>
      </c>
      <c r="I24" s="1" t="str">
        <f ca="1">IFERROR(__xludf.DUMMYFUNCTION("""COMPUTED_VALUE"""),"—")</f>
        <v>—</v>
      </c>
      <c r="J24" s="1" t="str">
        <f ca="1">IFERROR(__xludf.DUMMYFUNCTION("split(B24,"" "")"),"N.")</f>
        <v>N.</v>
      </c>
      <c r="K24" s="1" t="str">
        <f ca="1">IFERROR(__xludf.DUMMYFUNCTION("""COMPUTED_VALUE"""),"Eovaldi")</f>
        <v>Eovaldi</v>
      </c>
      <c r="L24" s="1" t="str">
        <f ca="1">IFERROR(__xludf.DUMMYFUNCTION("""COMPUTED_VALUE"""),"TEX")</f>
        <v>TEX</v>
      </c>
      <c r="M24" s="1" t="str">
        <f ca="1">IFERROR(__xludf.DUMMYFUNCTION("""COMPUTED_VALUE"""),"RHP")</f>
        <v>RHP</v>
      </c>
      <c r="N24" s="1" t="str">
        <f ca="1">IFERROR(__xludf.DUMMYFUNCTION("""COMPUTED_VALUE"""),"
Nathan")</f>
        <v xml:space="preserve">
Nathan</v>
      </c>
      <c r="O24" s="1" t="str">
        <f ca="1">IFERROR(__xludf.DUMMYFUNCTION("""COMPUTED_VALUE"""),"Eovaldi")</f>
        <v>Eovaldi</v>
      </c>
      <c r="P24" s="1" t="str">
        <f ca="1">IFERROR(__xludf.DUMMYFUNCTION("""COMPUTED_VALUE"""),"TEX")</f>
        <v>TEX</v>
      </c>
      <c r="Q24" s="1" t="str">
        <f ca="1">IFERROR(__xludf.DUMMYFUNCTION("""COMPUTED_VALUE"""),"RHP")</f>
        <v>RHP</v>
      </c>
      <c r="T24" s="1" t="str">
        <f ca="1">IF(TRIM(O24)="Lynn","Lance Lynn",IFERROR(_xludf.SWITCH(TRIM(N24),"Chi","Chi Chi Gonzalez","J.T.","JT Brubaker","Kwang","Kwang-hyun Kim","Lance","Lance McCullers Jr."),IF(N24&lt;&gt;"",TRIM(N24&amp;" "&amp;O24),"TBD")))</f>
        <v xml:space="preserve">
Nathan Eovaldi</v>
      </c>
      <c r="U24" s="1" t="str">
        <f t="shared" ca="1" si="0"/>
        <v>R</v>
      </c>
      <c r="W24" s="1" t="str">
        <f ca="1">IFERROR(__xludf.DUMMYFUNCTION("""COMPUTED_VALUE"""),"Logan Gilbert")</f>
        <v>Logan Gilbert</v>
      </c>
      <c r="X24" s="1" t="str">
        <f t="shared" ca="1" si="1"/>
        <v/>
      </c>
      <c r="Y24" s="157" t="str">
        <f ca="1">IFERROR(VLOOKUP(W24,'Starting Pitchers'!$B$6:$C995,2,0),"")</f>
        <v>SEA</v>
      </c>
    </row>
    <row r="25" spans="1:25" ht="12.75" customHeight="1">
      <c r="B25" s="1" t="str">
        <f ca="1">IFERROR(__xludf.DUMMYFUNCTION("""COMPUTED_VALUE"""),"C. Sanchez PHI LHP 
Cristopher Sanchez PHI LHP")</f>
        <v>C. Sanchez PHI LHP 
Cristopher Sanchez PHI LHP</v>
      </c>
      <c r="C25" s="1" t="str">
        <f ca="1">IFERROR(__xludf.DUMMYFUNCTION("""COMPUTED_VALUE"""),"—")</f>
        <v>—</v>
      </c>
      <c r="D25" s="1" t="str">
        <f ca="1">IFERROR(__xludf.DUMMYFUNCTION("""COMPUTED_VALUE"""),"—")</f>
        <v>—</v>
      </c>
      <c r="E25" s="1" t="str">
        <f ca="1">IFERROR(__xludf.DUMMYFUNCTION("""COMPUTED_VALUE"""),"—")</f>
        <v>—</v>
      </c>
      <c r="F25" s="1" t="str">
        <f ca="1">IFERROR(__xludf.DUMMYFUNCTION("""COMPUTED_VALUE"""),"—")</f>
        <v>—</v>
      </c>
      <c r="G25" s="1" t="str">
        <f ca="1">IFERROR(__xludf.DUMMYFUNCTION("""COMPUTED_VALUE"""),"—")</f>
        <v>—</v>
      </c>
      <c r="H25" s="1" t="str">
        <f ca="1">IFERROR(__xludf.DUMMYFUNCTION("""COMPUTED_VALUE"""),"—")</f>
        <v>—</v>
      </c>
      <c r="I25" s="1" t="str">
        <f ca="1">IFERROR(__xludf.DUMMYFUNCTION("""COMPUTED_VALUE"""),"—")</f>
        <v>—</v>
      </c>
      <c r="J25" s="1" t="str">
        <f ca="1">IFERROR(__xludf.DUMMYFUNCTION("split(B25,"" "")"),"C.")</f>
        <v>C.</v>
      </c>
      <c r="K25" s="1" t="str">
        <f ca="1">IFERROR(__xludf.DUMMYFUNCTION("""COMPUTED_VALUE"""),"Sanchez")</f>
        <v>Sanchez</v>
      </c>
      <c r="L25" s="1" t="str">
        <f ca="1">IFERROR(__xludf.DUMMYFUNCTION("""COMPUTED_VALUE"""),"PHI")</f>
        <v>PHI</v>
      </c>
      <c r="M25" s="1" t="str">
        <f ca="1">IFERROR(__xludf.DUMMYFUNCTION("""COMPUTED_VALUE"""),"LHP")</f>
        <v>LHP</v>
      </c>
      <c r="N25" s="1" t="str">
        <f ca="1">IFERROR(__xludf.DUMMYFUNCTION("""COMPUTED_VALUE"""),"
Cristopher")</f>
        <v xml:space="preserve">
Cristopher</v>
      </c>
      <c r="O25" s="1" t="str">
        <f ca="1">IFERROR(__xludf.DUMMYFUNCTION("""COMPUTED_VALUE"""),"Sanchez")</f>
        <v>Sanchez</v>
      </c>
      <c r="P25" s="1" t="str">
        <f ca="1">IFERROR(__xludf.DUMMYFUNCTION("""COMPUTED_VALUE"""),"PHI")</f>
        <v>PHI</v>
      </c>
      <c r="Q25" s="1" t="str">
        <f ca="1">IFERROR(__xludf.DUMMYFUNCTION("""COMPUTED_VALUE"""),"LHP")</f>
        <v>LHP</v>
      </c>
      <c r="T25" s="1" t="str">
        <f ca="1">IF(TRIM(O25)="Lynn","Lance Lynn",IFERROR(_xludf.SWITCH(TRIM(N25),"Chi","Chi Chi Gonzalez","J.T.","JT Brubaker","Kwang","Kwang-hyun Kim","Lance","Lance McCullers Jr."),IF(N25&lt;&gt;"",TRIM(N25&amp;" "&amp;O25),"TBD")))</f>
        <v xml:space="preserve">
Cristopher Sanchez</v>
      </c>
      <c r="U25" s="1" t="str">
        <f t="shared" ca="1" si="0"/>
        <v>L</v>
      </c>
      <c r="W25" s="1" t="str">
        <f ca="1">IFERROR(__xludf.DUMMYFUNCTION("""COMPUTED_VALUE"""),"TBD")</f>
        <v>TBD</v>
      </c>
      <c r="X25" s="1" t="str">
        <f t="shared" ca="1" si="1"/>
        <v/>
      </c>
      <c r="Y25" s="1" t="str">
        <f ca="1">IFERROR(VLOOKUP(W25,'Starting Pitchers'!$B$6:$C995,2,0),"")</f>
        <v/>
      </c>
    </row>
    <row r="26" spans="1:25" ht="12.75" customHeight="1">
      <c r="A26" s="1">
        <v>9</v>
      </c>
      <c r="B26" s="1" t="str">
        <f ca="1">IFERROR(__xludf.DUMMYFUNCTION("importhtml(""https://www.cbssports.com/fantasy/baseball/probable-pitchers/"",""table"",A26)"),"players")</f>
        <v>players</v>
      </c>
      <c r="C26" s="1" t="str">
        <f ca="1">IFERROR(__xludf.DUMMYFUNCTION("""COMPUTED_VALUE"""),"W 
Wins")</f>
        <v>W 
Wins</v>
      </c>
      <c r="D26" s="1" t="str">
        <f ca="1">IFERROR(__xludf.DUMMYFUNCTION("""COMPUTED_VALUE"""),"L 
Losses")</f>
        <v>L 
Losses</v>
      </c>
      <c r="E26" s="1" t="str">
        <f ca="1">IFERROR(__xludf.DUMMYFUNCTION("""COMPUTED_VALUE"""),"IP 
Innings Pitched")</f>
        <v>IP 
Innings Pitched</v>
      </c>
      <c r="F26" s="1" t="str">
        <f ca="1">IFERROR(__xludf.DUMMYFUNCTION("""COMPUTED_VALUE"""),"ERA 
Earned Run Average")</f>
        <v>ERA 
Earned Run Average</v>
      </c>
      <c r="G26" s="1" t="str">
        <f ca="1">IFERROR(__xludf.DUMMYFUNCTION("""COMPUTED_VALUE"""),"BB 
Base on Balls/Walks")</f>
        <v>BB 
Base on Balls/Walks</v>
      </c>
      <c r="H26" s="1" t="str">
        <f ca="1">IFERROR(__xludf.DUMMYFUNCTION("""COMPUTED_VALUE"""),"SO 
Strikeouts")</f>
        <v>SO 
Strikeouts</v>
      </c>
      <c r="I26" s="1" t="str">
        <f ca="1">IFERROR(__xludf.DUMMYFUNCTION("""COMPUTED_VALUE"""),"WHIP 
Walks And Hits Allowed Per Inning")</f>
        <v>WHIP 
Walks And Hits Allowed Per Inning</v>
      </c>
      <c r="U26" s="1" t="str">
        <f t="shared" si="0"/>
        <v/>
      </c>
      <c r="W26" s="1" t="str">
        <f ca="1">IFERROR(__xludf.DUMMYFUNCTION("""COMPUTED_VALUE"""),"TBD")</f>
        <v>TBD</v>
      </c>
      <c r="X26" s="1" t="str">
        <f t="shared" ca="1" si="1"/>
        <v/>
      </c>
      <c r="Y26" s="1" t="str">
        <f ca="1">IFERROR(VLOOKUP(W26,'Starting Pitchers'!$B$6:$C995,2,0),"")</f>
        <v/>
      </c>
    </row>
    <row r="27" spans="1:25" ht="12.75" customHeight="1">
      <c r="B27" s="1" t="str">
        <f ca="1">IFERROR(__xludf.DUMMYFUNCTION("""COMPUTED_VALUE"""),"D. Rasmussen TB RHP 
Drew Rasmussen TB RHP")</f>
        <v>D. Rasmussen TB RHP 
Drew Rasmussen TB RHP</v>
      </c>
      <c r="C27" s="1" t="str">
        <f ca="1">IFERROR(__xludf.DUMMYFUNCTION("""COMPUTED_VALUE"""),"—")</f>
        <v>—</v>
      </c>
      <c r="D27" s="1" t="str">
        <f ca="1">IFERROR(__xludf.DUMMYFUNCTION("""COMPUTED_VALUE"""),"—")</f>
        <v>—</v>
      </c>
      <c r="E27" s="1" t="str">
        <f ca="1">IFERROR(__xludf.DUMMYFUNCTION("""COMPUTED_VALUE"""),"—")</f>
        <v>—</v>
      </c>
      <c r="F27" s="1" t="str">
        <f ca="1">IFERROR(__xludf.DUMMYFUNCTION("""COMPUTED_VALUE"""),"—")</f>
        <v>—</v>
      </c>
      <c r="G27" s="1" t="str">
        <f ca="1">IFERROR(__xludf.DUMMYFUNCTION("""COMPUTED_VALUE"""),"—")</f>
        <v>—</v>
      </c>
      <c r="H27" s="1" t="str">
        <f ca="1">IFERROR(__xludf.DUMMYFUNCTION("""COMPUTED_VALUE"""),"—")</f>
        <v>—</v>
      </c>
      <c r="I27" s="1" t="str">
        <f ca="1">IFERROR(__xludf.DUMMYFUNCTION("""COMPUTED_VALUE"""),"—")</f>
        <v>—</v>
      </c>
      <c r="J27" s="1" t="str">
        <f ca="1">IFERROR(__xludf.DUMMYFUNCTION("split(B27,"" "")"),"D.")</f>
        <v>D.</v>
      </c>
      <c r="K27" s="1" t="str">
        <f ca="1">IFERROR(__xludf.DUMMYFUNCTION("""COMPUTED_VALUE"""),"Rasmussen")</f>
        <v>Rasmussen</v>
      </c>
      <c r="L27" s="1" t="str">
        <f ca="1">IFERROR(__xludf.DUMMYFUNCTION("""COMPUTED_VALUE"""),"TB")</f>
        <v>TB</v>
      </c>
      <c r="M27" s="1" t="str">
        <f ca="1">IFERROR(__xludf.DUMMYFUNCTION("""COMPUTED_VALUE"""),"RHP")</f>
        <v>RHP</v>
      </c>
      <c r="N27" s="1" t="str">
        <f ca="1">IFERROR(__xludf.DUMMYFUNCTION("""COMPUTED_VALUE"""),"
Drew")</f>
        <v xml:space="preserve">
Drew</v>
      </c>
      <c r="O27" s="1" t="str">
        <f ca="1">IFERROR(__xludf.DUMMYFUNCTION("""COMPUTED_VALUE"""),"Rasmussen")</f>
        <v>Rasmussen</v>
      </c>
      <c r="P27" s="1" t="str">
        <f ca="1">IFERROR(__xludf.DUMMYFUNCTION("""COMPUTED_VALUE"""),"TB")</f>
        <v>TB</v>
      </c>
      <c r="Q27" s="1" t="str">
        <f ca="1">IFERROR(__xludf.DUMMYFUNCTION("""COMPUTED_VALUE"""),"RHP")</f>
        <v>RHP</v>
      </c>
      <c r="T27" s="1" t="str">
        <f ca="1">IF(TRIM(O27)="Lynn","Lance Lynn",IFERROR(_xludf.SWITCH(TRIM(N27),"Chi","Chi Chi Gonzalez","J.T.","JT Brubaker","Kwang","Kwang-hyun Kim","Lance","Lance McCullers Jr."),IF(N27&lt;&gt;"",TRIM(N27&amp;" "&amp;O27),"TBD")))</f>
        <v xml:space="preserve">
Drew Rasmussen</v>
      </c>
      <c r="U27" s="1" t="str">
        <f t="shared" ca="1" si="0"/>
        <v>R</v>
      </c>
      <c r="W27" s="1" t="str">
        <f ca="1">IFERROR(__xludf.DUMMYFUNCTION("""COMPUTED_VALUE"""),"TBD")</f>
        <v>TBD</v>
      </c>
      <c r="X27" s="1" t="str">
        <f t="shared" ca="1" si="1"/>
        <v/>
      </c>
      <c r="Y27" s="1" t="str">
        <f ca="1">IFERROR(VLOOKUP(W27,'Starting Pitchers'!$B$6:$C995,2,0),"")</f>
        <v/>
      </c>
    </row>
    <row r="28" spans="1:25" ht="12.75" customHeight="1">
      <c r="B28" s="1" t="str">
        <f ca="1">IFERROR(__xludf.DUMMYFUNCTION("""COMPUTED_VALUE"""),"M. Liberatore STL LHP 
Matthew Liberatore STL LHP")</f>
        <v>M. Liberatore STL LHP 
Matthew Liberatore STL LHP</v>
      </c>
      <c r="C28" s="1" t="str">
        <f ca="1">IFERROR(__xludf.DUMMYFUNCTION("""COMPUTED_VALUE"""),"—")</f>
        <v>—</v>
      </c>
      <c r="D28" s="1" t="str">
        <f ca="1">IFERROR(__xludf.DUMMYFUNCTION("""COMPUTED_VALUE"""),"—")</f>
        <v>—</v>
      </c>
      <c r="E28" s="1" t="str">
        <f ca="1">IFERROR(__xludf.DUMMYFUNCTION("""COMPUTED_VALUE"""),"—")</f>
        <v>—</v>
      </c>
      <c r="F28" s="1" t="str">
        <f ca="1">IFERROR(__xludf.DUMMYFUNCTION("""COMPUTED_VALUE"""),"—")</f>
        <v>—</v>
      </c>
      <c r="G28" s="1" t="str">
        <f ca="1">IFERROR(__xludf.DUMMYFUNCTION("""COMPUTED_VALUE"""),"—")</f>
        <v>—</v>
      </c>
      <c r="H28" s="1" t="str">
        <f ca="1">IFERROR(__xludf.DUMMYFUNCTION("""COMPUTED_VALUE"""),"—")</f>
        <v>—</v>
      </c>
      <c r="I28" s="1" t="str">
        <f ca="1">IFERROR(__xludf.DUMMYFUNCTION("""COMPUTED_VALUE"""),"—")</f>
        <v>—</v>
      </c>
      <c r="J28" s="1" t="str">
        <f ca="1">IFERROR(__xludf.DUMMYFUNCTION("split(B28,"" "")"),"M.")</f>
        <v>M.</v>
      </c>
      <c r="K28" s="1" t="str">
        <f ca="1">IFERROR(__xludf.DUMMYFUNCTION("""COMPUTED_VALUE"""),"Liberatore")</f>
        <v>Liberatore</v>
      </c>
      <c r="L28" s="1" t="str">
        <f ca="1">IFERROR(__xludf.DUMMYFUNCTION("""COMPUTED_VALUE"""),"STL")</f>
        <v>STL</v>
      </c>
      <c r="M28" s="1" t="str">
        <f ca="1">IFERROR(__xludf.DUMMYFUNCTION("""COMPUTED_VALUE"""),"LHP")</f>
        <v>LHP</v>
      </c>
      <c r="N28" s="1" t="str">
        <f ca="1">IFERROR(__xludf.DUMMYFUNCTION("""COMPUTED_VALUE"""),"
Matthew")</f>
        <v xml:space="preserve">
Matthew</v>
      </c>
      <c r="O28" s="1" t="str">
        <f ca="1">IFERROR(__xludf.DUMMYFUNCTION("""COMPUTED_VALUE"""),"Liberatore")</f>
        <v>Liberatore</v>
      </c>
      <c r="P28" s="1" t="str">
        <f ca="1">IFERROR(__xludf.DUMMYFUNCTION("""COMPUTED_VALUE"""),"STL")</f>
        <v>STL</v>
      </c>
      <c r="Q28" s="1" t="str">
        <f ca="1">IFERROR(__xludf.DUMMYFUNCTION("""COMPUTED_VALUE"""),"LHP")</f>
        <v>LHP</v>
      </c>
      <c r="T28" s="1" t="str">
        <f ca="1">IF(TRIM(O28)="Lynn","Lance Lynn",IFERROR(_xludf.SWITCH(TRIM(N28),"Chi","Chi Chi Gonzalez","J.T.","JT Brubaker","Kwang","Kwang-hyun Kim","Lance","Lance McCullers Jr."),IF(N28&lt;&gt;"",TRIM(N28&amp;" "&amp;O28),"TBD")))</f>
        <v xml:space="preserve">
Matthew Liberatore</v>
      </c>
      <c r="U28" s="1" t="str">
        <f t="shared" ca="1" si="0"/>
        <v>L</v>
      </c>
      <c r="W28" s="1" t="str">
        <f ca="1">IFERROR(__xludf.DUMMYFUNCTION("""COMPUTED_VALUE"""),"TBD")</f>
        <v>TBD</v>
      </c>
      <c r="X28" s="1" t="str">
        <f t="shared" ca="1" si="1"/>
        <v/>
      </c>
      <c r="Y28" s="1" t="str">
        <f ca="1">IFERROR(VLOOKUP(W28,'Starting Pitchers'!$B$6:$C995,2,0),"")</f>
        <v/>
      </c>
    </row>
    <row r="29" spans="1:25" ht="12.75" customHeight="1">
      <c r="A29" s="1">
        <v>10</v>
      </c>
      <c r="B29" s="1" t="str">
        <f ca="1">IFERROR(__xludf.DUMMYFUNCTION("importhtml(""https://www.cbssports.com/fantasy/baseball/probable-pitchers/"",""table"",A29)"),"players")</f>
        <v>players</v>
      </c>
      <c r="C29" s="1" t="str">
        <f ca="1">IFERROR(__xludf.DUMMYFUNCTION("""COMPUTED_VALUE"""),"W 
Wins")</f>
        <v>W 
Wins</v>
      </c>
      <c r="D29" s="1" t="str">
        <f ca="1">IFERROR(__xludf.DUMMYFUNCTION("""COMPUTED_VALUE"""),"L 
Losses")</f>
        <v>L 
Losses</v>
      </c>
      <c r="E29" s="1" t="str">
        <f ca="1">IFERROR(__xludf.DUMMYFUNCTION("""COMPUTED_VALUE"""),"IP 
Innings Pitched")</f>
        <v>IP 
Innings Pitched</v>
      </c>
      <c r="F29" s="1" t="str">
        <f ca="1">IFERROR(__xludf.DUMMYFUNCTION("""COMPUTED_VALUE"""),"ERA 
Earned Run Average")</f>
        <v>ERA 
Earned Run Average</v>
      </c>
      <c r="G29" s="1" t="str">
        <f ca="1">IFERROR(__xludf.DUMMYFUNCTION("""COMPUTED_VALUE"""),"BB 
Base on Balls/Walks")</f>
        <v>BB 
Base on Balls/Walks</v>
      </c>
      <c r="H29" s="1" t="str">
        <f ca="1">IFERROR(__xludf.DUMMYFUNCTION("""COMPUTED_VALUE"""),"SO 
Strikeouts")</f>
        <v>SO 
Strikeouts</v>
      </c>
      <c r="I29" s="1" t="str">
        <f ca="1">IFERROR(__xludf.DUMMYFUNCTION("""COMPUTED_VALUE"""),"WHIP 
Walks And Hits Allowed Per Inning")</f>
        <v>WHIP 
Walks And Hits Allowed Per Inning</v>
      </c>
      <c r="U29" s="1" t="str">
        <f t="shared" si="0"/>
        <v/>
      </c>
      <c r="W29" s="1" t="str">
        <f ca="1">IFERROR(__xludf.DUMMYFUNCTION("""COMPUTED_VALUE"""),"TBD")</f>
        <v>TBD</v>
      </c>
      <c r="X29" s="1" t="str">
        <f t="shared" ca="1" si="1"/>
        <v/>
      </c>
      <c r="Y29" s="1" t="str">
        <f ca="1">IFERROR(VLOOKUP(W29,'Starting Pitchers'!$B$6:$C995,2,0),"")</f>
        <v/>
      </c>
    </row>
    <row r="30" spans="1:25" ht="12.75" customHeight="1">
      <c r="B30" s="1" t="str">
        <f ca="1">IFERROR(__xludf.DUMMYFUNCTION("""COMPUTED_VALUE"""),"Z. Gallen ARI RHP 
Zac Gallen ARI RHP")</f>
        <v>Z. Gallen ARI RHP 
Zac Gallen ARI RHP</v>
      </c>
      <c r="C30" s="1" t="str">
        <f ca="1">IFERROR(__xludf.DUMMYFUNCTION("""COMPUTED_VALUE"""),"—")</f>
        <v>—</v>
      </c>
      <c r="D30" s="1" t="str">
        <f ca="1">IFERROR(__xludf.DUMMYFUNCTION("""COMPUTED_VALUE"""),"—")</f>
        <v>—</v>
      </c>
      <c r="E30" s="1" t="str">
        <f ca="1">IFERROR(__xludf.DUMMYFUNCTION("""COMPUTED_VALUE"""),"—")</f>
        <v>—</v>
      </c>
      <c r="F30" s="1" t="str">
        <f ca="1">IFERROR(__xludf.DUMMYFUNCTION("""COMPUTED_VALUE"""),"—")</f>
        <v>—</v>
      </c>
      <c r="G30" s="1" t="str">
        <f ca="1">IFERROR(__xludf.DUMMYFUNCTION("""COMPUTED_VALUE"""),"—")</f>
        <v>—</v>
      </c>
      <c r="H30" s="1" t="str">
        <f ca="1">IFERROR(__xludf.DUMMYFUNCTION("""COMPUTED_VALUE"""),"—")</f>
        <v>—</v>
      </c>
      <c r="I30" s="1" t="str">
        <f ca="1">IFERROR(__xludf.DUMMYFUNCTION("""COMPUTED_VALUE"""),"—")</f>
        <v>—</v>
      </c>
      <c r="J30" s="1" t="str">
        <f ca="1">IFERROR(__xludf.DUMMYFUNCTION("split(B30,"" "")"),"Z.")</f>
        <v>Z.</v>
      </c>
      <c r="K30" s="1" t="str">
        <f ca="1">IFERROR(__xludf.DUMMYFUNCTION("""COMPUTED_VALUE"""),"Gallen")</f>
        <v>Gallen</v>
      </c>
      <c r="L30" s="1" t="str">
        <f ca="1">IFERROR(__xludf.DUMMYFUNCTION("""COMPUTED_VALUE"""),"ARI")</f>
        <v>ARI</v>
      </c>
      <c r="M30" s="1" t="str">
        <f ca="1">IFERROR(__xludf.DUMMYFUNCTION("""COMPUTED_VALUE"""),"RHP")</f>
        <v>RHP</v>
      </c>
      <c r="N30" s="1" t="str">
        <f ca="1">IFERROR(__xludf.DUMMYFUNCTION("""COMPUTED_VALUE"""),"
Zac")</f>
        <v xml:space="preserve">
Zac</v>
      </c>
      <c r="O30" s="1" t="str">
        <f ca="1">IFERROR(__xludf.DUMMYFUNCTION("""COMPUTED_VALUE"""),"Gallen")</f>
        <v>Gallen</v>
      </c>
      <c r="P30" s="1" t="str">
        <f ca="1">IFERROR(__xludf.DUMMYFUNCTION("""COMPUTED_VALUE"""),"ARI")</f>
        <v>ARI</v>
      </c>
      <c r="Q30" s="1" t="str">
        <f ca="1">IFERROR(__xludf.DUMMYFUNCTION("""COMPUTED_VALUE"""),"RHP")</f>
        <v>RHP</v>
      </c>
      <c r="T30" s="1" t="str">
        <f ca="1">IF(TRIM(O30)="Lynn","Lance Lynn",IFERROR(_xludf.SWITCH(TRIM(N30),"Chi","Chi Chi Gonzalez","J.T.","JT Brubaker","Kwang","Kwang-hyun Kim","Lance","Lance McCullers Jr."),IF(N30&lt;&gt;"",TRIM(N30&amp;" "&amp;O30),"TBD")))</f>
        <v xml:space="preserve">
Zac Gallen</v>
      </c>
      <c r="U30" s="1" t="str">
        <f t="shared" ca="1" si="0"/>
        <v>R</v>
      </c>
      <c r="W30" s="1" t="str">
        <f ca="1">IFERROR(__xludf.DUMMYFUNCTION("""COMPUTED_VALUE"""),"TBD")</f>
        <v>TBD</v>
      </c>
      <c r="X30" s="1" t="str">
        <f t="shared" ca="1" si="1"/>
        <v/>
      </c>
      <c r="Y30" s="1" t="str">
        <f ca="1">IFERROR(VLOOKUP(W30,'Starting Pitchers'!$B$6:$C995,2,0),"")</f>
        <v/>
      </c>
    </row>
    <row r="31" spans="1:25" ht="12.75" customHeight="1">
      <c r="B31" s="1" t="str">
        <f ca="1">IFERROR(__xludf.DUMMYFUNCTION("""COMPUTED_VALUE"""),"Y. Yamamoto LAD RHP 
Yoshinobu Yamamoto LAD RHP")</f>
        <v>Y. Yamamoto LAD RHP 
Yoshinobu Yamamoto LAD RHP</v>
      </c>
      <c r="C31" s="1" t="str">
        <f ca="1">IFERROR(__xludf.DUMMYFUNCTION("""COMPUTED_VALUE"""),"—")</f>
        <v>—</v>
      </c>
      <c r="D31" s="1" t="str">
        <f ca="1">IFERROR(__xludf.DUMMYFUNCTION("""COMPUTED_VALUE"""),"—")</f>
        <v>—</v>
      </c>
      <c r="E31" s="1" t="str">
        <f ca="1">IFERROR(__xludf.DUMMYFUNCTION("""COMPUTED_VALUE"""),"—")</f>
        <v>—</v>
      </c>
      <c r="F31" s="1" t="str">
        <f ca="1">IFERROR(__xludf.DUMMYFUNCTION("""COMPUTED_VALUE"""),"—")</f>
        <v>—</v>
      </c>
      <c r="G31" s="1" t="str">
        <f ca="1">IFERROR(__xludf.DUMMYFUNCTION("""COMPUTED_VALUE"""),"—")</f>
        <v>—</v>
      </c>
      <c r="H31" s="1" t="str">
        <f ca="1">IFERROR(__xludf.DUMMYFUNCTION("""COMPUTED_VALUE"""),"—")</f>
        <v>—</v>
      </c>
      <c r="I31" s="1" t="str">
        <f ca="1">IFERROR(__xludf.DUMMYFUNCTION("""COMPUTED_VALUE"""),"—")</f>
        <v>—</v>
      </c>
      <c r="J31" s="1" t="str">
        <f ca="1">IFERROR(__xludf.DUMMYFUNCTION("split(B31,"" "")"),"Y.")</f>
        <v>Y.</v>
      </c>
      <c r="K31" s="1" t="str">
        <f ca="1">IFERROR(__xludf.DUMMYFUNCTION("""COMPUTED_VALUE"""),"Yamamoto")</f>
        <v>Yamamoto</v>
      </c>
      <c r="L31" s="1" t="str">
        <f ca="1">IFERROR(__xludf.DUMMYFUNCTION("""COMPUTED_VALUE"""),"LAD")</f>
        <v>LAD</v>
      </c>
      <c r="M31" s="1" t="str">
        <f ca="1">IFERROR(__xludf.DUMMYFUNCTION("""COMPUTED_VALUE"""),"RHP")</f>
        <v>RHP</v>
      </c>
      <c r="N31" s="1" t="str">
        <f ca="1">IFERROR(__xludf.DUMMYFUNCTION("""COMPUTED_VALUE"""),"
Yoshinobu")</f>
        <v xml:space="preserve">
Yoshinobu</v>
      </c>
      <c r="O31" s="1" t="str">
        <f ca="1">IFERROR(__xludf.DUMMYFUNCTION("""COMPUTED_VALUE"""),"Yamamoto")</f>
        <v>Yamamoto</v>
      </c>
      <c r="P31" s="1" t="str">
        <f ca="1">IFERROR(__xludf.DUMMYFUNCTION("""COMPUTED_VALUE"""),"LAD")</f>
        <v>LAD</v>
      </c>
      <c r="Q31" s="1" t="str">
        <f ca="1">IFERROR(__xludf.DUMMYFUNCTION("""COMPUTED_VALUE"""),"RHP")</f>
        <v>RHP</v>
      </c>
      <c r="T31" s="1" t="str">
        <f ca="1">IF(TRIM(O31)="Lynn","Lance Lynn",IFERROR(_xludf.SWITCH(TRIM(N31),"Chi","Chi Chi Gonzalez","J.T.","JT Brubaker","Kwang","Kwang-hyun Kim","Lance","Lance McCullers Jr."),IF(N31&lt;&gt;"",TRIM(N31&amp;" "&amp;O31),"TBD")))</f>
        <v xml:space="preserve">
Yoshinobu Yamamoto</v>
      </c>
      <c r="U31" s="1" t="str">
        <f t="shared" ca="1" si="0"/>
        <v>R</v>
      </c>
      <c r="W31" s="1" t="str">
        <f ca="1">IFERROR(__xludf.DUMMYFUNCTION("""COMPUTED_VALUE"""),"TBD")</f>
        <v>TBD</v>
      </c>
      <c r="X31" s="1" t="str">
        <f t="shared" ca="1" si="1"/>
        <v/>
      </c>
      <c r="Y31" s="1" t="str">
        <f ca="1">IFERROR(VLOOKUP(W31,'Starting Pitchers'!$B$6:$C995,2,0),"")</f>
        <v/>
      </c>
    </row>
    <row r="32" spans="1:25" ht="12.75" customHeight="1">
      <c r="A32" s="1">
        <v>11</v>
      </c>
      <c r="B32" s="1" t="str">
        <f ca="1">IFERROR(__xludf.DUMMYFUNCTION("importhtml(""https://www.cbssports.com/fantasy/baseball/probable-pitchers/"",""table"",A32)"),"players")</f>
        <v>players</v>
      </c>
      <c r="C32" s="1" t="str">
        <f ca="1">IFERROR(__xludf.DUMMYFUNCTION("""COMPUTED_VALUE"""),"W 
Wins")</f>
        <v>W 
Wins</v>
      </c>
      <c r="D32" s="1" t="str">
        <f ca="1">IFERROR(__xludf.DUMMYFUNCTION("""COMPUTED_VALUE"""),"L 
Losses")</f>
        <v>L 
Losses</v>
      </c>
      <c r="E32" s="1" t="str">
        <f ca="1">IFERROR(__xludf.DUMMYFUNCTION("""COMPUTED_VALUE"""),"IP 
Innings Pitched")</f>
        <v>IP 
Innings Pitched</v>
      </c>
      <c r="F32" s="1" t="str">
        <f ca="1">IFERROR(__xludf.DUMMYFUNCTION("""COMPUTED_VALUE"""),"ERA 
Earned Run Average")</f>
        <v>ERA 
Earned Run Average</v>
      </c>
      <c r="G32" s="1" t="str">
        <f ca="1">IFERROR(__xludf.DUMMYFUNCTION("""COMPUTED_VALUE"""),"BB 
Base on Balls/Walks")</f>
        <v>BB 
Base on Balls/Walks</v>
      </c>
      <c r="H32" s="1" t="str">
        <f ca="1">IFERROR(__xludf.DUMMYFUNCTION("""COMPUTED_VALUE"""),"SO 
Strikeouts")</f>
        <v>SO 
Strikeouts</v>
      </c>
      <c r="I32" s="1" t="str">
        <f ca="1">IFERROR(__xludf.DUMMYFUNCTION("""COMPUTED_VALUE"""),"WHIP 
Walks And Hits Allowed Per Inning")</f>
        <v>WHIP 
Walks And Hits Allowed Per Inning</v>
      </c>
      <c r="U32" s="1" t="str">
        <f t="shared" si="0"/>
        <v/>
      </c>
      <c r="W32" s="1" t="str">
        <f ca="1">IFERROR(__xludf.DUMMYFUNCTION("""COMPUTED_VALUE"""),"TBD")</f>
        <v>TBD</v>
      </c>
      <c r="X32" s="1" t="str">
        <f t="shared" ca="1" si="1"/>
        <v/>
      </c>
      <c r="Y32" s="1" t="str">
        <f ca="1">IFERROR(VLOOKUP(W32,'Starting Pitchers'!$B$6:$C995,2,0),"")</f>
        <v/>
      </c>
    </row>
    <row r="33" spans="1:25" ht="12.75" customHeight="1">
      <c r="B33" s="1" t="str">
        <f ca="1">IFERROR(__xludf.DUMMYFUNCTION("""COMPUTED_VALUE"""),"T. Bibee CLE RHP 
Tanner Bibee CLE RHP")</f>
        <v>T. Bibee CLE RHP 
Tanner Bibee CLE RHP</v>
      </c>
      <c r="C33" s="1" t="str">
        <f ca="1">IFERROR(__xludf.DUMMYFUNCTION("""COMPUTED_VALUE"""),"—")</f>
        <v>—</v>
      </c>
      <c r="D33" s="1" t="str">
        <f ca="1">IFERROR(__xludf.DUMMYFUNCTION("""COMPUTED_VALUE"""),"—")</f>
        <v>—</v>
      </c>
      <c r="E33" s="1" t="str">
        <f ca="1">IFERROR(__xludf.DUMMYFUNCTION("""COMPUTED_VALUE"""),"—")</f>
        <v>—</v>
      </c>
      <c r="F33" s="1" t="str">
        <f ca="1">IFERROR(__xludf.DUMMYFUNCTION("""COMPUTED_VALUE"""),"—")</f>
        <v>—</v>
      </c>
      <c r="G33" s="1" t="str">
        <f ca="1">IFERROR(__xludf.DUMMYFUNCTION("""COMPUTED_VALUE"""),"—")</f>
        <v>—</v>
      </c>
      <c r="H33" s="1" t="str">
        <f ca="1">IFERROR(__xludf.DUMMYFUNCTION("""COMPUTED_VALUE"""),"—")</f>
        <v>—</v>
      </c>
      <c r="I33" s="1" t="str">
        <f ca="1">IFERROR(__xludf.DUMMYFUNCTION("""COMPUTED_VALUE"""),"—")</f>
        <v>—</v>
      </c>
      <c r="J33" s="1" t="str">
        <f ca="1">IFERROR(__xludf.DUMMYFUNCTION("split(B33,"" "")"),"T.")</f>
        <v>T.</v>
      </c>
      <c r="K33" s="1" t="str">
        <f ca="1">IFERROR(__xludf.DUMMYFUNCTION("""COMPUTED_VALUE"""),"Bibee")</f>
        <v>Bibee</v>
      </c>
      <c r="L33" s="1" t="str">
        <f ca="1">IFERROR(__xludf.DUMMYFUNCTION("""COMPUTED_VALUE"""),"CLE")</f>
        <v>CLE</v>
      </c>
      <c r="M33" s="1" t="str">
        <f ca="1">IFERROR(__xludf.DUMMYFUNCTION("""COMPUTED_VALUE"""),"RHP")</f>
        <v>RHP</v>
      </c>
      <c r="N33" s="1" t="str">
        <f ca="1">IFERROR(__xludf.DUMMYFUNCTION("""COMPUTED_VALUE"""),"
Tanner")</f>
        <v xml:space="preserve">
Tanner</v>
      </c>
      <c r="O33" s="1" t="str">
        <f ca="1">IFERROR(__xludf.DUMMYFUNCTION("""COMPUTED_VALUE"""),"Bibee")</f>
        <v>Bibee</v>
      </c>
      <c r="P33" s="1" t="str">
        <f ca="1">IFERROR(__xludf.DUMMYFUNCTION("""COMPUTED_VALUE"""),"CLE")</f>
        <v>CLE</v>
      </c>
      <c r="Q33" s="1" t="str">
        <f ca="1">IFERROR(__xludf.DUMMYFUNCTION("""COMPUTED_VALUE"""),"RHP")</f>
        <v>RHP</v>
      </c>
      <c r="T33" s="1" t="str">
        <f ca="1">IF(TRIM(O33)="Lynn","Lance Lynn",IFERROR(_xludf.SWITCH(TRIM(N33),"Chi","Chi Chi Gonzalez","J.T.","JT Brubaker","Kwang","Kwang-hyun Kim","Lance","Lance McCullers Jr."),IF(N33&lt;&gt;"",TRIM(N33&amp;" "&amp;O33),"TBD")))</f>
        <v xml:space="preserve">
Tanner Bibee</v>
      </c>
      <c r="U33" s="1" t="str">
        <f t="shared" ca="1" si="0"/>
        <v>R</v>
      </c>
      <c r="X33" s="1" t="str">
        <f t="shared" ca="1" si="1"/>
        <v/>
      </c>
      <c r="Y33" s="1" t="str">
        <f>IFERROR(VLOOKUP(W33,'Starting Pitchers'!$B$6:$C995,2,0),"")</f>
        <v/>
      </c>
    </row>
    <row r="34" spans="1:25" ht="12.75" customHeight="1">
      <c r="B34" s="1" t="str">
        <f ca="1">IFERROR(__xludf.DUMMYFUNCTION("""COMPUTED_VALUE"""),"L. Gilbert SEA RHP 
Logan Gilbert SEA RHP")</f>
        <v>L. Gilbert SEA RHP 
Logan Gilbert SEA RHP</v>
      </c>
      <c r="C34" s="1" t="str">
        <f ca="1">IFERROR(__xludf.DUMMYFUNCTION("""COMPUTED_VALUE"""),"—")</f>
        <v>—</v>
      </c>
      <c r="D34" s="1" t="str">
        <f ca="1">IFERROR(__xludf.DUMMYFUNCTION("""COMPUTED_VALUE"""),"—")</f>
        <v>—</v>
      </c>
      <c r="E34" s="1" t="str">
        <f ca="1">IFERROR(__xludf.DUMMYFUNCTION("""COMPUTED_VALUE"""),"—")</f>
        <v>—</v>
      </c>
      <c r="F34" s="1" t="str">
        <f ca="1">IFERROR(__xludf.DUMMYFUNCTION("""COMPUTED_VALUE"""),"—")</f>
        <v>—</v>
      </c>
      <c r="G34" s="1" t="str">
        <f ca="1">IFERROR(__xludf.DUMMYFUNCTION("""COMPUTED_VALUE"""),"—")</f>
        <v>—</v>
      </c>
      <c r="H34" s="1" t="str">
        <f ca="1">IFERROR(__xludf.DUMMYFUNCTION("""COMPUTED_VALUE"""),"—")</f>
        <v>—</v>
      </c>
      <c r="I34" s="1" t="str">
        <f ca="1">IFERROR(__xludf.DUMMYFUNCTION("""COMPUTED_VALUE"""),"—")</f>
        <v>—</v>
      </c>
      <c r="J34" s="1" t="str">
        <f ca="1">IFERROR(__xludf.DUMMYFUNCTION("split(B34,"" "")"),"L.")</f>
        <v>L.</v>
      </c>
      <c r="K34" s="1" t="str">
        <f ca="1">IFERROR(__xludf.DUMMYFUNCTION("""COMPUTED_VALUE"""),"Gilbert")</f>
        <v>Gilbert</v>
      </c>
      <c r="L34" s="1" t="str">
        <f ca="1">IFERROR(__xludf.DUMMYFUNCTION("""COMPUTED_VALUE"""),"SEA")</f>
        <v>SEA</v>
      </c>
      <c r="M34" s="1" t="str">
        <f ca="1">IFERROR(__xludf.DUMMYFUNCTION("""COMPUTED_VALUE"""),"RHP")</f>
        <v>RHP</v>
      </c>
      <c r="N34" s="1" t="str">
        <f ca="1">IFERROR(__xludf.DUMMYFUNCTION("""COMPUTED_VALUE"""),"
Logan")</f>
        <v xml:space="preserve">
Logan</v>
      </c>
      <c r="O34" s="1" t="str">
        <f ca="1">IFERROR(__xludf.DUMMYFUNCTION("""COMPUTED_VALUE"""),"Gilbert")</f>
        <v>Gilbert</v>
      </c>
      <c r="P34" s="1" t="str">
        <f ca="1">IFERROR(__xludf.DUMMYFUNCTION("""COMPUTED_VALUE"""),"SEA")</f>
        <v>SEA</v>
      </c>
      <c r="Q34" s="1" t="str">
        <f ca="1">IFERROR(__xludf.DUMMYFUNCTION("""COMPUTED_VALUE"""),"RHP")</f>
        <v>RHP</v>
      </c>
      <c r="T34" s="1" t="str">
        <f ca="1">IF(TRIM(O34)="Lynn","Lance Lynn",IFERROR(_xludf.SWITCH(TRIM(N34),"Chi","Chi Chi Gonzalez","J.T.","JT Brubaker","Kwang","Kwang-hyun Kim","Lance","Lance McCullers Jr."),IF(N34&lt;&gt;"",TRIM(N34&amp;" "&amp;O34),"TBD")))</f>
        <v xml:space="preserve">
Logan Gilbert</v>
      </c>
      <c r="U34" s="1" t="str">
        <f t="shared" ca="1" si="0"/>
        <v>R</v>
      </c>
      <c r="X34" s="1" t="str">
        <f t="shared" ca="1" si="1"/>
        <v/>
      </c>
      <c r="Y34" s="1" t="str">
        <f>IFERROR(VLOOKUP(W34,'Starting Pitchers'!$B$6:$C995,2,0),"")</f>
        <v/>
      </c>
    </row>
    <row r="35" spans="1:25" ht="12.75" customHeight="1">
      <c r="A35" s="1">
        <v>12</v>
      </c>
      <c r="B35" s="1" t="str">
        <f ca="1">IFERROR(__xludf.DUMMYFUNCTION("importhtml(""https://www.cbssports.com/fantasy/baseball/probable-pitchers/"",""table"",A35)"),"#N/A")</f>
        <v>#N/A</v>
      </c>
      <c r="U35" s="1" t="str">
        <f t="shared" si="0"/>
        <v/>
      </c>
      <c r="X35" s="1" t="str">
        <f t="shared" ca="1" si="1"/>
        <v/>
      </c>
      <c r="Y35" s="1" t="str">
        <f>IFERROR(VLOOKUP(W35,'Starting Pitchers'!$B$6:$C995,2,0),"")</f>
        <v/>
      </c>
    </row>
    <row r="36" spans="1:25" ht="12.75" customHeight="1">
      <c r="J36" s="1" t="str">
        <f ca="1">IFERROR(__xludf.DUMMYFUNCTION("split(B36,"" "")"),"#VALUE!")</f>
        <v>#VALUE!</v>
      </c>
      <c r="T36" s="1" t="str">
        <f ca="1">IF(TRIM(O36)="Lynn","Lance Lynn",IFERROR(_xludf.SWITCH(TRIM(N36),"Chi","Chi Chi Gonzalez","J.T.","JT Brubaker","Kwang","Kwang-hyun Kim","Lance","Lance McCullers Jr."),IF(N36&lt;&gt;"",TRIM(N36&amp;" "&amp;O36),"TBD")))</f>
        <v>TBD</v>
      </c>
      <c r="U36" s="1" t="str">
        <f t="shared" si="0"/>
        <v/>
      </c>
      <c r="X36" s="1" t="str">
        <f t="shared" ca="1" si="1"/>
        <v/>
      </c>
      <c r="Y36" s="1" t="str">
        <f>IFERROR(VLOOKUP(W36,'Starting Pitchers'!$B$6:$C995,2,0),"")</f>
        <v/>
      </c>
    </row>
    <row r="37" spans="1:25" ht="12.75" customHeight="1">
      <c r="J37" s="1" t="str">
        <f ca="1">IFERROR(__xludf.DUMMYFUNCTION("split(B37,"" "")"),"#VALUE!")</f>
        <v>#VALUE!</v>
      </c>
      <c r="T37" s="1" t="str">
        <f ca="1">IF(TRIM(O37)="Lynn","Lance Lynn",IFERROR(_xludf.SWITCH(TRIM(N37),"Chi","Chi Chi Gonzalez","J.T.","JT Brubaker","Kwang","Kwang-hyun Kim","Lance","Lance McCullers Jr."),IF(N37&lt;&gt;"",TRIM(N37&amp;" "&amp;O37),"TBD")))</f>
        <v>TBD</v>
      </c>
      <c r="U37" s="1" t="str">
        <f t="shared" si="0"/>
        <v/>
      </c>
      <c r="X37" s="1" t="str">
        <f t="shared" ca="1" si="1"/>
        <v/>
      </c>
    </row>
    <row r="38" spans="1:25" ht="12.75" customHeight="1">
      <c r="A38" s="1">
        <v>13</v>
      </c>
      <c r="B38" s="1" t="str">
        <f ca="1">IFERROR(__xludf.DUMMYFUNCTION("importhtml(""https://www.cbssports.com/fantasy/baseball/probable-pitchers/"",""table"",A38)"),"#N/A")</f>
        <v>#N/A</v>
      </c>
      <c r="U38" s="1" t="str">
        <f t="shared" si="0"/>
        <v/>
      </c>
      <c r="X38" s="1" t="str">
        <f t="shared" ca="1" si="1"/>
        <v/>
      </c>
    </row>
    <row r="39" spans="1:25" ht="12.75" customHeight="1">
      <c r="J39" s="1" t="str">
        <f ca="1">IFERROR(__xludf.DUMMYFUNCTION("split(B39,"" "")"),"#VALUE!")</f>
        <v>#VALUE!</v>
      </c>
      <c r="T39" s="1" t="str">
        <f ca="1">IF(TRIM(O39)="Lynn","Lance Lynn",IFERROR(_xludf.SWITCH(TRIM(N39),"Chi","Chi Chi Gonzalez","J.T.","JT Brubaker","Kwang","Kwang-hyun Kim","Lance","Lance McCullers Jr."),IF(N39&lt;&gt;"",TRIM(N39&amp;" "&amp;O39),"TBD")))</f>
        <v>TBD</v>
      </c>
      <c r="U39" s="1" t="str">
        <f t="shared" si="0"/>
        <v/>
      </c>
      <c r="X39" s="1" t="str">
        <f t="shared" ca="1" si="1"/>
        <v/>
      </c>
    </row>
    <row r="40" spans="1:25" ht="12.75" customHeight="1">
      <c r="J40" s="1" t="str">
        <f ca="1">IFERROR(__xludf.DUMMYFUNCTION("split(B40,"" "")"),"#VALUE!")</f>
        <v>#VALUE!</v>
      </c>
      <c r="T40" s="1" t="str">
        <f ca="1">IF(TRIM(O40)="Lynn","Lance Lynn",IFERROR(_xludf.SWITCH(TRIM(N40),"Chi","Chi Chi Gonzalez","J.T.","JT Brubaker","Kwang","Kwang-hyun Kim","Lance","Lance McCullers Jr."),IF(N40&lt;&gt;"",TRIM(N40&amp;" "&amp;O40),"TBD")))</f>
        <v>TBD</v>
      </c>
      <c r="U40" s="1" t="str">
        <f t="shared" si="0"/>
        <v/>
      </c>
      <c r="X40" s="1" t="str">
        <f t="shared" ca="1" si="1"/>
        <v/>
      </c>
    </row>
    <row r="41" spans="1:25" ht="12.75" customHeight="1">
      <c r="A41" s="1">
        <v>14</v>
      </c>
      <c r="B41" s="1" t="str">
        <f ca="1">IFERROR(__xludf.DUMMYFUNCTION("importhtml(""https://www.cbssports.com/fantasy/baseball/probable-pitchers/"",""table"",A41)"),"#N/A")</f>
        <v>#N/A</v>
      </c>
      <c r="U41" s="1" t="str">
        <f t="shared" si="0"/>
        <v/>
      </c>
      <c r="X41" s="1" t="str">
        <f t="shared" ca="1" si="1"/>
        <v/>
      </c>
    </row>
    <row r="42" spans="1:25" ht="12.75" customHeight="1">
      <c r="J42" s="1" t="str">
        <f ca="1">IFERROR(__xludf.DUMMYFUNCTION("split(B42,"" "")"),"#VALUE!")</f>
        <v>#VALUE!</v>
      </c>
      <c r="T42" s="1" t="str">
        <f ca="1">IF(TRIM(O42)="Lynn","Lance Lynn",IFERROR(_xludf.SWITCH(TRIM(N42),"Chi","Chi Chi Gonzalez","J.T.","JT Brubaker","Kwang","Kwang-hyun Kim","Lance","Lance McCullers Jr."),IF(N42&lt;&gt;"",TRIM(N42&amp;" "&amp;O42),"TBD")))</f>
        <v>TBD</v>
      </c>
      <c r="U42" s="1" t="str">
        <f t="shared" si="0"/>
        <v/>
      </c>
      <c r="X42" s="1" t="str">
        <f t="shared" ca="1" si="1"/>
        <v/>
      </c>
    </row>
    <row r="43" spans="1:25" ht="12.75" customHeight="1">
      <c r="J43" s="1" t="str">
        <f ca="1">IFERROR(__xludf.DUMMYFUNCTION("split(B43,"" "")"),"#VALUE!")</f>
        <v>#VALUE!</v>
      </c>
      <c r="T43" s="1" t="str">
        <f ca="1">IF(TRIM(O43)="Lynn","Lance Lynn",IFERROR(_xludf.SWITCH(TRIM(N43),"Chi","Chi Chi Gonzalez","J.T.","JT Brubaker","Kwang","Kwang-hyun Kim","Lance","Lance McCullers Jr."),IF(N43&lt;&gt;"",TRIM(N43&amp;" "&amp;O43),"TBD")))</f>
        <v>TBD</v>
      </c>
      <c r="U43" s="1" t="str">
        <f t="shared" si="0"/>
        <v/>
      </c>
      <c r="X43" s="1" t="str">
        <f t="shared" ca="1" si="1"/>
        <v/>
      </c>
    </row>
    <row r="44" spans="1:25" ht="12.75" customHeight="1">
      <c r="A44" s="1">
        <v>15</v>
      </c>
      <c r="B44" s="1" t="str">
        <f ca="1">IFERROR(__xludf.DUMMYFUNCTION("importhtml(""https://www.cbssports.com/fantasy/baseball/probable-pitchers/"",""table"",A44)"),"#N/A")</f>
        <v>#N/A</v>
      </c>
      <c r="U44" s="1" t="str">
        <f t="shared" si="0"/>
        <v/>
      </c>
      <c r="X44" s="1" t="str">
        <f t="shared" ca="1" si="1"/>
        <v/>
      </c>
    </row>
    <row r="45" spans="1:25" ht="12.75" customHeight="1">
      <c r="J45" s="1" t="str">
        <f ca="1">IFERROR(__xludf.DUMMYFUNCTION("split(B45,"" "")"),"#VALUE!")</f>
        <v>#VALUE!</v>
      </c>
      <c r="T45" s="1" t="str">
        <f ca="1">IF(TRIM(O45)="Lynn","Lance Lynn",IFERROR(_xludf.SWITCH(TRIM(N45),"Chi","Chi Chi Gonzalez","J.T.","JT Brubaker","Kwang","Kwang-hyun Kim","Lance","Lance McCullers Jr."),IF(N45&lt;&gt;"",TRIM(N45&amp;" "&amp;O45),"TBD")))</f>
        <v>TBD</v>
      </c>
      <c r="U45" s="1" t="str">
        <f t="shared" si="0"/>
        <v/>
      </c>
      <c r="X45" s="1" t="str">
        <f t="shared" ca="1" si="1"/>
        <v/>
      </c>
    </row>
    <row r="46" spans="1:25" ht="12.75" customHeight="1">
      <c r="J46" s="1" t="str">
        <f ca="1">IFERROR(__xludf.DUMMYFUNCTION("split(B46,"" "")"),"#VALUE!")</f>
        <v>#VALUE!</v>
      </c>
      <c r="T46" s="1" t="str">
        <f ca="1">IF(TRIM(O46)="Lynn","Lance Lynn",IFERROR(_xludf.SWITCH(TRIM(N46),"Chi","Chi Chi Gonzalez","J.T.","JT Brubaker","Kwang","Kwang-hyun Kim","Lance","Lance McCullers Jr."),IF(N46&lt;&gt;"",TRIM(N46&amp;" "&amp;O46),"TBD")))</f>
        <v>TBD</v>
      </c>
      <c r="U46" s="1" t="str">
        <f t="shared" si="0"/>
        <v/>
      </c>
      <c r="X46" s="1" t="str">
        <f t="shared" ca="1" si="1"/>
        <v/>
      </c>
    </row>
    <row r="47" spans="1:25" ht="12.75" customHeight="1">
      <c r="B47" s="1" t="str">
        <f ca="1">IFERROR(__xludf.DUMMYFUNCTION("importhtml(""https://www.cbssports.com/fantasy/baseball/probable-pitchers/"",""table"",A47)"),"players")</f>
        <v>players</v>
      </c>
      <c r="C47" s="1" t="str">
        <f ca="1">IFERROR(__xludf.DUMMYFUNCTION("""COMPUTED_VALUE"""),"W 
Wins")</f>
        <v>W 
Wins</v>
      </c>
      <c r="D47" s="1" t="str">
        <f ca="1">IFERROR(__xludf.DUMMYFUNCTION("""COMPUTED_VALUE"""),"L 
Losses")</f>
        <v>L 
Losses</v>
      </c>
      <c r="E47" s="1" t="str">
        <f ca="1">IFERROR(__xludf.DUMMYFUNCTION("""COMPUTED_VALUE"""),"IP 
Innings Pitched")</f>
        <v>IP 
Innings Pitched</v>
      </c>
      <c r="F47" s="1" t="str">
        <f ca="1">IFERROR(__xludf.DUMMYFUNCTION("""COMPUTED_VALUE"""),"ERA 
Earned Run Average")</f>
        <v>ERA 
Earned Run Average</v>
      </c>
      <c r="G47" s="1" t="str">
        <f ca="1">IFERROR(__xludf.DUMMYFUNCTION("""COMPUTED_VALUE"""),"BB 
Base on Balls/Walks")</f>
        <v>BB 
Base on Balls/Walks</v>
      </c>
      <c r="H47" s="1" t="str">
        <f ca="1">IFERROR(__xludf.DUMMYFUNCTION("""COMPUTED_VALUE"""),"SO 
Strikeouts")</f>
        <v>SO 
Strikeouts</v>
      </c>
      <c r="I47" s="1" t="str">
        <f ca="1">IFERROR(__xludf.DUMMYFUNCTION("""COMPUTED_VALUE"""),"WHIP 
Walks And Hits Allowed Per Inning")</f>
        <v>WHIP 
Walks And Hits Allowed Per Inning</v>
      </c>
      <c r="T47" s="1" t="str">
        <f>TRIM(N47&amp;" "&amp;O47)</f>
        <v/>
      </c>
    </row>
    <row r="48" spans="1:25" ht="12.75" customHeight="1">
      <c r="B48" s="1" t="str">
        <f ca="1">IFERROR(__xludf.DUMMYFUNCTION("""COMPUTED_VALUE"""),"P. Skenes PIT RHP 
Paul Skenes PIT RHP")</f>
        <v>P. Skenes PIT RHP 
Paul Skenes PIT RHP</v>
      </c>
      <c r="C48" s="1" t="str">
        <f ca="1">IFERROR(__xludf.DUMMYFUNCTION("""COMPUTED_VALUE"""),"—")</f>
        <v>—</v>
      </c>
      <c r="D48" s="1" t="str">
        <f ca="1">IFERROR(__xludf.DUMMYFUNCTION("""COMPUTED_VALUE"""),"—")</f>
        <v>—</v>
      </c>
      <c r="E48" s="1" t="str">
        <f ca="1">IFERROR(__xludf.DUMMYFUNCTION("""COMPUTED_VALUE"""),"—")</f>
        <v>—</v>
      </c>
      <c r="F48" s="1" t="str">
        <f ca="1">IFERROR(__xludf.DUMMYFUNCTION("""COMPUTED_VALUE"""),"—")</f>
        <v>—</v>
      </c>
      <c r="G48" s="1" t="str">
        <f ca="1">IFERROR(__xludf.DUMMYFUNCTION("""COMPUTED_VALUE"""),"—")</f>
        <v>—</v>
      </c>
      <c r="H48" s="1" t="str">
        <f ca="1">IFERROR(__xludf.DUMMYFUNCTION("""COMPUTED_VALUE"""),"—")</f>
        <v>—</v>
      </c>
      <c r="I48" s="1" t="str">
        <f ca="1">IFERROR(__xludf.DUMMYFUNCTION("""COMPUTED_VALUE"""),"—")</f>
        <v>—</v>
      </c>
    </row>
    <row r="49" spans="2:9" ht="12.75" customHeight="1">
      <c r="B49" s="1" t="str">
        <f ca="1">IFERROR(__xludf.DUMMYFUNCTION("""COMPUTED_VALUE"""),"F. Peralta NYM RHP 
Freddy Peralta NYM RHP")</f>
        <v>F. Peralta NYM RHP 
Freddy Peralta NYM RHP</v>
      </c>
      <c r="C49" s="1" t="str">
        <f ca="1">IFERROR(__xludf.DUMMYFUNCTION("""COMPUTED_VALUE"""),"—")</f>
        <v>—</v>
      </c>
      <c r="D49" s="1" t="str">
        <f ca="1">IFERROR(__xludf.DUMMYFUNCTION("""COMPUTED_VALUE"""),"—")</f>
        <v>—</v>
      </c>
      <c r="E49" s="1" t="str">
        <f ca="1">IFERROR(__xludf.DUMMYFUNCTION("""COMPUTED_VALUE"""),"—")</f>
        <v>—</v>
      </c>
      <c r="F49" s="1" t="str">
        <f ca="1">IFERROR(__xludf.DUMMYFUNCTION("""COMPUTED_VALUE"""),"—")</f>
        <v>—</v>
      </c>
      <c r="G49" s="1" t="str">
        <f ca="1">IFERROR(__xludf.DUMMYFUNCTION("""COMPUTED_VALUE"""),"—")</f>
        <v>—</v>
      </c>
      <c r="H49" s="1" t="str">
        <f ca="1">IFERROR(__xludf.DUMMYFUNCTION("""COMPUTED_VALUE"""),"—")</f>
        <v>—</v>
      </c>
      <c r="I49" s="1" t="str">
        <f ca="1">IFERROR(__xludf.DUMMYFUNCTION("""COMPUTED_VALUE"""),"—")</f>
        <v>—</v>
      </c>
    </row>
    <row r="50" spans="2:9" ht="12.75" customHeight="1">
      <c r="B50" s="1" t="str">
        <f ca="1">IFERROR(__xludf.DUMMYFUNCTION("importhtml(""https://www.cbssports.com/fantasy/baseball/probable-pitchers/"",""table"",A50)"),"players")</f>
        <v>players</v>
      </c>
      <c r="C50" s="1" t="str">
        <f ca="1">IFERROR(__xludf.DUMMYFUNCTION("""COMPUTED_VALUE"""),"W 
Wins")</f>
        <v>W 
Wins</v>
      </c>
      <c r="D50" s="1" t="str">
        <f ca="1">IFERROR(__xludf.DUMMYFUNCTION("""COMPUTED_VALUE"""),"L 
Losses")</f>
        <v>L 
Losses</v>
      </c>
      <c r="E50" s="1" t="str">
        <f ca="1">IFERROR(__xludf.DUMMYFUNCTION("""COMPUTED_VALUE"""),"IP 
Innings Pitched")</f>
        <v>IP 
Innings Pitched</v>
      </c>
      <c r="F50" s="1" t="str">
        <f ca="1">IFERROR(__xludf.DUMMYFUNCTION("""COMPUTED_VALUE"""),"ERA 
Earned Run Average")</f>
        <v>ERA 
Earned Run Average</v>
      </c>
      <c r="G50" s="1" t="str">
        <f ca="1">IFERROR(__xludf.DUMMYFUNCTION("""COMPUTED_VALUE"""),"BB 
Base on Balls/Walks")</f>
        <v>BB 
Base on Balls/Walks</v>
      </c>
      <c r="H50" s="1" t="str">
        <f ca="1">IFERROR(__xludf.DUMMYFUNCTION("""COMPUTED_VALUE"""),"SO 
Strikeouts")</f>
        <v>SO 
Strikeouts</v>
      </c>
      <c r="I50" s="1" t="str">
        <f ca="1">IFERROR(__xludf.DUMMYFUNCTION("""COMPUTED_VALUE"""),"WHIP 
Walks And Hits Allowed Per Inning")</f>
        <v>WHIP 
Walks And Hits Allowed Per Inning</v>
      </c>
    </row>
    <row r="51" spans="2:9" ht="12.75" customHeight="1">
      <c r="B51" s="1" t="str">
        <f ca="1">IFERROR(__xludf.DUMMYFUNCTION("""COMPUTED_VALUE"""),"P. Skenes PIT RHP 
Paul Skenes PIT RHP")</f>
        <v>P. Skenes PIT RHP 
Paul Skenes PIT RHP</v>
      </c>
      <c r="C51" s="1" t="str">
        <f ca="1">IFERROR(__xludf.DUMMYFUNCTION("""COMPUTED_VALUE"""),"—")</f>
        <v>—</v>
      </c>
      <c r="D51" s="1" t="str">
        <f ca="1">IFERROR(__xludf.DUMMYFUNCTION("""COMPUTED_VALUE"""),"—")</f>
        <v>—</v>
      </c>
      <c r="E51" s="1" t="str">
        <f ca="1">IFERROR(__xludf.DUMMYFUNCTION("""COMPUTED_VALUE"""),"—")</f>
        <v>—</v>
      </c>
      <c r="F51" s="1" t="str">
        <f ca="1">IFERROR(__xludf.DUMMYFUNCTION("""COMPUTED_VALUE"""),"—")</f>
        <v>—</v>
      </c>
      <c r="G51" s="1" t="str">
        <f ca="1">IFERROR(__xludf.DUMMYFUNCTION("""COMPUTED_VALUE"""),"—")</f>
        <v>—</v>
      </c>
      <c r="H51" s="1" t="str">
        <f ca="1">IFERROR(__xludf.DUMMYFUNCTION("""COMPUTED_VALUE"""),"—")</f>
        <v>—</v>
      </c>
      <c r="I51" s="1" t="str">
        <f ca="1">IFERROR(__xludf.DUMMYFUNCTION("""COMPUTED_VALUE"""),"—")</f>
        <v>—</v>
      </c>
    </row>
    <row r="52" spans="2:9" ht="12.75" customHeight="1">
      <c r="B52" s="1" t="str">
        <f ca="1">IFERROR(__xludf.DUMMYFUNCTION("""COMPUTED_VALUE"""),"F. Peralta NYM RHP 
Freddy Peralta NYM RHP")</f>
        <v>F. Peralta NYM RHP 
Freddy Peralta NYM RHP</v>
      </c>
      <c r="C52" s="1" t="str">
        <f ca="1">IFERROR(__xludf.DUMMYFUNCTION("""COMPUTED_VALUE"""),"—")</f>
        <v>—</v>
      </c>
      <c r="D52" s="1" t="str">
        <f ca="1">IFERROR(__xludf.DUMMYFUNCTION("""COMPUTED_VALUE"""),"—")</f>
        <v>—</v>
      </c>
      <c r="E52" s="1" t="str">
        <f ca="1">IFERROR(__xludf.DUMMYFUNCTION("""COMPUTED_VALUE"""),"—")</f>
        <v>—</v>
      </c>
      <c r="F52" s="1" t="str">
        <f ca="1">IFERROR(__xludf.DUMMYFUNCTION("""COMPUTED_VALUE"""),"—")</f>
        <v>—</v>
      </c>
      <c r="G52" s="1" t="str">
        <f ca="1">IFERROR(__xludf.DUMMYFUNCTION("""COMPUTED_VALUE"""),"—")</f>
        <v>—</v>
      </c>
      <c r="H52" s="1" t="str">
        <f ca="1">IFERROR(__xludf.DUMMYFUNCTION("""COMPUTED_VALUE"""),"—")</f>
        <v>—</v>
      </c>
      <c r="I52" s="1" t="str">
        <f ca="1">IFERROR(__xludf.DUMMYFUNCTION("""COMPUTED_VALUE"""),"—")</f>
        <v>—</v>
      </c>
    </row>
  </sheetData>
  <mergeCells count="2">
    <mergeCell ref="B1:I1"/>
    <mergeCell ref="K1:N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L37"/>
  <sheetViews>
    <sheetView topLeftCell="A18" workbookViewId="0">
      <selection activeCell="I31" sqref="I31"/>
    </sheetView>
  </sheetViews>
  <sheetFormatPr defaultColWidth="12.5703125" defaultRowHeight="15" customHeight="1"/>
  <cols>
    <col min="1" max="6" width="12.5703125" customWidth="1"/>
    <col min="8" max="8" width="38" customWidth="1"/>
    <col min="9" max="9" width="38" style="372" customWidth="1"/>
    <col min="10" max="10" width="38.5703125" customWidth="1"/>
    <col min="11" max="11" width="21.42578125" customWidth="1"/>
    <col min="12" max="12" width="20.42578125" customWidth="1"/>
  </cols>
  <sheetData>
    <row r="1" spans="1:12" ht="15.75" customHeight="1">
      <c r="A1" s="158" t="s">
        <v>741</v>
      </c>
      <c r="B1" s="158" t="s">
        <v>741</v>
      </c>
      <c r="C1" s="158" t="s">
        <v>742</v>
      </c>
      <c r="D1" s="1" t="s">
        <v>743</v>
      </c>
      <c r="E1" s="1" t="s">
        <v>741</v>
      </c>
      <c r="F1" s="1" t="s">
        <v>744</v>
      </c>
      <c r="G1" s="158" t="s">
        <v>745</v>
      </c>
      <c r="H1" s="158" t="s">
        <v>746</v>
      </c>
      <c r="I1" s="374" t="s">
        <v>747</v>
      </c>
      <c r="J1" s="158" t="s">
        <v>748</v>
      </c>
      <c r="K1" s="1" t="s">
        <v>749</v>
      </c>
    </row>
    <row r="2" spans="1:12" ht="15.75" customHeight="1">
      <c r="A2" s="158" t="s">
        <v>750</v>
      </c>
      <c r="B2" s="159" t="s">
        <v>40</v>
      </c>
      <c r="C2" s="158" t="s">
        <v>311</v>
      </c>
      <c r="D2" s="159" t="s">
        <v>40</v>
      </c>
      <c r="E2" s="159" t="s">
        <v>40</v>
      </c>
      <c r="F2" s="158" t="s">
        <v>750</v>
      </c>
      <c r="G2" s="158" t="s">
        <v>750</v>
      </c>
      <c r="H2" s="1" t="s">
        <v>421</v>
      </c>
      <c r="I2" s="159" t="s">
        <v>40</v>
      </c>
      <c r="J2" s="160" t="s">
        <v>751</v>
      </c>
      <c r="K2" s="82">
        <f ca="1">(TODAY() - DATE(2026,3,27)) / (DATE(2026,9,28) - DATE(2026,3,28))</f>
        <v>5.434782608695652E-3</v>
      </c>
      <c r="L2" s="1"/>
    </row>
    <row r="3" spans="1:12" ht="15.75" customHeight="1">
      <c r="A3" s="158" t="s">
        <v>752</v>
      </c>
      <c r="B3" s="159" t="s">
        <v>64</v>
      </c>
      <c r="C3" s="158" t="s">
        <v>310</v>
      </c>
      <c r="D3" s="159" t="s">
        <v>64</v>
      </c>
      <c r="E3" s="159" t="s">
        <v>64</v>
      </c>
      <c r="F3" s="158" t="s">
        <v>752</v>
      </c>
      <c r="G3" s="158" t="s">
        <v>752</v>
      </c>
      <c r="H3" s="1" t="s">
        <v>487</v>
      </c>
      <c r="I3" s="159" t="s">
        <v>64</v>
      </c>
      <c r="J3" s="158" t="s">
        <v>241</v>
      </c>
      <c r="K3" s="82">
        <f ca="1">(TODAY() - DATE(2026,3,27)) / (DATE(2026,9,28) - DATE(2026,3,28))</f>
        <v>5.434782608695652E-3</v>
      </c>
    </row>
    <row r="4" spans="1:12" ht="15.75" customHeight="1">
      <c r="A4" s="158" t="s">
        <v>397</v>
      </c>
      <c r="B4" s="159" t="s">
        <v>60</v>
      </c>
      <c r="D4" s="159" t="s">
        <v>60</v>
      </c>
      <c r="E4" s="159" t="s">
        <v>60</v>
      </c>
      <c r="F4" s="158" t="s">
        <v>397</v>
      </c>
      <c r="G4" s="158" t="s">
        <v>397</v>
      </c>
      <c r="H4" s="158" t="s">
        <v>511</v>
      </c>
      <c r="I4" s="159" t="s">
        <v>60</v>
      </c>
      <c r="J4" s="158" t="s">
        <v>238</v>
      </c>
    </row>
    <row r="5" spans="1:12" ht="15.75" customHeight="1">
      <c r="A5" s="158" t="s">
        <v>753</v>
      </c>
      <c r="B5" s="159" t="s">
        <v>93</v>
      </c>
      <c r="D5" s="159" t="s">
        <v>93</v>
      </c>
      <c r="E5" s="159" t="s">
        <v>93</v>
      </c>
      <c r="F5" s="158" t="s">
        <v>753</v>
      </c>
      <c r="G5" s="158" t="s">
        <v>753</v>
      </c>
      <c r="H5" s="158" t="s">
        <v>451</v>
      </c>
      <c r="I5" s="159" t="s">
        <v>93</v>
      </c>
      <c r="J5" s="158" t="s">
        <v>754</v>
      </c>
    </row>
    <row r="6" spans="1:12" ht="15.75" customHeight="1">
      <c r="A6" s="158" t="s">
        <v>755</v>
      </c>
      <c r="B6" s="159" t="s">
        <v>76</v>
      </c>
      <c r="D6" s="159" t="s">
        <v>76</v>
      </c>
      <c r="E6" s="159" t="s">
        <v>76</v>
      </c>
      <c r="F6" s="158" t="s">
        <v>755</v>
      </c>
      <c r="G6" s="158" t="s">
        <v>755</v>
      </c>
      <c r="H6" s="1" t="s">
        <v>644</v>
      </c>
      <c r="I6" s="159" t="s">
        <v>76</v>
      </c>
      <c r="J6" s="158" t="s">
        <v>756</v>
      </c>
    </row>
    <row r="7" spans="1:12" ht="15.75" customHeight="1">
      <c r="A7" s="158" t="s">
        <v>757</v>
      </c>
      <c r="B7" s="159" t="s">
        <v>70</v>
      </c>
      <c r="D7" s="159" t="s">
        <v>70</v>
      </c>
      <c r="E7" s="159" t="s">
        <v>70</v>
      </c>
      <c r="F7" s="158" t="s">
        <v>757</v>
      </c>
      <c r="G7" s="158" t="s">
        <v>757</v>
      </c>
      <c r="H7" s="1" t="s">
        <v>519</v>
      </c>
      <c r="I7" s="159" t="s">
        <v>70</v>
      </c>
      <c r="J7" s="158" t="s">
        <v>758</v>
      </c>
    </row>
    <row r="8" spans="1:12" ht="15.75" customHeight="1">
      <c r="A8" s="158" t="s">
        <v>759</v>
      </c>
      <c r="B8" s="159" t="s">
        <v>53</v>
      </c>
      <c r="D8" s="159" t="s">
        <v>53</v>
      </c>
      <c r="E8" s="159" t="s">
        <v>53</v>
      </c>
      <c r="F8" s="158" t="s">
        <v>759</v>
      </c>
      <c r="G8" s="158" t="s">
        <v>759</v>
      </c>
      <c r="H8" s="1" t="s">
        <v>411</v>
      </c>
      <c r="I8" s="159" t="s">
        <v>53</v>
      </c>
      <c r="J8" s="158" t="s">
        <v>245</v>
      </c>
    </row>
    <row r="9" spans="1:12" ht="15.75" customHeight="1">
      <c r="A9" s="158" t="s">
        <v>760</v>
      </c>
      <c r="B9" s="159" t="s">
        <v>88</v>
      </c>
      <c r="D9" s="159" t="s">
        <v>88</v>
      </c>
      <c r="E9" s="159" t="s">
        <v>88</v>
      </c>
      <c r="F9" s="158" t="s">
        <v>760</v>
      </c>
      <c r="G9" s="158" t="s">
        <v>760</v>
      </c>
      <c r="H9" s="1" t="s">
        <v>433</v>
      </c>
      <c r="I9" s="159" t="s">
        <v>88</v>
      </c>
      <c r="J9" s="158" t="s">
        <v>248</v>
      </c>
    </row>
    <row r="10" spans="1:12" ht="15.75" customHeight="1">
      <c r="A10" s="158" t="s">
        <v>761</v>
      </c>
      <c r="B10" s="159" t="s">
        <v>66</v>
      </c>
      <c r="D10" s="159" t="s">
        <v>66</v>
      </c>
      <c r="E10" s="159" t="s">
        <v>66</v>
      </c>
      <c r="F10" s="158" t="s">
        <v>761</v>
      </c>
      <c r="G10" s="158" t="s">
        <v>762</v>
      </c>
      <c r="H10" s="1" t="s">
        <v>389</v>
      </c>
      <c r="I10" s="159" t="s">
        <v>66</v>
      </c>
      <c r="J10" s="158"/>
    </row>
    <row r="11" spans="1:12" ht="15.75" customHeight="1">
      <c r="A11" s="158" t="s">
        <v>763</v>
      </c>
      <c r="B11" s="159" t="s">
        <v>143</v>
      </c>
      <c r="D11" s="159" t="s">
        <v>143</v>
      </c>
      <c r="E11" s="159" t="s">
        <v>143</v>
      </c>
      <c r="F11" s="158" t="s">
        <v>763</v>
      </c>
      <c r="G11" s="158" t="s">
        <v>763</v>
      </c>
      <c r="H11" s="1" t="s">
        <v>646</v>
      </c>
      <c r="I11" s="159" t="s">
        <v>143</v>
      </c>
      <c r="J11" s="158"/>
    </row>
    <row r="12" spans="1:12" ht="15.75" customHeight="1">
      <c r="A12" s="158" t="s">
        <v>764</v>
      </c>
      <c r="B12" s="159" t="s">
        <v>126</v>
      </c>
      <c r="D12" s="1" t="s">
        <v>765</v>
      </c>
      <c r="E12" s="159" t="s">
        <v>126</v>
      </c>
      <c r="F12" s="158" t="s">
        <v>764</v>
      </c>
      <c r="G12" s="158" t="s">
        <v>764</v>
      </c>
      <c r="H12" s="1" t="s">
        <v>559</v>
      </c>
      <c r="I12" s="159" t="s">
        <v>126</v>
      </c>
      <c r="J12" s="158"/>
    </row>
    <row r="13" spans="1:12" ht="15.75" customHeight="1">
      <c r="A13" s="158" t="s">
        <v>766</v>
      </c>
      <c r="B13" s="159" t="s">
        <v>80</v>
      </c>
      <c r="D13" s="159" t="s">
        <v>80</v>
      </c>
      <c r="E13" s="159" t="s">
        <v>80</v>
      </c>
      <c r="F13" s="158" t="s">
        <v>766</v>
      </c>
      <c r="G13" s="158" t="s">
        <v>766</v>
      </c>
      <c r="H13" s="158" t="s">
        <v>723</v>
      </c>
      <c r="I13" s="159" t="s">
        <v>80</v>
      </c>
      <c r="J13" s="158"/>
    </row>
    <row r="14" spans="1:12" ht="15.75" customHeight="1">
      <c r="A14" s="158" t="s">
        <v>767</v>
      </c>
      <c r="B14" s="159" t="s">
        <v>137</v>
      </c>
      <c r="D14" s="159" t="s">
        <v>137</v>
      </c>
      <c r="E14" s="159" t="s">
        <v>137</v>
      </c>
      <c r="F14" s="158" t="s">
        <v>767</v>
      </c>
      <c r="G14" s="158" t="s">
        <v>767</v>
      </c>
      <c r="H14" s="1" t="s">
        <v>465</v>
      </c>
      <c r="I14" s="159" t="s">
        <v>137</v>
      </c>
      <c r="J14" s="158"/>
    </row>
    <row r="15" spans="1:12" ht="15.75" customHeight="1">
      <c r="A15" s="158" t="s">
        <v>768</v>
      </c>
      <c r="B15" s="159" t="s">
        <v>56</v>
      </c>
      <c r="D15" s="159" t="s">
        <v>56</v>
      </c>
      <c r="E15" s="159" t="s">
        <v>56</v>
      </c>
      <c r="F15" s="158" t="s">
        <v>768</v>
      </c>
      <c r="G15" s="158" t="s">
        <v>768</v>
      </c>
      <c r="H15" s="1" t="s">
        <v>447</v>
      </c>
      <c r="I15" s="159" t="s">
        <v>56</v>
      </c>
      <c r="J15" s="158"/>
    </row>
    <row r="16" spans="1:12" ht="15.75" customHeight="1">
      <c r="A16" s="158" t="s">
        <v>769</v>
      </c>
      <c r="B16" s="159" t="s">
        <v>91</v>
      </c>
      <c r="D16" s="159" t="s">
        <v>91</v>
      </c>
      <c r="E16" s="159" t="s">
        <v>91</v>
      </c>
      <c r="F16" s="158" t="s">
        <v>769</v>
      </c>
      <c r="G16" s="158" t="s">
        <v>769</v>
      </c>
      <c r="H16" s="158" t="s">
        <v>391</v>
      </c>
      <c r="I16" s="159" t="s">
        <v>91</v>
      </c>
      <c r="J16" s="158"/>
    </row>
    <row r="17" spans="1:10" ht="15.75" customHeight="1">
      <c r="A17" s="158" t="s">
        <v>770</v>
      </c>
      <c r="B17" s="159" t="s">
        <v>58</v>
      </c>
      <c r="D17" s="159" t="s">
        <v>771</v>
      </c>
      <c r="E17" s="159" t="s">
        <v>58</v>
      </c>
      <c r="F17" s="158" t="s">
        <v>770</v>
      </c>
      <c r="G17" s="158" t="s">
        <v>770</v>
      </c>
      <c r="H17" s="1" t="s">
        <v>413</v>
      </c>
      <c r="I17" s="159" t="s">
        <v>58</v>
      </c>
      <c r="J17" s="158"/>
    </row>
    <row r="18" spans="1:10" ht="15.75" customHeight="1">
      <c r="A18" s="158" t="s">
        <v>772</v>
      </c>
      <c r="B18" s="159" t="s">
        <v>72</v>
      </c>
      <c r="D18" s="159" t="s">
        <v>72</v>
      </c>
      <c r="E18" s="159" t="s">
        <v>72</v>
      </c>
      <c r="F18" s="158" t="s">
        <v>772</v>
      </c>
      <c r="G18" s="158" t="s">
        <v>772</v>
      </c>
      <c r="H18" s="158" t="s">
        <v>525</v>
      </c>
      <c r="I18" s="159" t="s">
        <v>72</v>
      </c>
      <c r="J18" s="158"/>
    </row>
    <row r="19" spans="1:10" ht="15.75" customHeight="1">
      <c r="A19" s="158" t="s">
        <v>773</v>
      </c>
      <c r="B19" s="159" t="s">
        <v>49</v>
      </c>
      <c r="D19" s="159" t="s">
        <v>774</v>
      </c>
      <c r="E19" s="159" t="s">
        <v>49</v>
      </c>
      <c r="F19" s="158" t="s">
        <v>773</v>
      </c>
      <c r="G19" s="158" t="s">
        <v>773</v>
      </c>
      <c r="H19" s="1" t="s">
        <v>436</v>
      </c>
      <c r="I19" s="159" t="s">
        <v>49</v>
      </c>
      <c r="J19" s="158"/>
    </row>
    <row r="20" spans="1:10" ht="15.75" customHeight="1">
      <c r="A20" s="158" t="s">
        <v>775</v>
      </c>
      <c r="B20" s="159" t="s">
        <v>68</v>
      </c>
      <c r="D20" s="159" t="s">
        <v>68</v>
      </c>
      <c r="E20" s="159" t="s">
        <v>68</v>
      </c>
      <c r="F20" s="158" t="s">
        <v>775</v>
      </c>
      <c r="G20" s="158" t="s">
        <v>775</v>
      </c>
      <c r="H20" s="1" t="s">
        <v>460</v>
      </c>
      <c r="I20" s="159" t="s">
        <v>68</v>
      </c>
      <c r="J20" s="158"/>
    </row>
    <row r="21" spans="1:10" ht="15.75" customHeight="1">
      <c r="A21" s="158" t="s">
        <v>776</v>
      </c>
      <c r="B21" s="159" t="s">
        <v>82</v>
      </c>
      <c r="D21" s="159" t="s">
        <v>82</v>
      </c>
      <c r="E21" s="159" t="s">
        <v>82</v>
      </c>
      <c r="F21" s="158" t="s">
        <v>776</v>
      </c>
      <c r="G21" s="158" t="s">
        <v>776</v>
      </c>
      <c r="H21" s="158" t="s">
        <v>409</v>
      </c>
      <c r="I21" s="159" t="s">
        <v>82</v>
      </c>
      <c r="J21" s="158"/>
    </row>
    <row r="22" spans="1:10" ht="15.75" customHeight="1">
      <c r="A22" s="158" t="s">
        <v>777</v>
      </c>
      <c r="B22" s="159" t="s">
        <v>86</v>
      </c>
      <c r="D22" s="159" t="s">
        <v>86</v>
      </c>
      <c r="E22" s="159" t="s">
        <v>86</v>
      </c>
      <c r="F22" s="158" t="s">
        <v>777</v>
      </c>
      <c r="G22" s="158" t="s">
        <v>777</v>
      </c>
      <c r="H22" s="1" t="s">
        <v>439</v>
      </c>
      <c r="I22" s="159" t="s">
        <v>86</v>
      </c>
      <c r="J22" s="158"/>
    </row>
    <row r="23" spans="1:10" ht="15.75" customHeight="1">
      <c r="A23" s="158" t="s">
        <v>778</v>
      </c>
      <c r="B23" s="159" t="s">
        <v>100</v>
      </c>
      <c r="D23" s="1" t="s">
        <v>779</v>
      </c>
      <c r="E23" s="159" t="s">
        <v>100</v>
      </c>
      <c r="F23" s="158" t="s">
        <v>778</v>
      </c>
      <c r="G23" s="158" t="s">
        <v>778</v>
      </c>
      <c r="H23" s="158" t="s">
        <v>458</v>
      </c>
      <c r="I23" s="159" t="s">
        <v>100</v>
      </c>
      <c r="J23" s="158"/>
    </row>
    <row r="24" spans="1:10" ht="15.75" customHeight="1">
      <c r="A24" s="158" t="s">
        <v>780</v>
      </c>
      <c r="B24" s="159" t="s">
        <v>51</v>
      </c>
      <c r="D24" s="159" t="s">
        <v>51</v>
      </c>
      <c r="E24" s="159" t="s">
        <v>51</v>
      </c>
      <c r="F24" s="158" t="s">
        <v>780</v>
      </c>
      <c r="G24" s="158" t="s">
        <v>780</v>
      </c>
      <c r="H24" s="1" t="s">
        <v>406</v>
      </c>
      <c r="I24" s="159" t="s">
        <v>51</v>
      </c>
      <c r="J24" s="158"/>
    </row>
    <row r="25" spans="1:10" ht="15.75" customHeight="1">
      <c r="A25" s="158" t="s">
        <v>781</v>
      </c>
      <c r="B25" s="159" t="s">
        <v>108</v>
      </c>
      <c r="D25" s="159" t="s">
        <v>108</v>
      </c>
      <c r="E25" s="159" t="s">
        <v>108</v>
      </c>
      <c r="F25" s="158" t="s">
        <v>781</v>
      </c>
      <c r="G25" s="158" t="s">
        <v>781</v>
      </c>
      <c r="H25" s="1" t="s">
        <v>445</v>
      </c>
      <c r="I25" s="159" t="s">
        <v>108</v>
      </c>
      <c r="J25" s="158"/>
    </row>
    <row r="26" spans="1:10" ht="15.75" customHeight="1">
      <c r="A26" s="158" t="s">
        <v>782</v>
      </c>
      <c r="B26" s="159" t="s">
        <v>36</v>
      </c>
      <c r="D26" s="159" t="s">
        <v>36</v>
      </c>
      <c r="E26" s="159" t="s">
        <v>36</v>
      </c>
      <c r="F26" s="158" t="s">
        <v>782</v>
      </c>
      <c r="G26" s="158" t="s">
        <v>782</v>
      </c>
      <c r="H26" s="1" t="s">
        <v>508</v>
      </c>
      <c r="I26" s="159" t="s">
        <v>36</v>
      </c>
    </row>
    <row r="27" spans="1:10" ht="15.75" customHeight="1">
      <c r="A27" s="158" t="s">
        <v>783</v>
      </c>
      <c r="B27" s="159" t="s">
        <v>46</v>
      </c>
      <c r="D27" s="159" t="s">
        <v>784</v>
      </c>
      <c r="E27" s="159" t="s">
        <v>46</v>
      </c>
      <c r="F27" s="158" t="s">
        <v>783</v>
      </c>
      <c r="G27" s="158" t="s">
        <v>783</v>
      </c>
      <c r="H27" s="158" t="s">
        <v>441</v>
      </c>
      <c r="I27" s="159" t="s">
        <v>46</v>
      </c>
      <c r="J27" s="158"/>
    </row>
    <row r="28" spans="1:10" ht="15.75" customHeight="1">
      <c r="A28" s="158" t="s">
        <v>785</v>
      </c>
      <c r="B28" s="159" t="s">
        <v>44</v>
      </c>
      <c r="D28" s="159" t="s">
        <v>44</v>
      </c>
      <c r="E28" s="159" t="s">
        <v>44</v>
      </c>
      <c r="F28" s="158" t="s">
        <v>785</v>
      </c>
      <c r="G28" s="158" t="s">
        <v>785</v>
      </c>
      <c r="H28" s="1" t="s">
        <v>471</v>
      </c>
      <c r="I28" s="159" t="s">
        <v>44</v>
      </c>
      <c r="J28" s="158"/>
    </row>
    <row r="29" spans="1:10" ht="15.75" customHeight="1">
      <c r="A29" s="158" t="s">
        <v>786</v>
      </c>
      <c r="B29" s="159" t="s">
        <v>132</v>
      </c>
      <c r="D29" s="159" t="s">
        <v>132</v>
      </c>
      <c r="E29" s="159" t="s">
        <v>132</v>
      </c>
      <c r="F29" s="158" t="s">
        <v>786</v>
      </c>
      <c r="G29" s="158" t="s">
        <v>786</v>
      </c>
      <c r="H29" s="1" t="s">
        <v>492</v>
      </c>
      <c r="I29" s="159" t="s">
        <v>132</v>
      </c>
      <c r="J29" s="158"/>
    </row>
    <row r="30" spans="1:10" ht="15.75" customHeight="1">
      <c r="A30" s="158" t="s">
        <v>787</v>
      </c>
      <c r="B30" s="159" t="s">
        <v>74</v>
      </c>
      <c r="D30" s="1" t="s">
        <v>74</v>
      </c>
      <c r="E30" s="159" t="s">
        <v>74</v>
      </c>
      <c r="F30" s="158" t="s">
        <v>787</v>
      </c>
      <c r="G30" s="158" t="s">
        <v>787</v>
      </c>
      <c r="H30" s="158" t="s">
        <v>454</v>
      </c>
      <c r="I30" s="159" t="s">
        <v>313</v>
      </c>
      <c r="J30" s="158"/>
    </row>
    <row r="31" spans="1:10" ht="15.75" customHeight="1">
      <c r="A31" s="158" t="s">
        <v>788</v>
      </c>
      <c r="B31" s="159" t="s">
        <v>42</v>
      </c>
      <c r="D31" s="1" t="s">
        <v>42</v>
      </c>
      <c r="E31" s="159" t="s">
        <v>42</v>
      </c>
      <c r="F31" s="158" t="s">
        <v>788</v>
      </c>
      <c r="G31" s="158" t="s">
        <v>788</v>
      </c>
      <c r="H31" s="1" t="s">
        <v>463</v>
      </c>
      <c r="I31" s="159" t="s">
        <v>42</v>
      </c>
    </row>
    <row r="32" spans="1:10" ht="15.75" customHeight="1">
      <c r="A32" s="158" t="s">
        <v>6</v>
      </c>
      <c r="H32" s="158"/>
      <c r="I32" s="373"/>
    </row>
    <row r="33" spans="8:9" ht="15.75" customHeight="1">
      <c r="H33" s="158"/>
      <c r="I33" s="373"/>
    </row>
    <row r="34" spans="8:9" ht="15.75" customHeight="1">
      <c r="H34" s="158"/>
      <c r="I34" s="373"/>
    </row>
    <row r="35" spans="8:9" ht="15.75" customHeight="1">
      <c r="H35" s="158"/>
      <c r="I35" s="373"/>
    </row>
    <row r="36" spans="8:9" ht="15.75" customHeight="1">
      <c r="H36" s="158"/>
      <c r="I36" s="373"/>
    </row>
    <row r="37" spans="8:9" ht="15.75" customHeight="1">
      <c r="H37" s="158"/>
      <c r="I37" s="373"/>
    </row>
  </sheetData>
  <hyperlinks>
    <hyperlink ref="J2" r:id="rId1" xr:uid="{00000000-0004-0000-2500-000000000000}"/>
  </hyperlinks>
  <pageMargins left="0.7" right="0.7" top="0.75" bottom="0.75" header="0" footer="0"/>
  <pageSetup orientation="landscape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D535"/>
  <sheetViews>
    <sheetView workbookViewId="0">
      <selection activeCell="G10" sqref="G10"/>
    </sheetView>
  </sheetViews>
  <sheetFormatPr defaultColWidth="12.5703125" defaultRowHeight="15" customHeight="1"/>
  <cols>
    <col min="1" max="2" width="12.5703125" style="372" customWidth="1"/>
    <col min="3" max="3" width="38" style="372" customWidth="1"/>
    <col min="4" max="13" width="12.5703125" style="372" customWidth="1"/>
    <col min="14" max="16384" width="12.5703125" style="372"/>
  </cols>
  <sheetData>
    <row r="1" spans="1:4" ht="15.75" customHeight="1">
      <c r="A1" s="372" t="s">
        <v>9</v>
      </c>
      <c r="B1" s="372" t="s">
        <v>789</v>
      </c>
      <c r="C1" s="372" t="s">
        <v>790</v>
      </c>
      <c r="D1" s="372" t="s">
        <v>791</v>
      </c>
    </row>
    <row r="2" spans="1:4" ht="15.75" customHeight="1">
      <c r="A2" s="372" t="s">
        <v>36</v>
      </c>
      <c r="B2" s="372">
        <v>241</v>
      </c>
      <c r="C2" s="372">
        <v>6.3817427389999999</v>
      </c>
      <c r="D2" s="372">
        <v>1.2658447660000001</v>
      </c>
    </row>
    <row r="3" spans="1:4" ht="15.75" customHeight="1">
      <c r="A3" s="372" t="s">
        <v>66</v>
      </c>
      <c r="B3" s="372">
        <v>241</v>
      </c>
      <c r="C3" s="372">
        <v>5.4813278009999999</v>
      </c>
      <c r="D3" s="372">
        <v>1.087243782</v>
      </c>
    </row>
    <row r="4" spans="1:4" ht="15.75" customHeight="1">
      <c r="A4" s="372" t="s">
        <v>40</v>
      </c>
      <c r="B4" s="372">
        <v>243</v>
      </c>
      <c r="C4" s="372">
        <v>5.3744855969999996</v>
      </c>
      <c r="D4" s="372">
        <v>1.0660511939999999</v>
      </c>
    </row>
    <row r="5" spans="1:4" ht="15.75" customHeight="1">
      <c r="A5" s="372" t="s">
        <v>72</v>
      </c>
      <c r="B5" s="372">
        <v>243</v>
      </c>
      <c r="C5" s="372">
        <v>5.3539094650000001</v>
      </c>
      <c r="D5" s="372">
        <v>1.0619698339999999</v>
      </c>
    </row>
    <row r="6" spans="1:4" ht="15.75" customHeight="1">
      <c r="A6" s="372" t="s">
        <v>108</v>
      </c>
      <c r="B6" s="372">
        <v>242</v>
      </c>
      <c r="C6" s="372">
        <v>5.3223140500000001</v>
      </c>
      <c r="D6" s="372">
        <v>1.0557027539999999</v>
      </c>
    </row>
    <row r="7" spans="1:4" ht="15.75" customHeight="1">
      <c r="A7" s="372" t="s">
        <v>58</v>
      </c>
      <c r="B7" s="372">
        <v>243</v>
      </c>
      <c r="C7" s="372">
        <v>5.3168724279999999</v>
      </c>
      <c r="D7" s="372">
        <v>1.0546233860000001</v>
      </c>
    </row>
    <row r="8" spans="1:4" ht="15.75" customHeight="1">
      <c r="A8" s="372" t="s">
        <v>76</v>
      </c>
      <c r="B8" s="372">
        <v>243</v>
      </c>
      <c r="C8" s="372">
        <v>5.2345679010000001</v>
      </c>
      <c r="D8" s="372">
        <v>1.038297947</v>
      </c>
    </row>
    <row r="9" spans="1:4" ht="15.75" customHeight="1">
      <c r="A9" s="372" t="s">
        <v>51</v>
      </c>
      <c r="B9" s="372">
        <v>243</v>
      </c>
      <c r="C9" s="372">
        <v>5.2263374489999999</v>
      </c>
      <c r="D9" s="372">
        <v>1.036665403</v>
      </c>
    </row>
    <row r="10" spans="1:4" ht="15.75" customHeight="1">
      <c r="A10" s="372" t="s">
        <v>143</v>
      </c>
      <c r="B10" s="372">
        <v>243</v>
      </c>
      <c r="C10" s="372">
        <v>5.2263374489999999</v>
      </c>
      <c r="D10" s="372">
        <v>1.036665403</v>
      </c>
    </row>
    <row r="11" spans="1:4" ht="15.75" customHeight="1">
      <c r="A11" s="372" t="s">
        <v>53</v>
      </c>
      <c r="B11" s="372">
        <v>243</v>
      </c>
      <c r="C11" s="372">
        <v>5.1893004119999997</v>
      </c>
      <c r="D11" s="372">
        <v>1.0293189549999999</v>
      </c>
    </row>
    <row r="12" spans="1:4" ht="15.75" customHeight="1">
      <c r="A12" s="372" t="s">
        <v>132</v>
      </c>
      <c r="B12" s="372">
        <v>243</v>
      </c>
      <c r="C12" s="372">
        <v>5.1769547329999996</v>
      </c>
      <c r="D12" s="372">
        <v>1.0268701389999999</v>
      </c>
    </row>
    <row r="13" spans="1:4" ht="15.75" customHeight="1">
      <c r="A13" s="372" t="s">
        <v>60</v>
      </c>
      <c r="B13" s="372">
        <v>240</v>
      </c>
      <c r="C13" s="372">
        <v>5.108333333</v>
      </c>
      <c r="D13" s="372">
        <v>1.0132588039999999</v>
      </c>
    </row>
    <row r="14" spans="1:4" ht="15.75" customHeight="1">
      <c r="A14" s="372" t="s">
        <v>68</v>
      </c>
      <c r="B14" s="372">
        <v>243</v>
      </c>
      <c r="C14" s="372">
        <v>5.0205761320000004</v>
      </c>
      <c r="D14" s="372">
        <v>0.99585180399999995</v>
      </c>
    </row>
    <row r="15" spans="1:4" ht="15.75" customHeight="1">
      <c r="A15" s="372" t="s">
        <v>88</v>
      </c>
      <c r="B15" s="372">
        <v>243</v>
      </c>
      <c r="C15" s="372">
        <v>5.0082304530000004</v>
      </c>
      <c r="D15" s="372">
        <v>0.99340298800000004</v>
      </c>
    </row>
    <row r="16" spans="1:4" ht="15.75" customHeight="1">
      <c r="A16" s="372" t="s">
        <v>70</v>
      </c>
      <c r="B16" s="372">
        <v>243</v>
      </c>
      <c r="C16" s="372">
        <v>4.9876543209999999</v>
      </c>
      <c r="D16" s="372">
        <v>0.98932162899999998</v>
      </c>
    </row>
    <row r="17" spans="1:4" ht="15.75" customHeight="1">
      <c r="A17" s="372" t="s">
        <v>56</v>
      </c>
      <c r="B17" s="372">
        <v>242</v>
      </c>
      <c r="C17" s="372">
        <v>4.9834710739999997</v>
      </c>
      <c r="D17" s="372">
        <v>0.988491864</v>
      </c>
    </row>
    <row r="18" spans="1:4" ht="15.75" customHeight="1">
      <c r="A18" s="372" t="s">
        <v>42</v>
      </c>
      <c r="B18" s="372">
        <v>243</v>
      </c>
      <c r="C18" s="372">
        <v>4.9794238679999996</v>
      </c>
      <c r="D18" s="372">
        <v>0.98768908499999997</v>
      </c>
    </row>
    <row r="19" spans="1:4" ht="15.75" customHeight="1">
      <c r="A19" s="372" t="s">
        <v>91</v>
      </c>
      <c r="B19" s="372">
        <v>243</v>
      </c>
      <c r="C19" s="372">
        <v>4.9629629629999998</v>
      </c>
      <c r="D19" s="372">
        <v>0.98442399700000005</v>
      </c>
    </row>
    <row r="20" spans="1:4" ht="15.75" customHeight="1">
      <c r="A20" s="372" t="s">
        <v>100</v>
      </c>
      <c r="B20" s="372">
        <v>243</v>
      </c>
      <c r="C20" s="372">
        <v>4.9382716049999997</v>
      </c>
      <c r="D20" s="372">
        <v>0.97952636500000001</v>
      </c>
    </row>
    <row r="21" spans="1:4" ht="15.75" customHeight="1">
      <c r="A21" s="372" t="s">
        <v>93</v>
      </c>
      <c r="B21" s="372">
        <v>243</v>
      </c>
      <c r="C21" s="372">
        <v>4.9012345679999996</v>
      </c>
      <c r="D21" s="372">
        <v>0.97217991699999995</v>
      </c>
    </row>
    <row r="22" spans="1:4" ht="15.75" customHeight="1">
      <c r="A22" s="372" t="s">
        <v>64</v>
      </c>
      <c r="B22" s="372">
        <v>242</v>
      </c>
      <c r="C22" s="372">
        <v>4.9008264459999999</v>
      </c>
      <c r="D22" s="372">
        <v>0.97209896500000004</v>
      </c>
    </row>
    <row r="23" spans="1:4" ht="15.75" customHeight="1">
      <c r="A23" s="372" t="s">
        <v>44</v>
      </c>
      <c r="B23" s="372">
        <v>243</v>
      </c>
      <c r="C23" s="372">
        <v>4.8847736629999998</v>
      </c>
      <c r="D23" s="372">
        <v>0.96891482900000003</v>
      </c>
    </row>
    <row r="24" spans="1:4" ht="15.75" customHeight="1">
      <c r="A24" s="372" t="s">
        <v>82</v>
      </c>
      <c r="B24" s="372">
        <v>243</v>
      </c>
      <c r="C24" s="372">
        <v>4.8641975310000003</v>
      </c>
      <c r="D24" s="372">
        <v>0.964833469</v>
      </c>
    </row>
    <row r="25" spans="1:4" ht="15.75" customHeight="1">
      <c r="A25" s="372" t="s">
        <v>49</v>
      </c>
      <c r="B25" s="372">
        <v>243</v>
      </c>
      <c r="C25" s="372">
        <v>4.8395061730000002</v>
      </c>
      <c r="D25" s="372">
        <v>0.95993583800000004</v>
      </c>
    </row>
    <row r="26" spans="1:4" ht="15.75" customHeight="1">
      <c r="A26" s="372" t="s">
        <v>86</v>
      </c>
      <c r="B26" s="372">
        <v>243</v>
      </c>
      <c r="C26" s="372">
        <v>4.790123457</v>
      </c>
      <c r="D26" s="372">
        <v>0.95014057399999996</v>
      </c>
    </row>
    <row r="27" spans="1:4" ht="15.75" customHeight="1">
      <c r="A27" s="372" t="s">
        <v>46</v>
      </c>
      <c r="B27" s="372">
        <v>243</v>
      </c>
      <c r="C27" s="372">
        <v>4.670781893</v>
      </c>
      <c r="D27" s="372">
        <v>0.92646868699999996</v>
      </c>
    </row>
    <row r="28" spans="1:4" ht="15.75" customHeight="1">
      <c r="A28" s="372" t="s">
        <v>80</v>
      </c>
      <c r="B28" s="372">
        <v>242</v>
      </c>
      <c r="C28" s="372">
        <v>4.6570247929999997</v>
      </c>
      <c r="D28" s="372">
        <v>0.92373991</v>
      </c>
    </row>
    <row r="29" spans="1:4" ht="15.75" customHeight="1">
      <c r="A29" s="372" t="s">
        <v>126</v>
      </c>
      <c r="B29" s="372">
        <v>243</v>
      </c>
      <c r="C29" s="372">
        <v>4.6419753090000002</v>
      </c>
      <c r="D29" s="372">
        <v>0.92075478300000002</v>
      </c>
    </row>
    <row r="30" spans="1:4" ht="15.75" customHeight="1">
      <c r="A30" s="372" t="s">
        <v>313</v>
      </c>
      <c r="B30" s="372">
        <v>243</v>
      </c>
      <c r="C30" s="372">
        <v>4.46090535</v>
      </c>
      <c r="D30" s="372">
        <v>0.88483881600000003</v>
      </c>
    </row>
    <row r="31" spans="1:4" ht="15.75" customHeight="1">
      <c r="A31" s="372" t="s">
        <v>137</v>
      </c>
      <c r="B31" s="372">
        <v>243</v>
      </c>
      <c r="C31" s="372">
        <v>4.3744855969999996</v>
      </c>
      <c r="D31" s="372">
        <v>0.86769710499999997</v>
      </c>
    </row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</sheetData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FFFF"/>
    <outlinePr summaryBelow="0" summaryRight="0"/>
  </sheetPr>
  <dimension ref="A1:X1153"/>
  <sheetViews>
    <sheetView workbookViewId="0"/>
  </sheetViews>
  <sheetFormatPr defaultColWidth="12.5703125" defaultRowHeight="15" customHeight="1"/>
  <cols>
    <col min="1" max="1" width="18.140625" customWidth="1"/>
    <col min="2" max="2" width="11.7109375" customWidth="1"/>
    <col min="3" max="3" width="5.140625" customWidth="1"/>
    <col min="4" max="4" width="11.7109375" customWidth="1"/>
    <col min="5" max="6" width="4.7109375" customWidth="1"/>
    <col min="7" max="8" width="6" customWidth="1"/>
    <col min="9" max="9" width="6.28515625" customWidth="1"/>
    <col min="10" max="10" width="12" customWidth="1"/>
    <col min="11" max="11" width="5.28515625" customWidth="1"/>
    <col min="12" max="12" width="11.42578125" customWidth="1"/>
    <col min="13" max="13" width="6" customWidth="1"/>
    <col min="14" max="14" width="4.7109375" customWidth="1"/>
    <col min="15" max="15" width="4.140625" customWidth="1"/>
    <col min="16" max="16" width="4.7109375" customWidth="1"/>
    <col min="17" max="17" width="4.42578125" customWidth="1"/>
    <col min="18" max="18" width="11.42578125" customWidth="1"/>
    <col min="19" max="19" width="4.7109375" customWidth="1"/>
    <col min="20" max="20" width="25.28515625" customWidth="1"/>
    <col min="21" max="21" width="11.42578125" customWidth="1"/>
    <col min="22" max="22" width="12" customWidth="1"/>
    <col min="23" max="23" width="10.140625" customWidth="1"/>
    <col min="24" max="24" width="5.42578125" customWidth="1"/>
  </cols>
  <sheetData>
    <row r="1" spans="1:24" ht="15.75" customHeight="1"/>
    <row r="2" spans="1:24" ht="15.75" customHeight="1">
      <c r="D2" s="161" t="s">
        <v>11</v>
      </c>
      <c r="F2" s="162"/>
      <c r="J2" s="161" t="s">
        <v>16</v>
      </c>
      <c r="L2" s="161" t="s">
        <v>17</v>
      </c>
      <c r="R2" s="161" t="s">
        <v>2</v>
      </c>
      <c r="U2" s="161" t="s">
        <v>25</v>
      </c>
      <c r="V2" s="161" t="s">
        <v>3</v>
      </c>
    </row>
    <row r="3" spans="1:24" ht="15.75" customHeight="1">
      <c r="B3" s="162" t="s">
        <v>4</v>
      </c>
      <c r="D3" s="163">
        <v>-0.211068383</v>
      </c>
      <c r="J3" s="163">
        <v>-13.77602602</v>
      </c>
      <c r="L3" s="163">
        <v>9.7672144339999996</v>
      </c>
      <c r="R3" s="163">
        <v>0.37161501299999999</v>
      </c>
      <c r="U3" s="163">
        <v>1.1480169469999999</v>
      </c>
      <c r="V3" s="163">
        <v>-0.87832257899999999</v>
      </c>
    </row>
    <row r="4" spans="1:24" ht="25.5" customHeight="1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</row>
    <row r="5" spans="1:24" ht="15.75" customHeight="1">
      <c r="A5" s="164" t="s">
        <v>7</v>
      </c>
      <c r="B5" s="165" t="s">
        <v>8</v>
      </c>
      <c r="C5" s="165" t="s">
        <v>9</v>
      </c>
      <c r="D5" s="166" t="s">
        <v>10</v>
      </c>
      <c r="E5" s="166" t="s">
        <v>11</v>
      </c>
      <c r="F5" s="166" t="s">
        <v>12</v>
      </c>
      <c r="G5" s="166" t="s">
        <v>13</v>
      </c>
      <c r="H5" s="167" t="s">
        <v>14</v>
      </c>
      <c r="I5" s="166" t="s">
        <v>15</v>
      </c>
      <c r="J5" s="166" t="s">
        <v>0</v>
      </c>
      <c r="K5" s="167" t="s">
        <v>16</v>
      </c>
      <c r="L5" s="166" t="s">
        <v>1</v>
      </c>
      <c r="M5" s="166" t="s">
        <v>17</v>
      </c>
      <c r="N5" s="166" t="s">
        <v>18</v>
      </c>
      <c r="O5" s="167" t="s">
        <v>19</v>
      </c>
      <c r="P5" s="166" t="s">
        <v>20</v>
      </c>
      <c r="Q5" s="166" t="s">
        <v>21</v>
      </c>
      <c r="R5" s="167" t="s">
        <v>22</v>
      </c>
      <c r="S5" s="166" t="s">
        <v>2</v>
      </c>
      <c r="T5" s="166" t="s">
        <v>23</v>
      </c>
      <c r="U5" s="167" t="s">
        <v>24</v>
      </c>
      <c r="V5" s="166" t="s">
        <v>25</v>
      </c>
      <c r="W5" s="168" t="s">
        <v>28</v>
      </c>
      <c r="X5" s="158" t="s">
        <v>29</v>
      </c>
    </row>
    <row r="6" spans="1:24" ht="15.75" customHeight="1">
      <c r="A6" s="169">
        <v>1</v>
      </c>
      <c r="B6" s="170" t="s">
        <v>792</v>
      </c>
      <c r="C6" s="170" t="s">
        <v>76</v>
      </c>
      <c r="D6" s="169">
        <v>5.68</v>
      </c>
      <c r="E6" s="169">
        <v>6.39</v>
      </c>
      <c r="F6" s="169">
        <v>0.89</v>
      </c>
      <c r="G6" s="169">
        <v>0</v>
      </c>
      <c r="H6" s="171">
        <v>0.16</v>
      </c>
      <c r="I6" s="172">
        <v>0.18</v>
      </c>
      <c r="J6" s="172">
        <v>-0.02</v>
      </c>
      <c r="K6" s="173">
        <v>0.17100000000000001</v>
      </c>
      <c r="L6" s="169">
        <v>1.26</v>
      </c>
      <c r="M6" s="169">
        <v>0.21199999999999999</v>
      </c>
      <c r="N6" s="172">
        <v>0.875</v>
      </c>
      <c r="O6" s="173">
        <v>34</v>
      </c>
      <c r="P6" s="169">
        <v>101</v>
      </c>
      <c r="Q6" s="169">
        <v>133</v>
      </c>
      <c r="R6" s="173">
        <v>1.42</v>
      </c>
      <c r="S6" s="169">
        <v>3.99</v>
      </c>
      <c r="T6" s="169">
        <v>-2.57</v>
      </c>
      <c r="U6" s="173">
        <v>5.44</v>
      </c>
      <c r="V6" s="174">
        <v>5.81</v>
      </c>
      <c r="W6" s="175">
        <f t="shared" ref="W6:W37" si="0">V6/$V$176</f>
        <v>1.6551750688148454</v>
      </c>
      <c r="X6" s="176">
        <f t="shared" ref="X6:X37" si="1">RANK(W6,$W$6:$W$175,1)</f>
        <v>148</v>
      </c>
    </row>
    <row r="7" spans="1:24" ht="15.75" customHeight="1">
      <c r="A7" s="169">
        <v>2</v>
      </c>
      <c r="B7" s="170" t="s">
        <v>793</v>
      </c>
      <c r="C7" s="170" t="s">
        <v>36</v>
      </c>
      <c r="D7" s="169">
        <v>5.4</v>
      </c>
      <c r="E7" s="169">
        <v>4.8</v>
      </c>
      <c r="F7" s="169">
        <v>1.1299999999999999</v>
      </c>
      <c r="G7" s="169">
        <v>0.6</v>
      </c>
      <c r="H7" s="171">
        <v>0.13800000000000001</v>
      </c>
      <c r="I7" s="172">
        <v>0.123</v>
      </c>
      <c r="J7" s="172">
        <v>1.4999999999999999E-2</v>
      </c>
      <c r="K7" s="173">
        <v>0.23200000000000001</v>
      </c>
      <c r="L7" s="169">
        <v>1.4</v>
      </c>
      <c r="M7" s="169">
        <v>0.26100000000000001</v>
      </c>
      <c r="N7" s="172">
        <v>0.77700000000000002</v>
      </c>
      <c r="O7" s="173">
        <v>76</v>
      </c>
      <c r="P7" s="169">
        <v>108</v>
      </c>
      <c r="Q7" s="169">
        <v>146</v>
      </c>
      <c r="R7" s="173">
        <v>3.6</v>
      </c>
      <c r="S7" s="169">
        <v>4.59</v>
      </c>
      <c r="T7" s="169">
        <v>-0.99</v>
      </c>
      <c r="U7" s="173">
        <v>5.98</v>
      </c>
      <c r="V7" s="174">
        <v>5.64</v>
      </c>
      <c r="W7" s="175">
        <f t="shared" si="0"/>
        <v>1.6067448172316228</v>
      </c>
      <c r="X7" s="176">
        <f t="shared" si="1"/>
        <v>147</v>
      </c>
    </row>
    <row r="8" spans="1:24" ht="15.75" customHeight="1">
      <c r="A8" s="169">
        <v>3</v>
      </c>
      <c r="B8" s="170" t="s">
        <v>794</v>
      </c>
      <c r="C8" s="170" t="s">
        <v>143</v>
      </c>
      <c r="D8" s="169">
        <v>5.1100000000000003</v>
      </c>
      <c r="E8" s="169">
        <v>5.1100000000000003</v>
      </c>
      <c r="F8" s="169">
        <v>1</v>
      </c>
      <c r="G8" s="169">
        <v>2.19</v>
      </c>
      <c r="H8" s="171">
        <v>0.13200000000000001</v>
      </c>
      <c r="I8" s="172">
        <v>0.13200000000000001</v>
      </c>
      <c r="J8" s="172">
        <v>0</v>
      </c>
      <c r="K8" s="173">
        <v>0.28299999999999997</v>
      </c>
      <c r="L8" s="169">
        <v>1.62</v>
      </c>
      <c r="M8" s="169">
        <v>0.27800000000000002</v>
      </c>
      <c r="N8" s="172">
        <v>0.75900000000000001</v>
      </c>
      <c r="O8" s="173">
        <v>143</v>
      </c>
      <c r="P8" s="169">
        <v>165</v>
      </c>
      <c r="Q8" s="169">
        <v>138</v>
      </c>
      <c r="R8" s="173">
        <v>5.84</v>
      </c>
      <c r="S8" s="169">
        <v>6.85</v>
      </c>
      <c r="T8" s="169">
        <v>-1.01</v>
      </c>
      <c r="U8" s="173">
        <v>5.64</v>
      </c>
      <c r="V8" s="174">
        <v>5.45</v>
      </c>
      <c r="W8" s="175">
        <f t="shared" si="0"/>
        <v>1.5526168889915506</v>
      </c>
      <c r="X8" s="176">
        <f t="shared" si="1"/>
        <v>146</v>
      </c>
    </row>
    <row r="9" spans="1:24" ht="15.75" customHeight="1">
      <c r="A9" s="169">
        <v>4</v>
      </c>
      <c r="B9" s="170" t="s">
        <v>795</v>
      </c>
      <c r="C9" s="170" t="s">
        <v>51</v>
      </c>
      <c r="D9" s="169">
        <v>5.4</v>
      </c>
      <c r="E9" s="169">
        <v>3.6</v>
      </c>
      <c r="F9" s="169">
        <v>1.5</v>
      </c>
      <c r="G9" s="169">
        <v>0.9</v>
      </c>
      <c r="H9" s="171">
        <v>0.14599999999999999</v>
      </c>
      <c r="I9" s="172">
        <v>9.8000000000000004E-2</v>
      </c>
      <c r="J9" s="172">
        <v>4.9000000000000002E-2</v>
      </c>
      <c r="K9" s="173">
        <v>0.189</v>
      </c>
      <c r="L9" s="169">
        <v>1.1000000000000001</v>
      </c>
      <c r="M9" s="169">
        <v>0.2</v>
      </c>
      <c r="N9" s="172">
        <v>0.52100000000000002</v>
      </c>
      <c r="O9" s="173">
        <v>108</v>
      </c>
      <c r="P9" s="169">
        <v>108</v>
      </c>
      <c r="Q9" s="169">
        <v>140</v>
      </c>
      <c r="R9" s="173">
        <v>4.5</v>
      </c>
      <c r="S9" s="169">
        <v>4.42</v>
      </c>
      <c r="T9" s="169">
        <v>0.08</v>
      </c>
      <c r="U9" s="173">
        <v>5.67</v>
      </c>
      <c r="V9" s="174">
        <v>5.34</v>
      </c>
      <c r="W9" s="175">
        <f t="shared" si="0"/>
        <v>1.5212796673788769</v>
      </c>
      <c r="X9" s="176">
        <f t="shared" si="1"/>
        <v>145</v>
      </c>
    </row>
    <row r="10" spans="1:24" ht="15.75" customHeight="1">
      <c r="A10" s="169">
        <v>5</v>
      </c>
      <c r="B10" s="170" t="s">
        <v>796</v>
      </c>
      <c r="C10" s="170" t="s">
        <v>108</v>
      </c>
      <c r="D10" s="169">
        <v>7.71</v>
      </c>
      <c r="E10" s="169">
        <v>6.94</v>
      </c>
      <c r="F10" s="169">
        <v>1.1100000000000001</v>
      </c>
      <c r="G10" s="169">
        <v>0.77</v>
      </c>
      <c r="H10" s="171">
        <v>0.192</v>
      </c>
      <c r="I10" s="172">
        <v>0.17299999999999999</v>
      </c>
      <c r="J10" s="172">
        <v>1.9E-2</v>
      </c>
      <c r="K10" s="173">
        <v>0.19</v>
      </c>
      <c r="L10" s="169">
        <v>1.46</v>
      </c>
      <c r="M10" s="169">
        <v>0.22600000000000001</v>
      </c>
      <c r="N10" s="172">
        <v>0.72299999999999998</v>
      </c>
      <c r="O10" s="173">
        <v>105</v>
      </c>
      <c r="P10" s="169">
        <v>118</v>
      </c>
      <c r="Q10" s="169">
        <v>139</v>
      </c>
      <c r="R10" s="173">
        <v>4.63</v>
      </c>
      <c r="S10" s="169">
        <v>5.09</v>
      </c>
      <c r="T10" s="169">
        <v>-0.46</v>
      </c>
      <c r="U10" s="173">
        <v>5.67</v>
      </c>
      <c r="V10" s="174">
        <v>5.3</v>
      </c>
      <c r="W10" s="175">
        <f t="shared" si="0"/>
        <v>1.5098843140651774</v>
      </c>
      <c r="X10" s="176">
        <f t="shared" si="1"/>
        <v>144</v>
      </c>
    </row>
    <row r="11" spans="1:24" ht="15.75" customHeight="1">
      <c r="A11" s="169">
        <v>6</v>
      </c>
      <c r="B11" s="170" t="s">
        <v>797</v>
      </c>
      <c r="C11" s="170" t="s">
        <v>74</v>
      </c>
      <c r="D11" s="169">
        <v>7.07</v>
      </c>
      <c r="E11" s="169">
        <v>6.43</v>
      </c>
      <c r="F11" s="169">
        <v>1.1000000000000001</v>
      </c>
      <c r="G11" s="169">
        <v>0.64</v>
      </c>
      <c r="H11" s="171">
        <v>0.17699999999999999</v>
      </c>
      <c r="I11" s="172">
        <v>0.161</v>
      </c>
      <c r="J11" s="172">
        <v>1.6E-2</v>
      </c>
      <c r="K11" s="173">
        <v>0.22</v>
      </c>
      <c r="L11" s="169">
        <v>1.5</v>
      </c>
      <c r="M11" s="169">
        <v>0.26300000000000001</v>
      </c>
      <c r="N11" s="172">
        <v>0.83299999999999996</v>
      </c>
      <c r="O11" s="173">
        <v>65</v>
      </c>
      <c r="P11" s="169">
        <v>120</v>
      </c>
      <c r="Q11" s="169">
        <v>142</v>
      </c>
      <c r="R11" s="173">
        <v>2.57</v>
      </c>
      <c r="S11" s="169">
        <v>5.05</v>
      </c>
      <c r="T11" s="169">
        <v>-2.48</v>
      </c>
      <c r="U11" s="173">
        <v>5.74</v>
      </c>
      <c r="V11" s="174">
        <v>5.28</v>
      </c>
      <c r="W11" s="175">
        <f t="shared" si="0"/>
        <v>1.5041866374083279</v>
      </c>
      <c r="X11" s="176">
        <f t="shared" si="1"/>
        <v>143</v>
      </c>
    </row>
    <row r="12" spans="1:24" ht="15.75" customHeight="1">
      <c r="A12" s="169">
        <v>7</v>
      </c>
      <c r="B12" s="170" t="s">
        <v>798</v>
      </c>
      <c r="C12" s="170" t="s">
        <v>56</v>
      </c>
      <c r="D12" s="169">
        <v>5.73</v>
      </c>
      <c r="E12" s="169">
        <v>4.91</v>
      </c>
      <c r="F12" s="169">
        <v>1.17</v>
      </c>
      <c r="G12" s="169">
        <v>2.4500000000000002</v>
      </c>
      <c r="H12" s="171">
        <v>0.13700000000000001</v>
      </c>
      <c r="I12" s="172">
        <v>0.11799999999999999</v>
      </c>
      <c r="J12" s="172">
        <v>0.02</v>
      </c>
      <c r="K12" s="173">
        <v>0.25</v>
      </c>
      <c r="L12" s="169">
        <v>1.55</v>
      </c>
      <c r="M12" s="169">
        <v>0.23499999999999999</v>
      </c>
      <c r="N12" s="172">
        <v>0.87</v>
      </c>
      <c r="O12" s="173">
        <v>115</v>
      </c>
      <c r="P12" s="169">
        <v>178</v>
      </c>
      <c r="Q12" s="169">
        <v>145</v>
      </c>
      <c r="R12" s="173">
        <v>4.91</v>
      </c>
      <c r="S12" s="169">
        <v>7.3</v>
      </c>
      <c r="T12" s="169">
        <v>-2.39</v>
      </c>
      <c r="U12" s="173">
        <v>5.94</v>
      </c>
      <c r="V12" s="174">
        <v>5.22</v>
      </c>
      <c r="W12" s="175">
        <f t="shared" si="0"/>
        <v>1.4870936074377785</v>
      </c>
      <c r="X12" s="176">
        <f t="shared" si="1"/>
        <v>142</v>
      </c>
    </row>
    <row r="13" spans="1:24" ht="15.75" customHeight="1">
      <c r="A13" s="169">
        <v>8</v>
      </c>
      <c r="B13" s="170" t="s">
        <v>799</v>
      </c>
      <c r="C13" s="170" t="s">
        <v>88</v>
      </c>
      <c r="D13" s="169">
        <v>6.3</v>
      </c>
      <c r="E13" s="169">
        <v>6.3</v>
      </c>
      <c r="F13" s="169">
        <v>1</v>
      </c>
      <c r="G13" s="169">
        <v>0.9</v>
      </c>
      <c r="H13" s="171">
        <v>0.17100000000000001</v>
      </c>
      <c r="I13" s="172">
        <v>0.17100000000000001</v>
      </c>
      <c r="J13" s="172">
        <v>0</v>
      </c>
      <c r="K13" s="173">
        <v>0.17599999999999999</v>
      </c>
      <c r="L13" s="169">
        <v>1.3</v>
      </c>
      <c r="M13" s="169">
        <v>0.192</v>
      </c>
      <c r="N13" s="172">
        <v>0.51700000000000002</v>
      </c>
      <c r="O13" s="173">
        <v>134</v>
      </c>
      <c r="P13" s="169">
        <v>128</v>
      </c>
      <c r="Q13" s="169">
        <v>115</v>
      </c>
      <c r="R13" s="173">
        <v>5.4</v>
      </c>
      <c r="S13" s="169">
        <v>5.12</v>
      </c>
      <c r="T13" s="169">
        <v>0.28000000000000003</v>
      </c>
      <c r="U13" s="173">
        <v>4.67</v>
      </c>
      <c r="V13" s="174">
        <v>5.16</v>
      </c>
      <c r="W13" s="175">
        <f t="shared" si="0"/>
        <v>1.4700005774672296</v>
      </c>
      <c r="X13" s="176">
        <f t="shared" si="1"/>
        <v>141</v>
      </c>
    </row>
    <row r="14" spans="1:24" ht="15.75" customHeight="1">
      <c r="A14" s="169">
        <v>9</v>
      </c>
      <c r="B14" s="170" t="s">
        <v>800</v>
      </c>
      <c r="C14" s="170" t="s">
        <v>80</v>
      </c>
      <c r="D14" s="169">
        <v>2.25</v>
      </c>
      <c r="E14" s="169">
        <v>0</v>
      </c>
      <c r="F14" s="169">
        <v>3</v>
      </c>
      <c r="G14" s="169">
        <v>0</v>
      </c>
      <c r="H14" s="171">
        <v>7.0999999999999994E-2</v>
      </c>
      <c r="I14" s="172">
        <v>0</v>
      </c>
      <c r="J14" s="172">
        <v>7.0999999999999994E-2</v>
      </c>
      <c r="K14" s="173">
        <v>0.19</v>
      </c>
      <c r="L14" s="169">
        <v>0.67</v>
      </c>
      <c r="M14" s="169">
        <v>0.20499999999999999</v>
      </c>
      <c r="N14" s="172">
        <v>0.625</v>
      </c>
      <c r="O14" s="173">
        <v>38</v>
      </c>
      <c r="P14" s="169">
        <v>64</v>
      </c>
      <c r="Q14" s="169">
        <v>120</v>
      </c>
      <c r="R14" s="173">
        <v>1.5</v>
      </c>
      <c r="S14" s="169">
        <v>2.62</v>
      </c>
      <c r="T14" s="169">
        <v>-1.1200000000000001</v>
      </c>
      <c r="U14" s="173">
        <v>4.8600000000000003</v>
      </c>
      <c r="V14" s="174">
        <v>5.14</v>
      </c>
      <c r="W14" s="175">
        <f t="shared" si="0"/>
        <v>1.4643029008103796</v>
      </c>
      <c r="X14" s="176">
        <f t="shared" si="1"/>
        <v>140</v>
      </c>
    </row>
    <row r="15" spans="1:24" ht="15.75" customHeight="1">
      <c r="A15" s="169">
        <v>10</v>
      </c>
      <c r="B15" s="170" t="s">
        <v>801</v>
      </c>
      <c r="C15" s="170" t="s">
        <v>70</v>
      </c>
      <c r="D15" s="169">
        <v>7.2</v>
      </c>
      <c r="E15" s="169">
        <v>6</v>
      </c>
      <c r="F15" s="169">
        <v>1.2</v>
      </c>
      <c r="G15" s="169">
        <v>0.6</v>
      </c>
      <c r="H15" s="171">
        <v>0.188</v>
      </c>
      <c r="I15" s="172">
        <v>0.156</v>
      </c>
      <c r="J15" s="172">
        <v>3.1E-2</v>
      </c>
      <c r="K15" s="173">
        <v>0.16700000000000001</v>
      </c>
      <c r="L15" s="169">
        <v>1.27</v>
      </c>
      <c r="M15" s="169">
        <v>0.19500000000000001</v>
      </c>
      <c r="N15" s="172">
        <v>0.79500000000000004</v>
      </c>
      <c r="O15" s="173">
        <v>43</v>
      </c>
      <c r="P15" s="169">
        <v>107</v>
      </c>
      <c r="Q15" s="169">
        <v>128</v>
      </c>
      <c r="R15" s="173">
        <v>1.8</v>
      </c>
      <c r="S15" s="169">
        <v>4.3899999999999997</v>
      </c>
      <c r="T15" s="169">
        <v>-2.59</v>
      </c>
      <c r="U15" s="173">
        <v>5.22</v>
      </c>
      <c r="V15" s="174">
        <v>5.09</v>
      </c>
      <c r="W15" s="175">
        <f t="shared" si="0"/>
        <v>1.4500587091682553</v>
      </c>
      <c r="X15" s="176">
        <f t="shared" si="1"/>
        <v>138</v>
      </c>
    </row>
    <row r="16" spans="1:24" ht="15.75" customHeight="1">
      <c r="A16" s="169">
        <v>11</v>
      </c>
      <c r="B16" s="170" t="s">
        <v>802</v>
      </c>
      <c r="C16" s="170" t="s">
        <v>42</v>
      </c>
      <c r="D16" s="169">
        <v>11.32</v>
      </c>
      <c r="E16" s="169">
        <v>8.7100000000000009</v>
      </c>
      <c r="F16" s="169">
        <v>1.3</v>
      </c>
      <c r="G16" s="169">
        <v>0</v>
      </c>
      <c r="H16" s="171">
        <v>0.31</v>
      </c>
      <c r="I16" s="172">
        <v>0.23799999999999999</v>
      </c>
      <c r="J16" s="172">
        <v>7.0999999999999994E-2</v>
      </c>
      <c r="K16" s="173">
        <v>9.4E-2</v>
      </c>
      <c r="L16" s="169">
        <v>1.26</v>
      </c>
      <c r="M16" s="169">
        <v>0.158</v>
      </c>
      <c r="N16" s="172">
        <v>0.46200000000000002</v>
      </c>
      <c r="O16" s="173">
        <v>154</v>
      </c>
      <c r="P16" s="169">
        <v>83</v>
      </c>
      <c r="Q16" s="169">
        <v>106</v>
      </c>
      <c r="R16" s="173">
        <v>6.1</v>
      </c>
      <c r="S16" s="169">
        <v>3.51</v>
      </c>
      <c r="T16" s="169">
        <v>2.59</v>
      </c>
      <c r="U16" s="173">
        <v>4.33</v>
      </c>
      <c r="V16" s="174">
        <v>5.09</v>
      </c>
      <c r="W16" s="175">
        <f t="shared" si="0"/>
        <v>1.4500587091682553</v>
      </c>
      <c r="X16" s="176">
        <f t="shared" si="1"/>
        <v>138</v>
      </c>
    </row>
    <row r="17" spans="1:24" ht="15.75" customHeight="1">
      <c r="A17" s="169">
        <v>12</v>
      </c>
      <c r="B17" s="170" t="s">
        <v>803</v>
      </c>
      <c r="C17" s="170" t="s">
        <v>64</v>
      </c>
      <c r="D17" s="169">
        <v>8.49</v>
      </c>
      <c r="E17" s="169">
        <v>6.94</v>
      </c>
      <c r="F17" s="169">
        <v>1.22</v>
      </c>
      <c r="G17" s="169">
        <v>0.77</v>
      </c>
      <c r="H17" s="171">
        <v>0.21199999999999999</v>
      </c>
      <c r="I17" s="172">
        <v>0.17299999999999999</v>
      </c>
      <c r="J17" s="172">
        <v>3.7999999999999999E-2</v>
      </c>
      <c r="K17" s="173">
        <v>0.20899999999999999</v>
      </c>
      <c r="L17" s="169">
        <v>1.54</v>
      </c>
      <c r="M17" s="169">
        <v>0.25800000000000001</v>
      </c>
      <c r="N17" s="172">
        <v>0.66300000000000003</v>
      </c>
      <c r="O17" s="173">
        <v>138</v>
      </c>
      <c r="P17" s="169">
        <v>116</v>
      </c>
      <c r="Q17" s="169">
        <v>126</v>
      </c>
      <c r="R17" s="173">
        <v>5.4</v>
      </c>
      <c r="S17" s="169">
        <v>4.66</v>
      </c>
      <c r="T17" s="169">
        <v>0.74</v>
      </c>
      <c r="U17" s="173">
        <v>5.12</v>
      </c>
      <c r="V17" s="174">
        <v>5.07</v>
      </c>
      <c r="W17" s="175">
        <f t="shared" si="0"/>
        <v>1.4443610325114058</v>
      </c>
      <c r="X17" s="176">
        <f t="shared" si="1"/>
        <v>137</v>
      </c>
    </row>
    <row r="18" spans="1:24" ht="15.75" customHeight="1">
      <c r="A18" s="169">
        <v>13</v>
      </c>
      <c r="B18" s="170" t="s">
        <v>804</v>
      </c>
      <c r="C18" s="170" t="s">
        <v>68</v>
      </c>
      <c r="D18" s="169">
        <v>7.43</v>
      </c>
      <c r="E18" s="169">
        <v>4.7300000000000004</v>
      </c>
      <c r="F18" s="169">
        <v>1.57</v>
      </c>
      <c r="G18" s="169">
        <v>1.35</v>
      </c>
      <c r="H18" s="171">
        <v>0.17199999999999999</v>
      </c>
      <c r="I18" s="172">
        <v>0.109</v>
      </c>
      <c r="J18" s="172">
        <v>6.3E-2</v>
      </c>
      <c r="K18" s="173">
        <v>0.255</v>
      </c>
      <c r="L18" s="169">
        <v>1.58</v>
      </c>
      <c r="M18" s="169">
        <v>0.28599999999999998</v>
      </c>
      <c r="N18" s="172">
        <v>0.74299999999999999</v>
      </c>
      <c r="O18" s="173">
        <v>129</v>
      </c>
      <c r="P18" s="169">
        <v>130</v>
      </c>
      <c r="Q18" s="169">
        <v>150</v>
      </c>
      <c r="R18" s="173">
        <v>5.4</v>
      </c>
      <c r="S18" s="169">
        <v>5.44</v>
      </c>
      <c r="T18" s="169">
        <v>-0.04</v>
      </c>
      <c r="U18" s="173">
        <v>6.15</v>
      </c>
      <c r="V18" s="174">
        <v>5.04</v>
      </c>
      <c r="W18" s="175">
        <f t="shared" si="0"/>
        <v>1.4358145175261312</v>
      </c>
      <c r="X18" s="176">
        <f t="shared" si="1"/>
        <v>136</v>
      </c>
    </row>
    <row r="19" spans="1:24" ht="15.75" customHeight="1">
      <c r="A19" s="169">
        <v>14</v>
      </c>
      <c r="B19" s="170" t="s">
        <v>805</v>
      </c>
      <c r="C19" s="170" t="s">
        <v>137</v>
      </c>
      <c r="D19" s="169">
        <v>6.1</v>
      </c>
      <c r="E19" s="169">
        <v>5.23</v>
      </c>
      <c r="F19" s="169">
        <v>1.17</v>
      </c>
      <c r="G19" s="169">
        <v>0.87</v>
      </c>
      <c r="H19" s="171">
        <v>0.14299999999999999</v>
      </c>
      <c r="I19" s="172">
        <v>0.122</v>
      </c>
      <c r="J19" s="172">
        <v>0.02</v>
      </c>
      <c r="K19" s="173">
        <v>0.32600000000000001</v>
      </c>
      <c r="L19" s="169">
        <v>1.94</v>
      </c>
      <c r="M19" s="169">
        <v>0.371</v>
      </c>
      <c r="N19" s="172">
        <v>0.80600000000000005</v>
      </c>
      <c r="O19" s="173">
        <v>117</v>
      </c>
      <c r="P19" s="169">
        <v>122</v>
      </c>
      <c r="Q19" s="169">
        <v>134</v>
      </c>
      <c r="R19" s="173">
        <v>4.3499999999999996</v>
      </c>
      <c r="S19" s="169">
        <v>4.76</v>
      </c>
      <c r="T19" s="169">
        <v>-0.41</v>
      </c>
      <c r="U19" s="173">
        <v>5.42</v>
      </c>
      <c r="V19" s="174">
        <v>5.01</v>
      </c>
      <c r="W19" s="175">
        <f t="shared" si="0"/>
        <v>1.4272680025408564</v>
      </c>
      <c r="X19" s="176">
        <f t="shared" si="1"/>
        <v>135</v>
      </c>
    </row>
    <row r="20" spans="1:24" ht="15.75" customHeight="1">
      <c r="A20" s="169">
        <v>15</v>
      </c>
      <c r="B20" s="170" t="s">
        <v>806</v>
      </c>
      <c r="C20" s="170" t="s">
        <v>40</v>
      </c>
      <c r="D20" s="169">
        <v>5.91</v>
      </c>
      <c r="E20" s="169">
        <v>4.22</v>
      </c>
      <c r="F20" s="169">
        <v>1.4</v>
      </c>
      <c r="G20" s="169">
        <v>1.69</v>
      </c>
      <c r="H20" s="171">
        <v>0.152</v>
      </c>
      <c r="I20" s="172">
        <v>0.109</v>
      </c>
      <c r="J20" s="172">
        <v>4.2999999999999997E-2</v>
      </c>
      <c r="K20" s="173">
        <v>0.26800000000000002</v>
      </c>
      <c r="L20" s="169">
        <v>1.5</v>
      </c>
      <c r="M20" s="169">
        <v>0.28100000000000003</v>
      </c>
      <c r="N20" s="172">
        <v>0.83299999999999996</v>
      </c>
      <c r="O20" s="173">
        <v>105</v>
      </c>
      <c r="P20" s="169">
        <v>136</v>
      </c>
      <c r="Q20" s="169">
        <v>132</v>
      </c>
      <c r="R20" s="173">
        <v>4.22</v>
      </c>
      <c r="S20" s="169">
        <v>5.65</v>
      </c>
      <c r="T20" s="169">
        <v>-1.43</v>
      </c>
      <c r="U20" s="173">
        <v>5.33</v>
      </c>
      <c r="V20" s="174">
        <v>4.91</v>
      </c>
      <c r="W20" s="175">
        <f t="shared" si="0"/>
        <v>1.398779619256608</v>
      </c>
      <c r="X20" s="176">
        <f t="shared" si="1"/>
        <v>134</v>
      </c>
    </row>
    <row r="21" spans="1:24" ht="15.75" customHeight="1">
      <c r="A21" s="169">
        <v>16</v>
      </c>
      <c r="B21" s="170" t="s">
        <v>807</v>
      </c>
      <c r="C21" s="170" t="s">
        <v>132</v>
      </c>
      <c r="D21" s="169">
        <v>5.0599999999999996</v>
      </c>
      <c r="E21" s="169">
        <v>4.22</v>
      </c>
      <c r="F21" s="169">
        <v>1.2</v>
      </c>
      <c r="G21" s="169">
        <v>0.84</v>
      </c>
      <c r="H21" s="171">
        <v>0.13600000000000001</v>
      </c>
      <c r="I21" s="172">
        <v>0.114</v>
      </c>
      <c r="J21" s="172">
        <v>2.3E-2</v>
      </c>
      <c r="K21" s="173">
        <v>0.25600000000000001</v>
      </c>
      <c r="L21" s="169">
        <v>1.41</v>
      </c>
      <c r="M21" s="169">
        <v>0.28100000000000003</v>
      </c>
      <c r="N21" s="172">
        <v>0.88200000000000001</v>
      </c>
      <c r="O21" s="173">
        <v>64</v>
      </c>
      <c r="P21" s="169">
        <v>114</v>
      </c>
      <c r="Q21" s="169">
        <v>120</v>
      </c>
      <c r="R21" s="173">
        <v>2.5299999999999998</v>
      </c>
      <c r="S21" s="169">
        <v>4.62</v>
      </c>
      <c r="T21" s="169">
        <v>-2.09</v>
      </c>
      <c r="U21" s="173">
        <v>4.8600000000000003</v>
      </c>
      <c r="V21" s="174">
        <v>4.8899999999999997</v>
      </c>
      <c r="W21" s="175">
        <f t="shared" si="0"/>
        <v>1.393081942599758</v>
      </c>
      <c r="X21" s="176">
        <f t="shared" si="1"/>
        <v>133</v>
      </c>
    </row>
    <row r="22" spans="1:24" ht="15.75" customHeight="1">
      <c r="A22" s="169">
        <v>17</v>
      </c>
      <c r="B22" s="170" t="s">
        <v>808</v>
      </c>
      <c r="C22" s="170" t="s">
        <v>56</v>
      </c>
      <c r="D22" s="169">
        <v>10.5</v>
      </c>
      <c r="E22" s="169">
        <v>7.5</v>
      </c>
      <c r="F22" s="169">
        <v>1.4</v>
      </c>
      <c r="G22" s="169">
        <v>0</v>
      </c>
      <c r="H22" s="171">
        <v>0.255</v>
      </c>
      <c r="I22" s="172">
        <v>0.182</v>
      </c>
      <c r="J22" s="172">
        <v>7.2999999999999995E-2</v>
      </c>
      <c r="K22" s="173">
        <v>0.222</v>
      </c>
      <c r="L22" s="169">
        <v>1.67</v>
      </c>
      <c r="M22" s="169">
        <v>0.32300000000000001</v>
      </c>
      <c r="N22" s="172">
        <v>0.55000000000000004</v>
      </c>
      <c r="O22" s="173">
        <v>158</v>
      </c>
      <c r="P22" s="169">
        <v>82</v>
      </c>
      <c r="Q22" s="169">
        <v>127</v>
      </c>
      <c r="R22" s="173">
        <v>6.75</v>
      </c>
      <c r="S22" s="169">
        <v>3.29</v>
      </c>
      <c r="T22" s="169">
        <v>3.46</v>
      </c>
      <c r="U22" s="173">
        <v>5.17</v>
      </c>
      <c r="V22" s="174">
        <v>4.79</v>
      </c>
      <c r="W22" s="175">
        <f t="shared" si="0"/>
        <v>1.3645935593155096</v>
      </c>
      <c r="X22" s="176">
        <f t="shared" si="1"/>
        <v>132</v>
      </c>
    </row>
    <row r="23" spans="1:24" ht="15.75" customHeight="1">
      <c r="A23" s="169">
        <v>18</v>
      </c>
      <c r="B23" s="170" t="s">
        <v>809</v>
      </c>
      <c r="C23" s="170" t="s">
        <v>100</v>
      </c>
      <c r="D23" s="169">
        <v>7.2</v>
      </c>
      <c r="E23" s="169">
        <v>4.5</v>
      </c>
      <c r="F23" s="169">
        <v>1.6</v>
      </c>
      <c r="G23" s="169">
        <v>2.7</v>
      </c>
      <c r="H23" s="171">
        <v>0.186</v>
      </c>
      <c r="I23" s="172">
        <v>0.11600000000000001</v>
      </c>
      <c r="J23" s="172">
        <v>7.0000000000000007E-2</v>
      </c>
      <c r="K23" s="173">
        <v>0.23699999999999999</v>
      </c>
      <c r="L23" s="169">
        <v>1.4</v>
      </c>
      <c r="M23" s="169">
        <v>0.222</v>
      </c>
      <c r="N23" s="172">
        <v>1</v>
      </c>
      <c r="O23" s="173">
        <v>71</v>
      </c>
      <c r="P23" s="169">
        <v>177</v>
      </c>
      <c r="Q23" s="169">
        <v>130</v>
      </c>
      <c r="R23" s="173">
        <v>2.7</v>
      </c>
      <c r="S23" s="169">
        <v>6.92</v>
      </c>
      <c r="T23" s="169">
        <v>-4.22</v>
      </c>
      <c r="U23" s="173">
        <v>5.28</v>
      </c>
      <c r="V23" s="174">
        <v>4.78</v>
      </c>
      <c r="W23" s="175">
        <f t="shared" si="0"/>
        <v>1.3617447209870848</v>
      </c>
      <c r="X23" s="176">
        <f t="shared" si="1"/>
        <v>131</v>
      </c>
    </row>
    <row r="24" spans="1:24" ht="15.75" customHeight="1">
      <c r="A24" s="169">
        <v>19</v>
      </c>
      <c r="B24" s="170" t="s">
        <v>810</v>
      </c>
      <c r="C24" s="170" t="s">
        <v>58</v>
      </c>
      <c r="D24" s="169">
        <v>4.5</v>
      </c>
      <c r="E24" s="169">
        <v>3</v>
      </c>
      <c r="F24" s="169">
        <v>1.5</v>
      </c>
      <c r="G24" s="169">
        <v>0.75</v>
      </c>
      <c r="H24" s="171">
        <v>0.11799999999999999</v>
      </c>
      <c r="I24" s="172">
        <v>7.8E-2</v>
      </c>
      <c r="J24" s="172">
        <v>3.9E-2</v>
      </c>
      <c r="K24" s="173">
        <v>0.26100000000000001</v>
      </c>
      <c r="L24" s="169">
        <v>1.33</v>
      </c>
      <c r="M24" s="169">
        <v>0.28199999999999997</v>
      </c>
      <c r="N24" s="172">
        <v>0.32100000000000001</v>
      </c>
      <c r="O24" s="173">
        <v>218</v>
      </c>
      <c r="P24" s="169">
        <v>109</v>
      </c>
      <c r="Q24" s="169">
        <v>120</v>
      </c>
      <c r="R24" s="173">
        <v>9</v>
      </c>
      <c r="S24" s="169">
        <v>4.45</v>
      </c>
      <c r="T24" s="169">
        <v>4.55</v>
      </c>
      <c r="U24" s="173">
        <v>4.9000000000000004</v>
      </c>
      <c r="V24" s="174">
        <v>4.75</v>
      </c>
      <c r="W24" s="175">
        <f t="shared" si="0"/>
        <v>1.3531982060018102</v>
      </c>
      <c r="X24" s="176">
        <f t="shared" si="1"/>
        <v>129</v>
      </c>
    </row>
    <row r="25" spans="1:24" ht="15.75" customHeight="1">
      <c r="A25" s="169">
        <v>20</v>
      </c>
      <c r="B25" s="170" t="s">
        <v>811</v>
      </c>
      <c r="C25" s="170" t="s">
        <v>60</v>
      </c>
      <c r="D25" s="169">
        <v>8.18</v>
      </c>
      <c r="E25" s="169">
        <v>5.73</v>
      </c>
      <c r="F25" s="169">
        <v>1.43</v>
      </c>
      <c r="G25" s="169">
        <v>0</v>
      </c>
      <c r="H25" s="171">
        <v>0.23300000000000001</v>
      </c>
      <c r="I25" s="172">
        <v>0.16300000000000001</v>
      </c>
      <c r="J25" s="172">
        <v>7.0000000000000007E-2</v>
      </c>
      <c r="K25" s="173">
        <v>5.7000000000000002E-2</v>
      </c>
      <c r="L25" s="169">
        <v>0.82</v>
      </c>
      <c r="M25" s="169">
        <v>0.08</v>
      </c>
      <c r="N25" s="172">
        <v>0.6</v>
      </c>
      <c r="O25" s="173">
        <v>62</v>
      </c>
      <c r="P25" s="169">
        <v>85</v>
      </c>
      <c r="Q25" s="169">
        <v>130</v>
      </c>
      <c r="R25" s="173">
        <v>2.4500000000000002</v>
      </c>
      <c r="S25" s="169">
        <v>3.48</v>
      </c>
      <c r="T25" s="169">
        <v>-1.03</v>
      </c>
      <c r="U25" s="173">
        <v>5.28</v>
      </c>
      <c r="V25" s="174">
        <v>4.75</v>
      </c>
      <c r="W25" s="175">
        <f t="shared" si="0"/>
        <v>1.3531982060018102</v>
      </c>
      <c r="X25" s="176">
        <f t="shared" si="1"/>
        <v>129</v>
      </c>
    </row>
    <row r="26" spans="1:24" ht="15.75" customHeight="1">
      <c r="A26" s="169">
        <v>21</v>
      </c>
      <c r="B26" s="170" t="s">
        <v>812</v>
      </c>
      <c r="C26" s="170" t="s">
        <v>46</v>
      </c>
      <c r="D26" s="169">
        <v>3.09</v>
      </c>
      <c r="E26" s="169">
        <v>1.54</v>
      </c>
      <c r="F26" s="169">
        <v>2</v>
      </c>
      <c r="G26" s="169">
        <v>0.77</v>
      </c>
      <c r="H26" s="171">
        <v>8.5000000000000006E-2</v>
      </c>
      <c r="I26" s="172">
        <v>4.2999999999999997E-2</v>
      </c>
      <c r="J26" s="172">
        <v>4.2999999999999997E-2</v>
      </c>
      <c r="K26" s="173">
        <v>0.25</v>
      </c>
      <c r="L26" s="169">
        <v>1.1100000000000001</v>
      </c>
      <c r="M26" s="169">
        <v>0.25600000000000001</v>
      </c>
      <c r="N26" s="172">
        <v>0.873</v>
      </c>
      <c r="O26" s="173">
        <v>37</v>
      </c>
      <c r="P26" s="169">
        <v>106</v>
      </c>
      <c r="Q26" s="169">
        <v>124</v>
      </c>
      <c r="R26" s="173">
        <v>1.54</v>
      </c>
      <c r="S26" s="169">
        <v>4.32</v>
      </c>
      <c r="T26" s="169">
        <v>-2.78</v>
      </c>
      <c r="U26" s="173">
        <v>5.0199999999999996</v>
      </c>
      <c r="V26" s="174">
        <v>4.74</v>
      </c>
      <c r="W26" s="175">
        <f t="shared" si="0"/>
        <v>1.3503493676733853</v>
      </c>
      <c r="X26" s="176">
        <f t="shared" si="1"/>
        <v>128</v>
      </c>
    </row>
    <row r="27" spans="1:24" ht="15.75" customHeight="1">
      <c r="A27" s="169">
        <v>22</v>
      </c>
      <c r="B27" s="170" t="s">
        <v>113</v>
      </c>
      <c r="C27" s="170" t="s">
        <v>86</v>
      </c>
      <c r="D27" s="169">
        <v>6.55</v>
      </c>
      <c r="E27" s="169">
        <v>4.09</v>
      </c>
      <c r="F27" s="169">
        <v>1.6</v>
      </c>
      <c r="G27" s="169">
        <v>1.64</v>
      </c>
      <c r="H27" s="171">
        <v>0.16700000000000001</v>
      </c>
      <c r="I27" s="172">
        <v>0.104</v>
      </c>
      <c r="J27" s="172">
        <v>6.3E-2</v>
      </c>
      <c r="K27" s="173">
        <v>0.25600000000000001</v>
      </c>
      <c r="L27" s="169">
        <v>1.45</v>
      </c>
      <c r="M27" s="169">
        <v>0.27300000000000002</v>
      </c>
      <c r="N27" s="172">
        <v>0.83299999999999996</v>
      </c>
      <c r="O27" s="173">
        <v>103</v>
      </c>
      <c r="P27" s="169">
        <v>131</v>
      </c>
      <c r="Q27" s="169">
        <v>129</v>
      </c>
      <c r="R27" s="173">
        <v>4.09</v>
      </c>
      <c r="S27" s="169">
        <v>5.39</v>
      </c>
      <c r="T27" s="169">
        <v>-1.3</v>
      </c>
      <c r="U27" s="173">
        <v>5.21</v>
      </c>
      <c r="V27" s="174">
        <v>4.72</v>
      </c>
      <c r="W27" s="175">
        <f t="shared" si="0"/>
        <v>1.3446516910165354</v>
      </c>
      <c r="X27" s="176">
        <f t="shared" si="1"/>
        <v>127</v>
      </c>
    </row>
    <row r="28" spans="1:24" ht="15.75" customHeight="1">
      <c r="A28" s="169">
        <v>23</v>
      </c>
      <c r="B28" s="170" t="s">
        <v>813</v>
      </c>
      <c r="C28" s="170" t="s">
        <v>60</v>
      </c>
      <c r="D28" s="169">
        <v>5.27</v>
      </c>
      <c r="E28" s="169">
        <v>4.6100000000000003</v>
      </c>
      <c r="F28" s="169">
        <v>1.1399999999999999</v>
      </c>
      <c r="G28" s="169">
        <v>0.66</v>
      </c>
      <c r="H28" s="171">
        <v>0.13100000000000001</v>
      </c>
      <c r="I28" s="172">
        <v>0.115</v>
      </c>
      <c r="J28" s="172">
        <v>1.6E-2</v>
      </c>
      <c r="K28" s="173">
        <v>0.22600000000000001</v>
      </c>
      <c r="L28" s="169">
        <v>1.39</v>
      </c>
      <c r="M28" s="169">
        <v>0.25</v>
      </c>
      <c r="N28" s="172">
        <v>0.69899999999999995</v>
      </c>
      <c r="O28" s="173">
        <v>50</v>
      </c>
      <c r="P28" s="169">
        <v>115</v>
      </c>
      <c r="Q28" s="169">
        <v>119</v>
      </c>
      <c r="R28" s="173">
        <v>1.98</v>
      </c>
      <c r="S28" s="169">
        <v>4.66</v>
      </c>
      <c r="T28" s="169">
        <v>-2.68</v>
      </c>
      <c r="U28" s="173">
        <v>4.84</v>
      </c>
      <c r="V28" s="174">
        <v>4.71</v>
      </c>
      <c r="W28" s="175">
        <f t="shared" si="0"/>
        <v>1.3418028526881105</v>
      </c>
      <c r="X28" s="176">
        <f t="shared" si="1"/>
        <v>126</v>
      </c>
    </row>
    <row r="29" spans="1:24" ht="15.75" customHeight="1">
      <c r="A29" s="169">
        <v>24</v>
      </c>
      <c r="B29" s="170" t="s">
        <v>814</v>
      </c>
      <c r="C29" s="170" t="s">
        <v>137</v>
      </c>
      <c r="D29" s="169">
        <v>6.17</v>
      </c>
      <c r="E29" s="169">
        <v>3.86</v>
      </c>
      <c r="F29" s="169">
        <v>1.6</v>
      </c>
      <c r="G29" s="169">
        <v>0.77</v>
      </c>
      <c r="H29" s="171">
        <v>0.17</v>
      </c>
      <c r="I29" s="172">
        <v>0.106</v>
      </c>
      <c r="J29" s="172">
        <v>6.4000000000000001E-2</v>
      </c>
      <c r="K29" s="173">
        <v>0.19</v>
      </c>
      <c r="L29" s="169">
        <v>1.1100000000000001</v>
      </c>
      <c r="M29" s="169">
        <v>0.21199999999999999</v>
      </c>
      <c r="N29" s="172">
        <v>0.60299999999999998</v>
      </c>
      <c r="O29" s="173">
        <v>125</v>
      </c>
      <c r="P29" s="169">
        <v>105</v>
      </c>
      <c r="Q29" s="169">
        <v>120</v>
      </c>
      <c r="R29" s="173">
        <v>4.63</v>
      </c>
      <c r="S29" s="169">
        <v>4.1500000000000004</v>
      </c>
      <c r="T29" s="169">
        <v>0.48</v>
      </c>
      <c r="U29" s="173">
        <v>4.8499999999999996</v>
      </c>
      <c r="V29" s="174">
        <v>4.6399999999999997</v>
      </c>
      <c r="W29" s="175">
        <f t="shared" si="0"/>
        <v>1.3218609843891365</v>
      </c>
      <c r="X29" s="176">
        <f t="shared" si="1"/>
        <v>125</v>
      </c>
    </row>
    <row r="30" spans="1:24" ht="15.75" customHeight="1">
      <c r="A30" s="169">
        <v>25</v>
      </c>
      <c r="B30" s="170" t="s">
        <v>116</v>
      </c>
      <c r="C30" s="170" t="s">
        <v>82</v>
      </c>
      <c r="D30" s="169">
        <v>6.55</v>
      </c>
      <c r="E30" s="169">
        <v>4.09</v>
      </c>
      <c r="F30" s="169">
        <v>1.6</v>
      </c>
      <c r="G30" s="169">
        <v>1.64</v>
      </c>
      <c r="H30" s="171">
        <v>0.16700000000000001</v>
      </c>
      <c r="I30" s="172">
        <v>0.104</v>
      </c>
      <c r="J30" s="172">
        <v>6.3E-2</v>
      </c>
      <c r="K30" s="173">
        <v>0.23300000000000001</v>
      </c>
      <c r="L30" s="169">
        <v>1.36</v>
      </c>
      <c r="M30" s="169">
        <v>0.24199999999999999</v>
      </c>
      <c r="N30" s="172">
        <v>0.73799999999999999</v>
      </c>
      <c r="O30" s="173">
        <v>115</v>
      </c>
      <c r="P30" s="169">
        <v>132</v>
      </c>
      <c r="Q30" s="169">
        <v>122</v>
      </c>
      <c r="R30" s="173">
        <v>4.91</v>
      </c>
      <c r="S30" s="169">
        <v>5.39</v>
      </c>
      <c r="T30" s="169">
        <v>-0.48</v>
      </c>
      <c r="U30" s="173">
        <v>4.96</v>
      </c>
      <c r="V30" s="174">
        <v>4.5999999999999996</v>
      </c>
      <c r="W30" s="175">
        <f t="shared" si="0"/>
        <v>1.310465631075437</v>
      </c>
      <c r="X30" s="176">
        <f t="shared" si="1"/>
        <v>124</v>
      </c>
    </row>
    <row r="31" spans="1:24" ht="15.75" customHeight="1">
      <c r="A31" s="169">
        <v>26</v>
      </c>
      <c r="B31" s="170" t="s">
        <v>815</v>
      </c>
      <c r="C31" s="170" t="s">
        <v>56</v>
      </c>
      <c r="D31" s="169">
        <v>5.56</v>
      </c>
      <c r="E31" s="169">
        <v>3.18</v>
      </c>
      <c r="F31" s="169">
        <v>1.75</v>
      </c>
      <c r="G31" s="169">
        <v>0.79</v>
      </c>
      <c r="H31" s="171">
        <v>0.159</v>
      </c>
      <c r="I31" s="172">
        <v>9.0999999999999998E-2</v>
      </c>
      <c r="J31" s="172">
        <v>6.8000000000000005E-2</v>
      </c>
      <c r="K31" s="173">
        <v>0.2</v>
      </c>
      <c r="L31" s="169">
        <v>1.06</v>
      </c>
      <c r="M31" s="169">
        <v>0.219</v>
      </c>
      <c r="N31" s="172">
        <v>0.66</v>
      </c>
      <c r="O31" s="173">
        <v>93</v>
      </c>
      <c r="P31" s="169">
        <v>101</v>
      </c>
      <c r="Q31" s="169">
        <v>115</v>
      </c>
      <c r="R31" s="173">
        <v>3.97</v>
      </c>
      <c r="S31" s="169">
        <v>4.09</v>
      </c>
      <c r="T31" s="169">
        <v>-0.12</v>
      </c>
      <c r="U31" s="173">
        <v>4.6900000000000004</v>
      </c>
      <c r="V31" s="174">
        <v>4.59</v>
      </c>
      <c r="W31" s="175">
        <f t="shared" si="0"/>
        <v>1.3076167927470121</v>
      </c>
      <c r="X31" s="176">
        <f t="shared" si="1"/>
        <v>123</v>
      </c>
    </row>
    <row r="32" spans="1:24" ht="15.75" customHeight="1">
      <c r="A32" s="169">
        <v>27</v>
      </c>
      <c r="B32" s="170" t="s">
        <v>816</v>
      </c>
      <c r="C32" s="170" t="s">
        <v>74</v>
      </c>
      <c r="D32" s="169">
        <v>8.18</v>
      </c>
      <c r="E32" s="169">
        <v>4.91</v>
      </c>
      <c r="F32" s="169">
        <v>1.67</v>
      </c>
      <c r="G32" s="169">
        <v>0.82</v>
      </c>
      <c r="H32" s="171">
        <v>0.24399999999999999</v>
      </c>
      <c r="I32" s="172">
        <v>0.14599999999999999</v>
      </c>
      <c r="J32" s="172">
        <v>9.8000000000000004E-2</v>
      </c>
      <c r="K32" s="173">
        <v>8.5999999999999993E-2</v>
      </c>
      <c r="L32" s="169">
        <v>0.82</v>
      </c>
      <c r="M32" s="169">
        <v>8.3000000000000004E-2</v>
      </c>
      <c r="N32" s="172">
        <v>0.92100000000000004</v>
      </c>
      <c r="O32" s="173">
        <v>41</v>
      </c>
      <c r="P32" s="169">
        <v>98</v>
      </c>
      <c r="Q32" s="169">
        <v>123</v>
      </c>
      <c r="R32" s="173">
        <v>1.64</v>
      </c>
      <c r="S32" s="169">
        <v>4.12</v>
      </c>
      <c r="T32" s="169">
        <v>-2.48</v>
      </c>
      <c r="U32" s="173">
        <v>4.99</v>
      </c>
      <c r="V32" s="174">
        <v>4.57</v>
      </c>
      <c r="W32" s="175">
        <f t="shared" si="0"/>
        <v>1.3019191160901626</v>
      </c>
      <c r="X32" s="176">
        <f t="shared" si="1"/>
        <v>122</v>
      </c>
    </row>
    <row r="33" spans="1:24" ht="15.75" customHeight="1">
      <c r="A33" s="169">
        <v>28</v>
      </c>
      <c r="B33" s="170" t="s">
        <v>817</v>
      </c>
      <c r="C33" s="170" t="s">
        <v>137</v>
      </c>
      <c r="D33" s="169">
        <v>8.18</v>
      </c>
      <c r="E33" s="169">
        <v>4.91</v>
      </c>
      <c r="F33" s="169">
        <v>1.67</v>
      </c>
      <c r="G33" s="169">
        <v>0.82</v>
      </c>
      <c r="H33" s="171">
        <v>0.21299999999999999</v>
      </c>
      <c r="I33" s="172">
        <v>0.128</v>
      </c>
      <c r="J33" s="172">
        <v>8.5000000000000006E-2</v>
      </c>
      <c r="K33" s="173">
        <v>0.17499999999999999</v>
      </c>
      <c r="L33" s="169">
        <v>1.18</v>
      </c>
      <c r="M33" s="169">
        <v>0.20699999999999999</v>
      </c>
      <c r="N33" s="172">
        <v>0.79400000000000004</v>
      </c>
      <c r="O33" s="173">
        <v>66</v>
      </c>
      <c r="P33" s="169">
        <v>112</v>
      </c>
      <c r="Q33" s="169">
        <v>130</v>
      </c>
      <c r="R33" s="173">
        <v>2.4500000000000002</v>
      </c>
      <c r="S33" s="169">
        <v>4.3899999999999997</v>
      </c>
      <c r="T33" s="169">
        <v>-1.94</v>
      </c>
      <c r="U33" s="173">
        <v>5.27</v>
      </c>
      <c r="V33" s="174">
        <v>4.55</v>
      </c>
      <c r="W33" s="175">
        <f t="shared" si="0"/>
        <v>1.2962214394333127</v>
      </c>
      <c r="X33" s="176">
        <f t="shared" si="1"/>
        <v>121</v>
      </c>
    </row>
    <row r="34" spans="1:24" ht="15.75" customHeight="1">
      <c r="A34" s="169">
        <v>29</v>
      </c>
      <c r="B34" s="170" t="s">
        <v>818</v>
      </c>
      <c r="C34" s="170" t="s">
        <v>36</v>
      </c>
      <c r="D34" s="169">
        <v>10.029999999999999</v>
      </c>
      <c r="E34" s="169">
        <v>6.17</v>
      </c>
      <c r="F34" s="169">
        <v>1.63</v>
      </c>
      <c r="G34" s="169">
        <v>0.77</v>
      </c>
      <c r="H34" s="171">
        <v>0.23599999999999999</v>
      </c>
      <c r="I34" s="172">
        <v>0.14499999999999999</v>
      </c>
      <c r="J34" s="172">
        <v>9.0999999999999998E-2</v>
      </c>
      <c r="K34" s="173">
        <v>0.23899999999999999</v>
      </c>
      <c r="L34" s="169">
        <v>1.63</v>
      </c>
      <c r="M34" s="169">
        <v>0.313</v>
      </c>
      <c r="N34" s="172">
        <v>0.48399999999999999</v>
      </c>
      <c r="O34" s="173">
        <v>164</v>
      </c>
      <c r="P34" s="169">
        <v>102</v>
      </c>
      <c r="Q34" s="169">
        <v>126</v>
      </c>
      <c r="R34" s="173">
        <v>7.71</v>
      </c>
      <c r="S34" s="169">
        <v>4.32</v>
      </c>
      <c r="T34" s="169">
        <v>3.4</v>
      </c>
      <c r="U34" s="173">
        <v>5.14</v>
      </c>
      <c r="V34" s="174">
        <v>4.53</v>
      </c>
      <c r="W34" s="175">
        <f t="shared" si="0"/>
        <v>1.2905237627764632</v>
      </c>
      <c r="X34" s="176">
        <f t="shared" si="1"/>
        <v>120</v>
      </c>
    </row>
    <row r="35" spans="1:24" ht="15.75" customHeight="1">
      <c r="A35" s="169">
        <v>30</v>
      </c>
      <c r="B35" s="170" t="s">
        <v>819</v>
      </c>
      <c r="C35" s="170" t="s">
        <v>86</v>
      </c>
      <c r="D35" s="169">
        <v>7.71</v>
      </c>
      <c r="E35" s="169">
        <v>4.63</v>
      </c>
      <c r="F35" s="169">
        <v>1.67</v>
      </c>
      <c r="G35" s="169">
        <v>0.77</v>
      </c>
      <c r="H35" s="171">
        <v>0.20799999999999999</v>
      </c>
      <c r="I35" s="172">
        <v>0.125</v>
      </c>
      <c r="J35" s="172">
        <v>8.3000000000000004E-2</v>
      </c>
      <c r="K35" s="173">
        <v>0.17100000000000001</v>
      </c>
      <c r="L35" s="169">
        <v>1.1100000000000001</v>
      </c>
      <c r="M35" s="169">
        <v>0.2</v>
      </c>
      <c r="N35" s="172">
        <v>0.873</v>
      </c>
      <c r="O35" s="173">
        <v>58</v>
      </c>
      <c r="P35" s="169">
        <v>104</v>
      </c>
      <c r="Q35" s="169">
        <v>121</v>
      </c>
      <c r="R35" s="173">
        <v>2.31</v>
      </c>
      <c r="S35" s="169">
        <v>4.32</v>
      </c>
      <c r="T35" s="169">
        <v>-2</v>
      </c>
      <c r="U35" s="173">
        <v>4.9000000000000004</v>
      </c>
      <c r="V35" s="174">
        <v>4.49</v>
      </c>
      <c r="W35" s="175">
        <f t="shared" si="0"/>
        <v>1.2791284094627637</v>
      </c>
      <c r="X35" s="176">
        <f t="shared" si="1"/>
        <v>119</v>
      </c>
    </row>
    <row r="36" spans="1:24" ht="19.5" customHeight="1">
      <c r="A36" s="169">
        <v>31</v>
      </c>
      <c r="B36" s="170" t="s">
        <v>820</v>
      </c>
      <c r="C36" s="170" t="s">
        <v>100</v>
      </c>
      <c r="D36" s="169">
        <v>5.4</v>
      </c>
      <c r="E36" s="169">
        <v>4.05</v>
      </c>
      <c r="F36" s="169">
        <v>1.33</v>
      </c>
      <c r="G36" s="169">
        <v>0</v>
      </c>
      <c r="H36" s="171">
        <v>0.14499999999999999</v>
      </c>
      <c r="I36" s="172">
        <v>0.109</v>
      </c>
      <c r="J36" s="172">
        <v>3.5999999999999997E-2</v>
      </c>
      <c r="K36" s="173">
        <v>0.25</v>
      </c>
      <c r="L36" s="169">
        <v>1.35</v>
      </c>
      <c r="M36" s="169">
        <v>0.3</v>
      </c>
      <c r="N36" s="172">
        <v>0.89500000000000002</v>
      </c>
      <c r="O36" s="173">
        <v>18</v>
      </c>
      <c r="P36" s="169">
        <v>88</v>
      </c>
      <c r="Q36" s="169">
        <v>115</v>
      </c>
      <c r="R36" s="173">
        <v>0.68</v>
      </c>
      <c r="S36" s="169">
        <v>3.49</v>
      </c>
      <c r="T36" s="169">
        <v>-2.82</v>
      </c>
      <c r="U36" s="173">
        <v>4.66</v>
      </c>
      <c r="V36" s="169">
        <v>4.4800000000000004</v>
      </c>
      <c r="W36" s="175">
        <f t="shared" si="0"/>
        <v>1.2762795711343389</v>
      </c>
      <c r="X36" s="176">
        <f t="shared" si="1"/>
        <v>118</v>
      </c>
    </row>
    <row r="37" spans="1:24" ht="15.75" customHeight="1">
      <c r="A37" s="169">
        <v>32</v>
      </c>
      <c r="B37" s="170" t="s">
        <v>821</v>
      </c>
      <c r="C37" s="170" t="s">
        <v>86</v>
      </c>
      <c r="D37" s="169">
        <v>5.84</v>
      </c>
      <c r="E37" s="169">
        <v>2.92</v>
      </c>
      <c r="F37" s="169">
        <v>2</v>
      </c>
      <c r="G37" s="169">
        <v>1.46</v>
      </c>
      <c r="H37" s="171">
        <v>0.16700000000000001</v>
      </c>
      <c r="I37" s="172">
        <v>8.3000000000000004E-2</v>
      </c>
      <c r="J37" s="172">
        <v>8.3000000000000004E-2</v>
      </c>
      <c r="K37" s="173">
        <v>0.16300000000000001</v>
      </c>
      <c r="L37" s="169">
        <v>0.89</v>
      </c>
      <c r="M37" s="169">
        <v>0.152</v>
      </c>
      <c r="N37" s="172">
        <v>0.65200000000000002</v>
      </c>
      <c r="O37" s="173">
        <v>111</v>
      </c>
      <c r="P37" s="169">
        <v>125</v>
      </c>
      <c r="Q37" s="169">
        <v>123</v>
      </c>
      <c r="R37" s="173">
        <v>4.38</v>
      </c>
      <c r="S37" s="169">
        <v>5.15</v>
      </c>
      <c r="T37" s="169">
        <v>-0.77</v>
      </c>
      <c r="U37" s="173">
        <v>4.99</v>
      </c>
      <c r="V37" s="177">
        <v>4.46</v>
      </c>
      <c r="W37" s="175">
        <f t="shared" si="0"/>
        <v>1.2705818944774889</v>
      </c>
      <c r="X37" s="176">
        <f t="shared" si="1"/>
        <v>117</v>
      </c>
    </row>
    <row r="38" spans="1:24" ht="15.75" customHeight="1">
      <c r="A38" s="169">
        <v>33</v>
      </c>
      <c r="B38" s="170" t="s">
        <v>822</v>
      </c>
      <c r="C38" s="170" t="s">
        <v>56</v>
      </c>
      <c r="D38" s="169">
        <v>6.6</v>
      </c>
      <c r="E38" s="169">
        <v>3.6</v>
      </c>
      <c r="F38" s="169">
        <v>1.83</v>
      </c>
      <c r="G38" s="169">
        <v>2.4</v>
      </c>
      <c r="H38" s="171">
        <v>0.155</v>
      </c>
      <c r="I38" s="172">
        <v>8.5000000000000006E-2</v>
      </c>
      <c r="J38" s="172">
        <v>7.0000000000000007E-2</v>
      </c>
      <c r="K38" s="173">
        <v>0.308</v>
      </c>
      <c r="L38" s="169">
        <v>1.73</v>
      </c>
      <c r="M38" s="169">
        <v>0.32</v>
      </c>
      <c r="N38" s="172">
        <v>0.63700000000000001</v>
      </c>
      <c r="O38" s="173">
        <v>183</v>
      </c>
      <c r="P38" s="169">
        <v>154</v>
      </c>
      <c r="Q38" s="169">
        <v>121</v>
      </c>
      <c r="R38" s="173">
        <v>7.8</v>
      </c>
      <c r="S38" s="169">
        <v>6.32</v>
      </c>
      <c r="T38" s="169">
        <v>1.48</v>
      </c>
      <c r="U38" s="173">
        <v>4.93</v>
      </c>
      <c r="V38" s="177">
        <v>4.45</v>
      </c>
      <c r="W38" s="175">
        <f t="shared" ref="W38:W69" si="2">V38/$V$176</f>
        <v>1.2677330561490643</v>
      </c>
      <c r="X38" s="176">
        <f t="shared" ref="X38:X69" si="3">RANK(W38,$W$6:$W$175,1)</f>
        <v>116</v>
      </c>
    </row>
    <row r="39" spans="1:24" ht="15.75" customHeight="1">
      <c r="A39" s="169">
        <v>34</v>
      </c>
      <c r="B39" s="170" t="s">
        <v>823</v>
      </c>
      <c r="C39" s="170" t="s">
        <v>72</v>
      </c>
      <c r="D39" s="169">
        <v>7.36</v>
      </c>
      <c r="E39" s="169">
        <v>2.4500000000000002</v>
      </c>
      <c r="F39" s="169">
        <v>3</v>
      </c>
      <c r="G39" s="169">
        <v>2.4500000000000002</v>
      </c>
      <c r="H39" s="171">
        <v>0.16400000000000001</v>
      </c>
      <c r="I39" s="172">
        <v>5.5E-2</v>
      </c>
      <c r="J39" s="172">
        <v>0.109</v>
      </c>
      <c r="K39" s="173">
        <v>0.35299999999999998</v>
      </c>
      <c r="L39" s="169">
        <v>1.91</v>
      </c>
      <c r="M39" s="169">
        <v>0.38500000000000001</v>
      </c>
      <c r="N39" s="172">
        <v>0.67400000000000004</v>
      </c>
      <c r="O39" s="173">
        <v>191</v>
      </c>
      <c r="P39" s="169">
        <v>154</v>
      </c>
      <c r="Q39" s="169">
        <v>130</v>
      </c>
      <c r="R39" s="173">
        <v>7.36</v>
      </c>
      <c r="S39" s="169">
        <v>6.12</v>
      </c>
      <c r="T39" s="169">
        <v>1.24</v>
      </c>
      <c r="U39" s="173">
        <v>5.27</v>
      </c>
      <c r="V39" s="177">
        <v>4.43</v>
      </c>
      <c r="W39" s="175">
        <f t="shared" si="2"/>
        <v>1.2620353794922143</v>
      </c>
      <c r="X39" s="176">
        <f t="shared" si="3"/>
        <v>115</v>
      </c>
    </row>
    <row r="40" spans="1:24" ht="15.75" customHeight="1">
      <c r="A40" s="169">
        <v>35</v>
      </c>
      <c r="B40" s="170" t="s">
        <v>824</v>
      </c>
      <c r="C40" s="170" t="s">
        <v>36</v>
      </c>
      <c r="D40" s="169">
        <v>3.48</v>
      </c>
      <c r="E40" s="169">
        <v>0</v>
      </c>
      <c r="F40" s="169">
        <v>4</v>
      </c>
      <c r="G40" s="169">
        <v>0</v>
      </c>
      <c r="H40" s="171">
        <v>0.10299999999999999</v>
      </c>
      <c r="I40" s="172">
        <v>0</v>
      </c>
      <c r="J40" s="172">
        <v>0.10299999999999999</v>
      </c>
      <c r="K40" s="173">
        <v>0.23100000000000001</v>
      </c>
      <c r="L40" s="169">
        <v>0.87</v>
      </c>
      <c r="M40" s="169">
        <v>0.25700000000000001</v>
      </c>
      <c r="N40" s="172">
        <v>0.66700000000000004</v>
      </c>
      <c r="O40" s="173">
        <v>18</v>
      </c>
      <c r="P40" s="169">
        <v>57</v>
      </c>
      <c r="Q40" s="169">
        <v>105</v>
      </c>
      <c r="R40" s="173">
        <v>0.87</v>
      </c>
      <c r="S40" s="169">
        <v>2.34</v>
      </c>
      <c r="T40" s="169">
        <v>-1.47</v>
      </c>
      <c r="U40" s="173">
        <v>4.26</v>
      </c>
      <c r="V40" s="177">
        <v>4.38</v>
      </c>
      <c r="W40" s="175">
        <f t="shared" si="2"/>
        <v>1.24779118785009</v>
      </c>
      <c r="X40" s="176">
        <f t="shared" si="3"/>
        <v>113</v>
      </c>
    </row>
    <row r="41" spans="1:24" ht="15.75" customHeight="1">
      <c r="A41" s="169">
        <v>36</v>
      </c>
      <c r="B41" s="170" t="s">
        <v>825</v>
      </c>
      <c r="C41" s="170" t="s">
        <v>82</v>
      </c>
      <c r="D41" s="169">
        <v>7.07</v>
      </c>
      <c r="E41" s="169">
        <v>3.86</v>
      </c>
      <c r="F41" s="169">
        <v>1.83</v>
      </c>
      <c r="G41" s="169">
        <v>1.29</v>
      </c>
      <c r="H41" s="171">
        <v>0.186</v>
      </c>
      <c r="I41" s="172">
        <v>0.10199999999999999</v>
      </c>
      <c r="J41" s="172">
        <v>8.5000000000000006E-2</v>
      </c>
      <c r="K41" s="173">
        <v>0.20799999999999999</v>
      </c>
      <c r="L41" s="169">
        <v>1.21</v>
      </c>
      <c r="M41" s="169">
        <v>0.22500000000000001</v>
      </c>
      <c r="N41" s="172">
        <v>0.70399999999999996</v>
      </c>
      <c r="O41" s="173">
        <v>91</v>
      </c>
      <c r="P41" s="169">
        <v>115</v>
      </c>
      <c r="Q41" s="169">
        <v>112</v>
      </c>
      <c r="R41" s="173">
        <v>3.86</v>
      </c>
      <c r="S41" s="169">
        <v>4.6900000000000004</v>
      </c>
      <c r="T41" s="169">
        <v>-0.83</v>
      </c>
      <c r="U41" s="173">
        <v>4.55</v>
      </c>
      <c r="V41" s="177">
        <v>4.38</v>
      </c>
      <c r="W41" s="175">
        <f t="shared" si="2"/>
        <v>1.24779118785009</v>
      </c>
      <c r="X41" s="176">
        <f t="shared" si="3"/>
        <v>113</v>
      </c>
    </row>
    <row r="42" spans="1:24" ht="15.75" customHeight="1">
      <c r="A42" s="169">
        <v>37</v>
      </c>
      <c r="B42" s="170" t="s">
        <v>826</v>
      </c>
      <c r="C42" s="170" t="s">
        <v>91</v>
      </c>
      <c r="D42" s="169">
        <v>7.15</v>
      </c>
      <c r="E42" s="169">
        <v>3.18</v>
      </c>
      <c r="F42" s="169">
        <v>2.25</v>
      </c>
      <c r="G42" s="169">
        <v>0</v>
      </c>
      <c r="H42" s="171">
        <v>0.17599999999999999</v>
      </c>
      <c r="I42" s="172">
        <v>7.8E-2</v>
      </c>
      <c r="J42" s="172">
        <v>9.8000000000000004E-2</v>
      </c>
      <c r="K42" s="173">
        <v>0.255</v>
      </c>
      <c r="L42" s="169">
        <v>1.41</v>
      </c>
      <c r="M42" s="169">
        <v>0.316</v>
      </c>
      <c r="N42" s="172">
        <v>0.56299999999999994</v>
      </c>
      <c r="O42" s="173">
        <v>119</v>
      </c>
      <c r="P42" s="169">
        <v>65</v>
      </c>
      <c r="Q42" s="169">
        <v>122</v>
      </c>
      <c r="R42" s="173">
        <v>4.76</v>
      </c>
      <c r="S42" s="169">
        <v>2.59</v>
      </c>
      <c r="T42" s="169">
        <v>2.1800000000000002</v>
      </c>
      <c r="U42" s="173">
        <v>4.96</v>
      </c>
      <c r="V42" s="177">
        <v>4.34</v>
      </c>
      <c r="W42" s="175">
        <f t="shared" si="2"/>
        <v>1.2363958345363906</v>
      </c>
      <c r="X42" s="176">
        <f t="shared" si="3"/>
        <v>111</v>
      </c>
    </row>
    <row r="43" spans="1:24" ht="15.75" customHeight="1">
      <c r="A43" s="169">
        <v>38</v>
      </c>
      <c r="B43" s="170" t="s">
        <v>827</v>
      </c>
      <c r="C43" s="170" t="s">
        <v>46</v>
      </c>
      <c r="D43" s="169">
        <v>7.5</v>
      </c>
      <c r="E43" s="169">
        <v>3.75</v>
      </c>
      <c r="F43" s="169">
        <v>2</v>
      </c>
      <c r="G43" s="169">
        <v>0</v>
      </c>
      <c r="H43" s="171">
        <v>0.2</v>
      </c>
      <c r="I43" s="172">
        <v>0.1</v>
      </c>
      <c r="J43" s="172">
        <v>0.1</v>
      </c>
      <c r="K43" s="173">
        <v>0.2</v>
      </c>
      <c r="L43" s="169">
        <v>1.17</v>
      </c>
      <c r="M43" s="169">
        <v>0.25700000000000001</v>
      </c>
      <c r="N43" s="172">
        <v>0.71399999999999997</v>
      </c>
      <c r="O43" s="173">
        <v>73</v>
      </c>
      <c r="P43" s="169">
        <v>65</v>
      </c>
      <c r="Q43" s="169">
        <v>116</v>
      </c>
      <c r="R43" s="173">
        <v>3</v>
      </c>
      <c r="S43" s="169">
        <v>2.7</v>
      </c>
      <c r="T43" s="169">
        <v>0.3</v>
      </c>
      <c r="U43" s="173">
        <v>4.71</v>
      </c>
      <c r="V43" s="177">
        <v>4.34</v>
      </c>
      <c r="W43" s="175">
        <f t="shared" si="2"/>
        <v>1.2363958345363906</v>
      </c>
      <c r="X43" s="176">
        <f t="shared" si="3"/>
        <v>111</v>
      </c>
    </row>
    <row r="44" spans="1:24" ht="15.75" customHeight="1">
      <c r="A44" s="169">
        <v>39</v>
      </c>
      <c r="B44" s="170" t="s">
        <v>828</v>
      </c>
      <c r="C44" s="170" t="s">
        <v>60</v>
      </c>
      <c r="D44" s="169">
        <v>9.24</v>
      </c>
      <c r="E44" s="169">
        <v>4.97</v>
      </c>
      <c r="F44" s="169">
        <v>1.86</v>
      </c>
      <c r="G44" s="169">
        <v>1.42</v>
      </c>
      <c r="H44" s="171">
        <v>0.245</v>
      </c>
      <c r="I44" s="172">
        <v>0.13200000000000001</v>
      </c>
      <c r="J44" s="172">
        <v>0.113</v>
      </c>
      <c r="K44" s="173">
        <v>0.159</v>
      </c>
      <c r="L44" s="169">
        <v>1.1100000000000001</v>
      </c>
      <c r="M44" s="169">
        <v>0.17199999999999999</v>
      </c>
      <c r="N44" s="172">
        <v>0.83299999999999996</v>
      </c>
      <c r="O44" s="173">
        <v>90</v>
      </c>
      <c r="P44" s="169">
        <v>130</v>
      </c>
      <c r="Q44" s="169">
        <v>131</v>
      </c>
      <c r="R44" s="173">
        <v>3.55</v>
      </c>
      <c r="S44" s="169">
        <v>5.25</v>
      </c>
      <c r="T44" s="169">
        <v>-1.7</v>
      </c>
      <c r="U44" s="173">
        <v>5.32</v>
      </c>
      <c r="V44" s="177">
        <v>4.33</v>
      </c>
      <c r="W44" s="175">
        <f t="shared" si="2"/>
        <v>1.2335469962079659</v>
      </c>
      <c r="X44" s="176">
        <f t="shared" si="3"/>
        <v>110</v>
      </c>
    </row>
    <row r="45" spans="1:24" ht="15.75" customHeight="1">
      <c r="A45" s="169">
        <v>40</v>
      </c>
      <c r="B45" s="170" t="s">
        <v>829</v>
      </c>
      <c r="C45" s="170" t="s">
        <v>88</v>
      </c>
      <c r="D45" s="169">
        <v>8.18</v>
      </c>
      <c r="E45" s="169">
        <v>4.91</v>
      </c>
      <c r="F45" s="169">
        <v>1.67</v>
      </c>
      <c r="G45" s="169">
        <v>0.82</v>
      </c>
      <c r="H45" s="171">
        <v>0.21299999999999999</v>
      </c>
      <c r="I45" s="172">
        <v>0.128</v>
      </c>
      <c r="J45" s="172">
        <v>8.5000000000000006E-2</v>
      </c>
      <c r="K45" s="173">
        <v>0.19500000000000001</v>
      </c>
      <c r="L45" s="169">
        <v>1.27</v>
      </c>
      <c r="M45" s="169">
        <v>0.23300000000000001</v>
      </c>
      <c r="N45" s="172">
        <v>0.63500000000000001</v>
      </c>
      <c r="O45" s="173">
        <v>101</v>
      </c>
      <c r="P45" s="169">
        <v>104</v>
      </c>
      <c r="Q45" s="169">
        <v>104</v>
      </c>
      <c r="R45" s="173">
        <v>4.09</v>
      </c>
      <c r="S45" s="169">
        <v>4.12</v>
      </c>
      <c r="T45" s="169">
        <v>-0.03</v>
      </c>
      <c r="U45" s="173">
        <v>4.22</v>
      </c>
      <c r="V45" s="177">
        <v>4.26</v>
      </c>
      <c r="W45" s="175">
        <f t="shared" si="2"/>
        <v>1.2136051279089917</v>
      </c>
      <c r="X45" s="176">
        <f t="shared" si="3"/>
        <v>109</v>
      </c>
    </row>
    <row r="46" spans="1:24" ht="15.75" customHeight="1">
      <c r="A46" s="169">
        <v>41</v>
      </c>
      <c r="B46" s="170" t="s">
        <v>830</v>
      </c>
      <c r="C46" s="170" t="s">
        <v>82</v>
      </c>
      <c r="D46" s="169">
        <v>6.1</v>
      </c>
      <c r="E46" s="169">
        <v>3.48</v>
      </c>
      <c r="F46" s="169">
        <v>1.75</v>
      </c>
      <c r="G46" s="169">
        <v>0</v>
      </c>
      <c r="H46" s="171">
        <v>0.159</v>
      </c>
      <c r="I46" s="172">
        <v>9.0999999999999998E-2</v>
      </c>
      <c r="J46" s="172">
        <v>6.8000000000000005E-2</v>
      </c>
      <c r="K46" s="173">
        <v>0.28199999999999997</v>
      </c>
      <c r="L46" s="169">
        <v>1.45</v>
      </c>
      <c r="M46" s="169">
        <v>0.34399999999999997</v>
      </c>
      <c r="N46" s="172">
        <v>0.5</v>
      </c>
      <c r="O46" s="173">
        <v>164</v>
      </c>
      <c r="P46" s="169">
        <v>80</v>
      </c>
      <c r="Q46" s="169">
        <v>106</v>
      </c>
      <c r="R46" s="173">
        <v>6.97</v>
      </c>
      <c r="S46" s="169">
        <v>3.22</v>
      </c>
      <c r="T46" s="169">
        <v>3.75</v>
      </c>
      <c r="U46" s="173">
        <v>4.3099999999999996</v>
      </c>
      <c r="V46" s="177">
        <v>4.17</v>
      </c>
      <c r="W46" s="175">
        <f t="shared" si="2"/>
        <v>1.1879655829531679</v>
      </c>
      <c r="X46" s="176">
        <f t="shared" si="3"/>
        <v>107</v>
      </c>
    </row>
    <row r="47" spans="1:24" ht="15.75" customHeight="1">
      <c r="A47" s="169">
        <v>42</v>
      </c>
      <c r="B47" s="170" t="s">
        <v>831</v>
      </c>
      <c r="C47" s="170" t="s">
        <v>42</v>
      </c>
      <c r="D47" s="169">
        <v>6.3</v>
      </c>
      <c r="E47" s="169">
        <v>2.7</v>
      </c>
      <c r="F47" s="169">
        <v>2.33</v>
      </c>
      <c r="G47" s="169">
        <v>0.9</v>
      </c>
      <c r="H47" s="171">
        <v>0.17100000000000001</v>
      </c>
      <c r="I47" s="172">
        <v>7.2999999999999995E-2</v>
      </c>
      <c r="J47" s="172">
        <v>9.8000000000000004E-2</v>
      </c>
      <c r="K47" s="173">
        <v>0.24299999999999999</v>
      </c>
      <c r="L47" s="169">
        <v>1.2</v>
      </c>
      <c r="M47" s="169">
        <v>0.27600000000000002</v>
      </c>
      <c r="N47" s="172">
        <v>0.94799999999999995</v>
      </c>
      <c r="O47" s="173">
        <v>45</v>
      </c>
      <c r="P47" s="169">
        <v>101</v>
      </c>
      <c r="Q47" s="169">
        <v>110</v>
      </c>
      <c r="R47" s="173">
        <v>1.8</v>
      </c>
      <c r="S47" s="169">
        <v>4.22</v>
      </c>
      <c r="T47" s="169">
        <v>-2.42</v>
      </c>
      <c r="U47" s="173">
        <v>4.4800000000000004</v>
      </c>
      <c r="V47" s="177">
        <v>4.17</v>
      </c>
      <c r="W47" s="175">
        <f t="shared" si="2"/>
        <v>1.1879655829531679</v>
      </c>
      <c r="X47" s="176">
        <f t="shared" si="3"/>
        <v>107</v>
      </c>
    </row>
    <row r="48" spans="1:24" ht="15.75" customHeight="1">
      <c r="A48" s="169">
        <v>43</v>
      </c>
      <c r="B48" s="170" t="s">
        <v>832</v>
      </c>
      <c r="C48" s="170" t="s">
        <v>100</v>
      </c>
      <c r="D48" s="169">
        <v>6.35</v>
      </c>
      <c r="E48" s="169">
        <v>3.97</v>
      </c>
      <c r="F48" s="169">
        <v>1.6</v>
      </c>
      <c r="G48" s="169">
        <v>0</v>
      </c>
      <c r="H48" s="171">
        <v>0.17</v>
      </c>
      <c r="I48" s="172">
        <v>0.106</v>
      </c>
      <c r="J48" s="172">
        <v>6.4000000000000001E-2</v>
      </c>
      <c r="K48" s="173">
        <v>0.14299999999999999</v>
      </c>
      <c r="L48" s="169">
        <v>0.97</v>
      </c>
      <c r="M48" s="169">
        <v>0.17599999999999999</v>
      </c>
      <c r="N48" s="172">
        <v>0.72699999999999998</v>
      </c>
      <c r="O48" s="173">
        <v>42</v>
      </c>
      <c r="P48" s="169">
        <v>76</v>
      </c>
      <c r="Q48" s="169">
        <v>105</v>
      </c>
      <c r="R48" s="173">
        <v>1.59</v>
      </c>
      <c r="S48" s="169">
        <v>3.03</v>
      </c>
      <c r="T48" s="169">
        <v>-1.44</v>
      </c>
      <c r="U48" s="173">
        <v>4.28</v>
      </c>
      <c r="V48" s="177">
        <v>4.16</v>
      </c>
      <c r="W48" s="175">
        <f t="shared" si="2"/>
        <v>1.1851167446247433</v>
      </c>
      <c r="X48" s="176">
        <f t="shared" si="3"/>
        <v>106</v>
      </c>
    </row>
    <row r="49" spans="1:24" ht="15.75" customHeight="1">
      <c r="A49" s="169">
        <v>44</v>
      </c>
      <c r="B49" s="170" t="s">
        <v>833</v>
      </c>
      <c r="C49" s="170" t="s">
        <v>91</v>
      </c>
      <c r="D49" s="169">
        <v>6.14</v>
      </c>
      <c r="E49" s="169">
        <v>1.84</v>
      </c>
      <c r="F49" s="169">
        <v>3.33</v>
      </c>
      <c r="G49" s="169">
        <v>1.84</v>
      </c>
      <c r="H49" s="171">
        <v>0.154</v>
      </c>
      <c r="I49" s="172">
        <v>4.5999999999999999E-2</v>
      </c>
      <c r="J49" s="172">
        <v>0.108</v>
      </c>
      <c r="K49" s="173">
        <v>0.30599999999999999</v>
      </c>
      <c r="L49" s="169">
        <v>1.5</v>
      </c>
      <c r="M49" s="169">
        <v>0.32700000000000001</v>
      </c>
      <c r="N49" s="172">
        <v>0.67400000000000004</v>
      </c>
      <c r="O49" s="173">
        <v>153</v>
      </c>
      <c r="P49" s="169">
        <v>124</v>
      </c>
      <c r="Q49" s="169">
        <v>108</v>
      </c>
      <c r="R49" s="173">
        <v>6.14</v>
      </c>
      <c r="S49" s="169">
        <v>5.03</v>
      </c>
      <c r="T49" s="169">
        <v>1.1100000000000001</v>
      </c>
      <c r="U49" s="173">
        <v>4.3899999999999997</v>
      </c>
      <c r="V49" s="177">
        <v>4.1500000000000004</v>
      </c>
      <c r="W49" s="175">
        <f t="shared" si="2"/>
        <v>1.1822679062963184</v>
      </c>
      <c r="X49" s="176">
        <f t="shared" si="3"/>
        <v>105</v>
      </c>
    </row>
    <row r="50" spans="1:24" ht="15.75" customHeight="1">
      <c r="A50" s="169">
        <v>45</v>
      </c>
      <c r="B50" s="170" t="s">
        <v>834</v>
      </c>
      <c r="C50" s="170" t="s">
        <v>80</v>
      </c>
      <c r="D50" s="169">
        <v>4.91</v>
      </c>
      <c r="E50" s="169">
        <v>0.82</v>
      </c>
      <c r="F50" s="169">
        <v>6</v>
      </c>
      <c r="G50" s="169">
        <v>1.64</v>
      </c>
      <c r="H50" s="171">
        <v>0.125</v>
      </c>
      <c r="I50" s="172">
        <v>2.1000000000000001E-2</v>
      </c>
      <c r="J50" s="172">
        <v>0.104</v>
      </c>
      <c r="K50" s="173">
        <v>0.31900000000000001</v>
      </c>
      <c r="L50" s="169">
        <v>1.45</v>
      </c>
      <c r="M50" s="169">
        <v>0.33300000000000002</v>
      </c>
      <c r="N50" s="172">
        <v>0.60599999999999998</v>
      </c>
      <c r="O50" s="173">
        <v>167</v>
      </c>
      <c r="P50" s="169">
        <v>116</v>
      </c>
      <c r="Q50" s="169">
        <v>104</v>
      </c>
      <c r="R50" s="173">
        <v>6.55</v>
      </c>
      <c r="S50" s="169">
        <v>4.66</v>
      </c>
      <c r="T50" s="169">
        <v>1.88</v>
      </c>
      <c r="U50" s="173">
        <v>4.2300000000000004</v>
      </c>
      <c r="V50" s="177">
        <v>4.1399999999999997</v>
      </c>
      <c r="W50" s="175">
        <f t="shared" si="2"/>
        <v>1.1794190679678933</v>
      </c>
      <c r="X50" s="176">
        <f t="shared" si="3"/>
        <v>104</v>
      </c>
    </row>
    <row r="51" spans="1:24" ht="15.75" customHeight="1">
      <c r="A51" s="169">
        <v>46</v>
      </c>
      <c r="B51" s="170" t="s">
        <v>835</v>
      </c>
      <c r="C51" s="170" t="s">
        <v>53</v>
      </c>
      <c r="D51" s="169">
        <v>5.52</v>
      </c>
      <c r="E51" s="169">
        <v>2.4500000000000002</v>
      </c>
      <c r="F51" s="169">
        <v>2.25</v>
      </c>
      <c r="G51" s="169">
        <v>1.23</v>
      </c>
      <c r="H51" s="171">
        <v>0.17</v>
      </c>
      <c r="I51" s="172">
        <v>7.4999999999999997E-2</v>
      </c>
      <c r="J51" s="172">
        <v>9.4E-2</v>
      </c>
      <c r="K51" s="173">
        <v>0.125</v>
      </c>
      <c r="L51" s="169">
        <v>0.68</v>
      </c>
      <c r="M51" s="169">
        <v>0.108</v>
      </c>
      <c r="N51" s="172">
        <v>1</v>
      </c>
      <c r="O51" s="173">
        <v>30</v>
      </c>
      <c r="P51" s="169">
        <v>117</v>
      </c>
      <c r="Q51" s="169">
        <v>110</v>
      </c>
      <c r="R51" s="173">
        <v>1.23</v>
      </c>
      <c r="S51" s="169">
        <v>4.6900000000000004</v>
      </c>
      <c r="T51" s="169">
        <v>-3.46</v>
      </c>
      <c r="U51" s="173">
        <v>4.46</v>
      </c>
      <c r="V51" s="177">
        <v>4.13</v>
      </c>
      <c r="W51" s="175">
        <f t="shared" si="2"/>
        <v>1.1765702296394684</v>
      </c>
      <c r="X51" s="176">
        <f t="shared" si="3"/>
        <v>103</v>
      </c>
    </row>
    <row r="52" spans="1:24" ht="15.75" customHeight="1">
      <c r="A52" s="169">
        <v>47</v>
      </c>
      <c r="B52" s="170" t="s">
        <v>836</v>
      </c>
      <c r="C52" s="170" t="s">
        <v>56</v>
      </c>
      <c r="D52" s="169">
        <v>9.2799999999999994</v>
      </c>
      <c r="E52" s="169">
        <v>5.0599999999999996</v>
      </c>
      <c r="F52" s="169">
        <v>1.83</v>
      </c>
      <c r="G52" s="169">
        <v>0</v>
      </c>
      <c r="H52" s="171">
        <v>0.22</v>
      </c>
      <c r="I52" s="172">
        <v>0.12</v>
      </c>
      <c r="J52" s="172">
        <v>0.1</v>
      </c>
      <c r="K52" s="173">
        <v>0.23799999999999999</v>
      </c>
      <c r="L52" s="169">
        <v>1.5</v>
      </c>
      <c r="M52" s="169">
        <v>0.32300000000000001</v>
      </c>
      <c r="N52" s="172">
        <v>0.77800000000000002</v>
      </c>
      <c r="O52" s="173">
        <v>79</v>
      </c>
      <c r="P52" s="169">
        <v>82</v>
      </c>
      <c r="Q52" s="169">
        <v>117</v>
      </c>
      <c r="R52" s="173">
        <v>3.38</v>
      </c>
      <c r="S52" s="169">
        <v>3.31</v>
      </c>
      <c r="T52" s="169">
        <v>7.0000000000000007E-2</v>
      </c>
      <c r="U52" s="173">
        <v>4.7699999999999996</v>
      </c>
      <c r="V52" s="177">
        <v>4.0999999999999996</v>
      </c>
      <c r="W52" s="175">
        <f t="shared" si="2"/>
        <v>1.1680237146541939</v>
      </c>
      <c r="X52" s="176">
        <f t="shared" si="3"/>
        <v>102</v>
      </c>
    </row>
    <row r="53" spans="1:24" ht="15.75" customHeight="1">
      <c r="A53" s="169">
        <v>48</v>
      </c>
      <c r="B53" s="170" t="s">
        <v>837</v>
      </c>
      <c r="C53" s="170" t="s">
        <v>68</v>
      </c>
      <c r="D53" s="169">
        <v>9.58</v>
      </c>
      <c r="E53" s="169">
        <v>5.23</v>
      </c>
      <c r="F53" s="169">
        <v>1.83</v>
      </c>
      <c r="G53" s="169">
        <v>1.74</v>
      </c>
      <c r="H53" s="171">
        <v>0.23400000000000001</v>
      </c>
      <c r="I53" s="172">
        <v>0.128</v>
      </c>
      <c r="J53" s="172">
        <v>0.106</v>
      </c>
      <c r="K53" s="173">
        <v>0.24399999999999999</v>
      </c>
      <c r="L53" s="169">
        <v>1.55</v>
      </c>
      <c r="M53" s="169">
        <v>0.28599999999999998</v>
      </c>
      <c r="N53" s="172">
        <v>0.45500000000000002</v>
      </c>
      <c r="O53" s="173">
        <v>146</v>
      </c>
      <c r="P53" s="169">
        <v>126</v>
      </c>
      <c r="Q53" s="169">
        <v>105</v>
      </c>
      <c r="R53" s="173">
        <v>6.1</v>
      </c>
      <c r="S53" s="169">
        <v>5.25</v>
      </c>
      <c r="T53" s="169">
        <v>0.85</v>
      </c>
      <c r="U53" s="173">
        <v>4.24</v>
      </c>
      <c r="V53" s="177">
        <v>4.08</v>
      </c>
      <c r="W53" s="175">
        <f t="shared" si="2"/>
        <v>1.1623260379973444</v>
      </c>
      <c r="X53" s="176">
        <f t="shared" si="3"/>
        <v>101</v>
      </c>
    </row>
    <row r="54" spans="1:24" ht="15.75" customHeight="1">
      <c r="A54" s="169">
        <v>49</v>
      </c>
      <c r="B54" s="170" t="s">
        <v>838</v>
      </c>
      <c r="C54" s="170" t="s">
        <v>49</v>
      </c>
      <c r="D54" s="169">
        <v>8.18</v>
      </c>
      <c r="E54" s="169">
        <v>3.27</v>
      </c>
      <c r="F54" s="169">
        <v>2.5</v>
      </c>
      <c r="G54" s="169">
        <v>0.82</v>
      </c>
      <c r="H54" s="171">
        <v>0.24399999999999999</v>
      </c>
      <c r="I54" s="172">
        <v>9.8000000000000004E-2</v>
      </c>
      <c r="J54" s="172">
        <v>0.14599999999999999</v>
      </c>
      <c r="K54" s="173">
        <v>0.16200000000000001</v>
      </c>
      <c r="L54" s="169">
        <v>0.91</v>
      </c>
      <c r="M54" s="169">
        <v>0.192</v>
      </c>
      <c r="N54" s="172">
        <v>0.69799999999999995</v>
      </c>
      <c r="O54" s="173">
        <v>61</v>
      </c>
      <c r="P54" s="169">
        <v>89</v>
      </c>
      <c r="Q54" s="169">
        <v>110</v>
      </c>
      <c r="R54" s="173">
        <v>2.4500000000000002</v>
      </c>
      <c r="S54" s="169">
        <v>3.57</v>
      </c>
      <c r="T54" s="169">
        <v>-1.1200000000000001</v>
      </c>
      <c r="U54" s="173">
        <v>4.45</v>
      </c>
      <c r="V54" s="177">
        <v>4.0199999999999996</v>
      </c>
      <c r="W54" s="175">
        <f t="shared" si="2"/>
        <v>1.145233008026795</v>
      </c>
      <c r="X54" s="176">
        <f t="shared" si="3"/>
        <v>100</v>
      </c>
    </row>
    <row r="55" spans="1:24" ht="15.75" customHeight="1">
      <c r="A55" s="169">
        <v>50</v>
      </c>
      <c r="B55" s="170" t="s">
        <v>839</v>
      </c>
      <c r="C55" s="170" t="s">
        <v>80</v>
      </c>
      <c r="D55" s="169">
        <v>8.74</v>
      </c>
      <c r="E55" s="169">
        <v>4.76</v>
      </c>
      <c r="F55" s="169">
        <v>1.83</v>
      </c>
      <c r="G55" s="169">
        <v>0.79</v>
      </c>
      <c r="H55" s="171">
        <v>0.22900000000000001</v>
      </c>
      <c r="I55" s="172">
        <v>0.125</v>
      </c>
      <c r="J55" s="172">
        <v>0.104</v>
      </c>
      <c r="K55" s="173">
        <v>0.2</v>
      </c>
      <c r="L55" s="169">
        <v>1.24</v>
      </c>
      <c r="M55" s="169">
        <v>0.25</v>
      </c>
      <c r="N55" s="172">
        <v>0.89</v>
      </c>
      <c r="O55" s="173">
        <v>61</v>
      </c>
      <c r="P55" s="169">
        <v>111</v>
      </c>
      <c r="Q55" s="169">
        <v>115</v>
      </c>
      <c r="R55" s="173">
        <v>2.38</v>
      </c>
      <c r="S55" s="169">
        <v>4.4400000000000004</v>
      </c>
      <c r="T55" s="169">
        <v>-2.06</v>
      </c>
      <c r="U55" s="173">
        <v>4.67</v>
      </c>
      <c r="V55" s="177">
        <v>4</v>
      </c>
      <c r="W55" s="175">
        <f t="shared" si="2"/>
        <v>1.1395353313699452</v>
      </c>
      <c r="X55" s="176">
        <f t="shared" si="3"/>
        <v>99</v>
      </c>
    </row>
    <row r="56" spans="1:24" ht="15.75" customHeight="1">
      <c r="A56" s="169">
        <v>51</v>
      </c>
      <c r="B56" s="170" t="s">
        <v>840</v>
      </c>
      <c r="C56" s="170" t="s">
        <v>44</v>
      </c>
      <c r="D56" s="169">
        <v>7.59</v>
      </c>
      <c r="E56" s="169">
        <v>4.22</v>
      </c>
      <c r="F56" s="169">
        <v>1.8</v>
      </c>
      <c r="G56" s="169">
        <v>0</v>
      </c>
      <c r="H56" s="171">
        <v>0.20899999999999999</v>
      </c>
      <c r="I56" s="172">
        <v>0.11600000000000001</v>
      </c>
      <c r="J56" s="172">
        <v>9.2999999999999999E-2</v>
      </c>
      <c r="K56" s="173">
        <v>0.158</v>
      </c>
      <c r="L56" s="169">
        <v>1.03</v>
      </c>
      <c r="M56" s="169">
        <v>0.20699999999999999</v>
      </c>
      <c r="N56" s="172">
        <v>0.81799999999999995</v>
      </c>
      <c r="O56" s="173">
        <v>22</v>
      </c>
      <c r="P56" s="169">
        <v>69</v>
      </c>
      <c r="Q56" s="169">
        <v>99</v>
      </c>
      <c r="R56" s="173">
        <v>0.84</v>
      </c>
      <c r="S56" s="169">
        <v>2.84</v>
      </c>
      <c r="T56" s="169">
        <v>-1.99</v>
      </c>
      <c r="U56" s="173">
        <v>4.03</v>
      </c>
      <c r="V56" s="177">
        <v>3.99</v>
      </c>
      <c r="W56" s="175">
        <f t="shared" si="2"/>
        <v>1.1366864930415206</v>
      </c>
      <c r="X56" s="176">
        <f t="shared" si="3"/>
        <v>97</v>
      </c>
    </row>
    <row r="57" spans="1:24" ht="15.75" customHeight="1">
      <c r="A57" s="169">
        <v>52</v>
      </c>
      <c r="B57" s="170" t="s">
        <v>841</v>
      </c>
      <c r="C57" s="170" t="s">
        <v>108</v>
      </c>
      <c r="D57" s="169">
        <v>7.11</v>
      </c>
      <c r="E57" s="169">
        <v>2.84</v>
      </c>
      <c r="F57" s="169">
        <v>2.5</v>
      </c>
      <c r="G57" s="169">
        <v>0.71</v>
      </c>
      <c r="H57" s="171">
        <v>0.2</v>
      </c>
      <c r="I57" s="172">
        <v>0.08</v>
      </c>
      <c r="J57" s="172">
        <v>0.12</v>
      </c>
      <c r="K57" s="173">
        <v>0.19600000000000001</v>
      </c>
      <c r="L57" s="169">
        <v>1.03</v>
      </c>
      <c r="M57" s="169">
        <v>0.22900000000000001</v>
      </c>
      <c r="N57" s="172">
        <v>0.94799999999999995</v>
      </c>
      <c r="O57" s="173">
        <v>32</v>
      </c>
      <c r="P57" s="169">
        <v>82</v>
      </c>
      <c r="Q57" s="169">
        <v>100</v>
      </c>
      <c r="R57" s="173">
        <v>1.42</v>
      </c>
      <c r="S57" s="169">
        <v>3.51</v>
      </c>
      <c r="T57" s="169">
        <v>-2.09</v>
      </c>
      <c r="U57" s="173">
        <v>4.05</v>
      </c>
      <c r="V57" s="177">
        <v>3.99</v>
      </c>
      <c r="W57" s="175">
        <f t="shared" si="2"/>
        <v>1.1366864930415206</v>
      </c>
      <c r="X57" s="176">
        <f t="shared" si="3"/>
        <v>97</v>
      </c>
    </row>
    <row r="58" spans="1:24" ht="15.75" customHeight="1">
      <c r="A58" s="169">
        <v>53</v>
      </c>
      <c r="B58" s="170" t="s">
        <v>842</v>
      </c>
      <c r="C58" s="170" t="s">
        <v>46</v>
      </c>
      <c r="D58" s="169">
        <v>6.75</v>
      </c>
      <c r="E58" s="169">
        <v>3.38</v>
      </c>
      <c r="F58" s="169">
        <v>2</v>
      </c>
      <c r="G58" s="169">
        <v>0</v>
      </c>
      <c r="H58" s="171">
        <v>0.21099999999999999</v>
      </c>
      <c r="I58" s="172">
        <v>0.105</v>
      </c>
      <c r="J58" s="172">
        <v>0.105</v>
      </c>
      <c r="K58" s="173">
        <v>8.7999999999999995E-2</v>
      </c>
      <c r="L58" s="169">
        <v>0.66</v>
      </c>
      <c r="M58" s="169">
        <v>0.115</v>
      </c>
      <c r="N58" s="172">
        <v>1</v>
      </c>
      <c r="O58" s="173">
        <v>0</v>
      </c>
      <c r="P58" s="169">
        <v>66</v>
      </c>
      <c r="Q58" s="169">
        <v>96</v>
      </c>
      <c r="R58" s="173">
        <v>0</v>
      </c>
      <c r="S58" s="169">
        <v>2.74</v>
      </c>
      <c r="T58" s="169">
        <v>-2.74</v>
      </c>
      <c r="U58" s="173">
        <v>3.94</v>
      </c>
      <c r="V58" s="177">
        <v>3.98</v>
      </c>
      <c r="W58" s="175">
        <f t="shared" si="2"/>
        <v>1.1338376547130955</v>
      </c>
      <c r="X58" s="176">
        <f t="shared" si="3"/>
        <v>96</v>
      </c>
    </row>
    <row r="59" spans="1:24" ht="15.75" customHeight="1">
      <c r="A59" s="169">
        <v>54</v>
      </c>
      <c r="B59" s="170" t="s">
        <v>843</v>
      </c>
      <c r="C59" s="170" t="s">
        <v>66</v>
      </c>
      <c r="D59" s="169">
        <v>8.49</v>
      </c>
      <c r="E59" s="169">
        <v>3.86</v>
      </c>
      <c r="F59" s="169">
        <v>2.2000000000000002</v>
      </c>
      <c r="G59" s="169">
        <v>2.31</v>
      </c>
      <c r="H59" s="171">
        <v>0.2</v>
      </c>
      <c r="I59" s="172">
        <v>9.0999999999999998E-2</v>
      </c>
      <c r="J59" s="172">
        <v>0.109</v>
      </c>
      <c r="K59" s="173">
        <v>0.28599999999999998</v>
      </c>
      <c r="L59" s="169">
        <v>1.63</v>
      </c>
      <c r="M59" s="169">
        <v>0.314</v>
      </c>
      <c r="N59" s="172">
        <v>0.75900000000000001</v>
      </c>
      <c r="O59" s="173">
        <v>146</v>
      </c>
      <c r="P59" s="169">
        <v>155</v>
      </c>
      <c r="Q59" s="169">
        <v>110</v>
      </c>
      <c r="R59" s="173">
        <v>6.17</v>
      </c>
      <c r="S59" s="169">
        <v>6.12</v>
      </c>
      <c r="T59" s="169">
        <v>0.05</v>
      </c>
      <c r="U59" s="173">
        <v>4.47</v>
      </c>
      <c r="V59" s="177">
        <v>3.95</v>
      </c>
      <c r="W59" s="175">
        <f t="shared" si="2"/>
        <v>1.1252911397278211</v>
      </c>
      <c r="X59" s="176">
        <f t="shared" si="3"/>
        <v>95</v>
      </c>
    </row>
    <row r="60" spans="1:24" ht="15.75" customHeight="1">
      <c r="A60" s="169">
        <v>55</v>
      </c>
      <c r="B60" s="170" t="s">
        <v>844</v>
      </c>
      <c r="C60" s="170" t="s">
        <v>44</v>
      </c>
      <c r="D60" s="169">
        <v>5.93</v>
      </c>
      <c r="E60" s="169">
        <v>2.63</v>
      </c>
      <c r="F60" s="169">
        <v>2.25</v>
      </c>
      <c r="G60" s="169">
        <v>0</v>
      </c>
      <c r="H60" s="171">
        <v>0.14499999999999999</v>
      </c>
      <c r="I60" s="172">
        <v>6.5000000000000002E-2</v>
      </c>
      <c r="J60" s="172">
        <v>8.1000000000000003E-2</v>
      </c>
      <c r="K60" s="173">
        <v>0.246</v>
      </c>
      <c r="L60" s="169">
        <v>1.32</v>
      </c>
      <c r="M60" s="169">
        <v>0.29199999999999998</v>
      </c>
      <c r="N60" s="172">
        <v>0.63200000000000001</v>
      </c>
      <c r="O60" s="173">
        <v>17</v>
      </c>
      <c r="P60" s="169">
        <v>71</v>
      </c>
      <c r="Q60" s="169">
        <v>104</v>
      </c>
      <c r="R60" s="173">
        <v>0.66</v>
      </c>
      <c r="S60" s="169">
        <v>2.9</v>
      </c>
      <c r="T60" s="169">
        <v>-2.2400000000000002</v>
      </c>
      <c r="U60" s="173">
        <v>4.25</v>
      </c>
      <c r="V60" s="177">
        <v>3.92</v>
      </c>
      <c r="W60" s="175">
        <f t="shared" si="2"/>
        <v>1.1167446247425463</v>
      </c>
      <c r="X60" s="176">
        <f t="shared" si="3"/>
        <v>94</v>
      </c>
    </row>
    <row r="61" spans="1:24" ht="15.75" customHeight="1">
      <c r="A61" s="169">
        <v>56</v>
      </c>
      <c r="B61" s="170" t="s">
        <v>845</v>
      </c>
      <c r="C61" s="170" t="s">
        <v>108</v>
      </c>
      <c r="D61" s="169">
        <v>6.17</v>
      </c>
      <c r="E61" s="169">
        <v>1.54</v>
      </c>
      <c r="F61" s="169">
        <v>4</v>
      </c>
      <c r="G61" s="169">
        <v>0.77</v>
      </c>
      <c r="H61" s="171">
        <v>0.17</v>
      </c>
      <c r="I61" s="172">
        <v>4.2999999999999997E-2</v>
      </c>
      <c r="J61" s="172">
        <v>0.128</v>
      </c>
      <c r="K61" s="173">
        <v>0.159</v>
      </c>
      <c r="L61" s="169">
        <v>0.77</v>
      </c>
      <c r="M61" s="169">
        <v>0.17100000000000001</v>
      </c>
      <c r="N61" s="172">
        <v>0.81399999999999995</v>
      </c>
      <c r="O61" s="173">
        <v>52</v>
      </c>
      <c r="P61" s="169">
        <v>85</v>
      </c>
      <c r="Q61" s="169">
        <v>110</v>
      </c>
      <c r="R61" s="173">
        <v>2.31</v>
      </c>
      <c r="S61" s="169">
        <v>3.63</v>
      </c>
      <c r="T61" s="169">
        <v>-1.32</v>
      </c>
      <c r="U61" s="173">
        <v>4.46</v>
      </c>
      <c r="V61" s="177">
        <v>3.9</v>
      </c>
      <c r="W61" s="175">
        <f t="shared" si="2"/>
        <v>1.1110469480856966</v>
      </c>
      <c r="X61" s="176">
        <f t="shared" si="3"/>
        <v>92</v>
      </c>
    </row>
    <row r="62" spans="1:24" ht="15.75" customHeight="1">
      <c r="A62" s="169">
        <v>57</v>
      </c>
      <c r="B62" s="170" t="s">
        <v>846</v>
      </c>
      <c r="C62" s="170" t="s">
        <v>42</v>
      </c>
      <c r="D62" s="169">
        <v>7.71</v>
      </c>
      <c r="E62" s="169">
        <v>2.31</v>
      </c>
      <c r="F62" s="169">
        <v>3.33</v>
      </c>
      <c r="G62" s="169">
        <v>0</v>
      </c>
      <c r="H62" s="171">
        <v>0.23300000000000001</v>
      </c>
      <c r="I62" s="172">
        <v>7.0000000000000007E-2</v>
      </c>
      <c r="J62" s="172">
        <v>0.16300000000000001</v>
      </c>
      <c r="K62" s="173">
        <v>0.125</v>
      </c>
      <c r="L62" s="169">
        <v>0.69</v>
      </c>
      <c r="M62" s="169">
        <v>0.16700000000000001</v>
      </c>
      <c r="N62" s="172">
        <v>0.875</v>
      </c>
      <c r="O62" s="173">
        <v>19</v>
      </c>
      <c r="P62" s="169">
        <v>50</v>
      </c>
      <c r="Q62" s="169">
        <v>104</v>
      </c>
      <c r="R62" s="173">
        <v>0.77</v>
      </c>
      <c r="S62" s="169">
        <v>2.1800000000000002</v>
      </c>
      <c r="T62" s="169">
        <v>-1.4</v>
      </c>
      <c r="U62" s="173">
        <v>4.24</v>
      </c>
      <c r="V62" s="177">
        <v>3.9</v>
      </c>
      <c r="W62" s="175">
        <f t="shared" si="2"/>
        <v>1.1110469480856966</v>
      </c>
      <c r="X62" s="176">
        <f t="shared" si="3"/>
        <v>92</v>
      </c>
    </row>
    <row r="63" spans="1:24" ht="15.75" customHeight="1">
      <c r="A63" s="169">
        <v>58</v>
      </c>
      <c r="B63" s="170" t="s">
        <v>312</v>
      </c>
      <c r="C63" s="170" t="s">
        <v>40</v>
      </c>
      <c r="D63" s="169">
        <v>7.36</v>
      </c>
      <c r="E63" s="169">
        <v>2.4500000000000002</v>
      </c>
      <c r="F63" s="169">
        <v>3</v>
      </c>
      <c r="G63" s="169">
        <v>0.82</v>
      </c>
      <c r="H63" s="171">
        <v>0.16700000000000001</v>
      </c>
      <c r="I63" s="172">
        <v>5.6000000000000001E-2</v>
      </c>
      <c r="J63" s="172">
        <v>0.111</v>
      </c>
      <c r="K63" s="173">
        <v>0.373</v>
      </c>
      <c r="L63" s="169">
        <v>2</v>
      </c>
      <c r="M63" s="169">
        <v>0.439</v>
      </c>
      <c r="N63" s="172">
        <v>0.34</v>
      </c>
      <c r="O63" s="173">
        <v>305</v>
      </c>
      <c r="P63" s="169">
        <v>83</v>
      </c>
      <c r="Q63" s="169">
        <v>94</v>
      </c>
      <c r="R63" s="173">
        <v>12.27</v>
      </c>
      <c r="S63" s="169">
        <v>3.48</v>
      </c>
      <c r="T63" s="169">
        <v>8.7899999999999991</v>
      </c>
      <c r="U63" s="173">
        <v>3.84</v>
      </c>
      <c r="V63" s="177">
        <v>3.83</v>
      </c>
      <c r="W63" s="175">
        <f t="shared" si="2"/>
        <v>1.0911050797867228</v>
      </c>
      <c r="X63" s="176">
        <f t="shared" si="3"/>
        <v>91</v>
      </c>
    </row>
    <row r="64" spans="1:24" ht="15.75" customHeight="1">
      <c r="A64" s="169">
        <v>59</v>
      </c>
      <c r="B64" s="170" t="s">
        <v>847</v>
      </c>
      <c r="C64" s="170" t="s">
        <v>60</v>
      </c>
      <c r="D64" s="169">
        <v>4.91</v>
      </c>
      <c r="E64" s="169">
        <v>1.64</v>
      </c>
      <c r="F64" s="169">
        <v>3</v>
      </c>
      <c r="G64" s="169">
        <v>0</v>
      </c>
      <c r="H64" s="171">
        <v>0.14299999999999999</v>
      </c>
      <c r="I64" s="172">
        <v>4.8000000000000001E-2</v>
      </c>
      <c r="J64" s="172">
        <v>9.5000000000000001E-2</v>
      </c>
      <c r="K64" s="173">
        <v>0.22500000000000001</v>
      </c>
      <c r="L64" s="169">
        <v>1</v>
      </c>
      <c r="M64" s="169">
        <v>0.26500000000000001</v>
      </c>
      <c r="N64" s="172">
        <v>0.81799999999999995</v>
      </c>
      <c r="O64" s="173">
        <v>21</v>
      </c>
      <c r="P64" s="169">
        <v>62</v>
      </c>
      <c r="Q64" s="169">
        <v>94</v>
      </c>
      <c r="R64" s="173">
        <v>0.82</v>
      </c>
      <c r="S64" s="169">
        <v>2.57</v>
      </c>
      <c r="T64" s="169">
        <v>-1.76</v>
      </c>
      <c r="U64" s="173">
        <v>3.86</v>
      </c>
      <c r="V64" s="177">
        <v>3.81</v>
      </c>
      <c r="W64" s="175">
        <f t="shared" si="2"/>
        <v>1.0854074031298728</v>
      </c>
      <c r="X64" s="176">
        <f t="shared" si="3"/>
        <v>90</v>
      </c>
    </row>
    <row r="65" spans="1:24" ht="15.75" customHeight="1">
      <c r="A65" s="169">
        <v>60</v>
      </c>
      <c r="B65" s="170" t="s">
        <v>848</v>
      </c>
      <c r="C65" s="170" t="s">
        <v>44</v>
      </c>
      <c r="D65" s="169">
        <v>6.23</v>
      </c>
      <c r="E65" s="169">
        <v>2.08</v>
      </c>
      <c r="F65" s="169">
        <v>3</v>
      </c>
      <c r="G65" s="169">
        <v>0</v>
      </c>
      <c r="H65" s="171">
        <v>0.19600000000000001</v>
      </c>
      <c r="I65" s="172">
        <v>6.5000000000000002E-2</v>
      </c>
      <c r="J65" s="172">
        <v>0.13</v>
      </c>
      <c r="K65" s="173">
        <v>0.16700000000000001</v>
      </c>
      <c r="L65" s="169">
        <v>0.77</v>
      </c>
      <c r="M65" s="169">
        <v>0.21199999999999999</v>
      </c>
      <c r="N65" s="172">
        <v>0.81799999999999995</v>
      </c>
      <c r="O65" s="173">
        <v>35</v>
      </c>
      <c r="P65" s="169">
        <v>65</v>
      </c>
      <c r="Q65" s="169">
        <v>100</v>
      </c>
      <c r="R65" s="173">
        <v>1.38</v>
      </c>
      <c r="S65" s="169">
        <v>2.66</v>
      </c>
      <c r="T65" s="169">
        <v>-1.27</v>
      </c>
      <c r="U65" s="173">
        <v>4.07</v>
      </c>
      <c r="V65" s="177">
        <v>3.71</v>
      </c>
      <c r="W65" s="175">
        <f t="shared" si="2"/>
        <v>1.0569190198456242</v>
      </c>
      <c r="X65" s="176">
        <f t="shared" si="3"/>
        <v>89</v>
      </c>
    </row>
    <row r="66" spans="1:24" ht="15.75" customHeight="1">
      <c r="A66" s="169">
        <v>61</v>
      </c>
      <c r="B66" s="170" t="s">
        <v>849</v>
      </c>
      <c r="C66" s="170" t="s">
        <v>60</v>
      </c>
      <c r="D66" s="169">
        <v>9.58</v>
      </c>
      <c r="E66" s="169">
        <v>4.3499999999999996</v>
      </c>
      <c r="F66" s="169">
        <v>2.2000000000000002</v>
      </c>
      <c r="G66" s="169">
        <v>0.87</v>
      </c>
      <c r="H66" s="171">
        <v>0.25</v>
      </c>
      <c r="I66" s="172">
        <v>0.114</v>
      </c>
      <c r="J66" s="172">
        <v>0.13600000000000001</v>
      </c>
      <c r="K66" s="173">
        <v>0.20499999999999999</v>
      </c>
      <c r="L66" s="169">
        <v>1.26</v>
      </c>
      <c r="M66" s="169">
        <v>0.25900000000000001</v>
      </c>
      <c r="N66" s="172">
        <v>0.60299999999999998</v>
      </c>
      <c r="O66" s="173">
        <v>132</v>
      </c>
      <c r="P66" s="169">
        <v>90</v>
      </c>
      <c r="Q66" s="169">
        <v>86</v>
      </c>
      <c r="R66" s="173">
        <v>5.23</v>
      </c>
      <c r="S66" s="169">
        <v>3.7</v>
      </c>
      <c r="T66" s="169">
        <v>1.53</v>
      </c>
      <c r="U66" s="173">
        <v>3.54</v>
      </c>
      <c r="V66" s="177">
        <v>3.7</v>
      </c>
      <c r="W66" s="175">
        <f t="shared" si="2"/>
        <v>1.0540701815171996</v>
      </c>
      <c r="X66" s="176">
        <f t="shared" si="3"/>
        <v>88</v>
      </c>
    </row>
    <row r="67" spans="1:24" ht="15.75" customHeight="1">
      <c r="A67" s="169">
        <v>62</v>
      </c>
      <c r="B67" s="170" t="s">
        <v>850</v>
      </c>
      <c r="C67" s="170" t="s">
        <v>88</v>
      </c>
      <c r="D67" s="169">
        <v>8.49</v>
      </c>
      <c r="E67" s="169">
        <v>3.86</v>
      </c>
      <c r="F67" s="169">
        <v>2.2000000000000002</v>
      </c>
      <c r="G67" s="169">
        <v>0.77</v>
      </c>
      <c r="H67" s="171">
        <v>0.25</v>
      </c>
      <c r="I67" s="172">
        <v>0.114</v>
      </c>
      <c r="J67" s="172">
        <v>0.13600000000000001</v>
      </c>
      <c r="K67" s="173">
        <v>0.10299999999999999</v>
      </c>
      <c r="L67" s="169">
        <v>0.77</v>
      </c>
      <c r="M67" s="169">
        <v>0.111</v>
      </c>
      <c r="N67" s="172">
        <v>0.92100000000000004</v>
      </c>
      <c r="O67" s="173">
        <v>38</v>
      </c>
      <c r="P67" s="169">
        <v>92</v>
      </c>
      <c r="Q67" s="169">
        <v>90</v>
      </c>
      <c r="R67" s="173">
        <v>1.54</v>
      </c>
      <c r="S67" s="169">
        <v>3.63</v>
      </c>
      <c r="T67" s="169">
        <v>-2.09</v>
      </c>
      <c r="U67" s="173">
        <v>3.61</v>
      </c>
      <c r="V67" s="177">
        <v>3.68</v>
      </c>
      <c r="W67" s="175">
        <f t="shared" si="2"/>
        <v>1.0483725048603498</v>
      </c>
      <c r="X67" s="176">
        <f t="shared" si="3"/>
        <v>86</v>
      </c>
    </row>
    <row r="68" spans="1:24" ht="15.75" customHeight="1">
      <c r="A68" s="169">
        <v>63</v>
      </c>
      <c r="B68" s="170" t="s">
        <v>851</v>
      </c>
      <c r="C68" s="170" t="s">
        <v>64</v>
      </c>
      <c r="D68" s="169">
        <v>8.7899999999999991</v>
      </c>
      <c r="E68" s="169">
        <v>1.88</v>
      </c>
      <c r="F68" s="169">
        <v>4.67</v>
      </c>
      <c r="G68" s="169">
        <v>0</v>
      </c>
      <c r="H68" s="171">
        <v>0.26400000000000001</v>
      </c>
      <c r="I68" s="172">
        <v>5.7000000000000002E-2</v>
      </c>
      <c r="J68" s="172">
        <v>0.20799999999999999</v>
      </c>
      <c r="K68" s="173">
        <v>0.122</v>
      </c>
      <c r="L68" s="169">
        <v>0.63</v>
      </c>
      <c r="M68" s="169">
        <v>0.17100000000000001</v>
      </c>
      <c r="N68" s="172">
        <v>0.8</v>
      </c>
      <c r="O68" s="173">
        <v>32</v>
      </c>
      <c r="P68" s="169">
        <v>48</v>
      </c>
      <c r="Q68" s="169">
        <v>102</v>
      </c>
      <c r="R68" s="173">
        <v>1.26</v>
      </c>
      <c r="S68" s="169">
        <v>2</v>
      </c>
      <c r="T68" s="169">
        <v>-0.75</v>
      </c>
      <c r="U68" s="173">
        <v>4.17</v>
      </c>
      <c r="V68" s="177">
        <v>3.68</v>
      </c>
      <c r="W68" s="175">
        <f t="shared" si="2"/>
        <v>1.0483725048603498</v>
      </c>
      <c r="X68" s="176">
        <f t="shared" si="3"/>
        <v>86</v>
      </c>
    </row>
    <row r="69" spans="1:24" ht="15.75" customHeight="1">
      <c r="A69" s="169">
        <v>64</v>
      </c>
      <c r="B69" s="170" t="s">
        <v>852</v>
      </c>
      <c r="C69" s="170" t="s">
        <v>58</v>
      </c>
      <c r="D69" s="169">
        <v>9.49</v>
      </c>
      <c r="E69" s="169">
        <v>3.65</v>
      </c>
      <c r="F69" s="169">
        <v>2.6</v>
      </c>
      <c r="G69" s="169">
        <v>0.73</v>
      </c>
      <c r="H69" s="171">
        <v>0.23200000000000001</v>
      </c>
      <c r="I69" s="172">
        <v>8.8999999999999996E-2</v>
      </c>
      <c r="J69" s="172">
        <v>0.14299999999999999</v>
      </c>
      <c r="K69" s="173">
        <v>0.21299999999999999</v>
      </c>
      <c r="L69" s="169">
        <v>1.22</v>
      </c>
      <c r="M69" s="169">
        <v>0.27300000000000002</v>
      </c>
      <c r="N69" s="172">
        <v>0.79500000000000004</v>
      </c>
      <c r="O69" s="173">
        <v>88</v>
      </c>
      <c r="P69" s="169">
        <v>104</v>
      </c>
      <c r="Q69" s="169">
        <v>121</v>
      </c>
      <c r="R69" s="173">
        <v>3.65</v>
      </c>
      <c r="S69" s="169">
        <v>4.25</v>
      </c>
      <c r="T69" s="169">
        <v>-0.61</v>
      </c>
      <c r="U69" s="173">
        <v>4.92</v>
      </c>
      <c r="V69" s="177">
        <v>3.66</v>
      </c>
      <c r="W69" s="175">
        <f t="shared" si="2"/>
        <v>1.0426748282035001</v>
      </c>
      <c r="X69" s="176">
        <f t="shared" si="3"/>
        <v>84</v>
      </c>
    </row>
    <row r="70" spans="1:24" ht="15.75" customHeight="1">
      <c r="A70" s="169">
        <v>65</v>
      </c>
      <c r="B70" s="170" t="s">
        <v>853</v>
      </c>
      <c r="C70" s="170" t="s">
        <v>76</v>
      </c>
      <c r="D70" s="169">
        <v>8.74</v>
      </c>
      <c r="E70" s="169">
        <v>3.97</v>
      </c>
      <c r="F70" s="169">
        <v>2.2000000000000002</v>
      </c>
      <c r="G70" s="169">
        <v>1.59</v>
      </c>
      <c r="H70" s="171">
        <v>0.23899999999999999</v>
      </c>
      <c r="I70" s="172">
        <v>0.109</v>
      </c>
      <c r="J70" s="172">
        <v>0.13</v>
      </c>
      <c r="K70" s="173">
        <v>0.14599999999999999</v>
      </c>
      <c r="L70" s="169">
        <v>0.97</v>
      </c>
      <c r="M70" s="169">
        <v>0.14299999999999999</v>
      </c>
      <c r="N70" s="172">
        <v>0.61</v>
      </c>
      <c r="O70" s="173">
        <v>113</v>
      </c>
      <c r="P70" s="169">
        <v>120</v>
      </c>
      <c r="Q70" s="169">
        <v>90</v>
      </c>
      <c r="R70" s="173">
        <v>4.76</v>
      </c>
      <c r="S70" s="169">
        <v>4.8</v>
      </c>
      <c r="T70" s="169">
        <v>-0.03</v>
      </c>
      <c r="U70" s="173">
        <v>3.62</v>
      </c>
      <c r="V70" s="177">
        <v>3.66</v>
      </c>
      <c r="W70" s="175">
        <f t="shared" ref="W70:W101" si="4">V70/$V$176</f>
        <v>1.0426748282035001</v>
      </c>
      <c r="X70" s="176">
        <f t="shared" ref="X70:X101" si="5">RANK(W70,$W$6:$W$175,1)</f>
        <v>84</v>
      </c>
    </row>
    <row r="71" spans="1:24" ht="15.75" customHeight="1">
      <c r="A71" s="169">
        <v>66</v>
      </c>
      <c r="B71" s="170" t="s">
        <v>854</v>
      </c>
      <c r="C71" s="170" t="s">
        <v>93</v>
      </c>
      <c r="D71" s="169">
        <v>8.7799999999999994</v>
      </c>
      <c r="E71" s="169">
        <v>2.7</v>
      </c>
      <c r="F71" s="169">
        <v>3.25</v>
      </c>
      <c r="G71" s="169">
        <v>0</v>
      </c>
      <c r="H71" s="171">
        <v>0.29499999999999998</v>
      </c>
      <c r="I71" s="172">
        <v>9.0999999999999998E-2</v>
      </c>
      <c r="J71" s="172">
        <v>0.20499999999999999</v>
      </c>
      <c r="K71" s="173">
        <v>2.5999999999999999E-2</v>
      </c>
      <c r="L71" s="169">
        <v>0.38</v>
      </c>
      <c r="M71" s="169">
        <v>3.7999999999999999E-2</v>
      </c>
      <c r="N71" s="172">
        <v>0.83299999999999996</v>
      </c>
      <c r="O71" s="173">
        <v>17</v>
      </c>
      <c r="P71" s="169">
        <v>55</v>
      </c>
      <c r="Q71" s="169">
        <v>106</v>
      </c>
      <c r="R71" s="173">
        <v>0.68</v>
      </c>
      <c r="S71" s="169">
        <v>2.29</v>
      </c>
      <c r="T71" s="169">
        <v>-1.62</v>
      </c>
      <c r="U71" s="173">
        <v>4.3099999999999996</v>
      </c>
      <c r="V71" s="177">
        <v>3.63</v>
      </c>
      <c r="W71" s="175">
        <f t="shared" si="4"/>
        <v>1.0341283132182253</v>
      </c>
      <c r="X71" s="176">
        <f t="shared" si="5"/>
        <v>83</v>
      </c>
    </row>
    <row r="72" spans="1:24" ht="15.75" customHeight="1">
      <c r="A72" s="169">
        <v>67</v>
      </c>
      <c r="B72" s="170" t="s">
        <v>855</v>
      </c>
      <c r="C72" s="170" t="s">
        <v>58</v>
      </c>
      <c r="D72" s="169">
        <v>8.16</v>
      </c>
      <c r="E72" s="169">
        <v>3.77</v>
      </c>
      <c r="F72" s="169">
        <v>2.17</v>
      </c>
      <c r="G72" s="169">
        <v>0</v>
      </c>
      <c r="H72" s="171">
        <v>0.19400000000000001</v>
      </c>
      <c r="I72" s="172">
        <v>0.09</v>
      </c>
      <c r="J72" s="172">
        <v>0.104</v>
      </c>
      <c r="K72" s="173">
        <v>0.30499999999999999</v>
      </c>
      <c r="L72" s="169">
        <v>1.67</v>
      </c>
      <c r="M72" s="169">
        <v>0.39100000000000001</v>
      </c>
      <c r="N72" s="172">
        <v>0.5</v>
      </c>
      <c r="O72" s="173">
        <v>197</v>
      </c>
      <c r="P72" s="169">
        <v>74</v>
      </c>
      <c r="Q72" s="169">
        <v>98</v>
      </c>
      <c r="R72" s="173">
        <v>8.16</v>
      </c>
      <c r="S72" s="169">
        <v>2.98</v>
      </c>
      <c r="T72" s="169">
        <v>5.18</v>
      </c>
      <c r="U72" s="173">
        <v>3.97</v>
      </c>
      <c r="V72" s="177">
        <v>3.62</v>
      </c>
      <c r="W72" s="175">
        <f t="shared" si="4"/>
        <v>1.0312794748898007</v>
      </c>
      <c r="X72" s="176">
        <f t="shared" si="5"/>
        <v>81</v>
      </c>
    </row>
    <row r="73" spans="1:24" ht="15.75" customHeight="1">
      <c r="A73" s="169">
        <v>68</v>
      </c>
      <c r="B73" s="170" t="s">
        <v>856</v>
      </c>
      <c r="C73" s="170" t="s">
        <v>143</v>
      </c>
      <c r="D73" s="169">
        <v>10.130000000000001</v>
      </c>
      <c r="E73" s="169">
        <v>5.0599999999999996</v>
      </c>
      <c r="F73" s="169">
        <v>2</v>
      </c>
      <c r="G73" s="169">
        <v>0.84</v>
      </c>
      <c r="H73" s="171">
        <v>0.25</v>
      </c>
      <c r="I73" s="172">
        <v>0.125</v>
      </c>
      <c r="J73" s="172">
        <v>0.125</v>
      </c>
      <c r="K73" s="173">
        <v>0.28599999999999998</v>
      </c>
      <c r="L73" s="169">
        <v>1.69</v>
      </c>
      <c r="M73" s="169">
        <v>0.379</v>
      </c>
      <c r="N73" s="172">
        <v>0.72299999999999998</v>
      </c>
      <c r="O73" s="173">
        <v>124</v>
      </c>
      <c r="P73" s="169">
        <v>92</v>
      </c>
      <c r="Q73" s="169">
        <v>83</v>
      </c>
      <c r="R73" s="173">
        <v>5.0599999999999996</v>
      </c>
      <c r="S73" s="169">
        <v>3.78</v>
      </c>
      <c r="T73" s="169">
        <v>1.29</v>
      </c>
      <c r="U73" s="173">
        <v>3.35</v>
      </c>
      <c r="V73" s="177">
        <v>3.62</v>
      </c>
      <c r="W73" s="175">
        <f t="shared" si="4"/>
        <v>1.0312794748898007</v>
      </c>
      <c r="X73" s="176">
        <f t="shared" si="5"/>
        <v>81</v>
      </c>
    </row>
    <row r="74" spans="1:24" ht="15.75" customHeight="1">
      <c r="A74" s="169">
        <v>69</v>
      </c>
      <c r="B74" s="170" t="s">
        <v>857</v>
      </c>
      <c r="C74" s="170" t="s">
        <v>126</v>
      </c>
      <c r="D74" s="169">
        <v>6.59</v>
      </c>
      <c r="E74" s="169">
        <v>3.29</v>
      </c>
      <c r="F74" s="169">
        <v>2</v>
      </c>
      <c r="G74" s="169">
        <v>0</v>
      </c>
      <c r="H74" s="171">
        <v>0.192</v>
      </c>
      <c r="I74" s="172">
        <v>9.6000000000000002E-2</v>
      </c>
      <c r="J74" s="172">
        <v>9.6000000000000002E-2</v>
      </c>
      <c r="K74" s="173">
        <v>0.191</v>
      </c>
      <c r="L74" s="169">
        <v>1.02</v>
      </c>
      <c r="M74" s="169">
        <v>0.24299999999999999</v>
      </c>
      <c r="N74" s="172">
        <v>0.78600000000000003</v>
      </c>
      <c r="O74" s="173">
        <v>49</v>
      </c>
      <c r="P74" s="169">
        <v>72</v>
      </c>
      <c r="Q74" s="169">
        <v>94</v>
      </c>
      <c r="R74" s="173">
        <v>1.98</v>
      </c>
      <c r="S74" s="169">
        <v>2.75</v>
      </c>
      <c r="T74" s="169">
        <v>-0.78</v>
      </c>
      <c r="U74" s="173">
        <v>3.79</v>
      </c>
      <c r="V74" s="177">
        <v>3.58</v>
      </c>
      <c r="W74" s="175">
        <f t="shared" si="4"/>
        <v>1.019884121576101</v>
      </c>
      <c r="X74" s="176">
        <f t="shared" si="5"/>
        <v>79</v>
      </c>
    </row>
    <row r="75" spans="1:24" ht="15.75" customHeight="1">
      <c r="A75" s="169">
        <v>70</v>
      </c>
      <c r="B75" s="170" t="s">
        <v>858</v>
      </c>
      <c r="C75" s="170" t="s">
        <v>68</v>
      </c>
      <c r="D75" s="169">
        <v>7.36</v>
      </c>
      <c r="E75" s="169">
        <v>1.84</v>
      </c>
      <c r="F75" s="169">
        <v>4</v>
      </c>
      <c r="G75" s="169">
        <v>0.61</v>
      </c>
      <c r="H75" s="171">
        <v>0.185</v>
      </c>
      <c r="I75" s="172">
        <v>4.5999999999999999E-2</v>
      </c>
      <c r="J75" s="172">
        <v>0.13800000000000001</v>
      </c>
      <c r="K75" s="173">
        <v>0.26700000000000002</v>
      </c>
      <c r="L75" s="169">
        <v>1.3</v>
      </c>
      <c r="M75" s="169">
        <v>0.31900000000000001</v>
      </c>
      <c r="N75" s="172">
        <v>0.71399999999999997</v>
      </c>
      <c r="O75" s="173">
        <v>103</v>
      </c>
      <c r="P75" s="169">
        <v>82</v>
      </c>
      <c r="Q75" s="169">
        <v>100</v>
      </c>
      <c r="R75" s="173">
        <v>4.3</v>
      </c>
      <c r="S75" s="169">
        <v>3.39</v>
      </c>
      <c r="T75" s="169">
        <v>0.9</v>
      </c>
      <c r="U75" s="173">
        <v>4.05</v>
      </c>
      <c r="V75" s="177">
        <v>3.58</v>
      </c>
      <c r="W75" s="175">
        <f t="shared" si="4"/>
        <v>1.019884121576101</v>
      </c>
      <c r="X75" s="176">
        <f t="shared" si="5"/>
        <v>79</v>
      </c>
    </row>
    <row r="76" spans="1:24" ht="15.75" customHeight="1">
      <c r="A76" s="169">
        <v>71</v>
      </c>
      <c r="B76" s="170" t="s">
        <v>859</v>
      </c>
      <c r="C76" s="170" t="s">
        <v>64</v>
      </c>
      <c r="D76" s="169">
        <v>7.71</v>
      </c>
      <c r="E76" s="169">
        <v>2.31</v>
      </c>
      <c r="F76" s="169">
        <v>3.33</v>
      </c>
      <c r="G76" s="169">
        <v>0.77</v>
      </c>
      <c r="H76" s="171">
        <v>0.21299999999999999</v>
      </c>
      <c r="I76" s="172">
        <v>6.4000000000000001E-2</v>
      </c>
      <c r="J76" s="172">
        <v>0.14899999999999999</v>
      </c>
      <c r="K76" s="173">
        <v>0.186</v>
      </c>
      <c r="L76" s="169">
        <v>0.94</v>
      </c>
      <c r="M76" s="169">
        <v>0.219</v>
      </c>
      <c r="N76" s="172">
        <v>0.84899999999999998</v>
      </c>
      <c r="O76" s="173">
        <v>59</v>
      </c>
      <c r="P76" s="169">
        <v>87</v>
      </c>
      <c r="Q76" s="169">
        <v>92</v>
      </c>
      <c r="R76" s="173">
        <v>2.31</v>
      </c>
      <c r="S76" s="169">
        <v>3.55</v>
      </c>
      <c r="T76" s="169">
        <v>-1.23</v>
      </c>
      <c r="U76" s="173">
        <v>3.77</v>
      </c>
      <c r="V76" s="177">
        <v>3.56</v>
      </c>
      <c r="W76" s="175">
        <f t="shared" si="4"/>
        <v>1.0141864449192513</v>
      </c>
      <c r="X76" s="176">
        <f t="shared" si="5"/>
        <v>78</v>
      </c>
    </row>
    <row r="77" spans="1:24" ht="15.75" customHeight="1">
      <c r="A77" s="169">
        <v>72</v>
      </c>
      <c r="B77" s="170" t="s">
        <v>860</v>
      </c>
      <c r="C77" s="170" t="s">
        <v>100</v>
      </c>
      <c r="D77" s="169">
        <v>8.25</v>
      </c>
      <c r="E77" s="169">
        <v>2.25</v>
      </c>
      <c r="F77" s="169">
        <v>3.67</v>
      </c>
      <c r="G77" s="169">
        <v>2.25</v>
      </c>
      <c r="H77" s="171">
        <v>0.224</v>
      </c>
      <c r="I77" s="172">
        <v>6.0999999999999999E-2</v>
      </c>
      <c r="J77" s="172">
        <v>0.16300000000000001</v>
      </c>
      <c r="K77" s="173">
        <v>0.28299999999999997</v>
      </c>
      <c r="L77" s="169">
        <v>1.33</v>
      </c>
      <c r="M77" s="169">
        <v>0.313</v>
      </c>
      <c r="N77" s="172">
        <v>0.93200000000000005</v>
      </c>
      <c r="O77" s="173">
        <v>99</v>
      </c>
      <c r="P77" s="169">
        <v>134</v>
      </c>
      <c r="Q77" s="169">
        <v>90</v>
      </c>
      <c r="R77" s="173">
        <v>3.75</v>
      </c>
      <c r="S77" s="169">
        <v>5.29</v>
      </c>
      <c r="T77" s="169">
        <v>-1.54</v>
      </c>
      <c r="U77" s="173">
        <v>3.69</v>
      </c>
      <c r="V77" s="177">
        <v>3.45</v>
      </c>
      <c r="W77" s="175">
        <f t="shared" si="4"/>
        <v>0.98284922330657787</v>
      </c>
      <c r="X77" s="176">
        <f t="shared" si="5"/>
        <v>77</v>
      </c>
    </row>
    <row r="78" spans="1:24" ht="15.75" customHeight="1">
      <c r="A78" s="169">
        <v>73</v>
      </c>
      <c r="B78" s="170" t="s">
        <v>861</v>
      </c>
      <c r="C78" s="170" t="s">
        <v>93</v>
      </c>
      <c r="D78" s="169">
        <v>7.59</v>
      </c>
      <c r="E78" s="169">
        <v>1.69</v>
      </c>
      <c r="F78" s="169">
        <v>4.5</v>
      </c>
      <c r="G78" s="169">
        <v>3.38</v>
      </c>
      <c r="H78" s="171">
        <v>0.20499999999999999</v>
      </c>
      <c r="I78" s="172">
        <v>4.4999999999999998E-2</v>
      </c>
      <c r="J78" s="172">
        <v>0.159</v>
      </c>
      <c r="K78" s="173">
        <v>0.29299999999999998</v>
      </c>
      <c r="L78" s="169">
        <v>1.31</v>
      </c>
      <c r="M78" s="169">
        <v>0.28599999999999998</v>
      </c>
      <c r="N78" s="172">
        <v>1</v>
      </c>
      <c r="O78" s="173">
        <v>108</v>
      </c>
      <c r="P78" s="169">
        <v>178</v>
      </c>
      <c r="Q78" s="169">
        <v>98</v>
      </c>
      <c r="R78" s="173">
        <v>4.22</v>
      </c>
      <c r="S78" s="169">
        <v>7.15</v>
      </c>
      <c r="T78" s="169">
        <v>-2.93</v>
      </c>
      <c r="U78" s="173">
        <v>4</v>
      </c>
      <c r="V78" s="177">
        <v>3.42</v>
      </c>
      <c r="W78" s="175">
        <f t="shared" si="4"/>
        <v>0.97430270832130328</v>
      </c>
      <c r="X78" s="176">
        <f t="shared" si="5"/>
        <v>76</v>
      </c>
    </row>
    <row r="79" spans="1:24" ht="15.75" customHeight="1">
      <c r="A79" s="169">
        <v>74</v>
      </c>
      <c r="B79" s="170" t="s">
        <v>862</v>
      </c>
      <c r="C79" s="170" t="s">
        <v>126</v>
      </c>
      <c r="D79" s="169">
        <v>10.32</v>
      </c>
      <c r="E79" s="169">
        <v>3.97</v>
      </c>
      <c r="F79" s="169">
        <v>2.6</v>
      </c>
      <c r="G79" s="169">
        <v>1.59</v>
      </c>
      <c r="H79" s="171">
        <v>0.26500000000000001</v>
      </c>
      <c r="I79" s="172">
        <v>0.10199999999999999</v>
      </c>
      <c r="J79" s="172">
        <v>0.16300000000000001</v>
      </c>
      <c r="K79" s="173">
        <v>0.20899999999999999</v>
      </c>
      <c r="L79" s="169">
        <v>1.24</v>
      </c>
      <c r="M79" s="169">
        <v>0.25</v>
      </c>
      <c r="N79" s="172">
        <v>0.65600000000000003</v>
      </c>
      <c r="O79" s="173">
        <v>59</v>
      </c>
      <c r="P79" s="169">
        <v>120</v>
      </c>
      <c r="Q79" s="169">
        <v>97</v>
      </c>
      <c r="R79" s="173">
        <v>2.38</v>
      </c>
      <c r="S79" s="169">
        <v>4.71</v>
      </c>
      <c r="T79" s="169">
        <v>-2.3199999999999998</v>
      </c>
      <c r="U79" s="173">
        <v>3.91</v>
      </c>
      <c r="V79" s="177">
        <v>3.39</v>
      </c>
      <c r="W79" s="175">
        <f t="shared" si="4"/>
        <v>0.96575619333602869</v>
      </c>
      <c r="X79" s="176">
        <f t="shared" si="5"/>
        <v>75</v>
      </c>
    </row>
    <row r="80" spans="1:24" ht="15.75" customHeight="1">
      <c r="A80" s="169">
        <v>75</v>
      </c>
      <c r="B80" s="170" t="s">
        <v>863</v>
      </c>
      <c r="C80" s="170" t="s">
        <v>88</v>
      </c>
      <c r="D80" s="169">
        <v>9.26</v>
      </c>
      <c r="E80" s="169">
        <v>3.86</v>
      </c>
      <c r="F80" s="169">
        <v>2.4</v>
      </c>
      <c r="G80" s="169">
        <v>0</v>
      </c>
      <c r="H80" s="171">
        <v>0.245</v>
      </c>
      <c r="I80" s="172">
        <v>0.10199999999999999</v>
      </c>
      <c r="J80" s="172">
        <v>0.14299999999999999</v>
      </c>
      <c r="K80" s="173">
        <v>0.22700000000000001</v>
      </c>
      <c r="L80" s="169">
        <v>1.29</v>
      </c>
      <c r="M80" s="169">
        <v>0.313</v>
      </c>
      <c r="N80" s="172">
        <v>0.53300000000000003</v>
      </c>
      <c r="O80" s="173">
        <v>95</v>
      </c>
      <c r="P80" s="169">
        <v>61</v>
      </c>
      <c r="Q80" s="169">
        <v>88</v>
      </c>
      <c r="R80" s="173">
        <v>3.86</v>
      </c>
      <c r="S80" s="169">
        <v>2.35</v>
      </c>
      <c r="T80" s="169">
        <v>1.51</v>
      </c>
      <c r="U80" s="173">
        <v>3.56</v>
      </c>
      <c r="V80" s="177">
        <v>3.35</v>
      </c>
      <c r="W80" s="175">
        <f t="shared" si="4"/>
        <v>0.95436084002232924</v>
      </c>
      <c r="X80" s="176">
        <f t="shared" si="5"/>
        <v>74</v>
      </c>
    </row>
    <row r="81" spans="1:24" ht="15.75" customHeight="1">
      <c r="A81" s="169">
        <v>76</v>
      </c>
      <c r="B81" s="170" t="s">
        <v>864</v>
      </c>
      <c r="C81" s="170" t="s">
        <v>91</v>
      </c>
      <c r="D81" s="169">
        <v>10.130000000000001</v>
      </c>
      <c r="E81" s="169">
        <v>3.38</v>
      </c>
      <c r="F81" s="169">
        <v>3</v>
      </c>
      <c r="G81" s="169">
        <v>0.84</v>
      </c>
      <c r="H81" s="171">
        <v>0.27300000000000002</v>
      </c>
      <c r="I81" s="172">
        <v>9.0999999999999998E-2</v>
      </c>
      <c r="J81" s="172">
        <v>0.182</v>
      </c>
      <c r="K81" s="173">
        <v>0.22500000000000001</v>
      </c>
      <c r="L81" s="169">
        <v>1.22</v>
      </c>
      <c r="M81" s="169">
        <v>0.29599999999999999</v>
      </c>
      <c r="N81" s="172">
        <v>0.94799999999999995</v>
      </c>
      <c r="O81" s="173">
        <v>21</v>
      </c>
      <c r="P81" s="169">
        <v>81</v>
      </c>
      <c r="Q81" s="169">
        <v>92</v>
      </c>
      <c r="R81" s="173">
        <v>0.84</v>
      </c>
      <c r="S81" s="169">
        <v>3.21</v>
      </c>
      <c r="T81" s="169">
        <v>-2.37</v>
      </c>
      <c r="U81" s="173">
        <v>3.72</v>
      </c>
      <c r="V81" s="177">
        <v>3.33</v>
      </c>
      <c r="W81" s="175">
        <f t="shared" si="4"/>
        <v>0.94866316336547951</v>
      </c>
      <c r="X81" s="176">
        <f t="shared" si="5"/>
        <v>72</v>
      </c>
    </row>
    <row r="82" spans="1:24" ht="15.75" customHeight="1">
      <c r="A82" s="169">
        <v>77</v>
      </c>
      <c r="B82" s="170" t="s">
        <v>865</v>
      </c>
      <c r="C82" s="170" t="s">
        <v>108</v>
      </c>
      <c r="D82" s="169">
        <v>12.27</v>
      </c>
      <c r="E82" s="169">
        <v>5.52</v>
      </c>
      <c r="F82" s="169">
        <v>2.2200000000000002</v>
      </c>
      <c r="G82" s="169">
        <v>0.61</v>
      </c>
      <c r="H82" s="171">
        <v>0.29399999999999998</v>
      </c>
      <c r="I82" s="172">
        <v>0.13200000000000001</v>
      </c>
      <c r="J82" s="172">
        <v>0.16200000000000001</v>
      </c>
      <c r="K82" s="173">
        <v>0.22</v>
      </c>
      <c r="L82" s="169">
        <v>1.5</v>
      </c>
      <c r="M82" s="169">
        <v>0.316</v>
      </c>
      <c r="N82" s="172">
        <v>0.53400000000000003</v>
      </c>
      <c r="O82" s="173">
        <v>83</v>
      </c>
      <c r="P82" s="169">
        <v>73</v>
      </c>
      <c r="Q82" s="169">
        <v>80</v>
      </c>
      <c r="R82" s="173">
        <v>3.68</v>
      </c>
      <c r="S82" s="169">
        <v>3.12</v>
      </c>
      <c r="T82" s="169">
        <v>0.56000000000000005</v>
      </c>
      <c r="U82" s="173">
        <v>3.2</v>
      </c>
      <c r="V82" s="177">
        <v>3.33</v>
      </c>
      <c r="W82" s="175">
        <f t="shared" si="4"/>
        <v>0.94866316336547951</v>
      </c>
      <c r="X82" s="176">
        <f t="shared" si="5"/>
        <v>72</v>
      </c>
    </row>
    <row r="83" spans="1:24" ht="15.75" customHeight="1">
      <c r="A83" s="169">
        <v>78</v>
      </c>
      <c r="B83" s="170" t="s">
        <v>866</v>
      </c>
      <c r="C83" s="170" t="s">
        <v>100</v>
      </c>
      <c r="D83" s="169">
        <v>9.75</v>
      </c>
      <c r="E83" s="169">
        <v>3</v>
      </c>
      <c r="F83" s="169">
        <v>3.25</v>
      </c>
      <c r="G83" s="169">
        <v>0.75</v>
      </c>
      <c r="H83" s="171">
        <v>0.24099999999999999</v>
      </c>
      <c r="I83" s="172">
        <v>7.3999999999999996E-2</v>
      </c>
      <c r="J83" s="172">
        <v>0.16700000000000001</v>
      </c>
      <c r="K83" s="173">
        <v>0.32700000000000001</v>
      </c>
      <c r="L83" s="169">
        <v>1.67</v>
      </c>
      <c r="M83" s="169">
        <v>0.42899999999999999</v>
      </c>
      <c r="N83" s="172">
        <v>0.61199999999999999</v>
      </c>
      <c r="O83" s="173">
        <v>178</v>
      </c>
      <c r="P83" s="169">
        <v>82</v>
      </c>
      <c r="Q83" s="169">
        <v>91</v>
      </c>
      <c r="R83" s="173">
        <v>6.75</v>
      </c>
      <c r="S83" s="169">
        <v>3.29</v>
      </c>
      <c r="T83" s="169">
        <v>3.46</v>
      </c>
      <c r="U83" s="173">
        <v>3.73</v>
      </c>
      <c r="V83" s="177">
        <v>3.32</v>
      </c>
      <c r="W83" s="175">
        <f t="shared" si="4"/>
        <v>0.94581432503705454</v>
      </c>
      <c r="X83" s="176">
        <f t="shared" si="5"/>
        <v>71</v>
      </c>
    </row>
    <row r="84" spans="1:24" ht="15.75" customHeight="1">
      <c r="A84" s="169">
        <v>79</v>
      </c>
      <c r="B84" s="170" t="s">
        <v>867</v>
      </c>
      <c r="C84" s="170" t="s">
        <v>49</v>
      </c>
      <c r="D84" s="169">
        <v>8.49</v>
      </c>
      <c r="E84" s="169">
        <v>1.54</v>
      </c>
      <c r="F84" s="169">
        <v>5.5</v>
      </c>
      <c r="G84" s="169">
        <v>0</v>
      </c>
      <c r="H84" s="171">
        <v>0.26800000000000002</v>
      </c>
      <c r="I84" s="172">
        <v>4.9000000000000002E-2</v>
      </c>
      <c r="J84" s="172">
        <v>0.22</v>
      </c>
      <c r="K84" s="173">
        <v>0.154</v>
      </c>
      <c r="L84" s="169">
        <v>0.69</v>
      </c>
      <c r="M84" s="169">
        <v>0.214</v>
      </c>
      <c r="N84" s="172">
        <v>0.875</v>
      </c>
      <c r="O84" s="173">
        <v>19</v>
      </c>
      <c r="P84" s="169">
        <v>45</v>
      </c>
      <c r="Q84" s="169">
        <v>91</v>
      </c>
      <c r="R84" s="173">
        <v>0.77</v>
      </c>
      <c r="S84" s="169">
        <v>1.75</v>
      </c>
      <c r="T84" s="169">
        <v>-0.98</v>
      </c>
      <c r="U84" s="173">
        <v>3.69</v>
      </c>
      <c r="V84" s="177">
        <v>3.29</v>
      </c>
      <c r="W84" s="175">
        <f t="shared" si="4"/>
        <v>0.93726781005178006</v>
      </c>
      <c r="X84" s="176">
        <f t="shared" si="5"/>
        <v>70</v>
      </c>
    </row>
    <row r="85" spans="1:24" ht="15.75" customHeight="1">
      <c r="A85" s="169">
        <v>80</v>
      </c>
      <c r="B85" s="170" t="s">
        <v>868</v>
      </c>
      <c r="C85" s="170" t="s">
        <v>100</v>
      </c>
      <c r="D85" s="169">
        <v>9.9</v>
      </c>
      <c r="E85" s="169">
        <v>3.6</v>
      </c>
      <c r="F85" s="169">
        <v>2.75</v>
      </c>
      <c r="G85" s="169">
        <v>1.8</v>
      </c>
      <c r="H85" s="171">
        <v>0.26800000000000002</v>
      </c>
      <c r="I85" s="172">
        <v>9.8000000000000004E-2</v>
      </c>
      <c r="J85" s="172">
        <v>0.17100000000000001</v>
      </c>
      <c r="K85" s="173">
        <v>0.189</v>
      </c>
      <c r="L85" s="169">
        <v>1.1000000000000001</v>
      </c>
      <c r="M85" s="169">
        <v>0.20799999999999999</v>
      </c>
      <c r="N85" s="172">
        <v>0.73199999999999998</v>
      </c>
      <c r="O85" s="173">
        <v>95</v>
      </c>
      <c r="P85" s="169">
        <v>120</v>
      </c>
      <c r="Q85" s="169">
        <v>83</v>
      </c>
      <c r="R85" s="173">
        <v>3.6</v>
      </c>
      <c r="S85" s="169">
        <v>4.72</v>
      </c>
      <c r="T85" s="169">
        <v>-1.1200000000000001</v>
      </c>
      <c r="U85" s="173">
        <v>3.39</v>
      </c>
      <c r="V85" s="177">
        <v>3.27</v>
      </c>
      <c r="W85" s="175">
        <f t="shared" si="4"/>
        <v>0.93157013339493033</v>
      </c>
      <c r="X85" s="176">
        <f t="shared" si="5"/>
        <v>69</v>
      </c>
    </row>
    <row r="86" spans="1:24" ht="15.75" customHeight="1">
      <c r="A86" s="169">
        <v>81</v>
      </c>
      <c r="B86" s="170" t="s">
        <v>869</v>
      </c>
      <c r="C86" s="170" t="s">
        <v>44</v>
      </c>
      <c r="D86" s="169">
        <v>9</v>
      </c>
      <c r="E86" s="169">
        <v>2.4500000000000002</v>
      </c>
      <c r="F86" s="169">
        <v>3.67</v>
      </c>
      <c r="G86" s="169">
        <v>2.4500000000000002</v>
      </c>
      <c r="H86" s="171">
        <v>0.22900000000000001</v>
      </c>
      <c r="I86" s="172">
        <v>6.3E-2</v>
      </c>
      <c r="J86" s="172">
        <v>0.16700000000000001</v>
      </c>
      <c r="K86" s="173">
        <v>0.26700000000000002</v>
      </c>
      <c r="L86" s="169">
        <v>1.36</v>
      </c>
      <c r="M86" s="169">
        <v>0.28999999999999998</v>
      </c>
      <c r="N86" s="172">
        <v>0.92600000000000005</v>
      </c>
      <c r="O86" s="173">
        <v>84</v>
      </c>
      <c r="P86" s="169">
        <v>137</v>
      </c>
      <c r="Q86" s="169">
        <v>82</v>
      </c>
      <c r="R86" s="173">
        <v>3.27</v>
      </c>
      <c r="S86" s="169">
        <v>5.48</v>
      </c>
      <c r="T86" s="169">
        <v>-2.21</v>
      </c>
      <c r="U86" s="173">
        <v>3.35</v>
      </c>
      <c r="V86" s="177">
        <v>3.26</v>
      </c>
      <c r="W86" s="175">
        <f t="shared" si="4"/>
        <v>0.92872129506650536</v>
      </c>
      <c r="X86" s="176">
        <f t="shared" si="5"/>
        <v>66</v>
      </c>
    </row>
    <row r="87" spans="1:24" ht="15.75" customHeight="1">
      <c r="A87" s="169">
        <v>82</v>
      </c>
      <c r="B87" s="170" t="s">
        <v>870</v>
      </c>
      <c r="C87" s="170" t="s">
        <v>49</v>
      </c>
      <c r="D87" s="169">
        <v>7.84</v>
      </c>
      <c r="E87" s="169">
        <v>1.74</v>
      </c>
      <c r="F87" s="169">
        <v>4.5</v>
      </c>
      <c r="G87" s="169">
        <v>0</v>
      </c>
      <c r="H87" s="171">
        <v>0.2</v>
      </c>
      <c r="I87" s="172">
        <v>4.3999999999999997E-2</v>
      </c>
      <c r="J87" s="172">
        <v>0.156</v>
      </c>
      <c r="K87" s="173">
        <v>0.25600000000000001</v>
      </c>
      <c r="L87" s="169">
        <v>1.26</v>
      </c>
      <c r="M87" s="169">
        <v>0.32400000000000001</v>
      </c>
      <c r="N87" s="172">
        <v>0.53800000000000003</v>
      </c>
      <c r="O87" s="173">
        <v>131</v>
      </c>
      <c r="P87" s="169">
        <v>50</v>
      </c>
      <c r="Q87" s="169">
        <v>76</v>
      </c>
      <c r="R87" s="173">
        <v>5.23</v>
      </c>
      <c r="S87" s="169">
        <v>1.96</v>
      </c>
      <c r="T87" s="169">
        <v>3.27</v>
      </c>
      <c r="U87" s="173">
        <v>3.05</v>
      </c>
      <c r="V87" s="177">
        <v>3.26</v>
      </c>
      <c r="W87" s="175">
        <f t="shared" si="4"/>
        <v>0.92872129506650536</v>
      </c>
      <c r="X87" s="176">
        <f t="shared" si="5"/>
        <v>66</v>
      </c>
    </row>
    <row r="88" spans="1:24" ht="15.75" customHeight="1">
      <c r="A88" s="169">
        <v>83</v>
      </c>
      <c r="B88" s="170" t="s">
        <v>871</v>
      </c>
      <c r="C88" s="170" t="s">
        <v>36</v>
      </c>
      <c r="D88" s="169">
        <v>6.05</v>
      </c>
      <c r="E88" s="169">
        <v>2.79</v>
      </c>
      <c r="F88" s="169">
        <v>2.17</v>
      </c>
      <c r="G88" s="169">
        <v>0.93</v>
      </c>
      <c r="H88" s="171">
        <v>0.17299999999999999</v>
      </c>
      <c r="I88" s="172">
        <v>0.08</v>
      </c>
      <c r="J88" s="172">
        <v>9.2999999999999999E-2</v>
      </c>
      <c r="K88" s="173">
        <v>0.20599999999999999</v>
      </c>
      <c r="L88" s="169">
        <v>1.03</v>
      </c>
      <c r="M88" s="169">
        <v>0.22600000000000001</v>
      </c>
      <c r="N88" s="172">
        <v>0.82399999999999995</v>
      </c>
      <c r="O88" s="173">
        <v>59</v>
      </c>
      <c r="P88" s="169">
        <v>99</v>
      </c>
      <c r="Q88" s="169">
        <v>94</v>
      </c>
      <c r="R88" s="173">
        <v>2.79</v>
      </c>
      <c r="S88" s="169">
        <v>4.21</v>
      </c>
      <c r="T88" s="169">
        <v>-1.41</v>
      </c>
      <c r="U88" s="173">
        <v>3.81</v>
      </c>
      <c r="V88" s="177">
        <v>3.26</v>
      </c>
      <c r="W88" s="175">
        <f t="shared" si="4"/>
        <v>0.92872129506650536</v>
      </c>
      <c r="X88" s="176">
        <f t="shared" si="5"/>
        <v>66</v>
      </c>
    </row>
    <row r="89" spans="1:24" ht="15.75" customHeight="1">
      <c r="A89" s="169">
        <v>84</v>
      </c>
      <c r="B89" s="170" t="s">
        <v>872</v>
      </c>
      <c r="C89" s="170" t="s">
        <v>56</v>
      </c>
      <c r="D89" s="169">
        <v>13.5</v>
      </c>
      <c r="E89" s="169">
        <v>5.56</v>
      </c>
      <c r="F89" s="169">
        <v>2.4300000000000002</v>
      </c>
      <c r="G89" s="169">
        <v>1.59</v>
      </c>
      <c r="H89" s="171">
        <v>0.315</v>
      </c>
      <c r="I89" s="172">
        <v>0.13</v>
      </c>
      <c r="J89" s="172">
        <v>0.185</v>
      </c>
      <c r="K89" s="173">
        <v>0.23899999999999999</v>
      </c>
      <c r="L89" s="169">
        <v>1.59</v>
      </c>
      <c r="M89" s="169">
        <v>0.33300000000000002</v>
      </c>
      <c r="N89" s="172">
        <v>0.80200000000000005</v>
      </c>
      <c r="O89" s="173">
        <v>75</v>
      </c>
      <c r="P89" s="169">
        <v>112</v>
      </c>
      <c r="Q89" s="169">
        <v>90</v>
      </c>
      <c r="R89" s="173">
        <v>3.18</v>
      </c>
      <c r="S89" s="169">
        <v>4.53</v>
      </c>
      <c r="T89" s="169">
        <v>-1.35</v>
      </c>
      <c r="U89" s="173">
        <v>3.61</v>
      </c>
      <c r="V89" s="177">
        <v>3.24</v>
      </c>
      <c r="W89" s="175">
        <f t="shared" si="4"/>
        <v>0.92302361840965574</v>
      </c>
      <c r="X89" s="176">
        <f t="shared" si="5"/>
        <v>65</v>
      </c>
    </row>
    <row r="90" spans="1:24" ht="15.75" customHeight="1">
      <c r="A90" s="169">
        <v>85</v>
      </c>
      <c r="B90" s="170" t="s">
        <v>873</v>
      </c>
      <c r="C90" s="170" t="s">
        <v>56</v>
      </c>
      <c r="D90" s="169">
        <v>11.91</v>
      </c>
      <c r="E90" s="169">
        <v>4.76</v>
      </c>
      <c r="F90" s="169">
        <v>2.5</v>
      </c>
      <c r="G90" s="169">
        <v>1.59</v>
      </c>
      <c r="H90" s="171">
        <v>0.28799999999999998</v>
      </c>
      <c r="I90" s="172">
        <v>0.115</v>
      </c>
      <c r="J90" s="172">
        <v>0.17299999999999999</v>
      </c>
      <c r="K90" s="173">
        <v>0.28299999999999997</v>
      </c>
      <c r="L90" s="169">
        <v>1.68</v>
      </c>
      <c r="M90" s="169">
        <v>0.379</v>
      </c>
      <c r="N90" s="172">
        <v>0.49399999999999999</v>
      </c>
      <c r="O90" s="173">
        <v>186</v>
      </c>
      <c r="P90" s="169">
        <v>107</v>
      </c>
      <c r="Q90" s="169">
        <v>73</v>
      </c>
      <c r="R90" s="173">
        <v>7.94</v>
      </c>
      <c r="S90" s="169">
        <v>4.3499999999999996</v>
      </c>
      <c r="T90" s="169">
        <v>3.59</v>
      </c>
      <c r="U90" s="173">
        <v>2.93</v>
      </c>
      <c r="V90" s="177">
        <v>3.22</v>
      </c>
      <c r="W90" s="175">
        <f t="shared" si="4"/>
        <v>0.91732594175280602</v>
      </c>
      <c r="X90" s="176">
        <f t="shared" si="5"/>
        <v>64</v>
      </c>
    </row>
    <row r="91" spans="1:24" ht="15.75" customHeight="1">
      <c r="A91" s="169">
        <v>86</v>
      </c>
      <c r="B91" s="170" t="s">
        <v>874</v>
      </c>
      <c r="C91" s="170" t="s">
        <v>72</v>
      </c>
      <c r="D91" s="169">
        <v>12.6</v>
      </c>
      <c r="E91" s="169">
        <v>5.4</v>
      </c>
      <c r="F91" s="169">
        <v>2.33</v>
      </c>
      <c r="G91" s="169">
        <v>0.9</v>
      </c>
      <c r="H91" s="171">
        <v>0.28000000000000003</v>
      </c>
      <c r="I91" s="172">
        <v>0.12</v>
      </c>
      <c r="J91" s="172">
        <v>0.16</v>
      </c>
      <c r="K91" s="173">
        <v>0.30199999999999999</v>
      </c>
      <c r="L91" s="169">
        <v>1.9</v>
      </c>
      <c r="M91" s="169">
        <v>0.42899999999999999</v>
      </c>
      <c r="N91" s="172">
        <v>0.64500000000000002</v>
      </c>
      <c r="O91" s="173">
        <v>140</v>
      </c>
      <c r="P91" s="169">
        <v>92</v>
      </c>
      <c r="Q91" s="169">
        <v>79</v>
      </c>
      <c r="R91" s="173">
        <v>5.4</v>
      </c>
      <c r="S91" s="169">
        <v>3.72</v>
      </c>
      <c r="T91" s="169">
        <v>1.68</v>
      </c>
      <c r="U91" s="173">
        <v>3.27</v>
      </c>
      <c r="V91" s="177">
        <v>3.21</v>
      </c>
      <c r="W91" s="175">
        <f t="shared" si="4"/>
        <v>0.91447710342438115</v>
      </c>
      <c r="X91" s="176">
        <f t="shared" si="5"/>
        <v>63</v>
      </c>
    </row>
    <row r="92" spans="1:24" ht="15.75" customHeight="1">
      <c r="A92" s="169">
        <v>87</v>
      </c>
      <c r="B92" s="170" t="s">
        <v>875</v>
      </c>
      <c r="C92" s="170" t="s">
        <v>46</v>
      </c>
      <c r="D92" s="169">
        <v>8.74</v>
      </c>
      <c r="E92" s="169">
        <v>3.18</v>
      </c>
      <c r="F92" s="169">
        <v>2.75</v>
      </c>
      <c r="G92" s="169">
        <v>2.38</v>
      </c>
      <c r="H92" s="171">
        <v>0.2</v>
      </c>
      <c r="I92" s="172">
        <v>7.2999999999999995E-2</v>
      </c>
      <c r="J92" s="172">
        <v>0.127</v>
      </c>
      <c r="K92" s="173">
        <v>0.36</v>
      </c>
      <c r="L92" s="169">
        <v>1.94</v>
      </c>
      <c r="M92" s="169">
        <v>0.41699999999999998</v>
      </c>
      <c r="N92" s="172">
        <v>0.69099999999999995</v>
      </c>
      <c r="O92" s="173">
        <v>192</v>
      </c>
      <c r="P92" s="169">
        <v>147</v>
      </c>
      <c r="Q92" s="169">
        <v>85</v>
      </c>
      <c r="R92" s="173">
        <v>7.94</v>
      </c>
      <c r="S92" s="169">
        <v>5.94</v>
      </c>
      <c r="T92" s="169">
        <v>2</v>
      </c>
      <c r="U92" s="173">
        <v>3.5</v>
      </c>
      <c r="V92" s="177">
        <v>3.18</v>
      </c>
      <c r="W92" s="175">
        <f t="shared" si="4"/>
        <v>0.90593058843910657</v>
      </c>
      <c r="X92" s="176">
        <f t="shared" si="5"/>
        <v>62</v>
      </c>
    </row>
    <row r="93" spans="1:24" ht="15.75" customHeight="1">
      <c r="A93" s="169">
        <v>88</v>
      </c>
      <c r="B93" s="170" t="s">
        <v>876</v>
      </c>
      <c r="C93" s="170" t="s">
        <v>91</v>
      </c>
      <c r="D93" s="169">
        <v>10.43</v>
      </c>
      <c r="E93" s="169">
        <v>3.68</v>
      </c>
      <c r="F93" s="169">
        <v>2.83</v>
      </c>
      <c r="G93" s="169">
        <v>1.23</v>
      </c>
      <c r="H93" s="171">
        <v>0.26600000000000001</v>
      </c>
      <c r="I93" s="172">
        <v>9.4E-2</v>
      </c>
      <c r="J93" s="172">
        <v>0.17199999999999999</v>
      </c>
      <c r="K93" s="173">
        <v>0.29299999999999998</v>
      </c>
      <c r="L93" s="169">
        <v>1.57</v>
      </c>
      <c r="M93" s="169">
        <v>0.38500000000000001</v>
      </c>
      <c r="N93" s="172">
        <v>0.74299999999999999</v>
      </c>
      <c r="O93" s="173">
        <v>107</v>
      </c>
      <c r="P93" s="169">
        <v>95</v>
      </c>
      <c r="Q93" s="169">
        <v>79</v>
      </c>
      <c r="R93" s="173">
        <v>4.3</v>
      </c>
      <c r="S93" s="169">
        <v>3.8</v>
      </c>
      <c r="T93" s="169">
        <v>0.49</v>
      </c>
      <c r="U93" s="173">
        <v>3.19</v>
      </c>
      <c r="V93" s="177">
        <v>3.17</v>
      </c>
      <c r="W93" s="175">
        <f t="shared" si="4"/>
        <v>0.90308175011068159</v>
      </c>
      <c r="X93" s="176">
        <f t="shared" si="5"/>
        <v>61</v>
      </c>
    </row>
    <row r="94" spans="1:24" ht="15.75" customHeight="1">
      <c r="A94" s="169">
        <v>89</v>
      </c>
      <c r="B94" s="170" t="s">
        <v>877</v>
      </c>
      <c r="C94" s="170" t="s">
        <v>80</v>
      </c>
      <c r="D94" s="169">
        <v>8.7100000000000009</v>
      </c>
      <c r="E94" s="169">
        <v>1.74</v>
      </c>
      <c r="F94" s="169">
        <v>5</v>
      </c>
      <c r="G94" s="169">
        <v>0</v>
      </c>
      <c r="H94" s="171">
        <v>0.217</v>
      </c>
      <c r="I94" s="172">
        <v>4.2999999999999997E-2</v>
      </c>
      <c r="J94" s="172">
        <v>0.17399999999999999</v>
      </c>
      <c r="K94" s="173">
        <v>0.34100000000000003</v>
      </c>
      <c r="L94" s="169">
        <v>1.65</v>
      </c>
      <c r="M94" s="169">
        <v>0.441</v>
      </c>
      <c r="N94" s="172">
        <v>0.58799999999999997</v>
      </c>
      <c r="O94" s="173">
        <v>134</v>
      </c>
      <c r="P94" s="169">
        <v>42</v>
      </c>
      <c r="Q94" s="169">
        <v>73</v>
      </c>
      <c r="R94" s="173">
        <v>5.23</v>
      </c>
      <c r="S94" s="169">
        <v>1.76</v>
      </c>
      <c r="T94" s="169">
        <v>3.46</v>
      </c>
      <c r="U94" s="173">
        <v>3</v>
      </c>
      <c r="V94" s="177">
        <v>3.15</v>
      </c>
      <c r="W94" s="175">
        <f t="shared" si="4"/>
        <v>0.89738407345383187</v>
      </c>
      <c r="X94" s="176">
        <f t="shared" si="5"/>
        <v>60</v>
      </c>
    </row>
    <row r="95" spans="1:24" ht="15.75" customHeight="1">
      <c r="A95" s="169">
        <v>90</v>
      </c>
      <c r="B95" s="170" t="s">
        <v>878</v>
      </c>
      <c r="C95" s="170" t="s">
        <v>44</v>
      </c>
      <c r="D95" s="169">
        <v>9.9499999999999993</v>
      </c>
      <c r="E95" s="169">
        <v>3.55</v>
      </c>
      <c r="F95" s="169">
        <v>2.8</v>
      </c>
      <c r="G95" s="169">
        <v>0</v>
      </c>
      <c r="H95" s="171">
        <v>0.28000000000000003</v>
      </c>
      <c r="I95" s="172">
        <v>0.1</v>
      </c>
      <c r="J95" s="172">
        <v>0.18</v>
      </c>
      <c r="K95" s="173">
        <v>0.2</v>
      </c>
      <c r="L95" s="169">
        <v>1.1100000000000001</v>
      </c>
      <c r="M95" s="169">
        <v>0.28999999999999998</v>
      </c>
      <c r="N95" s="172">
        <v>0.78600000000000003</v>
      </c>
      <c r="O95" s="173">
        <v>54</v>
      </c>
      <c r="P95" s="169">
        <v>50</v>
      </c>
      <c r="Q95" s="169">
        <v>84</v>
      </c>
      <c r="R95" s="173">
        <v>2.13</v>
      </c>
      <c r="S95" s="169">
        <v>2.09</v>
      </c>
      <c r="T95" s="169">
        <v>0.04</v>
      </c>
      <c r="U95" s="173">
        <v>3.43</v>
      </c>
      <c r="V95" s="177">
        <v>3.14</v>
      </c>
      <c r="W95" s="175">
        <f t="shared" si="4"/>
        <v>0.89453523512540711</v>
      </c>
      <c r="X95" s="176">
        <f t="shared" si="5"/>
        <v>57</v>
      </c>
    </row>
    <row r="96" spans="1:24" ht="15.75" customHeight="1">
      <c r="A96" s="169">
        <v>91</v>
      </c>
      <c r="B96" s="170" t="s">
        <v>879</v>
      </c>
      <c r="C96" s="170" t="s">
        <v>36</v>
      </c>
      <c r="D96" s="169">
        <v>12.27</v>
      </c>
      <c r="E96" s="169">
        <v>4.91</v>
      </c>
      <c r="F96" s="169">
        <v>2.5</v>
      </c>
      <c r="G96" s="169">
        <v>0.49</v>
      </c>
      <c r="H96" s="171">
        <v>0.316</v>
      </c>
      <c r="I96" s="172">
        <v>0.127</v>
      </c>
      <c r="J96" s="172">
        <v>0.19</v>
      </c>
      <c r="K96" s="173">
        <v>0.221</v>
      </c>
      <c r="L96" s="169">
        <v>1.36</v>
      </c>
      <c r="M96" s="169">
        <v>0.33300000000000002</v>
      </c>
      <c r="N96" s="172">
        <v>0.89400000000000002</v>
      </c>
      <c r="O96" s="173">
        <v>42</v>
      </c>
      <c r="P96" s="169">
        <v>69</v>
      </c>
      <c r="Q96" s="169">
        <v>78</v>
      </c>
      <c r="R96" s="173">
        <v>1.96</v>
      </c>
      <c r="S96" s="169">
        <v>2.9</v>
      </c>
      <c r="T96" s="169">
        <v>-0.94</v>
      </c>
      <c r="U96" s="173">
        <v>3.12</v>
      </c>
      <c r="V96" s="177">
        <v>3.14</v>
      </c>
      <c r="W96" s="175">
        <f t="shared" si="4"/>
        <v>0.89453523512540711</v>
      </c>
      <c r="X96" s="176">
        <f t="shared" si="5"/>
        <v>57</v>
      </c>
    </row>
    <row r="97" spans="1:24" ht="15.75" customHeight="1">
      <c r="A97" s="169">
        <v>92</v>
      </c>
      <c r="B97" s="170" t="s">
        <v>880</v>
      </c>
      <c r="C97" s="170" t="s">
        <v>137</v>
      </c>
      <c r="D97" s="169">
        <v>6.75</v>
      </c>
      <c r="E97" s="169">
        <v>0.84</v>
      </c>
      <c r="F97" s="169">
        <v>8</v>
      </c>
      <c r="G97" s="169">
        <v>0.84</v>
      </c>
      <c r="H97" s="171">
        <v>0.19</v>
      </c>
      <c r="I97" s="172">
        <v>2.4E-2</v>
      </c>
      <c r="J97" s="172">
        <v>0.16700000000000001</v>
      </c>
      <c r="K97" s="173">
        <v>0.2</v>
      </c>
      <c r="L97" s="169">
        <v>0.84</v>
      </c>
      <c r="M97" s="169">
        <v>0.22600000000000001</v>
      </c>
      <c r="N97" s="172">
        <v>0.81399999999999995</v>
      </c>
      <c r="O97" s="173">
        <v>68</v>
      </c>
      <c r="P97" s="169">
        <v>86</v>
      </c>
      <c r="Q97" s="169">
        <v>79</v>
      </c>
      <c r="R97" s="173">
        <v>2.5299999999999998</v>
      </c>
      <c r="S97" s="169">
        <v>3.4</v>
      </c>
      <c r="T97" s="169">
        <v>-0.87</v>
      </c>
      <c r="U97" s="173">
        <v>3.24</v>
      </c>
      <c r="V97" s="177">
        <v>3.14</v>
      </c>
      <c r="W97" s="175">
        <f t="shared" si="4"/>
        <v>0.89453523512540711</v>
      </c>
      <c r="X97" s="176">
        <f t="shared" si="5"/>
        <v>57</v>
      </c>
    </row>
    <row r="98" spans="1:24" ht="15.75" customHeight="1">
      <c r="A98" s="169">
        <v>93</v>
      </c>
      <c r="B98" s="170" t="s">
        <v>881</v>
      </c>
      <c r="C98" s="170" t="s">
        <v>49</v>
      </c>
      <c r="D98" s="169">
        <v>10.38</v>
      </c>
      <c r="E98" s="169">
        <v>3.46</v>
      </c>
      <c r="F98" s="169">
        <v>3</v>
      </c>
      <c r="G98" s="169">
        <v>1.38</v>
      </c>
      <c r="H98" s="171">
        <v>0.27300000000000002</v>
      </c>
      <c r="I98" s="172">
        <v>9.0999999999999998E-2</v>
      </c>
      <c r="J98" s="172">
        <v>0.182</v>
      </c>
      <c r="K98" s="173">
        <v>0.18</v>
      </c>
      <c r="L98" s="169">
        <v>1.08</v>
      </c>
      <c r="M98" s="169">
        <v>0.21199999999999999</v>
      </c>
      <c r="N98" s="172">
        <v>0.80400000000000005</v>
      </c>
      <c r="O98" s="173">
        <v>69</v>
      </c>
      <c r="P98" s="169">
        <v>99</v>
      </c>
      <c r="Q98" s="169">
        <v>87</v>
      </c>
      <c r="R98" s="173">
        <v>2.77</v>
      </c>
      <c r="S98" s="169">
        <v>3.97</v>
      </c>
      <c r="T98" s="169">
        <v>-1.2</v>
      </c>
      <c r="U98" s="173">
        <v>3.49</v>
      </c>
      <c r="V98" s="177">
        <v>3.13</v>
      </c>
      <c r="W98" s="175">
        <f t="shared" si="4"/>
        <v>0.89168639679698214</v>
      </c>
      <c r="X98" s="176">
        <f t="shared" si="5"/>
        <v>56</v>
      </c>
    </row>
    <row r="99" spans="1:24" ht="15.75" customHeight="1">
      <c r="A99" s="169">
        <v>94</v>
      </c>
      <c r="B99" s="170" t="s">
        <v>882</v>
      </c>
      <c r="C99" s="170" t="s">
        <v>51</v>
      </c>
      <c r="D99" s="169">
        <v>9</v>
      </c>
      <c r="E99" s="169">
        <v>1.64</v>
      </c>
      <c r="F99" s="169">
        <v>5.5</v>
      </c>
      <c r="G99" s="169">
        <v>0.82</v>
      </c>
      <c r="H99" s="171">
        <v>0.22</v>
      </c>
      <c r="I99" s="172">
        <v>0.04</v>
      </c>
      <c r="J99" s="172">
        <v>0.18</v>
      </c>
      <c r="K99" s="173">
        <v>0.217</v>
      </c>
      <c r="L99" s="169">
        <v>1.0900000000000001</v>
      </c>
      <c r="M99" s="169">
        <v>0.26500000000000001</v>
      </c>
      <c r="N99" s="172">
        <v>0.55600000000000005</v>
      </c>
      <c r="O99" s="173">
        <v>59</v>
      </c>
      <c r="P99" s="169">
        <v>82</v>
      </c>
      <c r="Q99" s="169">
        <v>88</v>
      </c>
      <c r="R99" s="173">
        <v>2.4500000000000002</v>
      </c>
      <c r="S99" s="169">
        <v>3.39</v>
      </c>
      <c r="T99" s="169">
        <v>-0.94</v>
      </c>
      <c r="U99" s="173">
        <v>3.62</v>
      </c>
      <c r="V99" s="177">
        <v>3.1</v>
      </c>
      <c r="W99" s="175">
        <f t="shared" si="4"/>
        <v>0.88313988181170766</v>
      </c>
      <c r="X99" s="176">
        <f t="shared" si="5"/>
        <v>54</v>
      </c>
    </row>
    <row r="100" spans="1:24" ht="15.75" customHeight="1">
      <c r="A100" s="169">
        <v>95</v>
      </c>
      <c r="B100" s="170" t="s">
        <v>174</v>
      </c>
      <c r="C100" s="170" t="s">
        <v>80</v>
      </c>
      <c r="D100" s="169">
        <v>13.14</v>
      </c>
      <c r="E100" s="169">
        <v>5.1100000000000003</v>
      </c>
      <c r="F100" s="169">
        <v>2.57</v>
      </c>
      <c r="G100" s="169">
        <v>2.19</v>
      </c>
      <c r="H100" s="171">
        <v>0.32100000000000001</v>
      </c>
      <c r="I100" s="172">
        <v>0.125</v>
      </c>
      <c r="J100" s="172">
        <v>0.19600000000000001</v>
      </c>
      <c r="K100" s="173">
        <v>0.28599999999999998</v>
      </c>
      <c r="L100" s="169">
        <v>1.7</v>
      </c>
      <c r="M100" s="169">
        <v>0.39300000000000002</v>
      </c>
      <c r="N100" s="172">
        <v>0.71399999999999997</v>
      </c>
      <c r="O100" s="173">
        <v>149</v>
      </c>
      <c r="P100" s="169">
        <v>127</v>
      </c>
      <c r="Q100" s="169">
        <v>74</v>
      </c>
      <c r="R100" s="173">
        <v>5.84</v>
      </c>
      <c r="S100" s="169">
        <v>5.0599999999999996</v>
      </c>
      <c r="T100" s="169">
        <v>0.77</v>
      </c>
      <c r="U100" s="173">
        <v>3.05</v>
      </c>
      <c r="V100" s="177">
        <v>3.1</v>
      </c>
      <c r="W100" s="175">
        <f t="shared" si="4"/>
        <v>0.88313988181170766</v>
      </c>
      <c r="X100" s="176">
        <f t="shared" si="5"/>
        <v>54</v>
      </c>
    </row>
    <row r="101" spans="1:24" ht="15.75" customHeight="1">
      <c r="A101" s="169">
        <v>96</v>
      </c>
      <c r="B101" s="170" t="s">
        <v>883</v>
      </c>
      <c r="C101" s="170" t="s">
        <v>143</v>
      </c>
      <c r="D101" s="169">
        <v>9.64</v>
      </c>
      <c r="E101" s="169">
        <v>1.93</v>
      </c>
      <c r="F101" s="169">
        <v>5</v>
      </c>
      <c r="G101" s="169">
        <v>0.64</v>
      </c>
      <c r="H101" s="171">
        <v>0.246</v>
      </c>
      <c r="I101" s="172">
        <v>4.9000000000000002E-2</v>
      </c>
      <c r="J101" s="172">
        <v>0.19700000000000001</v>
      </c>
      <c r="K101" s="173">
        <v>0.27600000000000002</v>
      </c>
      <c r="L101" s="169">
        <v>1.36</v>
      </c>
      <c r="M101" s="169">
        <v>0.35699999999999998</v>
      </c>
      <c r="N101" s="172">
        <v>0.625</v>
      </c>
      <c r="O101" s="173">
        <v>126</v>
      </c>
      <c r="P101" s="169">
        <v>63</v>
      </c>
      <c r="Q101" s="169">
        <v>85</v>
      </c>
      <c r="R101" s="173">
        <v>5.14</v>
      </c>
      <c r="S101" s="169">
        <v>2.5499999999999998</v>
      </c>
      <c r="T101" s="169">
        <v>2.6</v>
      </c>
      <c r="U101" s="173">
        <v>3.44</v>
      </c>
      <c r="V101" s="177">
        <v>3.08</v>
      </c>
      <c r="W101" s="175">
        <f t="shared" si="4"/>
        <v>0.87744220515485793</v>
      </c>
      <c r="X101" s="176">
        <f t="shared" si="5"/>
        <v>53</v>
      </c>
    </row>
    <row r="102" spans="1:24" ht="15.75" customHeight="1">
      <c r="A102" s="169">
        <v>97</v>
      </c>
      <c r="B102" s="170" t="s">
        <v>884</v>
      </c>
      <c r="C102" s="170" t="s">
        <v>66</v>
      </c>
      <c r="D102" s="169">
        <v>9.75</v>
      </c>
      <c r="E102" s="169">
        <v>3</v>
      </c>
      <c r="F102" s="169">
        <v>3.25</v>
      </c>
      <c r="G102" s="169">
        <v>0.75</v>
      </c>
      <c r="H102" s="171">
        <v>0.26</v>
      </c>
      <c r="I102" s="172">
        <v>0.08</v>
      </c>
      <c r="J102" s="172">
        <v>0.18</v>
      </c>
      <c r="K102" s="173">
        <v>0.23899999999999999</v>
      </c>
      <c r="L102" s="169">
        <v>1.25</v>
      </c>
      <c r="M102" s="169">
        <v>0.313</v>
      </c>
      <c r="N102" s="172">
        <v>0.73499999999999999</v>
      </c>
      <c r="O102" s="173">
        <v>71</v>
      </c>
      <c r="P102" s="169">
        <v>78</v>
      </c>
      <c r="Q102" s="169">
        <v>78</v>
      </c>
      <c r="R102" s="173">
        <v>3</v>
      </c>
      <c r="S102" s="169">
        <v>3.04</v>
      </c>
      <c r="T102" s="169">
        <v>-0.04</v>
      </c>
      <c r="U102" s="173">
        <v>3.13</v>
      </c>
      <c r="V102" s="177">
        <v>3.07</v>
      </c>
      <c r="W102" s="175">
        <f t="shared" ref="W102:W133" si="6">V102/$V$176</f>
        <v>0.87459336682643296</v>
      </c>
      <c r="X102" s="176">
        <f t="shared" ref="X102:X133" si="7">RANK(W102,$W$6:$W$175,1)</f>
        <v>51</v>
      </c>
    </row>
    <row r="103" spans="1:24" ht="15.75" customHeight="1">
      <c r="A103" s="169">
        <v>98</v>
      </c>
      <c r="B103" s="170" t="s">
        <v>885</v>
      </c>
      <c r="C103" s="170" t="s">
        <v>46</v>
      </c>
      <c r="D103" s="169">
        <v>9</v>
      </c>
      <c r="E103" s="169">
        <v>2.7</v>
      </c>
      <c r="F103" s="169">
        <v>3.33</v>
      </c>
      <c r="G103" s="169">
        <v>0.9</v>
      </c>
      <c r="H103" s="171">
        <v>0.27800000000000002</v>
      </c>
      <c r="I103" s="172">
        <v>8.3000000000000004E-2</v>
      </c>
      <c r="J103" s="172">
        <v>0.19400000000000001</v>
      </c>
      <c r="K103" s="173">
        <v>0.182</v>
      </c>
      <c r="L103" s="169">
        <v>0.9</v>
      </c>
      <c r="M103" s="169">
        <v>0.22700000000000001</v>
      </c>
      <c r="N103" s="172">
        <v>1</v>
      </c>
      <c r="O103" s="173">
        <v>22</v>
      </c>
      <c r="P103" s="169">
        <v>81</v>
      </c>
      <c r="Q103" s="169">
        <v>84</v>
      </c>
      <c r="R103" s="173">
        <v>0.9</v>
      </c>
      <c r="S103" s="169">
        <v>3.32</v>
      </c>
      <c r="T103" s="169">
        <v>-2.42</v>
      </c>
      <c r="U103" s="173">
        <v>3.43</v>
      </c>
      <c r="V103" s="177">
        <v>3.07</v>
      </c>
      <c r="W103" s="175">
        <f t="shared" si="6"/>
        <v>0.87459336682643296</v>
      </c>
      <c r="X103" s="176">
        <f t="shared" si="7"/>
        <v>51</v>
      </c>
    </row>
    <row r="104" spans="1:24" ht="15.75" customHeight="1">
      <c r="A104" s="169">
        <v>99</v>
      </c>
      <c r="B104" s="170" t="s">
        <v>886</v>
      </c>
      <c r="C104" s="170" t="s">
        <v>86</v>
      </c>
      <c r="D104" s="169">
        <v>9.4499999999999993</v>
      </c>
      <c r="E104" s="169">
        <v>3.38</v>
      </c>
      <c r="F104" s="169">
        <v>2.8</v>
      </c>
      <c r="G104" s="169">
        <v>0</v>
      </c>
      <c r="H104" s="171">
        <v>0.26900000000000002</v>
      </c>
      <c r="I104" s="172">
        <v>9.6000000000000002E-2</v>
      </c>
      <c r="J104" s="172">
        <v>0.17299999999999999</v>
      </c>
      <c r="K104" s="173">
        <v>0.21299999999999999</v>
      </c>
      <c r="L104" s="169">
        <v>1.1299999999999999</v>
      </c>
      <c r="M104" s="169">
        <v>0.30299999999999999</v>
      </c>
      <c r="N104" s="172">
        <v>0.73299999999999998</v>
      </c>
      <c r="O104" s="173">
        <v>68</v>
      </c>
      <c r="P104" s="169">
        <v>50</v>
      </c>
      <c r="Q104" s="169">
        <v>78</v>
      </c>
      <c r="R104" s="173">
        <v>2.7</v>
      </c>
      <c r="S104" s="169">
        <v>2.14</v>
      </c>
      <c r="T104" s="169">
        <v>0.56000000000000005</v>
      </c>
      <c r="U104" s="173">
        <v>3.2</v>
      </c>
      <c r="V104" s="177">
        <v>3.05</v>
      </c>
      <c r="W104" s="175">
        <f t="shared" si="6"/>
        <v>0.86889569016958323</v>
      </c>
      <c r="X104" s="176">
        <f t="shared" si="7"/>
        <v>50</v>
      </c>
    </row>
    <row r="105" spans="1:24" ht="15.75" customHeight="1">
      <c r="A105" s="169">
        <v>100</v>
      </c>
      <c r="B105" s="170" t="s">
        <v>887</v>
      </c>
      <c r="C105" s="170" t="s">
        <v>70</v>
      </c>
      <c r="D105" s="169">
        <v>12.27</v>
      </c>
      <c r="E105" s="169">
        <v>4.91</v>
      </c>
      <c r="F105" s="169">
        <v>2.5</v>
      </c>
      <c r="G105" s="169">
        <v>0.82</v>
      </c>
      <c r="H105" s="171">
        <v>0.32600000000000001</v>
      </c>
      <c r="I105" s="172">
        <v>0.13</v>
      </c>
      <c r="J105" s="172">
        <v>0.19600000000000001</v>
      </c>
      <c r="K105" s="173">
        <v>0.22500000000000001</v>
      </c>
      <c r="L105" s="169">
        <v>1.36</v>
      </c>
      <c r="M105" s="169">
        <v>0.33300000000000002</v>
      </c>
      <c r="N105" s="172">
        <v>0.95599999999999996</v>
      </c>
      <c r="O105" s="173">
        <v>39</v>
      </c>
      <c r="P105" s="169">
        <v>79</v>
      </c>
      <c r="Q105" s="169">
        <v>70</v>
      </c>
      <c r="R105" s="173">
        <v>1.64</v>
      </c>
      <c r="S105" s="169">
        <v>3.21</v>
      </c>
      <c r="T105" s="169">
        <v>-1.57</v>
      </c>
      <c r="U105" s="173">
        <v>2.8</v>
      </c>
      <c r="V105" s="177">
        <v>3.04</v>
      </c>
      <c r="W105" s="175">
        <f t="shared" si="6"/>
        <v>0.86604685184115848</v>
      </c>
      <c r="X105" s="176">
        <f t="shared" si="7"/>
        <v>49</v>
      </c>
    </row>
    <row r="106" spans="1:24" ht="15.75" customHeight="1">
      <c r="A106" s="169">
        <v>101</v>
      </c>
      <c r="B106" s="170" t="s">
        <v>888</v>
      </c>
      <c r="C106" s="170" t="s">
        <v>74</v>
      </c>
      <c r="D106" s="169">
        <v>10.220000000000001</v>
      </c>
      <c r="E106" s="169">
        <v>2.92</v>
      </c>
      <c r="F106" s="169">
        <v>3.5</v>
      </c>
      <c r="G106" s="169">
        <v>0.73</v>
      </c>
      <c r="H106" s="171">
        <v>0.26900000000000002</v>
      </c>
      <c r="I106" s="172">
        <v>7.6999999999999999E-2</v>
      </c>
      <c r="J106" s="172">
        <v>0.192</v>
      </c>
      <c r="K106" s="173">
        <v>0.23899999999999999</v>
      </c>
      <c r="L106" s="169">
        <v>1.22</v>
      </c>
      <c r="M106" s="169">
        <v>0.32300000000000001</v>
      </c>
      <c r="N106" s="172">
        <v>0.83299999999999996</v>
      </c>
      <c r="O106" s="173">
        <v>73</v>
      </c>
      <c r="P106" s="169">
        <v>79</v>
      </c>
      <c r="Q106" s="169">
        <v>90</v>
      </c>
      <c r="R106" s="173">
        <v>2.92</v>
      </c>
      <c r="S106" s="169">
        <v>3.36</v>
      </c>
      <c r="T106" s="169">
        <v>-0.44</v>
      </c>
      <c r="U106" s="173">
        <v>3.68</v>
      </c>
      <c r="V106" s="177">
        <v>3.02</v>
      </c>
      <c r="W106" s="175">
        <f t="shared" si="6"/>
        <v>0.86034917518430876</v>
      </c>
      <c r="X106" s="176">
        <f t="shared" si="7"/>
        <v>48</v>
      </c>
    </row>
    <row r="107" spans="1:24" ht="15.75" customHeight="1">
      <c r="A107" s="169">
        <v>102</v>
      </c>
      <c r="B107" s="170" t="s">
        <v>889</v>
      </c>
      <c r="C107" s="170" t="s">
        <v>86</v>
      </c>
      <c r="D107" s="169">
        <v>8.1</v>
      </c>
      <c r="E107" s="169">
        <v>0.9</v>
      </c>
      <c r="F107" s="169">
        <v>9</v>
      </c>
      <c r="G107" s="169">
        <v>0.9</v>
      </c>
      <c r="H107" s="171">
        <v>0.23100000000000001</v>
      </c>
      <c r="I107" s="172">
        <v>2.5999999999999999E-2</v>
      </c>
      <c r="J107" s="172">
        <v>0.20499999999999999</v>
      </c>
      <c r="K107" s="173">
        <v>0.23699999999999999</v>
      </c>
      <c r="L107" s="169">
        <v>1</v>
      </c>
      <c r="M107" s="169">
        <v>0.28599999999999998</v>
      </c>
      <c r="N107" s="172">
        <v>0.69799999999999995</v>
      </c>
      <c r="O107" s="173">
        <v>91</v>
      </c>
      <c r="P107" s="169">
        <v>70</v>
      </c>
      <c r="Q107" s="169">
        <v>81</v>
      </c>
      <c r="R107" s="173">
        <v>3.6</v>
      </c>
      <c r="S107" s="169">
        <v>2.92</v>
      </c>
      <c r="T107" s="169">
        <v>0.68</v>
      </c>
      <c r="U107" s="173">
        <v>3.32</v>
      </c>
      <c r="V107" s="177">
        <v>3.01</v>
      </c>
      <c r="W107" s="175">
        <f t="shared" si="6"/>
        <v>0.85750033685588378</v>
      </c>
      <c r="X107" s="176">
        <f t="shared" si="7"/>
        <v>46</v>
      </c>
    </row>
    <row r="108" spans="1:24" ht="15.75" customHeight="1">
      <c r="A108" s="169">
        <v>103</v>
      </c>
      <c r="B108" s="170" t="s">
        <v>890</v>
      </c>
      <c r="C108" s="170" t="s">
        <v>100</v>
      </c>
      <c r="D108" s="169">
        <v>7.11</v>
      </c>
      <c r="E108" s="169">
        <v>2.13</v>
      </c>
      <c r="F108" s="169">
        <v>3.33</v>
      </c>
      <c r="G108" s="169">
        <v>0.71</v>
      </c>
      <c r="H108" s="171">
        <v>0.192</v>
      </c>
      <c r="I108" s="172">
        <v>5.8000000000000003E-2</v>
      </c>
      <c r="J108" s="172">
        <v>0.13500000000000001</v>
      </c>
      <c r="K108" s="173">
        <v>0.25</v>
      </c>
      <c r="L108" s="169">
        <v>1.18</v>
      </c>
      <c r="M108" s="169">
        <v>0.29699999999999999</v>
      </c>
      <c r="N108" s="172">
        <v>0.753</v>
      </c>
      <c r="O108" s="173">
        <v>75</v>
      </c>
      <c r="P108" s="169">
        <v>88</v>
      </c>
      <c r="Q108" s="169">
        <v>79</v>
      </c>
      <c r="R108" s="173">
        <v>2.84</v>
      </c>
      <c r="S108" s="169">
        <v>3.51</v>
      </c>
      <c r="T108" s="169">
        <v>-0.67</v>
      </c>
      <c r="U108" s="173">
        <v>3.27</v>
      </c>
      <c r="V108" s="177">
        <v>3.01</v>
      </c>
      <c r="W108" s="175">
        <f t="shared" si="6"/>
        <v>0.85750033685588378</v>
      </c>
      <c r="X108" s="176">
        <f t="shared" si="7"/>
        <v>46</v>
      </c>
    </row>
    <row r="109" spans="1:24" ht="15.75" customHeight="1">
      <c r="A109" s="169">
        <v>104</v>
      </c>
      <c r="B109" s="170" t="s">
        <v>891</v>
      </c>
      <c r="C109" s="170" t="s">
        <v>51</v>
      </c>
      <c r="D109" s="169">
        <v>10.130000000000001</v>
      </c>
      <c r="E109" s="169">
        <v>3.38</v>
      </c>
      <c r="F109" s="169">
        <v>3</v>
      </c>
      <c r="G109" s="169">
        <v>0.84</v>
      </c>
      <c r="H109" s="171">
        <v>0.28599999999999998</v>
      </c>
      <c r="I109" s="172">
        <v>9.5000000000000001E-2</v>
      </c>
      <c r="J109" s="172">
        <v>0.19</v>
      </c>
      <c r="K109" s="173">
        <v>0.184</v>
      </c>
      <c r="L109" s="169">
        <v>1.03</v>
      </c>
      <c r="M109" s="169">
        <v>0.24</v>
      </c>
      <c r="N109" s="172">
        <v>0.83299999999999996</v>
      </c>
      <c r="O109" s="173">
        <v>61</v>
      </c>
      <c r="P109" s="169">
        <v>78</v>
      </c>
      <c r="Q109" s="169">
        <v>77</v>
      </c>
      <c r="R109" s="173">
        <v>2.5299999999999998</v>
      </c>
      <c r="S109" s="169">
        <v>3.21</v>
      </c>
      <c r="T109" s="169">
        <v>-0.68</v>
      </c>
      <c r="U109" s="173">
        <v>3.19</v>
      </c>
      <c r="V109" s="177">
        <v>3</v>
      </c>
      <c r="W109" s="175">
        <f t="shared" si="6"/>
        <v>0.85465149852745903</v>
      </c>
      <c r="X109" s="176">
        <f t="shared" si="7"/>
        <v>44</v>
      </c>
    </row>
    <row r="110" spans="1:24" ht="15.75" customHeight="1">
      <c r="A110" s="169">
        <v>105</v>
      </c>
      <c r="B110" s="170" t="s">
        <v>892</v>
      </c>
      <c r="C110" s="170" t="s">
        <v>76</v>
      </c>
      <c r="D110" s="169">
        <v>10.32</v>
      </c>
      <c r="E110" s="169">
        <v>2.38</v>
      </c>
      <c r="F110" s="169">
        <v>4.33</v>
      </c>
      <c r="G110" s="169">
        <v>0</v>
      </c>
      <c r="H110" s="171">
        <v>0.31</v>
      </c>
      <c r="I110" s="172">
        <v>7.0999999999999994E-2</v>
      </c>
      <c r="J110" s="172">
        <v>0.23799999999999999</v>
      </c>
      <c r="K110" s="173">
        <v>0.128</v>
      </c>
      <c r="L110" s="169">
        <v>0.71</v>
      </c>
      <c r="M110" s="169">
        <v>0.192</v>
      </c>
      <c r="N110" s="172">
        <v>0.5</v>
      </c>
      <c r="O110" s="173">
        <v>76</v>
      </c>
      <c r="P110" s="169">
        <v>43</v>
      </c>
      <c r="Q110" s="169">
        <v>90</v>
      </c>
      <c r="R110" s="173">
        <v>3.18</v>
      </c>
      <c r="S110" s="169">
        <v>1.62</v>
      </c>
      <c r="T110" s="169">
        <v>1.56</v>
      </c>
      <c r="U110" s="173">
        <v>3.62</v>
      </c>
      <c r="V110" s="177">
        <v>3</v>
      </c>
      <c r="W110" s="175">
        <f t="shared" si="6"/>
        <v>0.85465149852745903</v>
      </c>
      <c r="X110" s="176">
        <f t="shared" si="7"/>
        <v>44</v>
      </c>
    </row>
    <row r="111" spans="1:24" ht="15.75" customHeight="1">
      <c r="A111" s="169">
        <v>106</v>
      </c>
      <c r="B111" s="170" t="s">
        <v>893</v>
      </c>
      <c r="C111" s="170" t="s">
        <v>76</v>
      </c>
      <c r="D111" s="169">
        <v>11.32</v>
      </c>
      <c r="E111" s="169">
        <v>4.3499999999999996</v>
      </c>
      <c r="F111" s="169">
        <v>2.6</v>
      </c>
      <c r="G111" s="169">
        <v>0.87</v>
      </c>
      <c r="H111" s="171">
        <v>0.34200000000000003</v>
      </c>
      <c r="I111" s="172">
        <v>0.13200000000000001</v>
      </c>
      <c r="J111" s="172">
        <v>0.21099999999999999</v>
      </c>
      <c r="K111" s="173">
        <v>0.152</v>
      </c>
      <c r="L111" s="169">
        <v>0.97</v>
      </c>
      <c r="M111" s="169">
        <v>0.21099999999999999</v>
      </c>
      <c r="N111" s="172">
        <v>1</v>
      </c>
      <c r="O111" s="173">
        <v>21</v>
      </c>
      <c r="P111" s="169">
        <v>84</v>
      </c>
      <c r="Q111" s="169">
        <v>79</v>
      </c>
      <c r="R111" s="173">
        <v>0.87</v>
      </c>
      <c r="S111" s="169">
        <v>3.31</v>
      </c>
      <c r="T111" s="169">
        <v>-2.44</v>
      </c>
      <c r="U111" s="173">
        <v>3.15</v>
      </c>
      <c r="V111" s="177">
        <v>2.99</v>
      </c>
      <c r="W111" s="175">
        <f t="shared" si="6"/>
        <v>0.85180266019903417</v>
      </c>
      <c r="X111" s="176">
        <f t="shared" si="7"/>
        <v>43</v>
      </c>
    </row>
    <row r="112" spans="1:24" ht="15.75" customHeight="1">
      <c r="A112" s="169">
        <v>107</v>
      </c>
      <c r="B112" s="170" t="s">
        <v>894</v>
      </c>
      <c r="C112" s="170" t="s">
        <v>126</v>
      </c>
      <c r="D112" s="169">
        <v>8.0299999999999994</v>
      </c>
      <c r="E112" s="169">
        <v>2.19</v>
      </c>
      <c r="F112" s="169">
        <v>3.67</v>
      </c>
      <c r="G112" s="169">
        <v>0</v>
      </c>
      <c r="H112" s="171">
        <v>0.27500000000000002</v>
      </c>
      <c r="I112" s="172">
        <v>7.4999999999999997E-2</v>
      </c>
      <c r="J112" s="172">
        <v>0.2</v>
      </c>
      <c r="K112" s="173">
        <v>2.7E-2</v>
      </c>
      <c r="L112" s="169">
        <v>0.32</v>
      </c>
      <c r="M112" s="169">
        <v>3.7999999999999999E-2</v>
      </c>
      <c r="N112" s="172">
        <v>1</v>
      </c>
      <c r="O112" s="173">
        <v>0</v>
      </c>
      <c r="P112" s="169">
        <v>55</v>
      </c>
      <c r="Q112" s="169">
        <v>83</v>
      </c>
      <c r="R112" s="173">
        <v>0</v>
      </c>
      <c r="S112" s="169">
        <v>2.06</v>
      </c>
      <c r="T112" s="169">
        <v>-2.06</v>
      </c>
      <c r="U112" s="173">
        <v>3.33</v>
      </c>
      <c r="V112" s="177">
        <v>2.96</v>
      </c>
      <c r="W112" s="175">
        <f t="shared" si="6"/>
        <v>0.84325614521375958</v>
      </c>
      <c r="X112" s="176">
        <f t="shared" si="7"/>
        <v>42</v>
      </c>
    </row>
    <row r="113" spans="1:24" ht="15.75" customHeight="1">
      <c r="A113" s="169">
        <v>108</v>
      </c>
      <c r="B113" s="170" t="s">
        <v>895</v>
      </c>
      <c r="C113" s="170" t="s">
        <v>68</v>
      </c>
      <c r="D113" s="169">
        <v>8.49</v>
      </c>
      <c r="E113" s="169">
        <v>0.77</v>
      </c>
      <c r="F113" s="169">
        <v>11</v>
      </c>
      <c r="G113" s="169">
        <v>0.77</v>
      </c>
      <c r="H113" s="171">
        <v>0.224</v>
      </c>
      <c r="I113" s="172">
        <v>0.02</v>
      </c>
      <c r="J113" s="172">
        <v>0.20399999999999999</v>
      </c>
      <c r="K113" s="173">
        <v>0.27100000000000002</v>
      </c>
      <c r="L113" s="169">
        <v>1.2</v>
      </c>
      <c r="M113" s="169">
        <v>0.33300000000000002</v>
      </c>
      <c r="N113" s="172">
        <v>0.63500000000000001</v>
      </c>
      <c r="O113" s="173">
        <v>92</v>
      </c>
      <c r="P113" s="169">
        <v>64</v>
      </c>
      <c r="Q113" s="169">
        <v>77</v>
      </c>
      <c r="R113" s="173">
        <v>3.86</v>
      </c>
      <c r="S113" s="169">
        <v>2.6</v>
      </c>
      <c r="T113" s="169">
        <v>1.25</v>
      </c>
      <c r="U113" s="173">
        <v>3.07</v>
      </c>
      <c r="V113" s="177">
        <v>2.95</v>
      </c>
      <c r="W113" s="175">
        <f t="shared" si="6"/>
        <v>0.84040730688533472</v>
      </c>
      <c r="X113" s="176">
        <f t="shared" si="7"/>
        <v>41</v>
      </c>
    </row>
    <row r="114" spans="1:24" ht="15.75" customHeight="1">
      <c r="A114" s="169">
        <v>109</v>
      </c>
      <c r="B114" s="170" t="s">
        <v>896</v>
      </c>
      <c r="C114" s="170" t="s">
        <v>42</v>
      </c>
      <c r="D114" s="169">
        <v>4.8499999999999996</v>
      </c>
      <c r="E114" s="169">
        <v>2.77</v>
      </c>
      <c r="F114" s="169">
        <v>1.75</v>
      </c>
      <c r="G114" s="169">
        <v>0.69</v>
      </c>
      <c r="H114" s="171">
        <v>0.14000000000000001</v>
      </c>
      <c r="I114" s="172">
        <v>0.08</v>
      </c>
      <c r="J114" s="172">
        <v>0.06</v>
      </c>
      <c r="K114" s="173">
        <v>0.152</v>
      </c>
      <c r="L114" s="169">
        <v>0.85</v>
      </c>
      <c r="M114" s="169">
        <v>0.158</v>
      </c>
      <c r="N114" s="172">
        <v>0.72899999999999998</v>
      </c>
      <c r="O114" s="173">
        <v>70</v>
      </c>
      <c r="P114" s="169">
        <v>94</v>
      </c>
      <c r="Q114" s="169">
        <v>86</v>
      </c>
      <c r="R114" s="173">
        <v>2.77</v>
      </c>
      <c r="S114" s="169">
        <v>3.97</v>
      </c>
      <c r="T114" s="169">
        <v>-1.2</v>
      </c>
      <c r="U114" s="173">
        <v>3.51</v>
      </c>
      <c r="V114" s="177">
        <v>2.93</v>
      </c>
      <c r="W114" s="175">
        <f t="shared" si="6"/>
        <v>0.83470963022848499</v>
      </c>
      <c r="X114" s="176">
        <f t="shared" si="7"/>
        <v>40</v>
      </c>
    </row>
    <row r="115" spans="1:24" ht="15.75" customHeight="1">
      <c r="A115" s="169">
        <v>110</v>
      </c>
      <c r="B115" s="170" t="s">
        <v>897</v>
      </c>
      <c r="C115" s="170" t="s">
        <v>58</v>
      </c>
      <c r="D115" s="169">
        <v>10.93</v>
      </c>
      <c r="E115" s="169">
        <v>3.21</v>
      </c>
      <c r="F115" s="169">
        <v>3.4</v>
      </c>
      <c r="G115" s="169">
        <v>0</v>
      </c>
      <c r="H115" s="171">
        <v>0.29299999999999998</v>
      </c>
      <c r="I115" s="172">
        <v>8.5999999999999993E-2</v>
      </c>
      <c r="J115" s="172">
        <v>0.20699999999999999</v>
      </c>
      <c r="K115" s="173">
        <v>0.19600000000000001</v>
      </c>
      <c r="L115" s="169">
        <v>1.07</v>
      </c>
      <c r="M115" s="169">
        <v>0.29399999999999998</v>
      </c>
      <c r="N115" s="172">
        <v>0.70599999999999996</v>
      </c>
      <c r="O115" s="173">
        <v>62</v>
      </c>
      <c r="P115" s="169">
        <v>55</v>
      </c>
      <c r="Q115" s="169">
        <v>87</v>
      </c>
      <c r="R115" s="173">
        <v>2.57</v>
      </c>
      <c r="S115" s="169">
        <v>2.19</v>
      </c>
      <c r="T115" s="169">
        <v>0.38</v>
      </c>
      <c r="U115" s="173">
        <v>3.5</v>
      </c>
      <c r="V115" s="177">
        <v>2.91</v>
      </c>
      <c r="W115" s="175">
        <f t="shared" si="6"/>
        <v>0.82901195357163526</v>
      </c>
      <c r="X115" s="176">
        <f t="shared" si="7"/>
        <v>39</v>
      </c>
    </row>
    <row r="116" spans="1:24" ht="15.75" customHeight="1">
      <c r="A116" s="169">
        <v>111</v>
      </c>
      <c r="B116" s="170" t="s">
        <v>898</v>
      </c>
      <c r="C116" s="170" t="s">
        <v>86</v>
      </c>
      <c r="D116" s="169">
        <v>8.1</v>
      </c>
      <c r="E116" s="169">
        <v>0.9</v>
      </c>
      <c r="F116" s="169">
        <v>9</v>
      </c>
      <c r="G116" s="169">
        <v>0</v>
      </c>
      <c r="H116" s="171">
        <v>0.23699999999999999</v>
      </c>
      <c r="I116" s="172">
        <v>2.5999999999999999E-2</v>
      </c>
      <c r="J116" s="172">
        <v>0.21099999999999999</v>
      </c>
      <c r="K116" s="173">
        <v>0.24299999999999999</v>
      </c>
      <c r="L116" s="169">
        <v>1</v>
      </c>
      <c r="M116" s="169">
        <v>0.32100000000000001</v>
      </c>
      <c r="N116" s="172">
        <v>0.9</v>
      </c>
      <c r="O116" s="173">
        <v>23</v>
      </c>
      <c r="P116" s="169">
        <v>37</v>
      </c>
      <c r="Q116" s="169">
        <v>74</v>
      </c>
      <c r="R116" s="173">
        <v>0.9</v>
      </c>
      <c r="S116" s="169">
        <v>1.62</v>
      </c>
      <c r="T116" s="169">
        <v>-0.72</v>
      </c>
      <c r="U116" s="173">
        <v>3.03</v>
      </c>
      <c r="V116" s="177">
        <v>2.89</v>
      </c>
      <c r="W116" s="175">
        <f t="shared" si="6"/>
        <v>0.82331427691478554</v>
      </c>
      <c r="X116" s="176">
        <f t="shared" si="7"/>
        <v>38</v>
      </c>
    </row>
    <row r="117" spans="1:24" ht="15.75" customHeight="1">
      <c r="A117" s="169">
        <v>112</v>
      </c>
      <c r="B117" s="170" t="s">
        <v>899</v>
      </c>
      <c r="C117" s="170" t="s">
        <v>93</v>
      </c>
      <c r="D117" s="169">
        <v>13.89</v>
      </c>
      <c r="E117" s="169">
        <v>5.4</v>
      </c>
      <c r="F117" s="169">
        <v>2.57</v>
      </c>
      <c r="G117" s="169">
        <v>0</v>
      </c>
      <c r="H117" s="171">
        <v>0.36</v>
      </c>
      <c r="I117" s="172">
        <v>0.14000000000000001</v>
      </c>
      <c r="J117" s="172">
        <v>0.22</v>
      </c>
      <c r="K117" s="173">
        <v>0.19</v>
      </c>
      <c r="L117" s="169">
        <v>1.29</v>
      </c>
      <c r="M117" s="169">
        <v>0.33300000000000002</v>
      </c>
      <c r="N117" s="172">
        <v>0.93799999999999994</v>
      </c>
      <c r="O117" s="173">
        <v>20</v>
      </c>
      <c r="P117" s="169">
        <v>50</v>
      </c>
      <c r="Q117" s="169">
        <v>74</v>
      </c>
      <c r="R117" s="173">
        <v>0.77</v>
      </c>
      <c r="S117" s="169">
        <v>2.09</v>
      </c>
      <c r="T117" s="169">
        <v>-1.32</v>
      </c>
      <c r="U117" s="173">
        <v>3.06</v>
      </c>
      <c r="V117" s="177">
        <v>2.88</v>
      </c>
      <c r="W117" s="175">
        <f t="shared" si="6"/>
        <v>0.82046543858636056</v>
      </c>
      <c r="X117" s="176">
        <f t="shared" si="7"/>
        <v>37</v>
      </c>
    </row>
    <row r="118" spans="1:24" ht="15.75" customHeight="1">
      <c r="A118" s="169">
        <v>113</v>
      </c>
      <c r="B118" s="170" t="s">
        <v>900</v>
      </c>
      <c r="C118" s="170" t="s">
        <v>91</v>
      </c>
      <c r="D118" s="169">
        <v>9.26</v>
      </c>
      <c r="E118" s="169">
        <v>2.31</v>
      </c>
      <c r="F118" s="169">
        <v>4</v>
      </c>
      <c r="G118" s="169">
        <v>0.77</v>
      </c>
      <c r="H118" s="171">
        <v>0.27900000000000003</v>
      </c>
      <c r="I118" s="172">
        <v>7.0000000000000007E-2</v>
      </c>
      <c r="J118" s="172">
        <v>0.20899999999999999</v>
      </c>
      <c r="K118" s="173">
        <v>0.158</v>
      </c>
      <c r="L118" s="169">
        <v>0.77</v>
      </c>
      <c r="M118" s="169">
        <v>0.2</v>
      </c>
      <c r="N118" s="172">
        <v>0.93799999999999994</v>
      </c>
      <c r="O118" s="173">
        <v>39</v>
      </c>
      <c r="P118" s="169">
        <v>87</v>
      </c>
      <c r="Q118" s="169">
        <v>83</v>
      </c>
      <c r="R118" s="173">
        <v>1.54</v>
      </c>
      <c r="S118" s="169">
        <v>3.46</v>
      </c>
      <c r="T118" s="169">
        <v>-1.92</v>
      </c>
      <c r="U118" s="173">
        <v>3.32</v>
      </c>
      <c r="V118" s="177">
        <v>2.8</v>
      </c>
      <c r="W118" s="175">
        <f t="shared" si="6"/>
        <v>0.79767473195896166</v>
      </c>
      <c r="X118" s="176">
        <f t="shared" si="7"/>
        <v>36</v>
      </c>
    </row>
    <row r="119" spans="1:24" ht="15.75" customHeight="1">
      <c r="A119" s="169">
        <v>114</v>
      </c>
      <c r="B119" s="170" t="s">
        <v>901</v>
      </c>
      <c r="C119" s="170" t="s">
        <v>66</v>
      </c>
      <c r="D119" s="169">
        <v>11.81</v>
      </c>
      <c r="E119" s="169">
        <v>3.38</v>
      </c>
      <c r="F119" s="169">
        <v>3.5</v>
      </c>
      <c r="G119" s="169">
        <v>0.84</v>
      </c>
      <c r="H119" s="171">
        <v>0.30399999999999999</v>
      </c>
      <c r="I119" s="172">
        <v>8.6999999999999994E-2</v>
      </c>
      <c r="J119" s="172">
        <v>0.217</v>
      </c>
      <c r="K119" s="173">
        <v>0.23799999999999999</v>
      </c>
      <c r="L119" s="169">
        <v>1.31</v>
      </c>
      <c r="M119" s="169">
        <v>0.33300000000000002</v>
      </c>
      <c r="N119" s="172">
        <v>0.873</v>
      </c>
      <c r="O119" s="173">
        <v>40</v>
      </c>
      <c r="P119" s="169">
        <v>73</v>
      </c>
      <c r="Q119" s="169">
        <v>77</v>
      </c>
      <c r="R119" s="173">
        <v>1.69</v>
      </c>
      <c r="S119" s="169">
        <v>2.84</v>
      </c>
      <c r="T119" s="169">
        <v>-1.1499999999999999</v>
      </c>
      <c r="U119" s="173">
        <v>3.08</v>
      </c>
      <c r="V119" s="177">
        <v>2.79</v>
      </c>
      <c r="W119" s="175">
        <f t="shared" si="6"/>
        <v>0.79482589363053691</v>
      </c>
      <c r="X119" s="176">
        <f t="shared" si="7"/>
        <v>35</v>
      </c>
    </row>
    <row r="120" spans="1:24" ht="15.75" customHeight="1">
      <c r="A120" s="169">
        <v>115</v>
      </c>
      <c r="B120" s="170" t="s">
        <v>902</v>
      </c>
      <c r="C120" s="170" t="s">
        <v>51</v>
      </c>
      <c r="D120" s="169">
        <v>11.68</v>
      </c>
      <c r="E120" s="169">
        <v>2.92</v>
      </c>
      <c r="F120" s="169">
        <v>4</v>
      </c>
      <c r="G120" s="169">
        <v>0.73</v>
      </c>
      <c r="H120" s="171">
        <v>0.29599999999999999</v>
      </c>
      <c r="I120" s="172">
        <v>7.3999999999999996E-2</v>
      </c>
      <c r="J120" s="172">
        <v>0.222</v>
      </c>
      <c r="K120" s="173">
        <v>0.26</v>
      </c>
      <c r="L120" s="169">
        <v>1.38</v>
      </c>
      <c r="M120" s="169">
        <v>0.36399999999999999</v>
      </c>
      <c r="N120" s="172">
        <v>0.70499999999999996</v>
      </c>
      <c r="O120" s="173">
        <v>87</v>
      </c>
      <c r="P120" s="169">
        <v>61</v>
      </c>
      <c r="Q120" s="169">
        <v>75</v>
      </c>
      <c r="R120" s="173">
        <v>3.65</v>
      </c>
      <c r="S120" s="169">
        <v>2.5499999999999998</v>
      </c>
      <c r="T120" s="169">
        <v>1.1000000000000001</v>
      </c>
      <c r="U120" s="173">
        <v>3.1</v>
      </c>
      <c r="V120" s="177">
        <v>2.77</v>
      </c>
      <c r="W120" s="175">
        <f t="shared" si="6"/>
        <v>0.78912821697368718</v>
      </c>
      <c r="X120" s="176">
        <f t="shared" si="7"/>
        <v>34</v>
      </c>
    </row>
    <row r="121" spans="1:24" ht="15.75" customHeight="1">
      <c r="A121" s="169">
        <v>116</v>
      </c>
      <c r="B121" s="170" t="s">
        <v>903</v>
      </c>
      <c r="C121" s="170" t="s">
        <v>74</v>
      </c>
      <c r="D121" s="169">
        <v>12.19</v>
      </c>
      <c r="E121" s="169">
        <v>3.48</v>
      </c>
      <c r="F121" s="169">
        <v>3.5</v>
      </c>
      <c r="G121" s="169">
        <v>2.61</v>
      </c>
      <c r="H121" s="171">
        <v>0.318</v>
      </c>
      <c r="I121" s="172">
        <v>9.0999999999999998E-2</v>
      </c>
      <c r="J121" s="172">
        <v>0.22700000000000001</v>
      </c>
      <c r="K121" s="173">
        <v>0.22500000000000001</v>
      </c>
      <c r="L121" s="169">
        <v>1.26</v>
      </c>
      <c r="M121" s="169">
        <v>0.26100000000000001</v>
      </c>
      <c r="N121" s="172">
        <v>0.79500000000000004</v>
      </c>
      <c r="O121" s="173">
        <v>109</v>
      </c>
      <c r="P121" s="169">
        <v>128</v>
      </c>
      <c r="Q121" s="169">
        <v>75</v>
      </c>
      <c r="R121" s="173">
        <v>4.3499999999999996</v>
      </c>
      <c r="S121" s="169">
        <v>5.34</v>
      </c>
      <c r="T121" s="169">
        <v>-0.99</v>
      </c>
      <c r="U121" s="173">
        <v>3.08</v>
      </c>
      <c r="V121" s="177">
        <v>2.76</v>
      </c>
      <c r="W121" s="175">
        <f t="shared" si="6"/>
        <v>0.78627937864526221</v>
      </c>
      <c r="X121" s="176">
        <f t="shared" si="7"/>
        <v>33</v>
      </c>
    </row>
    <row r="122" spans="1:24" ht="15.75" customHeight="1">
      <c r="A122" s="169">
        <v>117</v>
      </c>
      <c r="B122" s="170" t="s">
        <v>153</v>
      </c>
      <c r="C122" s="170" t="s">
        <v>66</v>
      </c>
      <c r="D122" s="169">
        <v>10.5</v>
      </c>
      <c r="E122" s="169">
        <v>2.25</v>
      </c>
      <c r="F122" s="169">
        <v>4.67</v>
      </c>
      <c r="G122" s="169">
        <v>0.75</v>
      </c>
      <c r="H122" s="171">
        <v>0.28000000000000003</v>
      </c>
      <c r="I122" s="172">
        <v>0.06</v>
      </c>
      <c r="J122" s="172">
        <v>0.22</v>
      </c>
      <c r="K122" s="173">
        <v>0.21299999999999999</v>
      </c>
      <c r="L122" s="169">
        <v>1.08</v>
      </c>
      <c r="M122" s="169">
        <v>0.28100000000000003</v>
      </c>
      <c r="N122" s="172">
        <v>0.51700000000000002</v>
      </c>
      <c r="O122" s="173">
        <v>124</v>
      </c>
      <c r="P122" s="169">
        <v>68</v>
      </c>
      <c r="Q122" s="169">
        <v>71</v>
      </c>
      <c r="R122" s="173">
        <v>5.25</v>
      </c>
      <c r="S122" s="169">
        <v>2.62</v>
      </c>
      <c r="T122" s="169">
        <v>2.63</v>
      </c>
      <c r="U122" s="173">
        <v>2.83</v>
      </c>
      <c r="V122" s="177">
        <v>2.74</v>
      </c>
      <c r="W122" s="175">
        <f t="shared" si="6"/>
        <v>0.78058170198841259</v>
      </c>
      <c r="X122" s="176">
        <f t="shared" si="7"/>
        <v>32</v>
      </c>
    </row>
    <row r="123" spans="1:24" ht="15.75" customHeight="1">
      <c r="A123" s="169">
        <v>118</v>
      </c>
      <c r="B123" s="170" t="s">
        <v>904</v>
      </c>
      <c r="C123" s="178" t="s">
        <v>905</v>
      </c>
      <c r="D123" s="169">
        <v>10.29</v>
      </c>
      <c r="E123" s="169">
        <v>2.57</v>
      </c>
      <c r="F123" s="169">
        <v>4</v>
      </c>
      <c r="G123" s="169">
        <v>0.64</v>
      </c>
      <c r="H123" s="171">
        <v>0.28599999999999998</v>
      </c>
      <c r="I123" s="172">
        <v>7.0999999999999994E-2</v>
      </c>
      <c r="J123" s="172">
        <v>0.214</v>
      </c>
      <c r="K123" s="173">
        <v>0.216</v>
      </c>
      <c r="L123" s="169">
        <v>1.07</v>
      </c>
      <c r="M123" s="169">
        <v>0.29399999999999998</v>
      </c>
      <c r="N123" s="172">
        <v>0.753</v>
      </c>
      <c r="O123" s="173">
        <v>62</v>
      </c>
      <c r="P123" s="169">
        <v>70</v>
      </c>
      <c r="Q123" s="169">
        <v>77</v>
      </c>
      <c r="R123" s="173">
        <v>2.57</v>
      </c>
      <c r="S123" s="169">
        <v>2.83</v>
      </c>
      <c r="T123" s="169">
        <v>-0.26</v>
      </c>
      <c r="U123" s="173">
        <v>3.12</v>
      </c>
      <c r="V123" s="177">
        <v>2.72</v>
      </c>
      <c r="W123" s="175">
        <f t="shared" si="6"/>
        <v>0.77488402533156286</v>
      </c>
      <c r="X123" s="176">
        <f t="shared" si="7"/>
        <v>30</v>
      </c>
    </row>
    <row r="124" spans="1:24" ht="15.75" customHeight="1">
      <c r="A124" s="169">
        <v>119</v>
      </c>
      <c r="B124" s="170" t="s">
        <v>906</v>
      </c>
      <c r="C124" s="170" t="s">
        <v>70</v>
      </c>
      <c r="D124" s="169">
        <v>9.24</v>
      </c>
      <c r="E124" s="169">
        <v>2.13</v>
      </c>
      <c r="F124" s="169">
        <v>4.33</v>
      </c>
      <c r="G124" s="169">
        <v>0</v>
      </c>
      <c r="H124" s="171">
        <v>0.27100000000000002</v>
      </c>
      <c r="I124" s="172">
        <v>6.3E-2</v>
      </c>
      <c r="J124" s="172">
        <v>0.20799999999999999</v>
      </c>
      <c r="K124" s="173">
        <v>0.2</v>
      </c>
      <c r="L124" s="169">
        <v>0.95</v>
      </c>
      <c r="M124" s="169">
        <v>0.28100000000000003</v>
      </c>
      <c r="N124" s="172">
        <v>0.75</v>
      </c>
      <c r="O124" s="173">
        <v>51</v>
      </c>
      <c r="P124" s="169">
        <v>45</v>
      </c>
      <c r="Q124" s="169">
        <v>75</v>
      </c>
      <c r="R124" s="173">
        <v>2.13</v>
      </c>
      <c r="S124" s="169">
        <v>1.78</v>
      </c>
      <c r="T124" s="169">
        <v>0.35</v>
      </c>
      <c r="U124" s="173">
        <v>3.01</v>
      </c>
      <c r="V124" s="177">
        <v>2.72</v>
      </c>
      <c r="W124" s="175">
        <f t="shared" si="6"/>
        <v>0.77488402533156286</v>
      </c>
      <c r="X124" s="176">
        <f t="shared" si="7"/>
        <v>30</v>
      </c>
    </row>
    <row r="125" spans="1:24" ht="15.75" customHeight="1">
      <c r="A125" s="169">
        <v>120</v>
      </c>
      <c r="B125" s="170" t="s">
        <v>907</v>
      </c>
      <c r="C125" s="170" t="s">
        <v>126</v>
      </c>
      <c r="D125" s="169">
        <v>6.35</v>
      </c>
      <c r="E125" s="169">
        <v>0.79</v>
      </c>
      <c r="F125" s="169">
        <v>8</v>
      </c>
      <c r="G125" s="169">
        <v>0.79</v>
      </c>
      <c r="H125" s="171">
        <v>0.19500000000000001</v>
      </c>
      <c r="I125" s="172">
        <v>2.4E-2</v>
      </c>
      <c r="J125" s="172">
        <v>0.17100000000000001</v>
      </c>
      <c r="K125" s="173">
        <v>0.17499999999999999</v>
      </c>
      <c r="L125" s="169">
        <v>0.71</v>
      </c>
      <c r="M125" s="169">
        <v>0.19400000000000001</v>
      </c>
      <c r="N125" s="172">
        <v>0.75800000000000001</v>
      </c>
      <c r="O125" s="173">
        <v>59</v>
      </c>
      <c r="P125" s="169">
        <v>81</v>
      </c>
      <c r="Q125" s="169">
        <v>74</v>
      </c>
      <c r="R125" s="173">
        <v>2.38</v>
      </c>
      <c r="S125" s="169">
        <v>3.12</v>
      </c>
      <c r="T125" s="169">
        <v>-0.74</v>
      </c>
      <c r="U125" s="173">
        <v>2.97</v>
      </c>
      <c r="V125" s="177">
        <v>2.69</v>
      </c>
      <c r="W125" s="175">
        <f t="shared" si="6"/>
        <v>0.76633751034628816</v>
      </c>
      <c r="X125" s="176">
        <f t="shared" si="7"/>
        <v>29</v>
      </c>
    </row>
    <row r="126" spans="1:24" ht="15.75" customHeight="1">
      <c r="A126" s="169">
        <v>121</v>
      </c>
      <c r="B126" s="170" t="s">
        <v>908</v>
      </c>
      <c r="C126" s="170" t="s">
        <v>46</v>
      </c>
      <c r="D126" s="169">
        <v>7.84</v>
      </c>
      <c r="E126" s="169">
        <v>0</v>
      </c>
      <c r="F126" s="169">
        <v>9</v>
      </c>
      <c r="G126" s="169">
        <v>0</v>
      </c>
      <c r="H126" s="171">
        <v>0.23699999999999999</v>
      </c>
      <c r="I126" s="172">
        <v>0</v>
      </c>
      <c r="J126" s="172">
        <v>0.23699999999999999</v>
      </c>
      <c r="K126" s="173">
        <v>0.16200000000000001</v>
      </c>
      <c r="L126" s="169">
        <v>0.57999999999999996</v>
      </c>
      <c r="M126" s="169">
        <v>0.214</v>
      </c>
      <c r="N126" s="172">
        <v>0.85699999999999998</v>
      </c>
      <c r="O126" s="173">
        <v>21</v>
      </c>
      <c r="P126" s="169">
        <v>39</v>
      </c>
      <c r="Q126" s="169">
        <v>81</v>
      </c>
      <c r="R126" s="173">
        <v>0.87</v>
      </c>
      <c r="S126" s="169">
        <v>1.67</v>
      </c>
      <c r="T126" s="169">
        <v>-0.8</v>
      </c>
      <c r="U126" s="173">
        <v>3.31</v>
      </c>
      <c r="V126" s="177">
        <v>2.67</v>
      </c>
      <c r="W126" s="175">
        <f t="shared" si="6"/>
        <v>0.76063983368943844</v>
      </c>
      <c r="X126" s="176">
        <f t="shared" si="7"/>
        <v>28</v>
      </c>
    </row>
    <row r="127" spans="1:24" ht="15.75" customHeight="1">
      <c r="A127" s="169">
        <v>122</v>
      </c>
      <c r="B127" s="170" t="s">
        <v>909</v>
      </c>
      <c r="C127" s="170" t="s">
        <v>76</v>
      </c>
      <c r="D127" s="169">
        <v>9.9</v>
      </c>
      <c r="E127" s="169">
        <v>0.9</v>
      </c>
      <c r="F127" s="169">
        <v>11</v>
      </c>
      <c r="G127" s="169">
        <v>3.6</v>
      </c>
      <c r="H127" s="171">
        <v>0.26800000000000002</v>
      </c>
      <c r="I127" s="172">
        <v>2.4E-2</v>
      </c>
      <c r="J127" s="172">
        <v>0.24399999999999999</v>
      </c>
      <c r="K127" s="173">
        <v>0.27500000000000002</v>
      </c>
      <c r="L127" s="169">
        <v>1.2</v>
      </c>
      <c r="M127" s="169">
        <v>0.28000000000000003</v>
      </c>
      <c r="N127" s="172">
        <v>0.78100000000000003</v>
      </c>
      <c r="O127" s="173">
        <v>150</v>
      </c>
      <c r="P127" s="169">
        <v>160</v>
      </c>
      <c r="Q127" s="169">
        <v>73</v>
      </c>
      <c r="R127" s="173">
        <v>6.3</v>
      </c>
      <c r="S127" s="169">
        <v>6.42</v>
      </c>
      <c r="T127" s="169">
        <v>-0.12</v>
      </c>
      <c r="U127" s="173">
        <v>2.92</v>
      </c>
      <c r="V127" s="177">
        <v>2.61</v>
      </c>
      <c r="W127" s="175">
        <f t="shared" si="6"/>
        <v>0.74354680371888926</v>
      </c>
      <c r="X127" s="176">
        <f t="shared" si="7"/>
        <v>27</v>
      </c>
    </row>
    <row r="128" spans="1:24" ht="15.75" customHeight="1">
      <c r="A128" s="169">
        <v>123</v>
      </c>
      <c r="B128" s="170" t="s">
        <v>910</v>
      </c>
      <c r="C128" s="170" t="s">
        <v>108</v>
      </c>
      <c r="D128" s="169">
        <v>12.46</v>
      </c>
      <c r="E128" s="169">
        <v>2.77</v>
      </c>
      <c r="F128" s="169">
        <v>4.5</v>
      </c>
      <c r="G128" s="169">
        <v>1.38</v>
      </c>
      <c r="H128" s="171">
        <v>0.36699999999999999</v>
      </c>
      <c r="I128" s="172">
        <v>8.2000000000000003E-2</v>
      </c>
      <c r="J128" s="172">
        <v>0.28599999999999998</v>
      </c>
      <c r="K128" s="173">
        <v>0.13300000000000001</v>
      </c>
      <c r="L128" s="169">
        <v>0.77</v>
      </c>
      <c r="M128" s="169">
        <v>0.16</v>
      </c>
      <c r="N128" s="172">
        <v>0.69399999999999995</v>
      </c>
      <c r="O128" s="173">
        <v>78</v>
      </c>
      <c r="P128" s="169">
        <v>77</v>
      </c>
      <c r="Q128" s="169">
        <v>83</v>
      </c>
      <c r="R128" s="173">
        <v>3.46</v>
      </c>
      <c r="S128" s="169">
        <v>3.27</v>
      </c>
      <c r="T128" s="169">
        <v>0.19</v>
      </c>
      <c r="U128" s="173">
        <v>3.34</v>
      </c>
      <c r="V128" s="177">
        <v>2.5299999999999998</v>
      </c>
      <c r="W128" s="175">
        <f t="shared" si="6"/>
        <v>0.72075609709149036</v>
      </c>
      <c r="X128" s="176">
        <f t="shared" si="7"/>
        <v>26</v>
      </c>
    </row>
    <row r="129" spans="1:24" ht="15.75" customHeight="1">
      <c r="A129" s="169">
        <v>124</v>
      </c>
      <c r="B129" s="170" t="s">
        <v>911</v>
      </c>
      <c r="C129" s="170" t="s">
        <v>137</v>
      </c>
      <c r="D129" s="169">
        <v>11.32</v>
      </c>
      <c r="E129" s="169">
        <v>2.61</v>
      </c>
      <c r="F129" s="169">
        <v>4.33</v>
      </c>
      <c r="G129" s="169">
        <v>0.87</v>
      </c>
      <c r="H129" s="171">
        <v>0.29499999999999998</v>
      </c>
      <c r="I129" s="172">
        <v>6.8000000000000005E-2</v>
      </c>
      <c r="J129" s="172">
        <v>0.22700000000000001</v>
      </c>
      <c r="K129" s="173">
        <v>0.25</v>
      </c>
      <c r="L129" s="169">
        <v>1.26</v>
      </c>
      <c r="M129" s="169">
        <v>0.34599999999999997</v>
      </c>
      <c r="N129" s="172">
        <v>0.79400000000000004</v>
      </c>
      <c r="O129" s="173">
        <v>94</v>
      </c>
      <c r="P129" s="169">
        <v>76</v>
      </c>
      <c r="Q129" s="169">
        <v>69</v>
      </c>
      <c r="R129" s="173">
        <v>3.48</v>
      </c>
      <c r="S129" s="169">
        <v>3.02</v>
      </c>
      <c r="T129" s="169">
        <v>0.46</v>
      </c>
      <c r="U129" s="173">
        <v>2.86</v>
      </c>
      <c r="V129" s="177">
        <v>2.4700000000000002</v>
      </c>
      <c r="W129" s="175">
        <f t="shared" si="6"/>
        <v>0.70366306712094129</v>
      </c>
      <c r="X129" s="176">
        <f t="shared" si="7"/>
        <v>25</v>
      </c>
    </row>
    <row r="130" spans="1:24" ht="15.75" customHeight="1">
      <c r="A130" s="169">
        <v>125</v>
      </c>
      <c r="B130" s="170" t="s">
        <v>912</v>
      </c>
      <c r="C130" s="170" t="s">
        <v>93</v>
      </c>
      <c r="D130" s="169">
        <v>10.5</v>
      </c>
      <c r="E130" s="169">
        <v>2.25</v>
      </c>
      <c r="F130" s="169">
        <v>4.67</v>
      </c>
      <c r="G130" s="169">
        <v>0.75</v>
      </c>
      <c r="H130" s="171">
        <v>0.318</v>
      </c>
      <c r="I130" s="172">
        <v>6.8000000000000005E-2</v>
      </c>
      <c r="J130" s="172">
        <v>0.25</v>
      </c>
      <c r="K130" s="173">
        <v>0.154</v>
      </c>
      <c r="L130" s="169">
        <v>0.75</v>
      </c>
      <c r="M130" s="169">
        <v>0.20799999999999999</v>
      </c>
      <c r="N130" s="172">
        <v>0.93799999999999994</v>
      </c>
      <c r="O130" s="173">
        <v>38</v>
      </c>
      <c r="P130" s="169">
        <v>76</v>
      </c>
      <c r="Q130" s="169">
        <v>81</v>
      </c>
      <c r="R130" s="173">
        <v>1.5</v>
      </c>
      <c r="S130" s="169">
        <v>3.12</v>
      </c>
      <c r="T130" s="169">
        <v>-1.62</v>
      </c>
      <c r="U130" s="173">
        <v>3.33</v>
      </c>
      <c r="V130" s="177">
        <v>2.46</v>
      </c>
      <c r="W130" s="175">
        <f t="shared" si="6"/>
        <v>0.70081422879251631</v>
      </c>
      <c r="X130" s="176">
        <f t="shared" si="7"/>
        <v>24</v>
      </c>
    </row>
    <row r="131" spans="1:24" ht="15.75" customHeight="1">
      <c r="A131" s="169">
        <v>126</v>
      </c>
      <c r="B131" s="170" t="s">
        <v>913</v>
      </c>
      <c r="C131" s="170" t="s">
        <v>36</v>
      </c>
      <c r="D131" s="169">
        <v>8.7100000000000009</v>
      </c>
      <c r="E131" s="169">
        <v>1.74</v>
      </c>
      <c r="F131" s="169">
        <v>5</v>
      </c>
      <c r="G131" s="169">
        <v>0</v>
      </c>
      <c r="H131" s="171">
        <v>0.24399999999999999</v>
      </c>
      <c r="I131" s="172">
        <v>4.9000000000000002E-2</v>
      </c>
      <c r="J131" s="172">
        <v>0.19500000000000001</v>
      </c>
      <c r="K131" s="173">
        <v>0.25600000000000001</v>
      </c>
      <c r="L131" s="169">
        <v>1.1599999999999999</v>
      </c>
      <c r="M131" s="169">
        <v>0.34499999999999997</v>
      </c>
      <c r="N131" s="172">
        <v>0.75</v>
      </c>
      <c r="O131" s="173">
        <v>55</v>
      </c>
      <c r="P131" s="169">
        <v>43</v>
      </c>
      <c r="Q131" s="169">
        <v>68</v>
      </c>
      <c r="R131" s="173">
        <v>2.61</v>
      </c>
      <c r="S131" s="169">
        <v>1.76</v>
      </c>
      <c r="T131" s="169">
        <v>0.85</v>
      </c>
      <c r="U131" s="173">
        <v>2.72</v>
      </c>
      <c r="V131" s="177">
        <v>2.4500000000000002</v>
      </c>
      <c r="W131" s="175">
        <f t="shared" si="6"/>
        <v>0.69796539046409156</v>
      </c>
      <c r="X131" s="176">
        <f t="shared" si="7"/>
        <v>23</v>
      </c>
    </row>
    <row r="132" spans="1:24" ht="15.75" customHeight="1">
      <c r="A132" s="169">
        <v>127</v>
      </c>
      <c r="B132" s="170" t="s">
        <v>914</v>
      </c>
      <c r="C132" s="170" t="s">
        <v>42</v>
      </c>
      <c r="D132" s="169">
        <v>12.89</v>
      </c>
      <c r="E132" s="169">
        <v>3.68</v>
      </c>
      <c r="F132" s="169">
        <v>3.5</v>
      </c>
      <c r="G132" s="169">
        <v>0.61</v>
      </c>
      <c r="H132" s="171">
        <v>0.36199999999999999</v>
      </c>
      <c r="I132" s="172">
        <v>0.10299999999999999</v>
      </c>
      <c r="J132" s="172">
        <v>0.25900000000000001</v>
      </c>
      <c r="K132" s="173">
        <v>0.192</v>
      </c>
      <c r="L132" s="169">
        <v>1.0900000000000001</v>
      </c>
      <c r="M132" s="169">
        <v>0.3</v>
      </c>
      <c r="N132" s="172">
        <v>0.753</v>
      </c>
      <c r="O132" s="173">
        <v>47</v>
      </c>
      <c r="P132" s="169">
        <v>55</v>
      </c>
      <c r="Q132" s="169">
        <v>68</v>
      </c>
      <c r="R132" s="173">
        <v>1.84</v>
      </c>
      <c r="S132" s="169">
        <v>2.37</v>
      </c>
      <c r="T132" s="169">
        <v>-0.53</v>
      </c>
      <c r="U132" s="173">
        <v>2.83</v>
      </c>
      <c r="V132" s="177">
        <v>2.44</v>
      </c>
      <c r="W132" s="175">
        <f t="shared" si="6"/>
        <v>0.69511655213566659</v>
      </c>
      <c r="X132" s="176">
        <f t="shared" si="7"/>
        <v>22</v>
      </c>
    </row>
    <row r="133" spans="1:24" ht="15.75" customHeight="1">
      <c r="A133" s="169">
        <v>128</v>
      </c>
      <c r="B133" s="170" t="s">
        <v>915</v>
      </c>
      <c r="C133" s="170" t="s">
        <v>70</v>
      </c>
      <c r="D133" s="169">
        <v>7.62</v>
      </c>
      <c r="E133" s="169">
        <v>1.38</v>
      </c>
      <c r="F133" s="169">
        <v>5.5</v>
      </c>
      <c r="G133" s="169">
        <v>0</v>
      </c>
      <c r="H133" s="171">
        <v>0.25</v>
      </c>
      <c r="I133" s="172">
        <v>4.4999999999999998E-2</v>
      </c>
      <c r="J133" s="172">
        <v>0.20499999999999999</v>
      </c>
      <c r="K133" s="173">
        <v>0.11899999999999999</v>
      </c>
      <c r="L133" s="169">
        <v>0.54</v>
      </c>
      <c r="M133" s="169">
        <v>0.161</v>
      </c>
      <c r="N133" s="172">
        <v>0.71399999999999997</v>
      </c>
      <c r="O133" s="173">
        <v>17</v>
      </c>
      <c r="P133" s="169">
        <v>48</v>
      </c>
      <c r="Q133" s="169">
        <v>67</v>
      </c>
      <c r="R133" s="173">
        <v>0.69</v>
      </c>
      <c r="S133" s="169">
        <v>1.89</v>
      </c>
      <c r="T133" s="169">
        <v>-1.2</v>
      </c>
      <c r="U133" s="173">
        <v>2.65</v>
      </c>
      <c r="V133" s="177">
        <v>2.41</v>
      </c>
      <c r="W133" s="175">
        <f t="shared" si="6"/>
        <v>0.68657003715039211</v>
      </c>
      <c r="X133" s="176">
        <f t="shared" si="7"/>
        <v>21</v>
      </c>
    </row>
    <row r="134" spans="1:24" ht="15.75" customHeight="1">
      <c r="A134" s="169">
        <v>129</v>
      </c>
      <c r="B134" s="170" t="s">
        <v>916</v>
      </c>
      <c r="C134" s="170" t="s">
        <v>80</v>
      </c>
      <c r="D134" s="169">
        <v>14.25</v>
      </c>
      <c r="E134" s="169">
        <v>3.75</v>
      </c>
      <c r="F134" s="169">
        <v>3.8</v>
      </c>
      <c r="G134" s="169">
        <v>0</v>
      </c>
      <c r="H134" s="171">
        <v>0.35799999999999998</v>
      </c>
      <c r="I134" s="172">
        <v>9.4E-2</v>
      </c>
      <c r="J134" s="172">
        <v>0.26400000000000001</v>
      </c>
      <c r="K134" s="173">
        <v>0.27100000000000002</v>
      </c>
      <c r="L134" s="169">
        <v>1.5</v>
      </c>
      <c r="M134" s="169">
        <v>0.44800000000000001</v>
      </c>
      <c r="N134" s="172">
        <v>0.66700000000000004</v>
      </c>
      <c r="O134" s="173">
        <v>115</v>
      </c>
      <c r="P134" s="169">
        <v>27</v>
      </c>
      <c r="Q134" s="169">
        <v>57</v>
      </c>
      <c r="R134" s="173">
        <v>4.5</v>
      </c>
      <c r="S134" s="169">
        <v>1.2</v>
      </c>
      <c r="T134" s="169">
        <v>3.3</v>
      </c>
      <c r="U134" s="173">
        <v>2.38</v>
      </c>
      <c r="V134" s="177">
        <v>2.34</v>
      </c>
      <c r="W134" s="175">
        <f t="shared" ref="W134:W153" si="8">V134/$V$176</f>
        <v>0.66662816885141796</v>
      </c>
      <c r="X134" s="176">
        <f t="shared" ref="X134:X153" si="9">RANK(W134,$W$6:$W$175,1)</f>
        <v>20</v>
      </c>
    </row>
    <row r="135" spans="1:24" ht="15.75" customHeight="1">
      <c r="A135" s="169">
        <v>130</v>
      </c>
      <c r="B135" s="170" t="s">
        <v>917</v>
      </c>
      <c r="C135" s="170" t="s">
        <v>143</v>
      </c>
      <c r="D135" s="169">
        <v>13.91</v>
      </c>
      <c r="E135" s="169">
        <v>3.27</v>
      </c>
      <c r="F135" s="169">
        <v>4.25</v>
      </c>
      <c r="G135" s="169">
        <v>1.64</v>
      </c>
      <c r="H135" s="171">
        <v>0.36199999999999999</v>
      </c>
      <c r="I135" s="172">
        <v>8.5000000000000006E-2</v>
      </c>
      <c r="J135" s="172">
        <v>0.27700000000000002</v>
      </c>
      <c r="K135" s="173">
        <v>0.23799999999999999</v>
      </c>
      <c r="L135" s="169">
        <v>1.27</v>
      </c>
      <c r="M135" s="169">
        <v>0.34799999999999998</v>
      </c>
      <c r="N135" s="172">
        <v>0.82</v>
      </c>
      <c r="O135" s="173">
        <v>80</v>
      </c>
      <c r="P135" s="169">
        <v>92</v>
      </c>
      <c r="Q135" s="169">
        <v>73</v>
      </c>
      <c r="R135" s="173">
        <v>3.27</v>
      </c>
      <c r="S135" s="169">
        <v>3.76</v>
      </c>
      <c r="T135" s="169">
        <v>-0.48</v>
      </c>
      <c r="U135" s="173">
        <v>2.93</v>
      </c>
      <c r="V135" s="177">
        <v>2.3199999999999998</v>
      </c>
      <c r="W135" s="175">
        <f t="shared" si="8"/>
        <v>0.66093049219456823</v>
      </c>
      <c r="X135" s="176">
        <f t="shared" si="9"/>
        <v>19</v>
      </c>
    </row>
    <row r="136" spans="1:24" ht="15.75" customHeight="1">
      <c r="A136" s="169">
        <v>131</v>
      </c>
      <c r="B136" s="170" t="s">
        <v>918</v>
      </c>
      <c r="C136" s="170" t="s">
        <v>64</v>
      </c>
      <c r="D136" s="169">
        <v>13.5</v>
      </c>
      <c r="E136" s="169">
        <v>1.8</v>
      </c>
      <c r="F136" s="169">
        <v>7.5</v>
      </c>
      <c r="G136" s="169">
        <v>0.9</v>
      </c>
      <c r="H136" s="171">
        <v>0.35699999999999998</v>
      </c>
      <c r="I136" s="172">
        <v>4.8000000000000001E-2</v>
      </c>
      <c r="J136" s="172">
        <v>0.31</v>
      </c>
      <c r="K136" s="173">
        <v>0.23100000000000001</v>
      </c>
      <c r="L136" s="169">
        <v>1.1000000000000001</v>
      </c>
      <c r="M136" s="169">
        <v>0.34799999999999998</v>
      </c>
      <c r="N136" s="172">
        <v>0.94299999999999995</v>
      </c>
      <c r="O136" s="173">
        <v>46</v>
      </c>
      <c r="P136" s="169">
        <v>56</v>
      </c>
      <c r="Q136" s="169">
        <v>69</v>
      </c>
      <c r="R136" s="173">
        <v>1.8</v>
      </c>
      <c r="S136" s="169">
        <v>2.3199999999999998</v>
      </c>
      <c r="T136" s="169">
        <v>-0.52</v>
      </c>
      <c r="U136" s="173">
        <v>2.86</v>
      </c>
      <c r="V136" s="177">
        <v>2.2599999999999998</v>
      </c>
      <c r="W136" s="175">
        <f t="shared" si="8"/>
        <v>0.64383746222401905</v>
      </c>
      <c r="X136" s="176">
        <f t="shared" si="9"/>
        <v>18</v>
      </c>
    </row>
    <row r="137" spans="1:24" ht="15.75" customHeight="1">
      <c r="A137" s="169">
        <v>132</v>
      </c>
      <c r="B137" s="170" t="s">
        <v>919</v>
      </c>
      <c r="C137" s="170" t="s">
        <v>126</v>
      </c>
      <c r="D137" s="169">
        <v>12.19</v>
      </c>
      <c r="E137" s="169">
        <v>1.74</v>
      </c>
      <c r="F137" s="169">
        <v>7</v>
      </c>
      <c r="G137" s="169">
        <v>0.87</v>
      </c>
      <c r="H137" s="171">
        <v>0.33300000000000002</v>
      </c>
      <c r="I137" s="172">
        <v>4.8000000000000001E-2</v>
      </c>
      <c r="J137" s="172">
        <v>0.28599999999999998</v>
      </c>
      <c r="K137" s="173">
        <v>0.20499999999999999</v>
      </c>
      <c r="L137" s="169">
        <v>0.97</v>
      </c>
      <c r="M137" s="169">
        <v>0.29199999999999998</v>
      </c>
      <c r="N137" s="172">
        <v>0.93799999999999994</v>
      </c>
      <c r="O137" s="173">
        <v>43</v>
      </c>
      <c r="P137" s="169">
        <v>66</v>
      </c>
      <c r="Q137" s="169">
        <v>70</v>
      </c>
      <c r="R137" s="173">
        <v>1.74</v>
      </c>
      <c r="S137" s="169">
        <v>2.54</v>
      </c>
      <c r="T137" s="169">
        <v>-0.8</v>
      </c>
      <c r="U137" s="173">
        <v>2.79</v>
      </c>
      <c r="V137" s="177">
        <v>2.16</v>
      </c>
      <c r="W137" s="175">
        <f t="shared" si="8"/>
        <v>0.61534907893977053</v>
      </c>
      <c r="X137" s="176">
        <f t="shared" si="9"/>
        <v>17</v>
      </c>
    </row>
    <row r="138" spans="1:24" ht="15.75" customHeight="1">
      <c r="A138" s="169">
        <v>133</v>
      </c>
      <c r="B138" s="170" t="s">
        <v>920</v>
      </c>
      <c r="C138" s="170" t="s">
        <v>91</v>
      </c>
      <c r="D138" s="169">
        <v>14.81</v>
      </c>
      <c r="E138" s="169">
        <v>4.3499999999999996</v>
      </c>
      <c r="F138" s="169">
        <v>3.4</v>
      </c>
      <c r="G138" s="169">
        <v>0.87</v>
      </c>
      <c r="H138" s="171">
        <v>0.42499999999999999</v>
      </c>
      <c r="I138" s="172">
        <v>0.125</v>
      </c>
      <c r="J138" s="172">
        <v>0.3</v>
      </c>
      <c r="K138" s="173">
        <v>0.14299999999999999</v>
      </c>
      <c r="L138" s="169">
        <v>0.97</v>
      </c>
      <c r="M138" s="169">
        <v>0.23499999999999999</v>
      </c>
      <c r="N138" s="172">
        <v>0.69799999999999995</v>
      </c>
      <c r="O138" s="173">
        <v>65</v>
      </c>
      <c r="P138" s="169">
        <v>64</v>
      </c>
      <c r="Q138" s="169">
        <v>57</v>
      </c>
      <c r="R138" s="173">
        <v>2.61</v>
      </c>
      <c r="S138" s="169">
        <v>2.54</v>
      </c>
      <c r="T138" s="169">
        <v>7.0000000000000007E-2</v>
      </c>
      <c r="U138" s="173">
        <v>2.2400000000000002</v>
      </c>
      <c r="V138" s="177">
        <v>2.15</v>
      </c>
      <c r="W138" s="175">
        <f t="shared" si="8"/>
        <v>0.61250024061134556</v>
      </c>
      <c r="X138" s="176">
        <f t="shared" si="9"/>
        <v>16</v>
      </c>
    </row>
    <row r="139" spans="1:24" ht="15.75" customHeight="1">
      <c r="A139" s="169">
        <v>134</v>
      </c>
      <c r="B139" s="170" t="s">
        <v>921</v>
      </c>
      <c r="C139" s="170" t="s">
        <v>76</v>
      </c>
      <c r="D139" s="169">
        <v>10.64</v>
      </c>
      <c r="E139" s="169">
        <v>1.64</v>
      </c>
      <c r="F139" s="169">
        <v>6.5</v>
      </c>
      <c r="G139" s="169">
        <v>0</v>
      </c>
      <c r="H139" s="171">
        <v>0.29499999999999998</v>
      </c>
      <c r="I139" s="172">
        <v>4.4999999999999998E-2</v>
      </c>
      <c r="J139" s="172">
        <v>0.25</v>
      </c>
      <c r="K139" s="173">
        <v>0.19500000000000001</v>
      </c>
      <c r="L139" s="169">
        <v>0.91</v>
      </c>
      <c r="M139" s="169">
        <v>0.28599999999999998</v>
      </c>
      <c r="N139" s="172">
        <v>0.63600000000000001</v>
      </c>
      <c r="O139" s="173">
        <v>58</v>
      </c>
      <c r="P139" s="169">
        <v>42</v>
      </c>
      <c r="Q139" s="169">
        <v>62</v>
      </c>
      <c r="R139" s="173">
        <v>2.4500000000000002</v>
      </c>
      <c r="S139" s="169">
        <v>1.57</v>
      </c>
      <c r="T139" s="169">
        <v>0.88</v>
      </c>
      <c r="U139" s="173">
        <v>2.4700000000000002</v>
      </c>
      <c r="V139" s="177">
        <v>2.11</v>
      </c>
      <c r="W139" s="175">
        <f t="shared" si="8"/>
        <v>0.60110488729764611</v>
      </c>
      <c r="X139" s="176">
        <f t="shared" si="9"/>
        <v>15</v>
      </c>
    </row>
    <row r="140" spans="1:24" ht="15.75" customHeight="1">
      <c r="A140" s="169">
        <v>135</v>
      </c>
      <c r="B140" s="170" t="s">
        <v>922</v>
      </c>
      <c r="C140" s="170" t="s">
        <v>132</v>
      </c>
      <c r="D140" s="169">
        <v>11.57</v>
      </c>
      <c r="E140" s="169">
        <v>3.21</v>
      </c>
      <c r="F140" s="169">
        <v>3.6</v>
      </c>
      <c r="G140" s="169">
        <v>0</v>
      </c>
      <c r="H140" s="171">
        <v>0.33300000000000002</v>
      </c>
      <c r="I140" s="172">
        <v>9.2999999999999999E-2</v>
      </c>
      <c r="J140" s="172">
        <v>0.24099999999999999</v>
      </c>
      <c r="K140" s="173">
        <v>0.14299999999999999</v>
      </c>
      <c r="L140" s="169">
        <v>0.86</v>
      </c>
      <c r="M140" s="169">
        <v>0.22600000000000001</v>
      </c>
      <c r="N140" s="172">
        <v>0.91700000000000004</v>
      </c>
      <c r="O140" s="173">
        <v>16</v>
      </c>
      <c r="P140" s="169">
        <v>38</v>
      </c>
      <c r="Q140" s="169">
        <v>50</v>
      </c>
      <c r="R140" s="173">
        <v>0.64</v>
      </c>
      <c r="S140" s="169">
        <v>1.62</v>
      </c>
      <c r="T140" s="169">
        <v>-0.98</v>
      </c>
      <c r="U140" s="173">
        <v>2.12</v>
      </c>
      <c r="V140" s="177">
        <v>2.0299999999999998</v>
      </c>
      <c r="W140" s="175">
        <f t="shared" si="8"/>
        <v>0.5783141806702472</v>
      </c>
      <c r="X140" s="176">
        <f t="shared" si="9"/>
        <v>14</v>
      </c>
    </row>
    <row r="141" spans="1:24" ht="15.75" customHeight="1">
      <c r="A141" s="169">
        <v>136</v>
      </c>
      <c r="B141" s="170" t="s">
        <v>923</v>
      </c>
      <c r="C141" s="170" t="s">
        <v>143</v>
      </c>
      <c r="D141" s="169">
        <v>10.029999999999999</v>
      </c>
      <c r="E141" s="169">
        <v>0.77</v>
      </c>
      <c r="F141" s="169">
        <v>13</v>
      </c>
      <c r="G141" s="169">
        <v>0.77</v>
      </c>
      <c r="H141" s="171">
        <v>0.317</v>
      </c>
      <c r="I141" s="172">
        <v>2.4E-2</v>
      </c>
      <c r="J141" s="172">
        <v>0.29299999999999998</v>
      </c>
      <c r="K141" s="173">
        <v>0.2</v>
      </c>
      <c r="L141" s="169">
        <v>0.77</v>
      </c>
      <c r="M141" s="169">
        <v>0.26900000000000002</v>
      </c>
      <c r="N141" s="172">
        <v>1</v>
      </c>
      <c r="O141" s="173">
        <v>19</v>
      </c>
      <c r="P141" s="169">
        <v>56</v>
      </c>
      <c r="Q141" s="169">
        <v>57</v>
      </c>
      <c r="R141" s="173">
        <v>0.77</v>
      </c>
      <c r="S141" s="169">
        <v>2.2599999999999998</v>
      </c>
      <c r="T141" s="169">
        <v>-1.49</v>
      </c>
      <c r="U141" s="173">
        <v>2.2400000000000002</v>
      </c>
      <c r="V141" s="177">
        <v>1.99</v>
      </c>
      <c r="W141" s="175">
        <f t="shared" si="8"/>
        <v>0.56691882735654775</v>
      </c>
      <c r="X141" s="176">
        <f t="shared" si="9"/>
        <v>13</v>
      </c>
    </row>
    <row r="142" spans="1:24" ht="15.75" customHeight="1">
      <c r="A142" s="169">
        <v>137</v>
      </c>
      <c r="B142" s="170" t="s">
        <v>924</v>
      </c>
      <c r="C142" s="170" t="s">
        <v>64</v>
      </c>
      <c r="D142" s="169">
        <v>13.89</v>
      </c>
      <c r="E142" s="169">
        <v>3.09</v>
      </c>
      <c r="F142" s="169">
        <v>4.5</v>
      </c>
      <c r="G142" s="169">
        <v>0</v>
      </c>
      <c r="H142" s="171">
        <v>0.4</v>
      </c>
      <c r="I142" s="172">
        <v>8.8999999999999996E-2</v>
      </c>
      <c r="J142" s="172">
        <v>0.311</v>
      </c>
      <c r="K142" s="173">
        <v>0.14599999999999999</v>
      </c>
      <c r="L142" s="169">
        <v>0.86</v>
      </c>
      <c r="M142" s="169">
        <v>0.26100000000000001</v>
      </c>
      <c r="N142" s="172">
        <v>1</v>
      </c>
      <c r="O142" s="173">
        <v>0</v>
      </c>
      <c r="P142" s="169">
        <v>24</v>
      </c>
      <c r="Q142" s="169">
        <v>51</v>
      </c>
      <c r="R142" s="173">
        <v>0</v>
      </c>
      <c r="S142" s="169">
        <v>1.06</v>
      </c>
      <c r="T142" s="169">
        <v>-1.06</v>
      </c>
      <c r="U142" s="173">
        <v>2.15</v>
      </c>
      <c r="V142" s="177">
        <v>1.91</v>
      </c>
      <c r="W142" s="175">
        <f t="shared" si="8"/>
        <v>0.54412812072914885</v>
      </c>
      <c r="X142" s="176">
        <f t="shared" si="9"/>
        <v>12</v>
      </c>
    </row>
    <row r="143" spans="1:24" ht="15.75" customHeight="1">
      <c r="A143" s="169">
        <v>138</v>
      </c>
      <c r="B143" s="170" t="s">
        <v>925</v>
      </c>
      <c r="C143" s="170" t="s">
        <v>143</v>
      </c>
      <c r="D143" s="169">
        <v>13.5</v>
      </c>
      <c r="E143" s="169">
        <v>2.5299999999999998</v>
      </c>
      <c r="F143" s="169">
        <v>5.33</v>
      </c>
      <c r="G143" s="169">
        <v>2.5299999999999998</v>
      </c>
      <c r="H143" s="171">
        <v>0.39</v>
      </c>
      <c r="I143" s="172">
        <v>7.2999999999999995E-2</v>
      </c>
      <c r="J143" s="172">
        <v>0.317</v>
      </c>
      <c r="K143" s="173">
        <v>0.23699999999999999</v>
      </c>
      <c r="L143" s="169">
        <v>1.1299999999999999</v>
      </c>
      <c r="M143" s="169">
        <v>0.316</v>
      </c>
      <c r="N143" s="172">
        <v>0.89700000000000002</v>
      </c>
      <c r="O143" s="173">
        <v>103</v>
      </c>
      <c r="P143" s="169">
        <v>112</v>
      </c>
      <c r="Q143" s="169">
        <v>61</v>
      </c>
      <c r="R143" s="173">
        <v>4.22</v>
      </c>
      <c r="S143" s="169">
        <v>4.62</v>
      </c>
      <c r="T143" s="169">
        <v>-0.4</v>
      </c>
      <c r="U143" s="173">
        <v>2.42</v>
      </c>
      <c r="V143" s="177">
        <v>1.84</v>
      </c>
      <c r="W143" s="175">
        <f t="shared" si="8"/>
        <v>0.52418625243017491</v>
      </c>
      <c r="X143" s="176">
        <f t="shared" si="9"/>
        <v>11</v>
      </c>
    </row>
    <row r="144" spans="1:24" ht="15.75" customHeight="1">
      <c r="A144" s="169">
        <v>139</v>
      </c>
      <c r="B144" s="170" t="s">
        <v>926</v>
      </c>
      <c r="C144" s="170" t="s">
        <v>137</v>
      </c>
      <c r="D144" s="169">
        <v>12</v>
      </c>
      <c r="E144" s="169">
        <v>3</v>
      </c>
      <c r="F144" s="169">
        <v>4</v>
      </c>
      <c r="G144" s="169">
        <v>0</v>
      </c>
      <c r="H144" s="171">
        <v>0.36399999999999999</v>
      </c>
      <c r="I144" s="172">
        <v>9.0999999999999998E-2</v>
      </c>
      <c r="J144" s="172">
        <v>0.27300000000000002</v>
      </c>
      <c r="K144" s="173">
        <v>0.1</v>
      </c>
      <c r="L144" s="169">
        <v>0.67</v>
      </c>
      <c r="M144" s="169">
        <v>0.16700000000000001</v>
      </c>
      <c r="N144" s="172">
        <v>0.875</v>
      </c>
      <c r="O144" s="173">
        <v>0</v>
      </c>
      <c r="P144" s="169">
        <v>35</v>
      </c>
      <c r="Q144" s="169">
        <v>45</v>
      </c>
      <c r="R144" s="173">
        <v>0</v>
      </c>
      <c r="S144" s="169">
        <v>1.45</v>
      </c>
      <c r="T144" s="169">
        <v>-1.45</v>
      </c>
      <c r="U144" s="173">
        <v>1.92</v>
      </c>
      <c r="V144" s="177">
        <v>1.83</v>
      </c>
      <c r="W144" s="175">
        <f t="shared" si="8"/>
        <v>0.52133741410175005</v>
      </c>
      <c r="X144" s="176">
        <f t="shared" si="9"/>
        <v>10</v>
      </c>
    </row>
    <row r="145" spans="1:24" ht="15.75" customHeight="1">
      <c r="A145" s="169">
        <v>140</v>
      </c>
      <c r="B145" s="170" t="s">
        <v>927</v>
      </c>
      <c r="C145" s="170" t="s">
        <v>49</v>
      </c>
      <c r="D145" s="169">
        <v>13.09</v>
      </c>
      <c r="E145" s="169">
        <v>1.64</v>
      </c>
      <c r="F145" s="169">
        <v>8</v>
      </c>
      <c r="G145" s="169">
        <v>0.82</v>
      </c>
      <c r="H145" s="171">
        <v>0.36399999999999999</v>
      </c>
      <c r="I145" s="172">
        <v>4.4999999999999998E-2</v>
      </c>
      <c r="J145" s="172">
        <v>0.318</v>
      </c>
      <c r="K145" s="173">
        <v>0.23799999999999999</v>
      </c>
      <c r="L145" s="169">
        <v>1.0900000000000001</v>
      </c>
      <c r="M145" s="169">
        <v>0.36</v>
      </c>
      <c r="N145" s="172">
        <v>0.755</v>
      </c>
      <c r="O145" s="173">
        <v>61</v>
      </c>
      <c r="P145" s="169">
        <v>50</v>
      </c>
      <c r="Q145" s="169">
        <v>52</v>
      </c>
      <c r="R145" s="173">
        <v>2.4500000000000002</v>
      </c>
      <c r="S145" s="169">
        <v>1.94</v>
      </c>
      <c r="T145" s="169">
        <v>0.52</v>
      </c>
      <c r="U145" s="173">
        <v>2.04</v>
      </c>
      <c r="V145" s="177">
        <v>1.78</v>
      </c>
      <c r="W145" s="175">
        <f t="shared" si="8"/>
        <v>0.50709322245962563</v>
      </c>
      <c r="X145" s="176">
        <f t="shared" si="9"/>
        <v>9</v>
      </c>
    </row>
    <row r="146" spans="1:24" ht="15.75" customHeight="1">
      <c r="A146" s="169">
        <v>141</v>
      </c>
      <c r="B146" s="170" t="s">
        <v>928</v>
      </c>
      <c r="C146" s="170" t="s">
        <v>132</v>
      </c>
      <c r="D146" s="169">
        <v>10.32</v>
      </c>
      <c r="E146" s="169">
        <v>0.79</v>
      </c>
      <c r="F146" s="169">
        <v>13</v>
      </c>
      <c r="G146" s="169">
        <v>1.59</v>
      </c>
      <c r="H146" s="171">
        <v>0.30199999999999999</v>
      </c>
      <c r="I146" s="172">
        <v>2.3E-2</v>
      </c>
      <c r="J146" s="172">
        <v>0.27900000000000003</v>
      </c>
      <c r="K146" s="173">
        <v>0.19</v>
      </c>
      <c r="L146" s="169">
        <v>0.79</v>
      </c>
      <c r="M146" s="169">
        <v>0.222</v>
      </c>
      <c r="N146" s="172">
        <v>0.80600000000000005</v>
      </c>
      <c r="O146" s="173">
        <v>81</v>
      </c>
      <c r="P146" s="169">
        <v>83</v>
      </c>
      <c r="Q146" s="169">
        <v>50</v>
      </c>
      <c r="R146" s="173">
        <v>3.18</v>
      </c>
      <c r="S146" s="169">
        <v>3.38</v>
      </c>
      <c r="T146" s="169">
        <v>-0.21</v>
      </c>
      <c r="U146" s="173">
        <v>2.09</v>
      </c>
      <c r="V146" s="177">
        <v>1.75</v>
      </c>
      <c r="W146" s="175">
        <f t="shared" si="8"/>
        <v>0.49854670747435109</v>
      </c>
      <c r="X146" s="176">
        <f t="shared" si="9"/>
        <v>8</v>
      </c>
    </row>
    <row r="147" spans="1:24" ht="15.75" customHeight="1">
      <c r="A147" s="169">
        <v>142</v>
      </c>
      <c r="B147" s="170" t="s">
        <v>929</v>
      </c>
      <c r="C147" s="170" t="s">
        <v>68</v>
      </c>
      <c r="D147" s="169">
        <v>13.14</v>
      </c>
      <c r="E147" s="169">
        <v>1.46</v>
      </c>
      <c r="F147" s="169">
        <v>9</v>
      </c>
      <c r="G147" s="169">
        <v>1.46</v>
      </c>
      <c r="H147" s="171">
        <v>0.375</v>
      </c>
      <c r="I147" s="172">
        <v>4.2000000000000003E-2</v>
      </c>
      <c r="J147" s="172">
        <v>0.33300000000000002</v>
      </c>
      <c r="K147" s="173">
        <v>0.217</v>
      </c>
      <c r="L147" s="169">
        <v>0.97</v>
      </c>
      <c r="M147" s="169">
        <v>0.308</v>
      </c>
      <c r="N147" s="172">
        <v>0.54300000000000004</v>
      </c>
      <c r="O147" s="173">
        <v>122</v>
      </c>
      <c r="P147" s="169">
        <v>68</v>
      </c>
      <c r="Q147" s="169">
        <v>50</v>
      </c>
      <c r="R147" s="173">
        <v>5.1100000000000003</v>
      </c>
      <c r="S147" s="169">
        <v>2.79</v>
      </c>
      <c r="T147" s="169">
        <v>2.31</v>
      </c>
      <c r="U147" s="173">
        <v>1.95</v>
      </c>
      <c r="V147" s="177">
        <v>1.64</v>
      </c>
      <c r="W147" s="175">
        <f t="shared" si="8"/>
        <v>0.46720948586167754</v>
      </c>
      <c r="X147" s="176">
        <f t="shared" si="9"/>
        <v>7</v>
      </c>
    </row>
    <row r="148" spans="1:24" ht="15.75" customHeight="1">
      <c r="A148" s="169">
        <v>143</v>
      </c>
      <c r="B148" s="170" t="s">
        <v>930</v>
      </c>
      <c r="C148" s="170" t="s">
        <v>100</v>
      </c>
      <c r="D148" s="169">
        <v>11.81</v>
      </c>
      <c r="E148" s="169">
        <v>0.84</v>
      </c>
      <c r="F148" s="169">
        <v>14</v>
      </c>
      <c r="G148" s="169">
        <v>0.84</v>
      </c>
      <c r="H148" s="171">
        <v>0.378</v>
      </c>
      <c r="I148" s="172">
        <v>2.7E-2</v>
      </c>
      <c r="J148" s="172">
        <v>0.35099999999999998</v>
      </c>
      <c r="K148" s="173">
        <v>0.111</v>
      </c>
      <c r="L148" s="169">
        <v>0.47</v>
      </c>
      <c r="M148" s="169">
        <v>0.14299999999999999</v>
      </c>
      <c r="N148" s="172">
        <v>1</v>
      </c>
      <c r="O148" s="173">
        <v>22</v>
      </c>
      <c r="P148" s="169">
        <v>49</v>
      </c>
      <c r="Q148" s="169">
        <v>57</v>
      </c>
      <c r="R148" s="173">
        <v>0.84</v>
      </c>
      <c r="S148" s="169">
        <v>1.99</v>
      </c>
      <c r="T148" s="169">
        <v>-1.1499999999999999</v>
      </c>
      <c r="U148" s="173">
        <v>2.37</v>
      </c>
      <c r="V148" s="177">
        <v>1.56</v>
      </c>
      <c r="W148" s="175">
        <f t="shared" si="8"/>
        <v>0.44441877923427869</v>
      </c>
      <c r="X148" s="176">
        <f t="shared" si="9"/>
        <v>5</v>
      </c>
    </row>
    <row r="149" spans="1:24" ht="15.75" customHeight="1">
      <c r="A149" s="169">
        <v>144</v>
      </c>
      <c r="B149" s="170" t="s">
        <v>931</v>
      </c>
      <c r="C149" s="170" t="s">
        <v>60</v>
      </c>
      <c r="D149" s="169">
        <v>17.47</v>
      </c>
      <c r="E149" s="169">
        <v>3.97</v>
      </c>
      <c r="F149" s="169">
        <v>4.4000000000000004</v>
      </c>
      <c r="G149" s="169">
        <v>1.59</v>
      </c>
      <c r="H149" s="171">
        <v>0.46800000000000003</v>
      </c>
      <c r="I149" s="172">
        <v>0.106</v>
      </c>
      <c r="J149" s="172">
        <v>0.36199999999999999</v>
      </c>
      <c r="K149" s="173">
        <v>0.17100000000000001</v>
      </c>
      <c r="L149" s="169">
        <v>1.06</v>
      </c>
      <c r="M149" s="169">
        <v>0.29399999999999998</v>
      </c>
      <c r="N149" s="172">
        <v>0.49</v>
      </c>
      <c r="O149" s="173">
        <v>161</v>
      </c>
      <c r="P149" s="169">
        <v>76</v>
      </c>
      <c r="Q149" s="169">
        <v>49</v>
      </c>
      <c r="R149" s="173">
        <v>6.35</v>
      </c>
      <c r="S149" s="169">
        <v>3.12</v>
      </c>
      <c r="T149" s="169">
        <v>3.23</v>
      </c>
      <c r="U149" s="173">
        <v>2.0699999999999998</v>
      </c>
      <c r="V149" s="177">
        <v>1.56</v>
      </c>
      <c r="W149" s="175">
        <f t="shared" si="8"/>
        <v>0.44441877923427869</v>
      </c>
      <c r="X149" s="176">
        <f t="shared" si="9"/>
        <v>5</v>
      </c>
    </row>
    <row r="150" spans="1:24" ht="15.75" customHeight="1">
      <c r="A150" s="169">
        <v>145</v>
      </c>
      <c r="B150" s="170" t="s">
        <v>932</v>
      </c>
      <c r="C150" s="170" t="s">
        <v>82</v>
      </c>
      <c r="D150" s="169">
        <v>13.5</v>
      </c>
      <c r="E150" s="169">
        <v>0.9</v>
      </c>
      <c r="F150" s="169">
        <v>15</v>
      </c>
      <c r="G150" s="169">
        <v>0</v>
      </c>
      <c r="H150" s="171">
        <v>0.38500000000000001</v>
      </c>
      <c r="I150" s="172">
        <v>2.5999999999999999E-2</v>
      </c>
      <c r="J150" s="172">
        <v>0.35899999999999999</v>
      </c>
      <c r="K150" s="173">
        <v>0.21099999999999999</v>
      </c>
      <c r="L150" s="169">
        <v>0.9</v>
      </c>
      <c r="M150" s="169">
        <v>0.34799999999999998</v>
      </c>
      <c r="N150" s="172">
        <v>0.77800000000000002</v>
      </c>
      <c r="O150" s="173">
        <v>42</v>
      </c>
      <c r="P150" s="169">
        <v>13</v>
      </c>
      <c r="Q150" s="169">
        <v>44</v>
      </c>
      <c r="R150" s="173">
        <v>1.8</v>
      </c>
      <c r="S150" s="169">
        <v>0.42</v>
      </c>
      <c r="T150" s="169">
        <v>1.38</v>
      </c>
      <c r="U150" s="173">
        <v>1.69</v>
      </c>
      <c r="V150" s="177">
        <v>1.37</v>
      </c>
      <c r="W150" s="175">
        <f t="shared" si="8"/>
        <v>0.3902908509942063</v>
      </c>
      <c r="X150" s="176">
        <f t="shared" si="9"/>
        <v>4</v>
      </c>
    </row>
    <row r="151" spans="1:24" ht="15.75" customHeight="1">
      <c r="A151" s="169">
        <v>146</v>
      </c>
      <c r="B151" s="170" t="s">
        <v>933</v>
      </c>
      <c r="C151" s="170" t="s">
        <v>132</v>
      </c>
      <c r="D151" s="169">
        <v>14.54</v>
      </c>
      <c r="E151" s="169">
        <v>1.38</v>
      </c>
      <c r="F151" s="169">
        <v>10.5</v>
      </c>
      <c r="G151" s="169">
        <v>0.69</v>
      </c>
      <c r="H151" s="171">
        <v>0.39600000000000002</v>
      </c>
      <c r="I151" s="172">
        <v>3.7999999999999999E-2</v>
      </c>
      <c r="J151" s="172">
        <v>0.35799999999999998</v>
      </c>
      <c r="K151" s="173">
        <v>0.255</v>
      </c>
      <c r="L151" s="169">
        <v>1.1499999999999999</v>
      </c>
      <c r="M151" s="169">
        <v>0.41399999999999998</v>
      </c>
      <c r="N151" s="172">
        <v>0.51500000000000001</v>
      </c>
      <c r="O151" s="173">
        <v>141</v>
      </c>
      <c r="P151" s="169">
        <v>31</v>
      </c>
      <c r="Q151" s="169">
        <v>22</v>
      </c>
      <c r="R151" s="173">
        <v>5.54</v>
      </c>
      <c r="S151" s="169">
        <v>1.35</v>
      </c>
      <c r="T151" s="169">
        <v>4.1900000000000004</v>
      </c>
      <c r="U151" s="173">
        <v>1</v>
      </c>
      <c r="V151" s="177">
        <v>1.23</v>
      </c>
      <c r="W151" s="175">
        <f t="shared" si="8"/>
        <v>0.35040711439625816</v>
      </c>
      <c r="X151" s="176">
        <f t="shared" si="9"/>
        <v>3</v>
      </c>
    </row>
    <row r="152" spans="1:24" ht="15.75" customHeight="1">
      <c r="A152" s="169">
        <v>147</v>
      </c>
      <c r="B152" s="170" t="s">
        <v>934</v>
      </c>
      <c r="C152" s="170" t="s">
        <v>93</v>
      </c>
      <c r="D152" s="169">
        <v>16.2</v>
      </c>
      <c r="E152" s="169">
        <v>1.54</v>
      </c>
      <c r="F152" s="169">
        <v>10.5</v>
      </c>
      <c r="G152" s="169">
        <v>2.31</v>
      </c>
      <c r="H152" s="171">
        <v>0.42899999999999999</v>
      </c>
      <c r="I152" s="172">
        <v>4.1000000000000002E-2</v>
      </c>
      <c r="J152" s="172">
        <v>0.38800000000000001</v>
      </c>
      <c r="K152" s="173">
        <v>0.23400000000000001</v>
      </c>
      <c r="L152" s="169">
        <v>1.1100000000000001</v>
      </c>
      <c r="M152" s="169">
        <v>0.34799999999999998</v>
      </c>
      <c r="N152" s="172">
        <v>0.68200000000000005</v>
      </c>
      <c r="O152" s="173">
        <v>138</v>
      </c>
      <c r="P152" s="169">
        <v>82</v>
      </c>
      <c r="Q152" s="169">
        <v>31</v>
      </c>
      <c r="R152" s="173">
        <v>5.4</v>
      </c>
      <c r="S152" s="169">
        <v>3.38</v>
      </c>
      <c r="T152" s="169">
        <v>2.02</v>
      </c>
      <c r="U152" s="173">
        <v>1.37</v>
      </c>
      <c r="V152" s="177">
        <v>1.19</v>
      </c>
      <c r="W152" s="175">
        <f t="shared" si="8"/>
        <v>0.3390117610825587</v>
      </c>
      <c r="X152" s="176">
        <f t="shared" si="9"/>
        <v>2</v>
      </c>
    </row>
    <row r="153" spans="1:24" ht="15.75" customHeight="1">
      <c r="A153" s="169">
        <v>148</v>
      </c>
      <c r="B153" s="170" t="s">
        <v>935</v>
      </c>
      <c r="C153" s="170" t="s">
        <v>132</v>
      </c>
      <c r="D153" s="169">
        <v>11.81</v>
      </c>
      <c r="E153" s="169">
        <v>0</v>
      </c>
      <c r="F153" s="169">
        <v>14</v>
      </c>
      <c r="G153" s="169">
        <v>0</v>
      </c>
      <c r="H153" s="171">
        <v>0.38900000000000001</v>
      </c>
      <c r="I153" s="172">
        <v>0</v>
      </c>
      <c r="J153" s="172">
        <v>0.38900000000000001</v>
      </c>
      <c r="K153" s="173">
        <v>0.13900000000000001</v>
      </c>
      <c r="L153" s="169">
        <v>0.47</v>
      </c>
      <c r="M153" s="169">
        <v>0.22700000000000001</v>
      </c>
      <c r="N153" s="172">
        <v>1</v>
      </c>
      <c r="O153" s="173">
        <v>0</v>
      </c>
      <c r="P153" s="169">
        <v>9</v>
      </c>
      <c r="Q153" s="169">
        <v>43</v>
      </c>
      <c r="R153" s="173">
        <v>0</v>
      </c>
      <c r="S153" s="169">
        <v>0.49</v>
      </c>
      <c r="T153" s="169">
        <v>-0.49</v>
      </c>
      <c r="U153" s="173">
        <v>1.82</v>
      </c>
      <c r="V153" s="177">
        <v>1.18</v>
      </c>
      <c r="W153" s="175">
        <f t="shared" si="8"/>
        <v>0.33616292275413384</v>
      </c>
      <c r="X153" s="176">
        <f t="shared" si="9"/>
        <v>1</v>
      </c>
    </row>
    <row r="154" spans="1:24" ht="15.75" customHeight="1">
      <c r="A154" s="179"/>
      <c r="B154" s="180"/>
      <c r="C154" s="180"/>
      <c r="D154" s="179"/>
      <c r="E154" s="179"/>
      <c r="F154" s="179"/>
      <c r="G154" s="179"/>
      <c r="H154" s="181"/>
      <c r="I154" s="181"/>
      <c r="J154" s="181"/>
      <c r="K154" s="179"/>
      <c r="L154" s="179"/>
      <c r="M154" s="179"/>
      <c r="N154" s="181"/>
      <c r="O154" s="179"/>
      <c r="P154" s="179"/>
      <c r="Q154" s="179"/>
      <c r="R154" s="179"/>
      <c r="S154" s="179"/>
      <c r="T154" s="179"/>
      <c r="U154" s="179"/>
      <c r="V154" s="182"/>
      <c r="W154" s="175"/>
      <c r="X154" s="176"/>
    </row>
    <row r="155" spans="1:24" ht="15.75" customHeight="1">
      <c r="A155" s="179"/>
      <c r="B155" s="180"/>
      <c r="C155" s="180"/>
      <c r="D155" s="179"/>
      <c r="E155" s="179"/>
      <c r="F155" s="179"/>
      <c r="G155" s="179"/>
      <c r="H155" s="181"/>
      <c r="I155" s="181"/>
      <c r="J155" s="181"/>
      <c r="K155" s="179"/>
      <c r="L155" s="179"/>
      <c r="M155" s="179"/>
      <c r="N155" s="181"/>
      <c r="O155" s="179"/>
      <c r="P155" s="179"/>
      <c r="Q155" s="179"/>
      <c r="R155" s="179"/>
      <c r="S155" s="179"/>
      <c r="T155" s="179"/>
      <c r="U155" s="179"/>
      <c r="V155" s="182"/>
      <c r="W155" s="175"/>
      <c r="X155" s="176"/>
    </row>
    <row r="156" spans="1:24" ht="15.75" customHeight="1">
      <c r="A156" s="179"/>
      <c r="B156" s="180"/>
      <c r="C156" s="180"/>
      <c r="D156" s="179"/>
      <c r="E156" s="179"/>
      <c r="F156" s="179"/>
      <c r="G156" s="179"/>
      <c r="H156" s="181"/>
      <c r="I156" s="181"/>
      <c r="J156" s="181"/>
      <c r="K156" s="179"/>
      <c r="L156" s="179"/>
      <c r="M156" s="179"/>
      <c r="N156" s="181"/>
      <c r="O156" s="179"/>
      <c r="P156" s="179"/>
      <c r="Q156" s="179"/>
      <c r="R156" s="179"/>
      <c r="S156" s="179"/>
      <c r="T156" s="179"/>
      <c r="U156" s="179"/>
      <c r="V156" s="182"/>
      <c r="W156" s="175"/>
      <c r="X156" s="176"/>
    </row>
    <row r="157" spans="1:24" ht="15.75" customHeight="1">
      <c r="A157" s="179"/>
      <c r="B157" s="180"/>
      <c r="C157" s="180"/>
      <c r="D157" s="179"/>
      <c r="E157" s="179"/>
      <c r="F157" s="179"/>
      <c r="G157" s="179"/>
      <c r="H157" s="181"/>
      <c r="I157" s="181"/>
      <c r="J157" s="181"/>
      <c r="K157" s="179"/>
      <c r="L157" s="179"/>
      <c r="M157" s="179"/>
      <c r="N157" s="181"/>
      <c r="O157" s="179"/>
      <c r="P157" s="179"/>
      <c r="Q157" s="179"/>
      <c r="R157" s="179"/>
      <c r="S157" s="179"/>
      <c r="T157" s="179"/>
      <c r="U157" s="179"/>
      <c r="V157" s="182"/>
      <c r="W157" s="175"/>
      <c r="X157" s="176"/>
    </row>
    <row r="158" spans="1:24" ht="15.75" customHeight="1">
      <c r="A158" s="179"/>
      <c r="B158" s="180"/>
      <c r="C158" s="180"/>
      <c r="D158" s="179"/>
      <c r="E158" s="179"/>
      <c r="F158" s="179"/>
      <c r="G158" s="179"/>
      <c r="H158" s="181"/>
      <c r="I158" s="181"/>
      <c r="J158" s="181"/>
      <c r="K158" s="179"/>
      <c r="L158" s="179"/>
      <c r="M158" s="179"/>
      <c r="N158" s="181"/>
      <c r="O158" s="179"/>
      <c r="P158" s="179"/>
      <c r="Q158" s="179"/>
      <c r="R158" s="179"/>
      <c r="S158" s="179"/>
      <c r="T158" s="179"/>
      <c r="U158" s="179"/>
      <c r="V158" s="182"/>
      <c r="W158" s="175"/>
      <c r="X158" s="176"/>
    </row>
    <row r="159" spans="1:24" ht="15.75" customHeight="1">
      <c r="A159" s="179"/>
      <c r="B159" s="180"/>
      <c r="C159" s="180"/>
      <c r="D159" s="179"/>
      <c r="E159" s="179"/>
      <c r="F159" s="179"/>
      <c r="G159" s="179"/>
      <c r="H159" s="181"/>
      <c r="I159" s="181"/>
      <c r="J159" s="181"/>
      <c r="K159" s="179"/>
      <c r="L159" s="179"/>
      <c r="M159" s="179"/>
      <c r="N159" s="181"/>
      <c r="O159" s="179"/>
      <c r="P159" s="179"/>
      <c r="Q159" s="179"/>
      <c r="R159" s="179"/>
      <c r="S159" s="179"/>
      <c r="T159" s="179"/>
      <c r="U159" s="179"/>
      <c r="V159" s="182"/>
      <c r="W159" s="175"/>
      <c r="X159" s="176"/>
    </row>
    <row r="160" spans="1:24" ht="15.75" customHeight="1">
      <c r="A160" s="179"/>
      <c r="B160" s="180"/>
      <c r="C160" s="180"/>
      <c r="D160" s="179"/>
      <c r="E160" s="179"/>
      <c r="F160" s="179"/>
      <c r="G160" s="179"/>
      <c r="H160" s="181"/>
      <c r="I160" s="181"/>
      <c r="J160" s="181"/>
      <c r="K160" s="179"/>
      <c r="L160" s="179"/>
      <c r="M160" s="179"/>
      <c r="N160" s="181"/>
      <c r="O160" s="179"/>
      <c r="P160" s="179"/>
      <c r="Q160" s="179"/>
      <c r="R160" s="179"/>
      <c r="S160" s="179"/>
      <c r="T160" s="179"/>
      <c r="U160" s="179"/>
      <c r="V160" s="182"/>
      <c r="W160" s="175"/>
      <c r="X160" s="176"/>
    </row>
    <row r="161" spans="1:24" ht="15.75" customHeight="1">
      <c r="A161" s="179"/>
      <c r="B161" s="180"/>
      <c r="C161" s="180"/>
      <c r="D161" s="179"/>
      <c r="E161" s="179"/>
      <c r="F161" s="179"/>
      <c r="G161" s="179"/>
      <c r="H161" s="181"/>
      <c r="I161" s="181"/>
      <c r="J161" s="181"/>
      <c r="K161" s="179"/>
      <c r="L161" s="179"/>
      <c r="M161" s="179"/>
      <c r="N161" s="181"/>
      <c r="O161" s="179"/>
      <c r="P161" s="179"/>
      <c r="Q161" s="179"/>
      <c r="R161" s="179"/>
      <c r="S161" s="179"/>
      <c r="T161" s="179"/>
      <c r="U161" s="179"/>
      <c r="V161" s="182"/>
      <c r="W161" s="175"/>
      <c r="X161" s="176"/>
    </row>
    <row r="162" spans="1:24" ht="15.75" customHeight="1">
      <c r="A162" s="179"/>
      <c r="B162" s="180"/>
      <c r="C162" s="180"/>
      <c r="D162" s="179"/>
      <c r="E162" s="179"/>
      <c r="F162" s="179"/>
      <c r="G162" s="179"/>
      <c r="H162" s="181"/>
      <c r="I162" s="181"/>
      <c r="J162" s="181"/>
      <c r="K162" s="179"/>
      <c r="L162" s="179"/>
      <c r="M162" s="179"/>
      <c r="N162" s="181"/>
      <c r="O162" s="179"/>
      <c r="P162" s="179"/>
      <c r="Q162" s="179"/>
      <c r="R162" s="179"/>
      <c r="S162" s="179"/>
      <c r="T162" s="179"/>
      <c r="U162" s="179"/>
      <c r="V162" s="182"/>
      <c r="W162" s="175"/>
      <c r="X162" s="176"/>
    </row>
    <row r="163" spans="1:24" ht="15.75" customHeight="1">
      <c r="A163" s="179"/>
      <c r="B163" s="180"/>
      <c r="C163" s="180"/>
      <c r="D163" s="179"/>
      <c r="E163" s="179"/>
      <c r="F163" s="179"/>
      <c r="G163" s="179"/>
      <c r="H163" s="181"/>
      <c r="I163" s="181"/>
      <c r="J163" s="181"/>
      <c r="K163" s="179"/>
      <c r="L163" s="179"/>
      <c r="M163" s="179"/>
      <c r="N163" s="181"/>
      <c r="O163" s="179"/>
      <c r="P163" s="179"/>
      <c r="Q163" s="179"/>
      <c r="R163" s="179"/>
      <c r="S163" s="179"/>
      <c r="T163" s="179"/>
      <c r="U163" s="179"/>
      <c r="V163" s="182"/>
      <c r="W163" s="175"/>
      <c r="X163" s="176"/>
    </row>
    <row r="164" spans="1:24" ht="15.75" customHeight="1">
      <c r="A164" s="179"/>
      <c r="B164" s="180"/>
      <c r="C164" s="180"/>
      <c r="D164" s="179"/>
      <c r="E164" s="179"/>
      <c r="F164" s="179"/>
      <c r="G164" s="179"/>
      <c r="H164" s="181"/>
      <c r="I164" s="181"/>
      <c r="J164" s="181"/>
      <c r="K164" s="179"/>
      <c r="L164" s="179"/>
      <c r="M164" s="179"/>
      <c r="N164" s="181"/>
      <c r="O164" s="179"/>
      <c r="P164" s="179"/>
      <c r="Q164" s="179"/>
      <c r="R164" s="179"/>
      <c r="S164" s="179"/>
      <c r="T164" s="179"/>
      <c r="U164" s="179"/>
      <c r="V164" s="182"/>
      <c r="W164" s="175"/>
      <c r="X164" s="176"/>
    </row>
    <row r="165" spans="1:24" ht="15.75" customHeight="1">
      <c r="A165" s="179"/>
      <c r="B165" s="180"/>
      <c r="C165" s="180"/>
      <c r="D165" s="179"/>
      <c r="E165" s="179"/>
      <c r="F165" s="179"/>
      <c r="G165" s="179"/>
      <c r="H165" s="181"/>
      <c r="I165" s="181"/>
      <c r="J165" s="181"/>
      <c r="K165" s="179"/>
      <c r="L165" s="179"/>
      <c r="M165" s="179"/>
      <c r="N165" s="181"/>
      <c r="O165" s="179"/>
      <c r="P165" s="179"/>
      <c r="Q165" s="179"/>
      <c r="R165" s="179"/>
      <c r="S165" s="179"/>
      <c r="T165" s="179"/>
      <c r="U165" s="179"/>
      <c r="V165" s="182"/>
      <c r="W165" s="175"/>
      <c r="X165" s="176"/>
    </row>
    <row r="166" spans="1:24" ht="15.75" customHeight="1">
      <c r="A166" s="179"/>
      <c r="B166" s="180"/>
      <c r="C166" s="180"/>
      <c r="D166" s="179"/>
      <c r="E166" s="179"/>
      <c r="F166" s="179"/>
      <c r="G166" s="179"/>
      <c r="H166" s="181"/>
      <c r="I166" s="181"/>
      <c r="J166" s="181"/>
      <c r="K166" s="179"/>
      <c r="L166" s="179"/>
      <c r="M166" s="179"/>
      <c r="N166" s="181"/>
      <c r="O166" s="179"/>
      <c r="P166" s="179"/>
      <c r="Q166" s="179"/>
      <c r="R166" s="179"/>
      <c r="S166" s="179"/>
      <c r="T166" s="179"/>
      <c r="U166" s="179"/>
      <c r="V166" s="182"/>
      <c r="W166" s="175"/>
      <c r="X166" s="176"/>
    </row>
    <row r="167" spans="1:24" ht="15.75" customHeight="1">
      <c r="A167" s="179"/>
      <c r="B167" s="180"/>
      <c r="C167" s="180"/>
      <c r="D167" s="179"/>
      <c r="E167" s="179"/>
      <c r="F167" s="179"/>
      <c r="G167" s="179"/>
      <c r="H167" s="181"/>
      <c r="I167" s="181"/>
      <c r="J167" s="181"/>
      <c r="K167" s="179"/>
      <c r="L167" s="179"/>
      <c r="M167" s="179"/>
      <c r="N167" s="181"/>
      <c r="O167" s="179"/>
      <c r="P167" s="179"/>
      <c r="Q167" s="179"/>
      <c r="R167" s="179"/>
      <c r="S167" s="179"/>
      <c r="T167" s="179"/>
      <c r="U167" s="179"/>
      <c r="V167" s="182"/>
      <c r="W167" s="175"/>
      <c r="X167" s="176"/>
    </row>
    <row r="168" spans="1:24" ht="15.75" customHeight="1">
      <c r="A168" s="179"/>
      <c r="B168" s="180"/>
      <c r="C168" s="180"/>
      <c r="D168" s="179"/>
      <c r="E168" s="179"/>
      <c r="F168" s="179"/>
      <c r="G168" s="179"/>
      <c r="H168" s="181"/>
      <c r="I168" s="181"/>
      <c r="J168" s="181"/>
      <c r="K168" s="179"/>
      <c r="L168" s="179"/>
      <c r="M168" s="179"/>
      <c r="N168" s="181"/>
      <c r="O168" s="179"/>
      <c r="P168" s="179"/>
      <c r="Q168" s="179"/>
      <c r="R168" s="179"/>
      <c r="S168" s="179"/>
      <c r="T168" s="179"/>
      <c r="U168" s="179"/>
      <c r="V168" s="182"/>
      <c r="W168" s="175"/>
      <c r="X168" s="176"/>
    </row>
    <row r="169" spans="1:24" ht="15.75" customHeight="1">
      <c r="A169" s="179"/>
      <c r="B169" s="180"/>
      <c r="C169" s="180"/>
      <c r="D169" s="179"/>
      <c r="E169" s="179"/>
      <c r="F169" s="179"/>
      <c r="G169" s="179"/>
      <c r="H169" s="181"/>
      <c r="I169" s="181"/>
      <c r="J169" s="181"/>
      <c r="K169" s="179"/>
      <c r="L169" s="179"/>
      <c r="M169" s="179"/>
      <c r="N169" s="181"/>
      <c r="O169" s="179"/>
      <c r="P169" s="179"/>
      <c r="Q169" s="179"/>
      <c r="R169" s="179"/>
      <c r="S169" s="179"/>
      <c r="T169" s="179"/>
      <c r="U169" s="179"/>
      <c r="V169" s="182"/>
      <c r="W169" s="175"/>
      <c r="X169" s="176"/>
    </row>
    <row r="170" spans="1:24" ht="15.75" customHeight="1">
      <c r="A170" s="179"/>
      <c r="B170" s="180"/>
      <c r="C170" s="180"/>
      <c r="D170" s="179"/>
      <c r="E170" s="179"/>
      <c r="F170" s="179"/>
      <c r="G170" s="179"/>
      <c r="H170" s="181"/>
      <c r="I170" s="181"/>
      <c r="J170" s="181"/>
      <c r="K170" s="179"/>
      <c r="L170" s="179"/>
      <c r="M170" s="179"/>
      <c r="N170" s="181"/>
      <c r="O170" s="179"/>
      <c r="P170" s="179"/>
      <c r="Q170" s="179"/>
      <c r="R170" s="179"/>
      <c r="S170" s="179"/>
      <c r="T170" s="179"/>
      <c r="U170" s="179"/>
      <c r="V170" s="182"/>
      <c r="W170" s="175"/>
      <c r="X170" s="176"/>
    </row>
    <row r="171" spans="1:24" ht="15.75" customHeight="1">
      <c r="A171" s="179"/>
      <c r="B171" s="180"/>
      <c r="C171" s="180"/>
      <c r="D171" s="179"/>
      <c r="E171" s="179"/>
      <c r="F171" s="179"/>
      <c r="G171" s="179"/>
      <c r="H171" s="181"/>
      <c r="I171" s="181"/>
      <c r="J171" s="181"/>
      <c r="K171" s="179"/>
      <c r="L171" s="179"/>
      <c r="M171" s="179"/>
      <c r="N171" s="181"/>
      <c r="O171" s="179"/>
      <c r="P171" s="179"/>
      <c r="Q171" s="179"/>
      <c r="R171" s="179"/>
      <c r="S171" s="179"/>
      <c r="T171" s="179"/>
      <c r="U171" s="179"/>
      <c r="V171" s="182"/>
      <c r="W171" s="175"/>
      <c r="X171" s="176"/>
    </row>
    <row r="172" spans="1:24" ht="15.75" customHeight="1">
      <c r="A172" s="179"/>
      <c r="B172" s="180"/>
      <c r="C172" s="180"/>
      <c r="D172" s="179"/>
      <c r="E172" s="179"/>
      <c r="F172" s="179"/>
      <c r="G172" s="179"/>
      <c r="H172" s="181"/>
      <c r="I172" s="181"/>
      <c r="J172" s="181"/>
      <c r="K172" s="179"/>
      <c r="L172" s="179"/>
      <c r="M172" s="179"/>
      <c r="N172" s="181"/>
      <c r="O172" s="179"/>
      <c r="P172" s="179"/>
      <c r="Q172" s="179"/>
      <c r="R172" s="179"/>
      <c r="S172" s="179"/>
      <c r="T172" s="179"/>
      <c r="U172" s="179"/>
      <c r="V172" s="182"/>
      <c r="W172" s="175"/>
      <c r="X172" s="176"/>
    </row>
    <row r="173" spans="1:24" ht="15.75" customHeight="1">
      <c r="A173" s="179"/>
      <c r="B173" s="180"/>
      <c r="C173" s="180"/>
      <c r="D173" s="179"/>
      <c r="E173" s="179"/>
      <c r="F173" s="179"/>
      <c r="G173" s="179"/>
      <c r="H173" s="181"/>
      <c r="I173" s="181"/>
      <c r="J173" s="181"/>
      <c r="K173" s="179"/>
      <c r="L173" s="179"/>
      <c r="M173" s="179"/>
      <c r="N173" s="181"/>
      <c r="O173" s="179"/>
      <c r="P173" s="179"/>
      <c r="Q173" s="179"/>
      <c r="R173" s="179"/>
      <c r="S173" s="179"/>
      <c r="T173" s="179"/>
      <c r="U173" s="179"/>
      <c r="V173" s="182"/>
      <c r="W173" s="175"/>
      <c r="X173" s="176"/>
    </row>
    <row r="174" spans="1:24" ht="15.75" customHeight="1">
      <c r="A174" s="179"/>
      <c r="B174" s="180"/>
      <c r="C174" s="180"/>
      <c r="D174" s="179"/>
      <c r="E174" s="179"/>
      <c r="F174" s="179"/>
      <c r="G174" s="179"/>
      <c r="H174" s="181"/>
      <c r="I174" s="181"/>
      <c r="J174" s="181"/>
      <c r="K174" s="179"/>
      <c r="L174" s="179"/>
      <c r="M174" s="179"/>
      <c r="N174" s="181"/>
      <c r="O174" s="179"/>
      <c r="P174" s="179"/>
      <c r="Q174" s="179"/>
      <c r="R174" s="179"/>
      <c r="S174" s="179"/>
      <c r="T174" s="179"/>
      <c r="U174" s="179"/>
      <c r="V174" s="182"/>
      <c r="W174" s="175"/>
      <c r="X174" s="176"/>
    </row>
    <row r="175" spans="1:24" ht="15.75" customHeight="1">
      <c r="A175" s="179"/>
      <c r="B175" s="180"/>
      <c r="C175" s="180"/>
      <c r="D175" s="179"/>
      <c r="E175" s="179"/>
      <c r="F175" s="179"/>
      <c r="G175" s="179"/>
      <c r="H175" s="181"/>
      <c r="I175" s="181"/>
      <c r="J175" s="181"/>
      <c r="K175" s="179"/>
      <c r="L175" s="179"/>
      <c r="M175" s="179"/>
      <c r="N175" s="181"/>
      <c r="O175" s="179"/>
      <c r="P175" s="179"/>
      <c r="Q175" s="179"/>
      <c r="R175" s="179"/>
      <c r="S175" s="179"/>
      <c r="T175" s="179"/>
      <c r="U175" s="179"/>
      <c r="V175" s="182"/>
      <c r="W175" s="175"/>
      <c r="X175" s="176"/>
    </row>
    <row r="176" spans="1:24" ht="15.75" customHeight="1">
      <c r="A176" s="179"/>
      <c r="B176" s="180"/>
      <c r="C176" s="180"/>
      <c r="D176" s="179"/>
      <c r="E176" s="179"/>
      <c r="F176" s="179"/>
      <c r="G176" s="179"/>
      <c r="H176" s="181"/>
      <c r="I176" s="181"/>
      <c r="J176" s="181"/>
      <c r="K176" s="179"/>
      <c r="L176" s="179"/>
      <c r="M176" s="179"/>
      <c r="N176" s="181"/>
      <c r="O176" s="179"/>
      <c r="P176" s="179"/>
      <c r="Q176" s="179"/>
      <c r="R176" s="179"/>
      <c r="S176" s="179"/>
      <c r="T176" s="179"/>
      <c r="U176" s="183" t="s">
        <v>6</v>
      </c>
      <c r="V176" s="182">
        <f>AVERAGE(V6:V175)</f>
        <v>3.510202702702701</v>
      </c>
      <c r="W176" s="175"/>
      <c r="X176" s="176"/>
    </row>
    <row r="177" spans="1:24" ht="15.75" customHeight="1">
      <c r="A177" s="179"/>
      <c r="B177" s="180"/>
      <c r="C177" s="180"/>
      <c r="D177" s="179"/>
      <c r="E177" s="179"/>
      <c r="F177" s="179"/>
      <c r="G177" s="179"/>
      <c r="H177" s="181"/>
      <c r="I177" s="181"/>
      <c r="J177" s="181"/>
      <c r="K177" s="179"/>
      <c r="L177" s="179"/>
      <c r="M177" s="179"/>
      <c r="N177" s="181"/>
      <c r="O177" s="179"/>
      <c r="P177" s="179"/>
      <c r="Q177" s="179"/>
      <c r="R177" s="179"/>
      <c r="S177" s="179"/>
      <c r="T177" s="179"/>
      <c r="U177" s="179"/>
      <c r="V177" s="182"/>
      <c r="W177" s="175"/>
      <c r="X177" s="176"/>
    </row>
    <row r="178" spans="1:24" ht="15.75" customHeight="1">
      <c r="A178" s="179"/>
      <c r="B178" s="180"/>
      <c r="C178" s="180"/>
      <c r="D178" s="179"/>
      <c r="E178" s="179"/>
      <c r="F178" s="179"/>
      <c r="G178" s="179"/>
      <c r="H178" s="181"/>
      <c r="I178" s="181"/>
      <c r="J178" s="181"/>
      <c r="K178" s="179"/>
      <c r="L178" s="179"/>
      <c r="M178" s="179"/>
      <c r="N178" s="181"/>
      <c r="O178" s="179"/>
      <c r="P178" s="179"/>
      <c r="Q178" s="179"/>
      <c r="R178" s="179"/>
      <c r="S178" s="179"/>
      <c r="T178" s="179"/>
      <c r="U178" s="179"/>
      <c r="V178" s="182"/>
      <c r="W178" s="175"/>
      <c r="X178" s="176"/>
    </row>
    <row r="179" spans="1:24" ht="15.75" customHeight="1">
      <c r="A179" s="179"/>
      <c r="B179" s="180"/>
      <c r="C179" s="180"/>
      <c r="D179" s="179"/>
      <c r="E179" s="179"/>
      <c r="F179" s="179"/>
      <c r="G179" s="179"/>
      <c r="H179" s="181"/>
      <c r="I179" s="181"/>
      <c r="J179" s="181"/>
      <c r="K179" s="179"/>
      <c r="L179" s="179"/>
      <c r="M179" s="179"/>
      <c r="N179" s="181"/>
      <c r="O179" s="179"/>
      <c r="P179" s="179"/>
      <c r="Q179" s="179"/>
      <c r="R179" s="179"/>
      <c r="S179" s="179"/>
      <c r="T179" s="179"/>
      <c r="U179" s="179"/>
      <c r="V179" s="182"/>
      <c r="W179" s="175"/>
      <c r="X179" s="176"/>
    </row>
    <row r="180" spans="1:24" ht="15.75" customHeight="1">
      <c r="A180" s="179"/>
      <c r="B180" s="180"/>
      <c r="C180" s="180"/>
      <c r="D180" s="179"/>
      <c r="E180" s="179"/>
      <c r="F180" s="179"/>
      <c r="G180" s="179"/>
      <c r="H180" s="181"/>
      <c r="I180" s="181"/>
      <c r="J180" s="181"/>
      <c r="K180" s="179"/>
      <c r="L180" s="179"/>
      <c r="M180" s="179"/>
      <c r="N180" s="181"/>
      <c r="O180" s="179"/>
      <c r="P180" s="179"/>
      <c r="Q180" s="179"/>
      <c r="R180" s="179"/>
      <c r="S180" s="179"/>
      <c r="T180" s="179"/>
      <c r="U180" s="179"/>
      <c r="V180" s="182"/>
      <c r="W180" s="175"/>
      <c r="X180" s="176"/>
    </row>
    <row r="181" spans="1:24" ht="15.75" customHeight="1">
      <c r="A181" s="179"/>
      <c r="B181" s="180"/>
      <c r="C181" s="180"/>
      <c r="D181" s="179"/>
      <c r="E181" s="179"/>
      <c r="F181" s="179"/>
      <c r="G181" s="179"/>
      <c r="H181" s="181"/>
      <c r="I181" s="181"/>
      <c r="J181" s="181"/>
      <c r="K181" s="179"/>
      <c r="L181" s="179"/>
      <c r="M181" s="179"/>
      <c r="N181" s="181"/>
      <c r="O181" s="179"/>
      <c r="P181" s="179"/>
      <c r="Q181" s="179"/>
      <c r="R181" s="179"/>
      <c r="S181" s="179"/>
      <c r="T181" s="179"/>
      <c r="U181" s="179"/>
      <c r="V181" s="182"/>
      <c r="W181" s="175"/>
      <c r="X181" s="176"/>
    </row>
    <row r="182" spans="1:24" ht="15.75" customHeight="1">
      <c r="A182" s="179"/>
      <c r="B182" s="180"/>
      <c r="C182" s="180"/>
      <c r="D182" s="179"/>
      <c r="E182" s="179"/>
      <c r="F182" s="179"/>
      <c r="G182" s="179"/>
      <c r="H182" s="181"/>
      <c r="I182" s="181"/>
      <c r="J182" s="181"/>
      <c r="K182" s="179"/>
      <c r="L182" s="179"/>
      <c r="M182" s="179"/>
      <c r="N182" s="181"/>
      <c r="O182" s="179"/>
      <c r="P182" s="179"/>
      <c r="Q182" s="179"/>
      <c r="R182" s="179"/>
      <c r="S182" s="179"/>
      <c r="T182" s="179"/>
      <c r="U182" s="179"/>
      <c r="V182" s="182"/>
      <c r="W182" s="175"/>
      <c r="X182" s="176"/>
    </row>
    <row r="183" spans="1:24" ht="15.75" customHeight="1">
      <c r="A183" s="179"/>
      <c r="B183" s="180"/>
      <c r="C183" s="180"/>
      <c r="D183" s="179"/>
      <c r="E183" s="179"/>
      <c r="F183" s="179"/>
      <c r="G183" s="179"/>
      <c r="H183" s="181"/>
      <c r="I183" s="181"/>
      <c r="J183" s="181"/>
      <c r="K183" s="179"/>
      <c r="L183" s="179"/>
      <c r="M183" s="179"/>
      <c r="N183" s="181"/>
      <c r="O183" s="179"/>
      <c r="P183" s="179"/>
      <c r="Q183" s="179"/>
      <c r="R183" s="179"/>
      <c r="S183" s="179"/>
      <c r="T183" s="179"/>
      <c r="U183" s="179"/>
      <c r="V183" s="182"/>
      <c r="W183" s="175"/>
      <c r="X183" s="176"/>
    </row>
    <row r="184" spans="1:24" ht="15.75" customHeight="1">
      <c r="A184" s="179"/>
      <c r="B184" s="180"/>
      <c r="C184" s="180"/>
      <c r="D184" s="179"/>
      <c r="E184" s="179"/>
      <c r="F184" s="179"/>
      <c r="G184" s="179"/>
      <c r="H184" s="181"/>
      <c r="I184" s="181"/>
      <c r="J184" s="181"/>
      <c r="K184" s="179"/>
      <c r="L184" s="179"/>
      <c r="M184" s="179"/>
      <c r="N184" s="181"/>
      <c r="O184" s="179"/>
      <c r="P184" s="179"/>
      <c r="Q184" s="179"/>
      <c r="R184" s="179"/>
      <c r="S184" s="179"/>
      <c r="T184" s="179"/>
      <c r="U184" s="179"/>
      <c r="V184" s="182"/>
      <c r="W184" s="175"/>
      <c r="X184" s="176"/>
    </row>
    <row r="185" spans="1:24" ht="15.75" customHeight="1">
      <c r="A185" s="179"/>
      <c r="B185" s="180"/>
      <c r="C185" s="180"/>
      <c r="D185" s="179"/>
      <c r="E185" s="179"/>
      <c r="F185" s="179"/>
      <c r="G185" s="179"/>
      <c r="H185" s="181"/>
      <c r="I185" s="181"/>
      <c r="J185" s="181"/>
      <c r="K185" s="179"/>
      <c r="L185" s="179"/>
      <c r="M185" s="179"/>
      <c r="N185" s="181"/>
      <c r="O185" s="179"/>
      <c r="P185" s="179"/>
      <c r="Q185" s="179"/>
      <c r="R185" s="179"/>
      <c r="S185" s="179"/>
      <c r="T185" s="179"/>
      <c r="U185" s="179"/>
      <c r="V185" s="182"/>
      <c r="W185" s="175"/>
      <c r="X185" s="176"/>
    </row>
    <row r="186" spans="1:24" ht="15.75" customHeight="1">
      <c r="A186" s="179"/>
      <c r="B186" s="180"/>
      <c r="C186" s="180"/>
      <c r="D186" s="179"/>
      <c r="E186" s="179"/>
      <c r="F186" s="179"/>
      <c r="G186" s="179"/>
      <c r="H186" s="181"/>
      <c r="I186" s="181"/>
      <c r="J186" s="181"/>
      <c r="K186" s="179"/>
      <c r="L186" s="179"/>
      <c r="M186" s="179"/>
      <c r="N186" s="181"/>
      <c r="O186" s="179"/>
      <c r="P186" s="179"/>
      <c r="Q186" s="179"/>
      <c r="R186" s="179"/>
      <c r="S186" s="179"/>
      <c r="T186" s="179"/>
      <c r="U186" s="179"/>
      <c r="V186" s="182"/>
      <c r="W186" s="175"/>
      <c r="X186" s="176"/>
    </row>
    <row r="187" spans="1:24" ht="15.75" customHeight="1">
      <c r="A187" s="179"/>
      <c r="B187" s="180"/>
      <c r="C187" s="180"/>
      <c r="D187" s="179"/>
      <c r="E187" s="179"/>
      <c r="F187" s="179"/>
      <c r="G187" s="179"/>
      <c r="H187" s="181"/>
      <c r="I187" s="181"/>
      <c r="J187" s="181"/>
      <c r="K187" s="179"/>
      <c r="L187" s="179"/>
      <c r="M187" s="179"/>
      <c r="N187" s="181"/>
      <c r="O187" s="179"/>
      <c r="P187" s="179"/>
      <c r="Q187" s="179"/>
      <c r="R187" s="179"/>
      <c r="S187" s="179"/>
      <c r="T187" s="179"/>
      <c r="U187" s="179"/>
      <c r="V187" s="182"/>
      <c r="W187" s="175"/>
      <c r="X187" s="176"/>
    </row>
    <row r="188" spans="1:24" ht="15.75" customHeight="1">
      <c r="A188" s="179"/>
      <c r="B188" s="180"/>
      <c r="C188" s="180"/>
      <c r="D188" s="179"/>
      <c r="E188" s="179"/>
      <c r="F188" s="179"/>
      <c r="G188" s="179"/>
      <c r="H188" s="181"/>
      <c r="I188" s="181"/>
      <c r="J188" s="181"/>
      <c r="K188" s="179"/>
      <c r="L188" s="179"/>
      <c r="M188" s="179"/>
      <c r="N188" s="181"/>
      <c r="O188" s="179"/>
      <c r="P188" s="179"/>
      <c r="Q188" s="179"/>
      <c r="R188" s="179"/>
      <c r="S188" s="179"/>
      <c r="T188" s="179"/>
      <c r="U188" s="179"/>
      <c r="V188" s="182"/>
      <c r="W188" s="175"/>
      <c r="X188" s="176"/>
    </row>
    <row r="189" spans="1:24" ht="15.75" customHeight="1">
      <c r="A189" s="179"/>
      <c r="B189" s="180"/>
      <c r="C189" s="180"/>
      <c r="D189" s="179"/>
      <c r="E189" s="179"/>
      <c r="F189" s="179"/>
      <c r="G189" s="179"/>
      <c r="H189" s="181"/>
      <c r="I189" s="181"/>
      <c r="J189" s="181"/>
      <c r="K189" s="179"/>
      <c r="L189" s="179"/>
      <c r="M189" s="179"/>
      <c r="N189" s="181"/>
      <c r="O189" s="179"/>
      <c r="P189" s="179"/>
      <c r="Q189" s="179"/>
      <c r="R189" s="179"/>
      <c r="S189" s="179"/>
      <c r="T189" s="179"/>
      <c r="U189" s="179"/>
      <c r="V189" s="182"/>
      <c r="W189" s="175"/>
      <c r="X189" s="176"/>
    </row>
    <row r="190" spans="1:24" ht="15.75" customHeight="1">
      <c r="A190" s="179"/>
      <c r="B190" s="180"/>
      <c r="C190" s="180"/>
      <c r="D190" s="179"/>
      <c r="E190" s="179"/>
      <c r="F190" s="179"/>
      <c r="G190" s="179"/>
      <c r="H190" s="181"/>
      <c r="I190" s="181"/>
      <c r="J190" s="181"/>
      <c r="K190" s="179"/>
      <c r="L190" s="179"/>
      <c r="M190" s="179"/>
      <c r="N190" s="181"/>
      <c r="O190" s="179"/>
      <c r="P190" s="179"/>
      <c r="Q190" s="179"/>
      <c r="R190" s="179"/>
      <c r="S190" s="179"/>
      <c r="T190" s="179"/>
      <c r="U190" s="179"/>
      <c r="V190" s="182"/>
      <c r="W190" s="175"/>
      <c r="X190" s="176"/>
    </row>
    <row r="191" spans="1:24" ht="15.75" customHeight="1">
      <c r="A191" s="179"/>
      <c r="B191" s="180"/>
      <c r="C191" s="180"/>
      <c r="D191" s="179"/>
      <c r="E191" s="179"/>
      <c r="F191" s="179"/>
      <c r="G191" s="179"/>
      <c r="H191" s="181"/>
      <c r="I191" s="181"/>
      <c r="J191" s="181"/>
      <c r="K191" s="179"/>
      <c r="L191" s="179"/>
      <c r="M191" s="179"/>
      <c r="N191" s="181"/>
      <c r="O191" s="179"/>
      <c r="P191" s="179"/>
      <c r="Q191" s="179"/>
      <c r="R191" s="179"/>
      <c r="S191" s="179"/>
      <c r="T191" s="179"/>
      <c r="U191" s="179"/>
      <c r="V191" s="182"/>
      <c r="W191" s="175"/>
      <c r="X191" s="176"/>
    </row>
    <row r="192" spans="1:24" ht="15.75" customHeight="1">
      <c r="A192" s="179"/>
      <c r="B192" s="180"/>
      <c r="C192" s="180"/>
      <c r="D192" s="179"/>
      <c r="E192" s="179"/>
      <c r="F192" s="179"/>
      <c r="G192" s="179"/>
      <c r="H192" s="181"/>
      <c r="I192" s="181"/>
      <c r="J192" s="181"/>
      <c r="K192" s="179"/>
      <c r="L192" s="179"/>
      <c r="M192" s="179"/>
      <c r="N192" s="181"/>
      <c r="O192" s="179"/>
      <c r="P192" s="179"/>
      <c r="Q192" s="179"/>
      <c r="R192" s="179"/>
      <c r="S192" s="179"/>
      <c r="T192" s="179"/>
      <c r="U192" s="179"/>
      <c r="V192" s="182"/>
      <c r="W192" s="175"/>
      <c r="X192" s="176"/>
    </row>
    <row r="193" spans="1:24" ht="15.75" customHeight="1">
      <c r="A193" s="179"/>
      <c r="B193" s="180"/>
      <c r="C193" s="180"/>
      <c r="D193" s="179"/>
      <c r="E193" s="179"/>
      <c r="F193" s="179"/>
      <c r="G193" s="179"/>
      <c r="H193" s="181"/>
      <c r="I193" s="181"/>
      <c r="J193" s="181"/>
      <c r="K193" s="179"/>
      <c r="L193" s="179"/>
      <c r="M193" s="179"/>
      <c r="N193" s="181"/>
      <c r="O193" s="179"/>
      <c r="P193" s="179"/>
      <c r="Q193" s="179"/>
      <c r="R193" s="179"/>
      <c r="S193" s="179"/>
      <c r="T193" s="179"/>
      <c r="U193" s="179"/>
      <c r="V193" s="182"/>
      <c r="W193" s="175"/>
      <c r="X193" s="176"/>
    </row>
    <row r="194" spans="1:24" ht="15.75" customHeight="1">
      <c r="A194" s="179"/>
      <c r="B194" s="180"/>
      <c r="C194" s="180"/>
      <c r="D194" s="179"/>
      <c r="E194" s="179"/>
      <c r="F194" s="179"/>
      <c r="G194" s="179"/>
      <c r="H194" s="181"/>
      <c r="I194" s="181"/>
      <c r="J194" s="181"/>
      <c r="K194" s="179"/>
      <c r="L194" s="179"/>
      <c r="M194" s="179"/>
      <c r="N194" s="181"/>
      <c r="O194" s="179"/>
      <c r="P194" s="179"/>
      <c r="Q194" s="179"/>
      <c r="R194" s="179"/>
      <c r="S194" s="179"/>
      <c r="T194" s="179"/>
      <c r="U194" s="179"/>
      <c r="V194" s="182"/>
      <c r="W194" s="175"/>
      <c r="X194" s="176"/>
    </row>
    <row r="195" spans="1:24" ht="15.75" customHeight="1">
      <c r="A195" s="179"/>
      <c r="B195" s="180"/>
      <c r="C195" s="180"/>
      <c r="D195" s="179"/>
      <c r="E195" s="179"/>
      <c r="F195" s="179"/>
      <c r="G195" s="179"/>
      <c r="H195" s="181"/>
      <c r="I195" s="181"/>
      <c r="J195" s="181"/>
      <c r="K195" s="179"/>
      <c r="L195" s="179"/>
      <c r="M195" s="179"/>
      <c r="N195" s="181"/>
      <c r="O195" s="179"/>
      <c r="P195" s="179"/>
      <c r="Q195" s="179"/>
      <c r="R195" s="179"/>
      <c r="S195" s="179"/>
      <c r="T195" s="179"/>
      <c r="U195" s="179"/>
      <c r="V195" s="182"/>
      <c r="W195" s="175"/>
      <c r="X195" s="176"/>
    </row>
    <row r="196" spans="1:24" ht="15.75" customHeight="1">
      <c r="A196" s="179"/>
      <c r="B196" s="180"/>
      <c r="C196" s="180"/>
      <c r="D196" s="179"/>
      <c r="E196" s="179"/>
      <c r="F196" s="179"/>
      <c r="G196" s="179"/>
      <c r="H196" s="181"/>
      <c r="I196" s="181"/>
      <c r="J196" s="181"/>
      <c r="K196" s="179"/>
      <c r="L196" s="179"/>
      <c r="M196" s="179"/>
      <c r="N196" s="181"/>
      <c r="O196" s="179"/>
      <c r="P196" s="179"/>
      <c r="Q196" s="179"/>
      <c r="R196" s="179"/>
      <c r="S196" s="179"/>
      <c r="T196" s="179"/>
      <c r="U196" s="179"/>
      <c r="V196" s="182"/>
      <c r="W196" s="175"/>
      <c r="X196" s="176"/>
    </row>
    <row r="197" spans="1:24" ht="15.75" customHeight="1">
      <c r="A197" s="179"/>
      <c r="B197" s="180"/>
      <c r="C197" s="180"/>
      <c r="D197" s="179"/>
      <c r="E197" s="179"/>
      <c r="F197" s="179"/>
      <c r="G197" s="179"/>
      <c r="H197" s="181"/>
      <c r="I197" s="181"/>
      <c r="J197" s="181"/>
      <c r="K197" s="179"/>
      <c r="L197" s="179"/>
      <c r="M197" s="179"/>
      <c r="N197" s="181"/>
      <c r="O197" s="179"/>
      <c r="P197" s="179"/>
      <c r="Q197" s="179"/>
      <c r="R197" s="179"/>
      <c r="S197" s="179"/>
      <c r="T197" s="179"/>
      <c r="U197" s="179"/>
      <c r="V197" s="182"/>
      <c r="W197" s="175"/>
      <c r="X197" s="176"/>
    </row>
    <row r="198" spans="1:24" ht="15.75" customHeight="1">
      <c r="A198" s="179"/>
      <c r="B198" s="180"/>
      <c r="C198" s="180"/>
      <c r="D198" s="179"/>
      <c r="E198" s="179"/>
      <c r="F198" s="179"/>
      <c r="G198" s="179"/>
      <c r="H198" s="181"/>
      <c r="I198" s="181"/>
      <c r="J198" s="181"/>
      <c r="K198" s="179"/>
      <c r="L198" s="179"/>
      <c r="M198" s="179"/>
      <c r="N198" s="181"/>
      <c r="O198" s="179"/>
      <c r="P198" s="179"/>
      <c r="Q198" s="179"/>
      <c r="R198" s="179"/>
      <c r="S198" s="179"/>
      <c r="T198" s="179"/>
      <c r="U198" s="179"/>
      <c r="V198" s="182"/>
      <c r="W198" s="175"/>
      <c r="X198" s="176"/>
    </row>
    <row r="199" spans="1:24" ht="15.75" customHeight="1">
      <c r="A199" s="179"/>
      <c r="B199" s="180"/>
      <c r="C199" s="180"/>
      <c r="D199" s="179"/>
      <c r="E199" s="179"/>
      <c r="F199" s="179"/>
      <c r="G199" s="179"/>
      <c r="H199" s="181"/>
      <c r="I199" s="181"/>
      <c r="J199" s="181"/>
      <c r="K199" s="179"/>
      <c r="L199" s="179"/>
      <c r="M199" s="179"/>
      <c r="N199" s="181"/>
      <c r="O199" s="179"/>
      <c r="P199" s="179"/>
      <c r="Q199" s="179"/>
      <c r="R199" s="179"/>
      <c r="S199" s="179"/>
      <c r="T199" s="179"/>
      <c r="U199" s="179"/>
      <c r="V199" s="182"/>
      <c r="W199" s="175"/>
      <c r="X199" s="176"/>
    </row>
    <row r="200" spans="1:24" ht="15.75" customHeight="1">
      <c r="A200" s="179"/>
      <c r="B200" s="180"/>
      <c r="C200" s="180"/>
      <c r="D200" s="179"/>
      <c r="E200" s="179"/>
      <c r="F200" s="179"/>
      <c r="G200" s="179"/>
      <c r="H200" s="181"/>
      <c r="I200" s="181"/>
      <c r="J200" s="181"/>
      <c r="K200" s="179"/>
      <c r="L200" s="179"/>
      <c r="M200" s="179"/>
      <c r="N200" s="181"/>
      <c r="O200" s="179"/>
      <c r="P200" s="179"/>
      <c r="Q200" s="179"/>
      <c r="R200" s="179"/>
      <c r="S200" s="179"/>
      <c r="T200" s="179"/>
      <c r="U200" s="179"/>
      <c r="V200" s="182"/>
      <c r="W200" s="175"/>
      <c r="X200" s="176"/>
    </row>
    <row r="201" spans="1:24" ht="15.75" customHeight="1">
      <c r="A201" s="179"/>
      <c r="B201" s="180"/>
      <c r="C201" s="180"/>
      <c r="D201" s="179"/>
      <c r="E201" s="179"/>
      <c r="F201" s="179"/>
      <c r="G201" s="179"/>
      <c r="H201" s="181"/>
      <c r="I201" s="181"/>
      <c r="J201" s="181"/>
      <c r="K201" s="179"/>
      <c r="L201" s="179"/>
      <c r="M201" s="179"/>
      <c r="N201" s="181"/>
      <c r="O201" s="179"/>
      <c r="P201" s="179"/>
      <c r="Q201" s="179"/>
      <c r="R201" s="179"/>
      <c r="S201" s="179"/>
      <c r="T201" s="179"/>
      <c r="U201" s="179"/>
      <c r="V201" s="182"/>
      <c r="W201" s="175"/>
      <c r="X201" s="176"/>
    </row>
    <row r="202" spans="1:24" ht="15.75" customHeight="1">
      <c r="A202" s="179"/>
      <c r="B202" s="180"/>
      <c r="C202" s="180"/>
      <c r="D202" s="179"/>
      <c r="E202" s="179"/>
      <c r="F202" s="179"/>
      <c r="G202" s="179"/>
      <c r="H202" s="181"/>
      <c r="I202" s="181"/>
      <c r="J202" s="181"/>
      <c r="K202" s="179"/>
      <c r="L202" s="179"/>
      <c r="M202" s="179"/>
      <c r="N202" s="181"/>
      <c r="O202" s="179"/>
      <c r="P202" s="179"/>
      <c r="Q202" s="179"/>
      <c r="R202" s="179"/>
      <c r="S202" s="179"/>
      <c r="T202" s="179"/>
      <c r="U202" s="179"/>
      <c r="V202" s="182"/>
      <c r="W202" s="175"/>
      <c r="X202" s="176"/>
    </row>
    <row r="203" spans="1:24" ht="15.75" customHeight="1">
      <c r="A203" s="179"/>
      <c r="B203" s="180"/>
      <c r="C203" s="180"/>
      <c r="D203" s="179"/>
      <c r="E203" s="179"/>
      <c r="F203" s="179"/>
      <c r="G203" s="179"/>
      <c r="H203" s="181"/>
      <c r="I203" s="181"/>
      <c r="J203" s="181"/>
      <c r="K203" s="179"/>
      <c r="L203" s="179"/>
      <c r="M203" s="179"/>
      <c r="N203" s="181"/>
      <c r="O203" s="179"/>
      <c r="P203" s="179"/>
      <c r="Q203" s="179"/>
      <c r="R203" s="179"/>
      <c r="S203" s="179"/>
      <c r="T203" s="179"/>
      <c r="U203" s="179"/>
      <c r="V203" s="182"/>
      <c r="W203" s="175"/>
      <c r="X203" s="176"/>
    </row>
    <row r="204" spans="1:24" ht="15.75" customHeight="1">
      <c r="A204" s="179"/>
      <c r="B204" s="180"/>
      <c r="C204" s="180"/>
      <c r="D204" s="179"/>
      <c r="E204" s="179"/>
      <c r="F204" s="179"/>
      <c r="G204" s="179"/>
      <c r="H204" s="181"/>
      <c r="I204" s="181"/>
      <c r="J204" s="181"/>
      <c r="K204" s="179"/>
      <c r="L204" s="179"/>
      <c r="M204" s="179"/>
      <c r="N204" s="181"/>
      <c r="O204" s="179"/>
      <c r="P204" s="179"/>
      <c r="Q204" s="179"/>
      <c r="R204" s="179"/>
      <c r="S204" s="179"/>
      <c r="T204" s="179"/>
      <c r="U204" s="179"/>
      <c r="V204" s="182"/>
      <c r="W204" s="175"/>
      <c r="X204" s="176"/>
    </row>
    <row r="205" spans="1:24" ht="15.75" customHeight="1">
      <c r="A205" s="179"/>
      <c r="B205" s="180"/>
      <c r="C205" s="180"/>
      <c r="D205" s="179"/>
      <c r="E205" s="179"/>
      <c r="F205" s="179"/>
      <c r="G205" s="179"/>
      <c r="H205" s="181"/>
      <c r="I205" s="181"/>
      <c r="J205" s="181"/>
      <c r="K205" s="179"/>
      <c r="L205" s="179"/>
      <c r="M205" s="179"/>
      <c r="N205" s="181"/>
      <c r="O205" s="179"/>
      <c r="P205" s="179"/>
      <c r="Q205" s="179"/>
      <c r="R205" s="179"/>
      <c r="S205" s="179"/>
      <c r="T205" s="179"/>
      <c r="U205" s="179"/>
      <c r="V205" s="182"/>
      <c r="W205" s="175"/>
      <c r="X205" s="176"/>
    </row>
    <row r="206" spans="1:24" ht="15.75" customHeight="1">
      <c r="A206" s="179"/>
      <c r="B206" s="180"/>
      <c r="C206" s="180"/>
      <c r="D206" s="179"/>
      <c r="E206" s="179"/>
      <c r="F206" s="179"/>
      <c r="G206" s="179"/>
      <c r="H206" s="181"/>
      <c r="I206" s="181"/>
      <c r="J206" s="181"/>
      <c r="K206" s="179"/>
      <c r="L206" s="179"/>
      <c r="M206" s="179"/>
      <c r="N206" s="181"/>
      <c r="O206" s="179"/>
      <c r="P206" s="179"/>
      <c r="Q206" s="179"/>
      <c r="R206" s="179"/>
      <c r="S206" s="179"/>
      <c r="T206" s="179"/>
      <c r="U206" s="179"/>
      <c r="V206" s="182"/>
      <c r="W206" s="175"/>
      <c r="X206" s="176"/>
    </row>
    <row r="207" spans="1:24" ht="15.75" customHeight="1">
      <c r="A207" s="179"/>
      <c r="B207" s="180"/>
      <c r="C207" s="180"/>
      <c r="D207" s="179"/>
      <c r="E207" s="179"/>
      <c r="F207" s="179"/>
      <c r="G207" s="179"/>
      <c r="H207" s="181"/>
      <c r="I207" s="181"/>
      <c r="J207" s="181"/>
      <c r="K207" s="179"/>
      <c r="L207" s="179"/>
      <c r="M207" s="179"/>
      <c r="N207" s="181"/>
      <c r="O207" s="179"/>
      <c r="P207" s="179"/>
      <c r="Q207" s="179"/>
      <c r="R207" s="179"/>
      <c r="S207" s="179"/>
      <c r="T207" s="179"/>
      <c r="U207" s="179"/>
      <c r="V207" s="182"/>
      <c r="W207" s="175"/>
      <c r="X207" s="176"/>
    </row>
    <row r="208" spans="1:24" ht="15.75" customHeight="1">
      <c r="A208" s="179"/>
      <c r="B208" s="180"/>
      <c r="C208" s="180"/>
      <c r="D208" s="179"/>
      <c r="E208" s="179"/>
      <c r="F208" s="179"/>
      <c r="G208" s="179"/>
      <c r="H208" s="181"/>
      <c r="I208" s="181"/>
      <c r="J208" s="181"/>
      <c r="K208" s="179"/>
      <c r="L208" s="179"/>
      <c r="M208" s="179"/>
      <c r="N208" s="181"/>
      <c r="O208" s="179"/>
      <c r="P208" s="179"/>
      <c r="Q208" s="179"/>
      <c r="R208" s="179"/>
      <c r="S208" s="179"/>
      <c r="T208" s="179"/>
      <c r="U208" s="179"/>
      <c r="V208" s="182"/>
      <c r="W208" s="175"/>
      <c r="X208" s="176"/>
    </row>
    <row r="209" spans="1:24" ht="15.75" customHeight="1">
      <c r="A209" s="179"/>
      <c r="B209" s="180"/>
      <c r="C209" s="180"/>
      <c r="D209" s="179"/>
      <c r="E209" s="179"/>
      <c r="F209" s="179"/>
      <c r="G209" s="179"/>
      <c r="H209" s="181"/>
      <c r="I209" s="181"/>
      <c r="J209" s="181"/>
      <c r="K209" s="179"/>
      <c r="L209" s="179"/>
      <c r="M209" s="179"/>
      <c r="N209" s="181"/>
      <c r="O209" s="179"/>
      <c r="P209" s="179"/>
      <c r="Q209" s="179"/>
      <c r="R209" s="179"/>
      <c r="S209" s="179"/>
      <c r="T209" s="179"/>
      <c r="U209" s="179"/>
      <c r="V209" s="182"/>
      <c r="W209" s="175"/>
      <c r="X209" s="176"/>
    </row>
    <row r="210" spans="1:24" ht="15.75" customHeight="1">
      <c r="A210" s="179"/>
      <c r="B210" s="180"/>
      <c r="C210" s="180"/>
      <c r="D210" s="179"/>
      <c r="E210" s="179"/>
      <c r="F210" s="179"/>
      <c r="G210" s="179"/>
      <c r="H210" s="181"/>
      <c r="I210" s="181"/>
      <c r="J210" s="181"/>
      <c r="K210" s="179"/>
      <c r="L210" s="179"/>
      <c r="M210" s="179"/>
      <c r="N210" s="181"/>
      <c r="O210" s="179"/>
      <c r="P210" s="179"/>
      <c r="Q210" s="179"/>
      <c r="R210" s="179"/>
      <c r="S210" s="179"/>
      <c r="T210" s="179"/>
      <c r="U210" s="179"/>
      <c r="V210" s="182"/>
      <c r="W210" s="175"/>
      <c r="X210" s="176"/>
    </row>
    <row r="211" spans="1:24" ht="15.75" customHeight="1">
      <c r="A211" s="179"/>
      <c r="B211" s="180"/>
      <c r="C211" s="180"/>
      <c r="D211" s="179"/>
      <c r="E211" s="179"/>
      <c r="F211" s="179"/>
      <c r="G211" s="179"/>
      <c r="H211" s="181"/>
      <c r="I211" s="181"/>
      <c r="J211" s="181"/>
      <c r="K211" s="179"/>
      <c r="L211" s="179"/>
      <c r="M211" s="179"/>
      <c r="N211" s="181"/>
      <c r="O211" s="179"/>
      <c r="P211" s="179"/>
      <c r="Q211" s="179"/>
      <c r="R211" s="179"/>
      <c r="S211" s="179"/>
      <c r="T211" s="179"/>
      <c r="U211" s="179"/>
      <c r="V211" s="182"/>
      <c r="W211" s="175"/>
      <c r="X211" s="176"/>
    </row>
    <row r="212" spans="1:24" ht="15.75" customHeight="1">
      <c r="A212" s="179"/>
      <c r="B212" s="180"/>
      <c r="C212" s="180"/>
      <c r="D212" s="179"/>
      <c r="E212" s="179"/>
      <c r="F212" s="179"/>
      <c r="G212" s="179"/>
      <c r="H212" s="181"/>
      <c r="I212" s="181"/>
      <c r="J212" s="181"/>
      <c r="K212" s="179"/>
      <c r="L212" s="179"/>
      <c r="M212" s="179"/>
      <c r="N212" s="181"/>
      <c r="O212" s="179"/>
      <c r="P212" s="179"/>
      <c r="Q212" s="179"/>
      <c r="R212" s="179"/>
      <c r="S212" s="179"/>
      <c r="T212" s="179"/>
      <c r="U212" s="179"/>
      <c r="V212" s="182"/>
      <c r="W212" s="175"/>
      <c r="X212" s="176"/>
    </row>
    <row r="213" spans="1:24" ht="15.75" customHeight="1">
      <c r="A213" s="179"/>
      <c r="B213" s="180"/>
      <c r="C213" s="180"/>
      <c r="D213" s="179"/>
      <c r="E213" s="179"/>
      <c r="F213" s="179"/>
      <c r="G213" s="179"/>
      <c r="H213" s="181"/>
      <c r="I213" s="181"/>
      <c r="J213" s="181"/>
      <c r="K213" s="179"/>
      <c r="L213" s="179"/>
      <c r="M213" s="179"/>
      <c r="N213" s="181"/>
      <c r="O213" s="179"/>
      <c r="P213" s="179"/>
      <c r="Q213" s="179"/>
      <c r="R213" s="179"/>
      <c r="S213" s="179"/>
      <c r="T213" s="179"/>
      <c r="U213" s="179"/>
      <c r="V213" s="182"/>
      <c r="W213" s="175"/>
      <c r="X213" s="176"/>
    </row>
    <row r="214" spans="1:24" ht="15.75" customHeight="1">
      <c r="A214" s="179"/>
      <c r="B214" s="180"/>
      <c r="C214" s="180"/>
      <c r="D214" s="179"/>
      <c r="E214" s="179"/>
      <c r="F214" s="179"/>
      <c r="G214" s="179"/>
      <c r="H214" s="181"/>
      <c r="I214" s="181"/>
      <c r="J214" s="181"/>
      <c r="K214" s="179"/>
      <c r="L214" s="179"/>
      <c r="M214" s="179"/>
      <c r="N214" s="181"/>
      <c r="O214" s="179"/>
      <c r="P214" s="179"/>
      <c r="Q214" s="179"/>
      <c r="R214" s="179"/>
      <c r="S214" s="179"/>
      <c r="T214" s="179"/>
      <c r="U214" s="179"/>
      <c r="V214" s="182"/>
      <c r="W214" s="175"/>
      <c r="X214" s="176"/>
    </row>
    <row r="215" spans="1:24" ht="15.75" customHeight="1">
      <c r="A215" s="179"/>
      <c r="B215" s="180"/>
      <c r="C215" s="180"/>
      <c r="D215" s="179"/>
      <c r="E215" s="179"/>
      <c r="F215" s="179"/>
      <c r="G215" s="179"/>
      <c r="H215" s="181"/>
      <c r="I215" s="181"/>
      <c r="J215" s="181"/>
      <c r="K215" s="179"/>
      <c r="L215" s="179"/>
      <c r="M215" s="179"/>
      <c r="N215" s="181"/>
      <c r="O215" s="179"/>
      <c r="P215" s="179"/>
      <c r="Q215" s="179"/>
      <c r="R215" s="179"/>
      <c r="S215" s="179"/>
      <c r="T215" s="179"/>
      <c r="U215" s="179"/>
      <c r="V215" s="182"/>
      <c r="W215" s="175"/>
      <c r="X215" s="176"/>
    </row>
    <row r="216" spans="1:24" ht="15.75" customHeight="1">
      <c r="A216" s="179"/>
      <c r="B216" s="180"/>
      <c r="C216" s="180"/>
      <c r="D216" s="179"/>
      <c r="E216" s="179"/>
      <c r="F216" s="179"/>
      <c r="G216" s="179"/>
      <c r="H216" s="181"/>
      <c r="I216" s="181"/>
      <c r="J216" s="181"/>
      <c r="K216" s="179"/>
      <c r="L216" s="179"/>
      <c r="M216" s="179"/>
      <c r="N216" s="181"/>
      <c r="O216" s="179"/>
      <c r="P216" s="179"/>
      <c r="Q216" s="179"/>
      <c r="R216" s="179"/>
      <c r="S216" s="179"/>
      <c r="T216" s="179"/>
      <c r="U216" s="179"/>
      <c r="V216" s="182"/>
      <c r="W216" s="175"/>
      <c r="X216" s="176"/>
    </row>
    <row r="217" spans="1:24" ht="15.75" customHeight="1">
      <c r="A217" s="179"/>
      <c r="B217" s="180"/>
      <c r="C217" s="180"/>
      <c r="D217" s="179"/>
      <c r="E217" s="179"/>
      <c r="F217" s="179"/>
      <c r="G217" s="179"/>
      <c r="H217" s="181"/>
      <c r="I217" s="181"/>
      <c r="J217" s="181"/>
      <c r="K217" s="179"/>
      <c r="L217" s="179"/>
      <c r="M217" s="179"/>
      <c r="N217" s="181"/>
      <c r="O217" s="179"/>
      <c r="P217" s="179"/>
      <c r="Q217" s="179"/>
      <c r="R217" s="179"/>
      <c r="S217" s="179"/>
      <c r="T217" s="179"/>
      <c r="U217" s="179"/>
      <c r="V217" s="182"/>
      <c r="W217" s="175"/>
      <c r="X217" s="176"/>
    </row>
    <row r="218" spans="1:24" ht="15.75" customHeight="1">
      <c r="A218" s="179"/>
      <c r="B218" s="180"/>
      <c r="C218" s="180"/>
      <c r="D218" s="179"/>
      <c r="E218" s="179"/>
      <c r="F218" s="179"/>
      <c r="G218" s="179"/>
      <c r="H218" s="181"/>
      <c r="I218" s="181"/>
      <c r="J218" s="181"/>
      <c r="K218" s="179"/>
      <c r="L218" s="179"/>
      <c r="M218" s="179"/>
      <c r="N218" s="181"/>
      <c r="O218" s="179"/>
      <c r="P218" s="179"/>
      <c r="Q218" s="179"/>
      <c r="R218" s="179"/>
      <c r="S218" s="179"/>
      <c r="T218" s="179"/>
      <c r="U218" s="179"/>
      <c r="V218" s="182"/>
      <c r="W218" s="175"/>
      <c r="X218" s="176"/>
    </row>
    <row r="219" spans="1:24" ht="15.75" customHeight="1">
      <c r="A219" s="179"/>
      <c r="B219" s="180"/>
      <c r="C219" s="180"/>
      <c r="D219" s="179"/>
      <c r="E219" s="179"/>
      <c r="F219" s="179"/>
      <c r="G219" s="179"/>
      <c r="H219" s="181"/>
      <c r="I219" s="181"/>
      <c r="J219" s="181"/>
      <c r="K219" s="179"/>
      <c r="L219" s="179"/>
      <c r="M219" s="179"/>
      <c r="N219" s="181"/>
      <c r="O219" s="179"/>
      <c r="P219" s="179"/>
      <c r="Q219" s="179"/>
      <c r="R219" s="179"/>
      <c r="S219" s="179"/>
      <c r="T219" s="179"/>
      <c r="U219" s="179"/>
      <c r="V219" s="182"/>
      <c r="W219" s="175"/>
      <c r="X219" s="176"/>
    </row>
    <row r="220" spans="1:24" ht="15.75" customHeight="1">
      <c r="A220" s="179"/>
      <c r="B220" s="180"/>
      <c r="C220" s="180"/>
      <c r="D220" s="179"/>
      <c r="E220" s="179"/>
      <c r="F220" s="179"/>
      <c r="G220" s="179"/>
      <c r="H220" s="181"/>
      <c r="I220" s="181"/>
      <c r="J220" s="181"/>
      <c r="K220" s="179"/>
      <c r="L220" s="179"/>
      <c r="M220" s="179"/>
      <c r="N220" s="181"/>
      <c r="O220" s="179"/>
      <c r="P220" s="179"/>
      <c r="Q220" s="179"/>
      <c r="R220" s="179"/>
      <c r="S220" s="179"/>
      <c r="T220" s="179"/>
      <c r="U220" s="179"/>
      <c r="V220" s="182"/>
      <c r="W220" s="175"/>
      <c r="X220" s="176"/>
    </row>
    <row r="221" spans="1:24" ht="15.75" customHeight="1">
      <c r="A221" s="179"/>
      <c r="B221" s="180"/>
      <c r="C221" s="180"/>
      <c r="D221" s="179"/>
      <c r="E221" s="179"/>
      <c r="F221" s="179"/>
      <c r="G221" s="179"/>
      <c r="H221" s="181"/>
      <c r="I221" s="181"/>
      <c r="J221" s="181"/>
      <c r="K221" s="179"/>
      <c r="L221" s="179"/>
      <c r="M221" s="179"/>
      <c r="N221" s="181"/>
      <c r="O221" s="179"/>
      <c r="P221" s="179"/>
      <c r="Q221" s="179"/>
      <c r="R221" s="179"/>
      <c r="S221" s="179"/>
      <c r="T221" s="179"/>
      <c r="U221" s="179"/>
      <c r="V221" s="182"/>
      <c r="W221" s="175"/>
      <c r="X221" s="176"/>
    </row>
    <row r="222" spans="1:24" ht="15.75" customHeight="1">
      <c r="A222" s="179"/>
      <c r="B222" s="180"/>
      <c r="C222" s="180"/>
      <c r="D222" s="179"/>
      <c r="E222" s="179"/>
      <c r="F222" s="179"/>
      <c r="G222" s="179"/>
      <c r="H222" s="181"/>
      <c r="I222" s="181"/>
      <c r="J222" s="181"/>
      <c r="K222" s="179"/>
      <c r="L222" s="179"/>
      <c r="M222" s="179"/>
      <c r="N222" s="181"/>
      <c r="O222" s="179"/>
      <c r="P222" s="179"/>
      <c r="Q222" s="179"/>
      <c r="R222" s="179"/>
      <c r="S222" s="179"/>
      <c r="T222" s="179"/>
      <c r="U222" s="179"/>
      <c r="V222" s="182"/>
      <c r="W222" s="175"/>
      <c r="X222" s="176"/>
    </row>
    <row r="223" spans="1:24" ht="15.75" customHeight="1">
      <c r="A223" s="179"/>
      <c r="B223" s="180"/>
      <c r="C223" s="180"/>
      <c r="D223" s="179"/>
      <c r="E223" s="179"/>
      <c r="F223" s="179"/>
      <c r="G223" s="179"/>
      <c r="H223" s="181"/>
      <c r="I223" s="181"/>
      <c r="J223" s="181"/>
      <c r="K223" s="179"/>
      <c r="L223" s="179"/>
      <c r="M223" s="179"/>
      <c r="N223" s="181"/>
      <c r="O223" s="179"/>
      <c r="P223" s="179"/>
      <c r="Q223" s="179"/>
      <c r="R223" s="179"/>
      <c r="S223" s="179"/>
      <c r="T223" s="179"/>
      <c r="U223" s="179"/>
      <c r="V223" s="182"/>
      <c r="W223" s="175"/>
      <c r="X223" s="176"/>
    </row>
    <row r="224" spans="1:24" ht="15.75" customHeight="1">
      <c r="A224" s="179"/>
      <c r="B224" s="180"/>
      <c r="C224" s="180"/>
      <c r="D224" s="179"/>
      <c r="E224" s="179"/>
      <c r="F224" s="179"/>
      <c r="G224" s="179"/>
      <c r="H224" s="181"/>
      <c r="I224" s="181"/>
      <c r="J224" s="181"/>
      <c r="K224" s="179"/>
      <c r="L224" s="179"/>
      <c r="M224" s="179"/>
      <c r="N224" s="181"/>
      <c r="O224" s="179"/>
      <c r="P224" s="179"/>
      <c r="Q224" s="179"/>
      <c r="R224" s="179"/>
      <c r="S224" s="179"/>
      <c r="T224" s="179"/>
      <c r="U224" s="179"/>
      <c r="V224" s="182"/>
      <c r="W224" s="175"/>
      <c r="X224" s="176"/>
    </row>
    <row r="225" spans="1:24" ht="15.75" customHeight="1">
      <c r="A225" s="179"/>
      <c r="B225" s="180"/>
      <c r="C225" s="180"/>
      <c r="D225" s="179"/>
      <c r="E225" s="179"/>
      <c r="F225" s="179"/>
      <c r="G225" s="179"/>
      <c r="H225" s="181"/>
      <c r="I225" s="181"/>
      <c r="J225" s="181"/>
      <c r="K225" s="179"/>
      <c r="L225" s="179"/>
      <c r="M225" s="179"/>
      <c r="N225" s="181"/>
      <c r="O225" s="179"/>
      <c r="P225" s="179"/>
      <c r="Q225" s="179"/>
      <c r="R225" s="179"/>
      <c r="S225" s="179"/>
      <c r="T225" s="179"/>
      <c r="U225" s="179"/>
      <c r="V225" s="182"/>
      <c r="W225" s="175"/>
      <c r="X225" s="176"/>
    </row>
    <row r="226" spans="1:24" ht="15.75" customHeight="1">
      <c r="A226" s="179"/>
      <c r="B226" s="180"/>
      <c r="C226" s="180"/>
      <c r="D226" s="179"/>
      <c r="E226" s="179"/>
      <c r="F226" s="179"/>
      <c r="G226" s="179"/>
      <c r="H226" s="181"/>
      <c r="I226" s="181"/>
      <c r="J226" s="181"/>
      <c r="K226" s="179"/>
      <c r="L226" s="179"/>
      <c r="M226" s="179"/>
      <c r="N226" s="181"/>
      <c r="O226" s="179"/>
      <c r="P226" s="179"/>
      <c r="Q226" s="179"/>
      <c r="R226" s="179"/>
      <c r="S226" s="179"/>
      <c r="T226" s="179"/>
      <c r="U226" s="179"/>
      <c r="V226" s="182"/>
      <c r="W226" s="175"/>
      <c r="X226" s="176"/>
    </row>
    <row r="227" spans="1:24" ht="15.75" customHeight="1">
      <c r="A227" s="179"/>
      <c r="B227" s="180"/>
      <c r="C227" s="180"/>
      <c r="D227" s="179"/>
      <c r="E227" s="179"/>
      <c r="F227" s="179"/>
      <c r="G227" s="179"/>
      <c r="H227" s="181"/>
      <c r="I227" s="181"/>
      <c r="J227" s="181"/>
      <c r="K227" s="179"/>
      <c r="L227" s="179"/>
      <c r="M227" s="179"/>
      <c r="N227" s="181"/>
      <c r="O227" s="179"/>
      <c r="P227" s="179"/>
      <c r="Q227" s="179"/>
      <c r="R227" s="179"/>
      <c r="S227" s="179"/>
      <c r="T227" s="179"/>
      <c r="U227" s="179"/>
      <c r="V227" s="182"/>
      <c r="W227" s="175"/>
      <c r="X227" s="176"/>
    </row>
    <row r="228" spans="1:24" ht="15.75" customHeight="1">
      <c r="A228" s="179"/>
      <c r="B228" s="180"/>
      <c r="C228" s="180"/>
      <c r="D228" s="179"/>
      <c r="E228" s="179"/>
      <c r="F228" s="179"/>
      <c r="G228" s="179"/>
      <c r="H228" s="181"/>
      <c r="I228" s="181"/>
      <c r="J228" s="181"/>
      <c r="K228" s="179"/>
      <c r="L228" s="179"/>
      <c r="M228" s="179"/>
      <c r="N228" s="181"/>
      <c r="O228" s="179"/>
      <c r="P228" s="179"/>
      <c r="Q228" s="179"/>
      <c r="R228" s="179"/>
      <c r="S228" s="179"/>
      <c r="T228" s="179"/>
      <c r="U228" s="179"/>
      <c r="V228" s="182"/>
      <c r="W228" s="175"/>
      <c r="X228" s="176"/>
    </row>
    <row r="229" spans="1:24" ht="15.75" customHeight="1">
      <c r="A229" s="179"/>
      <c r="B229" s="180"/>
      <c r="C229" s="180"/>
      <c r="D229" s="179"/>
      <c r="E229" s="179"/>
      <c r="F229" s="179"/>
      <c r="G229" s="179"/>
      <c r="H229" s="181"/>
      <c r="I229" s="181"/>
      <c r="J229" s="181"/>
      <c r="K229" s="179"/>
      <c r="L229" s="179"/>
      <c r="M229" s="179"/>
      <c r="N229" s="181"/>
      <c r="O229" s="179"/>
      <c r="P229" s="179"/>
      <c r="Q229" s="179"/>
      <c r="R229" s="179"/>
      <c r="S229" s="179"/>
      <c r="T229" s="179"/>
      <c r="U229" s="179"/>
      <c r="V229" s="182"/>
      <c r="W229" s="175"/>
      <c r="X229" s="176"/>
    </row>
    <row r="230" spans="1:24" ht="15.75" customHeight="1">
      <c r="A230" s="179"/>
      <c r="B230" s="180"/>
      <c r="C230" s="180"/>
      <c r="D230" s="179"/>
      <c r="E230" s="179"/>
      <c r="F230" s="179"/>
      <c r="G230" s="179"/>
      <c r="H230" s="181"/>
      <c r="I230" s="181"/>
      <c r="J230" s="181"/>
      <c r="K230" s="179"/>
      <c r="L230" s="179"/>
      <c r="M230" s="179"/>
      <c r="N230" s="181"/>
      <c r="O230" s="179"/>
      <c r="P230" s="179"/>
      <c r="Q230" s="179"/>
      <c r="R230" s="179"/>
      <c r="S230" s="179"/>
      <c r="T230" s="179"/>
      <c r="U230" s="179"/>
      <c r="V230" s="182"/>
      <c r="W230" s="175"/>
      <c r="X230" s="176"/>
    </row>
    <row r="231" spans="1:24" ht="15.75" customHeight="1">
      <c r="A231" s="179"/>
      <c r="B231" s="180"/>
      <c r="C231" s="180"/>
      <c r="D231" s="179"/>
      <c r="E231" s="179"/>
      <c r="F231" s="179"/>
      <c r="G231" s="179"/>
      <c r="H231" s="181"/>
      <c r="I231" s="181"/>
      <c r="J231" s="181"/>
      <c r="K231" s="179"/>
      <c r="L231" s="179"/>
      <c r="M231" s="179"/>
      <c r="N231" s="181"/>
      <c r="O231" s="179"/>
      <c r="P231" s="179"/>
      <c r="Q231" s="179"/>
      <c r="R231" s="179"/>
      <c r="S231" s="179"/>
      <c r="T231" s="179"/>
      <c r="U231" s="179"/>
      <c r="V231" s="182"/>
      <c r="W231" s="175"/>
      <c r="X231" s="176"/>
    </row>
    <row r="232" spans="1:24" ht="15.75" customHeight="1">
      <c r="A232" s="179"/>
      <c r="B232" s="180"/>
      <c r="C232" s="180"/>
      <c r="D232" s="179"/>
      <c r="E232" s="179"/>
      <c r="F232" s="179"/>
      <c r="G232" s="179"/>
      <c r="H232" s="181"/>
      <c r="I232" s="181"/>
      <c r="J232" s="181"/>
      <c r="K232" s="179"/>
      <c r="L232" s="179"/>
      <c r="M232" s="179"/>
      <c r="N232" s="181"/>
      <c r="O232" s="179"/>
      <c r="P232" s="179"/>
      <c r="Q232" s="179"/>
      <c r="R232" s="179"/>
      <c r="S232" s="179"/>
      <c r="T232" s="179"/>
      <c r="U232" s="179"/>
      <c r="V232" s="182"/>
      <c r="W232" s="175"/>
      <c r="X232" s="176"/>
    </row>
    <row r="233" spans="1:24" ht="15.75" customHeight="1">
      <c r="A233" s="179"/>
      <c r="B233" s="180"/>
      <c r="C233" s="180"/>
      <c r="D233" s="179"/>
      <c r="E233" s="179"/>
      <c r="F233" s="179"/>
      <c r="G233" s="179"/>
      <c r="H233" s="181"/>
      <c r="I233" s="181"/>
      <c r="J233" s="181"/>
      <c r="K233" s="179"/>
      <c r="L233" s="179"/>
      <c r="M233" s="179"/>
      <c r="N233" s="181"/>
      <c r="O233" s="179"/>
      <c r="P233" s="179"/>
      <c r="Q233" s="179"/>
      <c r="R233" s="179"/>
      <c r="S233" s="179"/>
      <c r="T233" s="179"/>
      <c r="U233" s="179"/>
      <c r="V233" s="182"/>
      <c r="W233" s="175"/>
      <c r="X233" s="176"/>
    </row>
    <row r="234" spans="1:24" ht="15.75" customHeight="1">
      <c r="A234" s="179"/>
      <c r="B234" s="180"/>
      <c r="C234" s="180"/>
      <c r="D234" s="179"/>
      <c r="E234" s="179"/>
      <c r="F234" s="179"/>
      <c r="G234" s="179"/>
      <c r="H234" s="181"/>
      <c r="I234" s="181"/>
      <c r="J234" s="181"/>
      <c r="K234" s="179"/>
      <c r="L234" s="179"/>
      <c r="M234" s="179"/>
      <c r="N234" s="181"/>
      <c r="O234" s="179"/>
      <c r="P234" s="179"/>
      <c r="Q234" s="179"/>
      <c r="R234" s="179"/>
      <c r="S234" s="179"/>
      <c r="T234" s="179"/>
      <c r="U234" s="179"/>
      <c r="V234" s="182"/>
      <c r="W234" s="175"/>
      <c r="X234" s="176"/>
    </row>
    <row r="235" spans="1:24" ht="15.75" customHeight="1">
      <c r="A235" s="179"/>
      <c r="B235" s="180"/>
      <c r="C235" s="180"/>
      <c r="D235" s="179"/>
      <c r="E235" s="179"/>
      <c r="F235" s="179"/>
      <c r="G235" s="179"/>
      <c r="H235" s="181"/>
      <c r="I235" s="181"/>
      <c r="J235" s="181"/>
      <c r="K235" s="179"/>
      <c r="L235" s="179"/>
      <c r="M235" s="179"/>
      <c r="N235" s="181"/>
      <c r="O235" s="179"/>
      <c r="P235" s="179"/>
      <c r="Q235" s="179"/>
      <c r="R235" s="179"/>
      <c r="S235" s="179"/>
      <c r="T235" s="179"/>
      <c r="U235" s="179"/>
      <c r="V235" s="182"/>
      <c r="W235" s="175"/>
      <c r="X235" s="176"/>
    </row>
    <row r="236" spans="1:24" ht="15.75" customHeight="1">
      <c r="A236" s="179"/>
      <c r="B236" s="180"/>
      <c r="C236" s="180"/>
      <c r="D236" s="179"/>
      <c r="E236" s="179"/>
      <c r="F236" s="179"/>
      <c r="G236" s="179"/>
      <c r="H236" s="181"/>
      <c r="I236" s="181"/>
      <c r="J236" s="181"/>
      <c r="K236" s="179"/>
      <c r="L236" s="179"/>
      <c r="M236" s="179"/>
      <c r="N236" s="181"/>
      <c r="O236" s="179"/>
      <c r="P236" s="179"/>
      <c r="Q236" s="179"/>
      <c r="R236" s="179"/>
      <c r="S236" s="179"/>
      <c r="T236" s="179"/>
      <c r="U236" s="179"/>
      <c r="V236" s="182"/>
      <c r="W236" s="175"/>
      <c r="X236" s="176"/>
    </row>
    <row r="237" spans="1:24" ht="15.75" customHeight="1">
      <c r="A237" s="179"/>
      <c r="B237" s="180"/>
      <c r="C237" s="180"/>
      <c r="D237" s="179"/>
      <c r="E237" s="179"/>
      <c r="F237" s="179"/>
      <c r="G237" s="179"/>
      <c r="H237" s="181"/>
      <c r="I237" s="181"/>
      <c r="J237" s="181"/>
      <c r="K237" s="179"/>
      <c r="L237" s="179"/>
      <c r="M237" s="179"/>
      <c r="N237" s="181"/>
      <c r="O237" s="179"/>
      <c r="P237" s="179"/>
      <c r="Q237" s="179"/>
      <c r="R237" s="179"/>
      <c r="S237" s="179"/>
      <c r="T237" s="179"/>
      <c r="U237" s="179"/>
      <c r="V237" s="182"/>
      <c r="W237" s="175"/>
      <c r="X237" s="176"/>
    </row>
    <row r="238" spans="1:24" ht="15.75" customHeight="1">
      <c r="A238" s="179"/>
      <c r="B238" s="180"/>
      <c r="C238" s="180"/>
      <c r="D238" s="179"/>
      <c r="E238" s="179"/>
      <c r="F238" s="179"/>
      <c r="G238" s="179"/>
      <c r="H238" s="181"/>
      <c r="I238" s="181"/>
      <c r="J238" s="181"/>
      <c r="K238" s="179"/>
      <c r="L238" s="179"/>
      <c r="M238" s="179"/>
      <c r="N238" s="181"/>
      <c r="O238" s="179"/>
      <c r="P238" s="179"/>
      <c r="Q238" s="179"/>
      <c r="R238" s="179"/>
      <c r="S238" s="179"/>
      <c r="T238" s="179"/>
      <c r="U238" s="179"/>
      <c r="V238" s="182"/>
      <c r="W238" s="175"/>
      <c r="X238" s="176"/>
    </row>
    <row r="239" spans="1:24" ht="15.75" customHeight="1">
      <c r="A239" s="179"/>
      <c r="B239" s="180"/>
      <c r="C239" s="180"/>
      <c r="D239" s="179"/>
      <c r="E239" s="179"/>
      <c r="F239" s="179"/>
      <c r="G239" s="179"/>
      <c r="H239" s="181"/>
      <c r="I239" s="181"/>
      <c r="J239" s="181"/>
      <c r="K239" s="179"/>
      <c r="L239" s="179"/>
      <c r="M239" s="179"/>
      <c r="N239" s="181"/>
      <c r="O239" s="179"/>
      <c r="P239" s="179"/>
      <c r="Q239" s="179"/>
      <c r="R239" s="179"/>
      <c r="S239" s="179"/>
      <c r="T239" s="179"/>
      <c r="U239" s="179"/>
      <c r="V239" s="182"/>
      <c r="W239" s="175"/>
      <c r="X239" s="176"/>
    </row>
    <row r="240" spans="1:24" ht="15.75" customHeight="1">
      <c r="A240" s="179"/>
      <c r="B240" s="180"/>
      <c r="C240" s="180"/>
      <c r="D240" s="179"/>
      <c r="E240" s="179"/>
      <c r="F240" s="179"/>
      <c r="G240" s="179"/>
      <c r="H240" s="181"/>
      <c r="I240" s="181"/>
      <c r="J240" s="181"/>
      <c r="K240" s="179"/>
      <c r="L240" s="179"/>
      <c r="M240" s="179"/>
      <c r="N240" s="181"/>
      <c r="O240" s="179"/>
      <c r="P240" s="179"/>
      <c r="Q240" s="179"/>
      <c r="R240" s="179"/>
      <c r="S240" s="179"/>
      <c r="T240" s="179"/>
      <c r="U240" s="179"/>
      <c r="V240" s="182"/>
      <c r="W240" s="175"/>
      <c r="X240" s="176"/>
    </row>
    <row r="241" spans="1:24" ht="15.75" customHeight="1">
      <c r="A241" s="179"/>
      <c r="B241" s="180"/>
      <c r="C241" s="180"/>
      <c r="D241" s="179"/>
      <c r="E241" s="179"/>
      <c r="F241" s="179"/>
      <c r="G241" s="179"/>
      <c r="H241" s="181"/>
      <c r="I241" s="181"/>
      <c r="J241" s="181"/>
      <c r="K241" s="179"/>
      <c r="L241" s="179"/>
      <c r="M241" s="179"/>
      <c r="N241" s="181"/>
      <c r="O241" s="179"/>
      <c r="P241" s="179"/>
      <c r="Q241" s="179"/>
      <c r="R241" s="179"/>
      <c r="S241" s="179"/>
      <c r="T241" s="179"/>
      <c r="U241" s="179"/>
      <c r="V241" s="182"/>
      <c r="W241" s="175"/>
      <c r="X241" s="176"/>
    </row>
    <row r="242" spans="1:24" ht="15.75" customHeight="1">
      <c r="A242" s="179"/>
      <c r="B242" s="180"/>
      <c r="C242" s="180"/>
      <c r="D242" s="179"/>
      <c r="E242" s="179"/>
      <c r="F242" s="179"/>
      <c r="G242" s="179"/>
      <c r="H242" s="181"/>
      <c r="I242" s="181"/>
      <c r="J242" s="181"/>
      <c r="K242" s="179"/>
      <c r="L242" s="179"/>
      <c r="M242" s="179"/>
      <c r="N242" s="181"/>
      <c r="O242" s="179"/>
      <c r="P242" s="179"/>
      <c r="Q242" s="179"/>
      <c r="R242" s="179"/>
      <c r="S242" s="179"/>
      <c r="T242" s="179"/>
      <c r="U242" s="179"/>
      <c r="V242" s="182"/>
      <c r="W242" s="175"/>
      <c r="X242" s="176"/>
    </row>
    <row r="243" spans="1:24" ht="15.75" customHeight="1">
      <c r="A243" s="179"/>
      <c r="B243" s="180"/>
      <c r="C243" s="180"/>
      <c r="D243" s="179"/>
      <c r="E243" s="179"/>
      <c r="F243" s="179"/>
      <c r="G243" s="179"/>
      <c r="H243" s="181"/>
      <c r="I243" s="181"/>
      <c r="J243" s="181"/>
      <c r="K243" s="179"/>
      <c r="L243" s="179"/>
      <c r="M243" s="179"/>
      <c r="N243" s="181"/>
      <c r="O243" s="179"/>
      <c r="P243" s="179"/>
      <c r="Q243" s="179"/>
      <c r="R243" s="179"/>
      <c r="S243" s="179"/>
      <c r="T243" s="179"/>
      <c r="U243" s="179"/>
      <c r="V243" s="182"/>
      <c r="W243" s="175"/>
      <c r="X243" s="176"/>
    </row>
    <row r="244" spans="1:24" ht="15.75" customHeight="1">
      <c r="A244" s="179"/>
      <c r="B244" s="180"/>
      <c r="C244" s="180"/>
      <c r="D244" s="179"/>
      <c r="E244" s="179"/>
      <c r="F244" s="179"/>
      <c r="G244" s="179"/>
      <c r="H244" s="181"/>
      <c r="I244" s="181"/>
      <c r="J244" s="181"/>
      <c r="K244" s="179"/>
      <c r="L244" s="179"/>
      <c r="M244" s="179"/>
      <c r="N244" s="181"/>
      <c r="O244" s="179"/>
      <c r="P244" s="179"/>
      <c r="Q244" s="179"/>
      <c r="R244" s="179"/>
      <c r="S244" s="179"/>
      <c r="T244" s="179"/>
      <c r="U244" s="179"/>
      <c r="V244" s="182"/>
      <c r="W244" s="175"/>
      <c r="X244" s="176"/>
    </row>
    <row r="245" spans="1:24" ht="15.75" customHeight="1">
      <c r="A245" s="179"/>
      <c r="B245" s="180"/>
      <c r="C245" s="180"/>
      <c r="D245" s="179"/>
      <c r="E245" s="179"/>
      <c r="F245" s="179"/>
      <c r="G245" s="179"/>
      <c r="H245" s="181"/>
      <c r="I245" s="181"/>
      <c r="J245" s="181"/>
      <c r="K245" s="179"/>
      <c r="L245" s="179"/>
      <c r="M245" s="179"/>
      <c r="N245" s="181"/>
      <c r="O245" s="179"/>
      <c r="P245" s="179"/>
      <c r="Q245" s="179"/>
      <c r="R245" s="179"/>
      <c r="S245" s="179"/>
      <c r="T245" s="179"/>
      <c r="U245" s="179"/>
      <c r="V245" s="182"/>
      <c r="W245" s="175"/>
      <c r="X245" s="176"/>
    </row>
    <row r="246" spans="1:24" ht="15.75" customHeight="1">
      <c r="A246" s="179"/>
      <c r="B246" s="180"/>
      <c r="C246" s="180"/>
      <c r="D246" s="179"/>
      <c r="E246" s="179"/>
      <c r="F246" s="179"/>
      <c r="G246" s="179"/>
      <c r="H246" s="181"/>
      <c r="I246" s="181"/>
      <c r="J246" s="181"/>
      <c r="K246" s="179"/>
      <c r="L246" s="179"/>
      <c r="M246" s="179"/>
      <c r="N246" s="181"/>
      <c r="O246" s="179"/>
      <c r="P246" s="179"/>
      <c r="Q246" s="179"/>
      <c r="R246" s="179"/>
      <c r="S246" s="179"/>
      <c r="T246" s="179"/>
      <c r="U246" s="179"/>
      <c r="V246" s="182"/>
      <c r="W246" s="175"/>
      <c r="X246" s="176"/>
    </row>
    <row r="247" spans="1:24" ht="15.75" customHeight="1">
      <c r="A247" s="179"/>
      <c r="B247" s="180"/>
      <c r="C247" s="180"/>
      <c r="D247" s="179"/>
      <c r="E247" s="179"/>
      <c r="F247" s="179"/>
      <c r="G247" s="179"/>
      <c r="H247" s="181"/>
      <c r="I247" s="181"/>
      <c r="J247" s="181"/>
      <c r="K247" s="179"/>
      <c r="L247" s="179"/>
      <c r="M247" s="179"/>
      <c r="N247" s="181"/>
      <c r="O247" s="179"/>
      <c r="P247" s="179"/>
      <c r="Q247" s="179"/>
      <c r="R247" s="179"/>
      <c r="S247" s="179"/>
      <c r="T247" s="179"/>
      <c r="U247" s="179"/>
      <c r="V247" s="182"/>
      <c r="W247" s="175"/>
      <c r="X247" s="176"/>
    </row>
    <row r="248" spans="1:24" ht="15.75" customHeight="1">
      <c r="A248" s="179"/>
      <c r="B248" s="180"/>
      <c r="C248" s="180"/>
      <c r="D248" s="179"/>
      <c r="E248" s="179"/>
      <c r="F248" s="179"/>
      <c r="G248" s="179"/>
      <c r="H248" s="181"/>
      <c r="I248" s="181"/>
      <c r="J248" s="181"/>
      <c r="K248" s="179"/>
      <c r="L248" s="179"/>
      <c r="M248" s="179"/>
      <c r="N248" s="181"/>
      <c r="O248" s="179"/>
      <c r="P248" s="179"/>
      <c r="Q248" s="179"/>
      <c r="R248" s="179"/>
      <c r="S248" s="179"/>
      <c r="T248" s="179"/>
      <c r="U248" s="179"/>
      <c r="V248" s="182"/>
      <c r="W248" s="175"/>
      <c r="X248" s="176"/>
    </row>
    <row r="249" spans="1:24" ht="15.75" customHeight="1">
      <c r="A249" s="179"/>
      <c r="B249" s="180"/>
      <c r="C249" s="180"/>
      <c r="D249" s="179"/>
      <c r="E249" s="179"/>
      <c r="F249" s="179"/>
      <c r="G249" s="179"/>
      <c r="H249" s="181"/>
      <c r="I249" s="181"/>
      <c r="J249" s="181"/>
      <c r="K249" s="179"/>
      <c r="L249" s="179"/>
      <c r="M249" s="179"/>
      <c r="N249" s="181"/>
      <c r="O249" s="179"/>
      <c r="P249" s="179"/>
      <c r="Q249" s="179"/>
      <c r="R249" s="179"/>
      <c r="S249" s="179"/>
      <c r="T249" s="179"/>
      <c r="U249" s="179"/>
      <c r="V249" s="182"/>
      <c r="W249" s="175"/>
      <c r="X249" s="176"/>
    </row>
    <row r="250" spans="1:24" ht="15.75" customHeight="1">
      <c r="A250" s="179"/>
      <c r="B250" s="180"/>
      <c r="C250" s="180"/>
      <c r="D250" s="179"/>
      <c r="E250" s="179"/>
      <c r="F250" s="179"/>
      <c r="G250" s="179"/>
      <c r="H250" s="181"/>
      <c r="I250" s="181"/>
      <c r="J250" s="181"/>
      <c r="K250" s="179"/>
      <c r="L250" s="179"/>
      <c r="M250" s="179"/>
      <c r="N250" s="181"/>
      <c r="O250" s="179"/>
      <c r="P250" s="179"/>
      <c r="Q250" s="179"/>
      <c r="R250" s="179"/>
      <c r="S250" s="179"/>
      <c r="T250" s="179"/>
      <c r="U250" s="179"/>
      <c r="V250" s="182"/>
      <c r="W250" s="175"/>
      <c r="X250" s="176"/>
    </row>
    <row r="251" spans="1:24" ht="15.75" customHeight="1">
      <c r="A251" s="179"/>
      <c r="B251" s="180"/>
      <c r="C251" s="180"/>
      <c r="D251" s="179"/>
      <c r="E251" s="179"/>
      <c r="F251" s="179"/>
      <c r="G251" s="179"/>
      <c r="H251" s="181"/>
      <c r="I251" s="181"/>
      <c r="J251" s="181"/>
      <c r="K251" s="179"/>
      <c r="L251" s="179"/>
      <c r="M251" s="179"/>
      <c r="N251" s="181"/>
      <c r="O251" s="179"/>
      <c r="P251" s="179"/>
      <c r="Q251" s="179"/>
      <c r="R251" s="179"/>
      <c r="S251" s="179"/>
      <c r="T251" s="179"/>
      <c r="U251" s="179"/>
      <c r="V251" s="182"/>
      <c r="W251" s="175"/>
      <c r="X251" s="176"/>
    </row>
    <row r="252" spans="1:24" ht="15.75" customHeight="1">
      <c r="A252" s="179"/>
      <c r="B252" s="180"/>
      <c r="C252" s="180"/>
      <c r="D252" s="179"/>
      <c r="E252" s="179"/>
      <c r="F252" s="179"/>
      <c r="G252" s="179"/>
      <c r="H252" s="181"/>
      <c r="I252" s="181"/>
      <c r="J252" s="181"/>
      <c r="K252" s="179"/>
      <c r="L252" s="179"/>
      <c r="M252" s="179"/>
      <c r="N252" s="181"/>
      <c r="O252" s="179"/>
      <c r="P252" s="179"/>
      <c r="Q252" s="179"/>
      <c r="R252" s="179"/>
      <c r="S252" s="179"/>
      <c r="T252" s="179"/>
      <c r="U252" s="179"/>
      <c r="V252" s="182"/>
      <c r="W252" s="175"/>
      <c r="X252" s="176"/>
    </row>
    <row r="253" spans="1:24" ht="15.75" customHeight="1">
      <c r="A253" s="179"/>
      <c r="B253" s="180"/>
      <c r="C253" s="180"/>
      <c r="D253" s="179"/>
      <c r="E253" s="179"/>
      <c r="F253" s="179"/>
      <c r="G253" s="179"/>
      <c r="H253" s="181"/>
      <c r="I253" s="181"/>
      <c r="J253" s="181"/>
      <c r="K253" s="179"/>
      <c r="L253" s="179"/>
      <c r="M253" s="179"/>
      <c r="N253" s="181"/>
      <c r="O253" s="179"/>
      <c r="P253" s="179"/>
      <c r="Q253" s="179"/>
      <c r="R253" s="179"/>
      <c r="S253" s="179"/>
      <c r="T253" s="179"/>
      <c r="U253" s="179"/>
      <c r="V253" s="182"/>
      <c r="W253" s="175"/>
      <c r="X253" s="176"/>
    </row>
    <row r="254" spans="1:24" ht="15.75" customHeight="1">
      <c r="A254" s="179"/>
      <c r="B254" s="180"/>
      <c r="C254" s="180"/>
      <c r="D254" s="179"/>
      <c r="E254" s="179"/>
      <c r="F254" s="179"/>
      <c r="G254" s="179"/>
      <c r="H254" s="181"/>
      <c r="I254" s="181"/>
      <c r="J254" s="181"/>
      <c r="K254" s="179"/>
      <c r="L254" s="179"/>
      <c r="M254" s="179"/>
      <c r="N254" s="181"/>
      <c r="O254" s="179"/>
      <c r="P254" s="179"/>
      <c r="Q254" s="179"/>
      <c r="R254" s="179"/>
      <c r="S254" s="179"/>
      <c r="T254" s="179"/>
      <c r="U254" s="179"/>
      <c r="V254" s="182"/>
      <c r="W254" s="175"/>
      <c r="X254" s="176"/>
    </row>
    <row r="255" spans="1:24" ht="15.75" customHeight="1">
      <c r="A255" s="179"/>
      <c r="B255" s="180"/>
      <c r="C255" s="180"/>
      <c r="D255" s="179"/>
      <c r="E255" s="179"/>
      <c r="F255" s="179"/>
      <c r="G255" s="179"/>
      <c r="H255" s="181"/>
      <c r="I255" s="181"/>
      <c r="J255" s="181"/>
      <c r="K255" s="179"/>
      <c r="L255" s="179"/>
      <c r="M255" s="179"/>
      <c r="N255" s="181"/>
      <c r="O255" s="179"/>
      <c r="P255" s="179"/>
      <c r="Q255" s="179"/>
      <c r="R255" s="179"/>
      <c r="S255" s="179"/>
      <c r="T255" s="179"/>
      <c r="U255" s="179"/>
      <c r="V255" s="182"/>
      <c r="W255" s="175"/>
      <c r="X255" s="176"/>
    </row>
    <row r="256" spans="1:24" ht="15.75" customHeight="1">
      <c r="A256" s="179"/>
      <c r="B256" s="180"/>
      <c r="C256" s="180"/>
      <c r="D256" s="179"/>
      <c r="E256" s="179"/>
      <c r="F256" s="179"/>
      <c r="G256" s="179"/>
      <c r="H256" s="181"/>
      <c r="I256" s="181"/>
      <c r="J256" s="181"/>
      <c r="K256" s="179"/>
      <c r="L256" s="179"/>
      <c r="M256" s="179"/>
      <c r="N256" s="181"/>
      <c r="O256" s="179"/>
      <c r="P256" s="179"/>
      <c r="Q256" s="179"/>
      <c r="R256" s="179"/>
      <c r="S256" s="179"/>
      <c r="T256" s="179"/>
      <c r="U256" s="179"/>
      <c r="V256" s="182"/>
      <c r="W256" s="175"/>
      <c r="X256" s="176"/>
    </row>
    <row r="257" spans="1:24" ht="15.75" customHeight="1">
      <c r="A257" s="179"/>
      <c r="B257" s="180"/>
      <c r="C257" s="180"/>
      <c r="D257" s="179"/>
      <c r="E257" s="179"/>
      <c r="F257" s="179"/>
      <c r="G257" s="179"/>
      <c r="H257" s="181"/>
      <c r="I257" s="181"/>
      <c r="J257" s="181"/>
      <c r="K257" s="179"/>
      <c r="L257" s="179"/>
      <c r="M257" s="179"/>
      <c r="N257" s="181"/>
      <c r="O257" s="179"/>
      <c r="P257" s="179"/>
      <c r="Q257" s="179"/>
      <c r="R257" s="179"/>
      <c r="S257" s="179"/>
      <c r="T257" s="179"/>
      <c r="U257" s="179"/>
      <c r="V257" s="182"/>
      <c r="W257" s="175"/>
      <c r="X257" s="176"/>
    </row>
    <row r="258" spans="1:24" ht="15.75" customHeight="1">
      <c r="A258" s="179"/>
      <c r="B258" s="180"/>
      <c r="C258" s="180"/>
      <c r="D258" s="179"/>
      <c r="E258" s="179"/>
      <c r="F258" s="179"/>
      <c r="G258" s="179"/>
      <c r="H258" s="181"/>
      <c r="I258" s="181"/>
      <c r="J258" s="181"/>
      <c r="K258" s="179"/>
      <c r="L258" s="179"/>
      <c r="M258" s="179"/>
      <c r="N258" s="181"/>
      <c r="O258" s="179"/>
      <c r="P258" s="179"/>
      <c r="Q258" s="179"/>
      <c r="R258" s="179"/>
      <c r="S258" s="179"/>
      <c r="T258" s="179"/>
      <c r="U258" s="179"/>
      <c r="V258" s="182"/>
      <c r="W258" s="175"/>
      <c r="X258" s="176"/>
    </row>
    <row r="259" spans="1:24" ht="15.75" customHeight="1">
      <c r="A259" s="179"/>
      <c r="B259" s="180"/>
      <c r="C259" s="180"/>
      <c r="D259" s="179"/>
      <c r="E259" s="179"/>
      <c r="F259" s="179"/>
      <c r="G259" s="179"/>
      <c r="H259" s="181"/>
      <c r="I259" s="181"/>
      <c r="J259" s="181"/>
      <c r="K259" s="179"/>
      <c r="L259" s="179"/>
      <c r="M259" s="179"/>
      <c r="N259" s="181"/>
      <c r="O259" s="179"/>
      <c r="P259" s="179"/>
      <c r="Q259" s="179"/>
      <c r="R259" s="179"/>
      <c r="S259" s="179"/>
      <c r="T259" s="179"/>
      <c r="U259" s="179"/>
      <c r="V259" s="182"/>
      <c r="W259" s="175"/>
      <c r="X259" s="176"/>
    </row>
    <row r="260" spans="1:24" ht="15.75" customHeight="1">
      <c r="A260" s="179"/>
      <c r="B260" s="180"/>
      <c r="C260" s="180"/>
      <c r="D260" s="179"/>
      <c r="E260" s="179"/>
      <c r="F260" s="179"/>
      <c r="G260" s="179"/>
      <c r="H260" s="181"/>
      <c r="I260" s="181"/>
      <c r="J260" s="181"/>
      <c r="K260" s="179"/>
      <c r="L260" s="179"/>
      <c r="M260" s="179"/>
      <c r="N260" s="181"/>
      <c r="O260" s="179"/>
      <c r="P260" s="179"/>
      <c r="Q260" s="179"/>
      <c r="R260" s="179"/>
      <c r="S260" s="179"/>
      <c r="T260" s="179"/>
      <c r="U260" s="179"/>
      <c r="V260" s="182"/>
      <c r="W260" s="175"/>
      <c r="X260" s="176"/>
    </row>
    <row r="261" spans="1:24" ht="15.75" customHeight="1">
      <c r="A261" s="179"/>
      <c r="B261" s="180"/>
      <c r="C261" s="180"/>
      <c r="D261" s="179"/>
      <c r="E261" s="179"/>
      <c r="F261" s="179"/>
      <c r="G261" s="179"/>
      <c r="H261" s="181"/>
      <c r="I261" s="181"/>
      <c r="J261" s="181"/>
      <c r="K261" s="179"/>
      <c r="L261" s="179"/>
      <c r="M261" s="179"/>
      <c r="N261" s="181"/>
      <c r="O261" s="179"/>
      <c r="P261" s="179"/>
      <c r="Q261" s="179"/>
      <c r="R261" s="179"/>
      <c r="S261" s="179"/>
      <c r="T261" s="179"/>
      <c r="U261" s="179"/>
      <c r="V261" s="182"/>
      <c r="W261" s="175"/>
      <c r="X261" s="176"/>
    </row>
    <row r="262" spans="1:24" ht="15.75" customHeight="1">
      <c r="A262" s="179"/>
      <c r="B262" s="180"/>
      <c r="C262" s="180"/>
      <c r="D262" s="179"/>
      <c r="E262" s="179"/>
      <c r="F262" s="179"/>
      <c r="G262" s="179"/>
      <c r="H262" s="181"/>
      <c r="I262" s="181"/>
      <c r="J262" s="181"/>
      <c r="K262" s="179"/>
      <c r="L262" s="179"/>
      <c r="M262" s="179"/>
      <c r="N262" s="181"/>
      <c r="O262" s="179"/>
      <c r="P262" s="179"/>
      <c r="Q262" s="179"/>
      <c r="R262" s="179"/>
      <c r="S262" s="179"/>
      <c r="T262" s="179"/>
      <c r="U262" s="179"/>
      <c r="V262" s="182"/>
      <c r="W262" s="175"/>
      <c r="X262" s="176"/>
    </row>
    <row r="263" spans="1:24" ht="15.75" customHeight="1">
      <c r="A263" s="179"/>
      <c r="B263" s="180"/>
      <c r="C263" s="180"/>
      <c r="D263" s="179"/>
      <c r="E263" s="179"/>
      <c r="F263" s="179"/>
      <c r="G263" s="179"/>
      <c r="H263" s="181"/>
      <c r="I263" s="181"/>
      <c r="J263" s="181"/>
      <c r="K263" s="179"/>
      <c r="L263" s="179"/>
      <c r="M263" s="179"/>
      <c r="N263" s="181"/>
      <c r="O263" s="179"/>
      <c r="P263" s="179"/>
      <c r="Q263" s="179"/>
      <c r="R263" s="179"/>
      <c r="S263" s="179"/>
      <c r="T263" s="179"/>
      <c r="U263" s="179"/>
      <c r="V263" s="182"/>
      <c r="W263" s="175"/>
      <c r="X263" s="176"/>
    </row>
    <row r="264" spans="1:24" ht="15.75" customHeight="1">
      <c r="A264" s="179"/>
      <c r="B264" s="180"/>
      <c r="C264" s="180"/>
      <c r="D264" s="179"/>
      <c r="E264" s="179"/>
      <c r="F264" s="179"/>
      <c r="G264" s="179"/>
      <c r="H264" s="181"/>
      <c r="I264" s="181"/>
      <c r="J264" s="181"/>
      <c r="K264" s="179"/>
      <c r="L264" s="179"/>
      <c r="M264" s="179"/>
      <c r="N264" s="181"/>
      <c r="O264" s="179"/>
      <c r="P264" s="179"/>
      <c r="Q264" s="179"/>
      <c r="R264" s="179"/>
      <c r="S264" s="179"/>
      <c r="T264" s="179"/>
      <c r="U264" s="179"/>
      <c r="V264" s="182"/>
      <c r="W264" s="175"/>
      <c r="X264" s="176"/>
    </row>
    <row r="265" spans="1:24" ht="15.75" customHeight="1">
      <c r="A265" s="179"/>
      <c r="B265" s="180"/>
      <c r="C265" s="180"/>
      <c r="D265" s="179"/>
      <c r="E265" s="179"/>
      <c r="F265" s="179"/>
      <c r="G265" s="179"/>
      <c r="H265" s="181"/>
      <c r="I265" s="181"/>
      <c r="J265" s="181"/>
      <c r="K265" s="179"/>
      <c r="L265" s="179"/>
      <c r="M265" s="179"/>
      <c r="N265" s="181"/>
      <c r="O265" s="179"/>
      <c r="P265" s="179"/>
      <c r="Q265" s="179"/>
      <c r="R265" s="179"/>
      <c r="S265" s="179"/>
      <c r="T265" s="179"/>
      <c r="U265" s="179"/>
      <c r="V265" s="182"/>
      <c r="W265" s="175"/>
      <c r="X265" s="176"/>
    </row>
    <row r="266" spans="1:24" ht="15.75" customHeight="1">
      <c r="A266" s="179"/>
      <c r="B266" s="180"/>
      <c r="C266" s="180"/>
      <c r="D266" s="179"/>
      <c r="E266" s="179"/>
      <c r="F266" s="179"/>
      <c r="G266" s="179"/>
      <c r="H266" s="181"/>
      <c r="I266" s="181"/>
      <c r="J266" s="181"/>
      <c r="K266" s="179"/>
      <c r="L266" s="179"/>
      <c r="M266" s="179"/>
      <c r="N266" s="181"/>
      <c r="O266" s="179"/>
      <c r="P266" s="179"/>
      <c r="Q266" s="179"/>
      <c r="R266" s="179"/>
      <c r="S266" s="179"/>
      <c r="T266" s="179"/>
      <c r="U266" s="179"/>
      <c r="V266" s="182"/>
      <c r="W266" s="175"/>
      <c r="X266" s="176"/>
    </row>
    <row r="267" spans="1:24" ht="15.75" customHeight="1">
      <c r="A267" s="179"/>
      <c r="B267" s="180"/>
      <c r="C267" s="180"/>
      <c r="D267" s="179"/>
      <c r="E267" s="179"/>
      <c r="F267" s="179"/>
      <c r="G267" s="179"/>
      <c r="H267" s="181"/>
      <c r="I267" s="181"/>
      <c r="J267" s="181"/>
      <c r="K267" s="179"/>
      <c r="L267" s="179"/>
      <c r="M267" s="179"/>
      <c r="N267" s="181"/>
      <c r="O267" s="179"/>
      <c r="P267" s="179"/>
      <c r="Q267" s="179"/>
      <c r="R267" s="179"/>
      <c r="S267" s="179"/>
      <c r="T267" s="179"/>
      <c r="U267" s="179"/>
      <c r="V267" s="182"/>
      <c r="W267" s="175"/>
      <c r="X267" s="176"/>
    </row>
    <row r="268" spans="1:24" ht="15.75" customHeight="1">
      <c r="A268" s="179"/>
      <c r="B268" s="180"/>
      <c r="C268" s="180"/>
      <c r="D268" s="179"/>
      <c r="E268" s="179"/>
      <c r="F268" s="179"/>
      <c r="G268" s="179"/>
      <c r="H268" s="181"/>
      <c r="I268" s="181"/>
      <c r="J268" s="181"/>
      <c r="K268" s="179"/>
      <c r="L268" s="179"/>
      <c r="M268" s="179"/>
      <c r="N268" s="181"/>
      <c r="O268" s="179"/>
      <c r="P268" s="179"/>
      <c r="Q268" s="179"/>
      <c r="R268" s="179"/>
      <c r="S268" s="179"/>
      <c r="T268" s="179"/>
      <c r="U268" s="179"/>
      <c r="V268" s="182"/>
      <c r="W268" s="175"/>
      <c r="X268" s="176"/>
    </row>
    <row r="269" spans="1:24" ht="15.75" customHeight="1">
      <c r="A269" s="179"/>
      <c r="B269" s="180"/>
      <c r="C269" s="180"/>
      <c r="D269" s="179"/>
      <c r="E269" s="179"/>
      <c r="F269" s="179"/>
      <c r="G269" s="179"/>
      <c r="H269" s="181"/>
      <c r="I269" s="181"/>
      <c r="J269" s="181"/>
      <c r="K269" s="179"/>
      <c r="L269" s="179"/>
      <c r="M269" s="179"/>
      <c r="N269" s="181"/>
      <c r="O269" s="179"/>
      <c r="P269" s="179"/>
      <c r="Q269" s="179"/>
      <c r="R269" s="179"/>
      <c r="S269" s="179"/>
      <c r="T269" s="179"/>
      <c r="U269" s="179"/>
      <c r="V269" s="182"/>
      <c r="W269" s="175"/>
      <c r="X269" s="176"/>
    </row>
    <row r="270" spans="1:24" ht="15.75" customHeight="1">
      <c r="A270" s="179"/>
      <c r="B270" s="180"/>
      <c r="C270" s="180"/>
      <c r="D270" s="179"/>
      <c r="E270" s="179"/>
      <c r="F270" s="179"/>
      <c r="G270" s="179"/>
      <c r="H270" s="181"/>
      <c r="I270" s="181"/>
      <c r="J270" s="181"/>
      <c r="K270" s="179"/>
      <c r="L270" s="179"/>
      <c r="M270" s="179"/>
      <c r="N270" s="181"/>
      <c r="O270" s="179"/>
      <c r="P270" s="179"/>
      <c r="Q270" s="179"/>
      <c r="R270" s="179"/>
      <c r="S270" s="179"/>
      <c r="T270" s="179"/>
      <c r="U270" s="179"/>
      <c r="V270" s="182"/>
      <c r="W270" s="175"/>
      <c r="X270" s="176"/>
    </row>
    <row r="271" spans="1:24" ht="15.75" customHeight="1">
      <c r="A271" s="179"/>
      <c r="B271" s="180"/>
      <c r="C271" s="180"/>
      <c r="D271" s="179"/>
      <c r="E271" s="179"/>
      <c r="F271" s="179"/>
      <c r="G271" s="179"/>
      <c r="H271" s="181"/>
      <c r="I271" s="181"/>
      <c r="J271" s="181"/>
      <c r="K271" s="179"/>
      <c r="L271" s="179"/>
      <c r="M271" s="179"/>
      <c r="N271" s="181"/>
      <c r="O271" s="179"/>
      <c r="P271" s="179"/>
      <c r="Q271" s="179"/>
      <c r="R271" s="179"/>
      <c r="S271" s="179"/>
      <c r="T271" s="179"/>
      <c r="U271" s="179"/>
      <c r="V271" s="182"/>
      <c r="W271" s="175"/>
      <c r="X271" s="176"/>
    </row>
    <row r="272" spans="1:24" ht="15.75" customHeight="1">
      <c r="A272" s="179"/>
      <c r="B272" s="180"/>
      <c r="C272" s="180"/>
      <c r="D272" s="179"/>
      <c r="E272" s="179"/>
      <c r="F272" s="179"/>
      <c r="G272" s="179"/>
      <c r="H272" s="181"/>
      <c r="I272" s="181"/>
      <c r="J272" s="181"/>
      <c r="K272" s="179"/>
      <c r="L272" s="179"/>
      <c r="M272" s="179"/>
      <c r="N272" s="181"/>
      <c r="O272" s="179"/>
      <c r="P272" s="179"/>
      <c r="Q272" s="179"/>
      <c r="R272" s="179"/>
      <c r="S272" s="179"/>
      <c r="T272" s="179"/>
      <c r="U272" s="179"/>
      <c r="V272" s="182"/>
      <c r="W272" s="175"/>
      <c r="X272" s="176"/>
    </row>
    <row r="273" spans="1:24" ht="15.75" customHeight="1">
      <c r="A273" s="179"/>
      <c r="B273" s="180"/>
      <c r="C273" s="180"/>
      <c r="D273" s="179"/>
      <c r="E273" s="179"/>
      <c r="F273" s="179"/>
      <c r="G273" s="179"/>
      <c r="H273" s="181"/>
      <c r="I273" s="181"/>
      <c r="J273" s="181"/>
      <c r="K273" s="179"/>
      <c r="L273" s="179"/>
      <c r="M273" s="179"/>
      <c r="N273" s="181"/>
      <c r="O273" s="179"/>
      <c r="P273" s="179"/>
      <c r="Q273" s="179"/>
      <c r="R273" s="179"/>
      <c r="S273" s="179"/>
      <c r="T273" s="179"/>
      <c r="U273" s="179"/>
      <c r="V273" s="182"/>
      <c r="W273" s="175"/>
      <c r="X273" s="176"/>
    </row>
    <row r="274" spans="1:24" ht="15.75" customHeight="1">
      <c r="A274" s="179"/>
      <c r="B274" s="180"/>
      <c r="C274" s="180"/>
      <c r="D274" s="179"/>
      <c r="E274" s="179"/>
      <c r="F274" s="179"/>
      <c r="G274" s="179"/>
      <c r="H274" s="181"/>
      <c r="I274" s="181"/>
      <c r="J274" s="181"/>
      <c r="K274" s="179"/>
      <c r="L274" s="179"/>
      <c r="M274" s="179"/>
      <c r="N274" s="181"/>
      <c r="O274" s="179"/>
      <c r="P274" s="179"/>
      <c r="Q274" s="179"/>
      <c r="R274" s="179"/>
      <c r="S274" s="179"/>
      <c r="T274" s="179"/>
      <c r="U274" s="179"/>
      <c r="V274" s="182"/>
      <c r="W274" s="175"/>
      <c r="X274" s="176"/>
    </row>
    <row r="275" spans="1:24" ht="15.75" customHeight="1">
      <c r="A275" s="179"/>
      <c r="B275" s="180"/>
      <c r="C275" s="180"/>
      <c r="D275" s="179"/>
      <c r="E275" s="179"/>
      <c r="F275" s="179"/>
      <c r="G275" s="179"/>
      <c r="H275" s="181"/>
      <c r="I275" s="181"/>
      <c r="J275" s="181"/>
      <c r="K275" s="179"/>
      <c r="L275" s="179"/>
      <c r="M275" s="179"/>
      <c r="N275" s="181"/>
      <c r="O275" s="179"/>
      <c r="P275" s="179"/>
      <c r="Q275" s="179"/>
      <c r="R275" s="179"/>
      <c r="S275" s="179"/>
      <c r="T275" s="179"/>
      <c r="U275" s="179"/>
      <c r="V275" s="182"/>
      <c r="W275" s="175"/>
      <c r="X275" s="176"/>
    </row>
    <row r="276" spans="1:24" ht="15.75" customHeight="1">
      <c r="A276" s="179"/>
      <c r="B276" s="180"/>
      <c r="C276" s="180"/>
      <c r="D276" s="179"/>
      <c r="E276" s="179"/>
      <c r="F276" s="179"/>
      <c r="G276" s="179"/>
      <c r="H276" s="181"/>
      <c r="I276" s="181"/>
      <c r="J276" s="181"/>
      <c r="K276" s="179"/>
      <c r="L276" s="179"/>
      <c r="M276" s="179"/>
      <c r="N276" s="181"/>
      <c r="O276" s="179"/>
      <c r="P276" s="179"/>
      <c r="Q276" s="179"/>
      <c r="R276" s="179"/>
      <c r="S276" s="179"/>
      <c r="T276" s="179"/>
      <c r="U276" s="179"/>
      <c r="V276" s="182"/>
      <c r="W276" s="175"/>
      <c r="X276" s="176"/>
    </row>
    <row r="277" spans="1:24" ht="15.75" customHeight="1">
      <c r="A277" s="179"/>
      <c r="B277" s="180"/>
      <c r="C277" s="180"/>
      <c r="D277" s="179"/>
      <c r="E277" s="179"/>
      <c r="F277" s="179"/>
      <c r="G277" s="179"/>
      <c r="H277" s="181"/>
      <c r="I277" s="181"/>
      <c r="J277" s="181"/>
      <c r="K277" s="179"/>
      <c r="L277" s="179"/>
      <c r="M277" s="179"/>
      <c r="N277" s="181"/>
      <c r="O277" s="179"/>
      <c r="P277" s="179"/>
      <c r="Q277" s="179"/>
      <c r="R277" s="179"/>
      <c r="S277" s="179"/>
      <c r="T277" s="179"/>
      <c r="U277" s="179"/>
      <c r="V277" s="182"/>
      <c r="W277" s="175"/>
      <c r="X277" s="176"/>
    </row>
    <row r="278" spans="1:24" ht="15.75" customHeight="1">
      <c r="A278" s="179"/>
      <c r="B278" s="180"/>
      <c r="C278" s="180"/>
      <c r="D278" s="179"/>
      <c r="E278" s="179"/>
      <c r="F278" s="179"/>
      <c r="G278" s="179"/>
      <c r="H278" s="181"/>
      <c r="I278" s="181"/>
      <c r="J278" s="181"/>
      <c r="K278" s="179"/>
      <c r="L278" s="179"/>
      <c r="M278" s="179"/>
      <c r="N278" s="181"/>
      <c r="O278" s="179"/>
      <c r="P278" s="179"/>
      <c r="Q278" s="179"/>
      <c r="R278" s="179"/>
      <c r="S278" s="179"/>
      <c r="T278" s="179"/>
      <c r="U278" s="179"/>
      <c r="V278" s="182"/>
      <c r="W278" s="175"/>
      <c r="X278" s="176"/>
    </row>
    <row r="279" spans="1:24" ht="15.75" customHeight="1">
      <c r="A279" s="179"/>
      <c r="B279" s="180"/>
      <c r="C279" s="180"/>
      <c r="D279" s="179"/>
      <c r="E279" s="179"/>
      <c r="F279" s="179"/>
      <c r="G279" s="179"/>
      <c r="H279" s="181"/>
      <c r="I279" s="181"/>
      <c r="J279" s="181"/>
      <c r="K279" s="179"/>
      <c r="L279" s="179"/>
      <c r="M279" s="179"/>
      <c r="N279" s="181"/>
      <c r="O279" s="179"/>
      <c r="P279" s="179"/>
      <c r="Q279" s="179"/>
      <c r="R279" s="179"/>
      <c r="S279" s="179"/>
      <c r="T279" s="179"/>
      <c r="U279" s="179"/>
      <c r="V279" s="182"/>
      <c r="W279" s="175"/>
      <c r="X279" s="176"/>
    </row>
    <row r="280" spans="1:24" ht="15.75" customHeight="1">
      <c r="A280" s="179"/>
      <c r="B280" s="180"/>
      <c r="C280" s="180"/>
      <c r="D280" s="179"/>
      <c r="E280" s="179"/>
      <c r="F280" s="179"/>
      <c r="G280" s="179"/>
      <c r="H280" s="181"/>
      <c r="I280" s="181"/>
      <c r="J280" s="181"/>
      <c r="K280" s="179"/>
      <c r="L280" s="179"/>
      <c r="M280" s="179"/>
      <c r="N280" s="181"/>
      <c r="O280" s="179"/>
      <c r="P280" s="179"/>
      <c r="Q280" s="179"/>
      <c r="R280" s="179"/>
      <c r="S280" s="179"/>
      <c r="T280" s="179"/>
      <c r="U280" s="179"/>
      <c r="V280" s="182"/>
      <c r="W280" s="175"/>
      <c r="X280" s="176"/>
    </row>
    <row r="281" spans="1:24" ht="15.75" customHeight="1">
      <c r="A281" s="179"/>
      <c r="B281" s="180"/>
      <c r="C281" s="180"/>
      <c r="D281" s="179"/>
      <c r="E281" s="179"/>
      <c r="F281" s="179"/>
      <c r="G281" s="179"/>
      <c r="H281" s="181"/>
      <c r="I281" s="181"/>
      <c r="J281" s="181"/>
      <c r="K281" s="179"/>
      <c r="L281" s="179"/>
      <c r="M281" s="179"/>
      <c r="N281" s="181"/>
      <c r="O281" s="179"/>
      <c r="P281" s="179"/>
      <c r="Q281" s="179"/>
      <c r="R281" s="179"/>
      <c r="S281" s="179"/>
      <c r="T281" s="179"/>
      <c r="U281" s="179"/>
      <c r="V281" s="182"/>
      <c r="W281" s="175"/>
      <c r="X281" s="176"/>
    </row>
    <row r="282" spans="1:24" ht="15.75" customHeight="1">
      <c r="A282" s="179"/>
      <c r="B282" s="180"/>
      <c r="C282" s="180"/>
      <c r="D282" s="179"/>
      <c r="E282" s="179"/>
      <c r="F282" s="179"/>
      <c r="G282" s="179"/>
      <c r="H282" s="181"/>
      <c r="I282" s="181"/>
      <c r="J282" s="181"/>
      <c r="K282" s="179"/>
      <c r="L282" s="179"/>
      <c r="M282" s="179"/>
      <c r="N282" s="181"/>
      <c r="O282" s="179"/>
      <c r="P282" s="179"/>
      <c r="Q282" s="179"/>
      <c r="R282" s="179"/>
      <c r="S282" s="179"/>
      <c r="T282" s="179"/>
      <c r="U282" s="179"/>
      <c r="V282" s="182"/>
      <c r="W282" s="175"/>
      <c r="X282" s="176"/>
    </row>
    <row r="283" spans="1:24" ht="15.75" customHeight="1">
      <c r="A283" s="179"/>
      <c r="B283" s="180"/>
      <c r="C283" s="180"/>
      <c r="D283" s="179"/>
      <c r="E283" s="179"/>
      <c r="F283" s="179"/>
      <c r="G283" s="179"/>
      <c r="H283" s="181"/>
      <c r="I283" s="181"/>
      <c r="J283" s="181"/>
      <c r="K283" s="179"/>
      <c r="L283" s="179"/>
      <c r="M283" s="179"/>
      <c r="N283" s="181"/>
      <c r="O283" s="179"/>
      <c r="P283" s="179"/>
      <c r="Q283" s="179"/>
      <c r="R283" s="179"/>
      <c r="S283" s="179"/>
      <c r="T283" s="179"/>
      <c r="U283" s="179"/>
      <c r="V283" s="182"/>
      <c r="W283" s="175"/>
      <c r="X283" s="176"/>
    </row>
    <row r="284" spans="1:24" ht="15.75" customHeight="1">
      <c r="A284" s="179"/>
      <c r="B284" s="180"/>
      <c r="C284" s="180"/>
      <c r="D284" s="179"/>
      <c r="E284" s="179"/>
      <c r="F284" s="179"/>
      <c r="G284" s="179"/>
      <c r="H284" s="181"/>
      <c r="I284" s="181"/>
      <c r="J284" s="181"/>
      <c r="K284" s="179"/>
      <c r="L284" s="179"/>
      <c r="M284" s="179"/>
      <c r="N284" s="181"/>
      <c r="O284" s="179"/>
      <c r="P284" s="179"/>
      <c r="Q284" s="179"/>
      <c r="R284" s="179"/>
      <c r="S284" s="179"/>
      <c r="T284" s="179"/>
      <c r="U284" s="179"/>
      <c r="V284" s="182"/>
      <c r="W284" s="175"/>
      <c r="X284" s="176"/>
    </row>
    <row r="285" spans="1:24" ht="15.75" customHeight="1">
      <c r="A285" s="179"/>
      <c r="B285" s="180"/>
      <c r="C285" s="180"/>
      <c r="D285" s="179"/>
      <c r="E285" s="179"/>
      <c r="F285" s="179"/>
      <c r="G285" s="179"/>
      <c r="H285" s="181"/>
      <c r="I285" s="181"/>
      <c r="J285" s="181"/>
      <c r="K285" s="179"/>
      <c r="L285" s="179"/>
      <c r="M285" s="179"/>
      <c r="N285" s="181"/>
      <c r="O285" s="179"/>
      <c r="P285" s="179"/>
      <c r="Q285" s="179"/>
      <c r="R285" s="179"/>
      <c r="S285" s="179"/>
      <c r="T285" s="179"/>
      <c r="U285" s="179"/>
      <c r="V285" s="182"/>
      <c r="W285" s="175"/>
      <c r="X285" s="176"/>
    </row>
    <row r="286" spans="1:24" ht="15.75" customHeight="1">
      <c r="A286" s="179"/>
      <c r="B286" s="180"/>
      <c r="C286" s="180"/>
      <c r="D286" s="179"/>
      <c r="E286" s="179"/>
      <c r="F286" s="179"/>
      <c r="G286" s="179"/>
      <c r="H286" s="181"/>
      <c r="I286" s="181"/>
      <c r="J286" s="181"/>
      <c r="K286" s="179"/>
      <c r="L286" s="179"/>
      <c r="M286" s="179"/>
      <c r="N286" s="181"/>
      <c r="O286" s="179"/>
      <c r="P286" s="179"/>
      <c r="Q286" s="179"/>
      <c r="R286" s="179"/>
      <c r="S286" s="179"/>
      <c r="T286" s="179"/>
      <c r="U286" s="179"/>
      <c r="V286" s="182"/>
      <c r="W286" s="175"/>
      <c r="X286" s="176"/>
    </row>
    <row r="287" spans="1:24" ht="15.75" customHeight="1">
      <c r="A287" s="179"/>
      <c r="B287" s="180"/>
      <c r="C287" s="180"/>
      <c r="D287" s="179"/>
      <c r="E287" s="179"/>
      <c r="F287" s="179"/>
      <c r="G287" s="179"/>
      <c r="H287" s="181"/>
      <c r="I287" s="181"/>
      <c r="J287" s="181"/>
      <c r="K287" s="179"/>
      <c r="L287" s="179"/>
      <c r="M287" s="179"/>
      <c r="N287" s="181"/>
      <c r="O287" s="179"/>
      <c r="P287" s="179"/>
      <c r="Q287" s="179"/>
      <c r="R287" s="179"/>
      <c r="S287" s="179"/>
      <c r="T287" s="179"/>
      <c r="U287" s="179"/>
      <c r="V287" s="182"/>
      <c r="W287" s="175"/>
      <c r="X287" s="176"/>
    </row>
    <row r="288" spans="1:24" ht="15.75" customHeight="1">
      <c r="A288" s="179"/>
      <c r="B288" s="180"/>
      <c r="C288" s="180"/>
      <c r="D288" s="179"/>
      <c r="E288" s="179"/>
      <c r="F288" s="179"/>
      <c r="G288" s="179"/>
      <c r="H288" s="181"/>
      <c r="I288" s="181"/>
      <c r="J288" s="181"/>
      <c r="K288" s="179"/>
      <c r="L288" s="179"/>
      <c r="M288" s="179"/>
      <c r="N288" s="181"/>
      <c r="O288" s="179"/>
      <c r="P288" s="179"/>
      <c r="Q288" s="179"/>
      <c r="R288" s="179"/>
      <c r="S288" s="179"/>
      <c r="T288" s="179"/>
      <c r="U288" s="179"/>
      <c r="V288" s="182"/>
      <c r="W288" s="175"/>
      <c r="X288" s="176"/>
    </row>
    <row r="289" spans="1:24" ht="15.75" customHeight="1">
      <c r="A289" s="179"/>
      <c r="B289" s="180"/>
      <c r="C289" s="180"/>
      <c r="D289" s="179"/>
      <c r="E289" s="179"/>
      <c r="F289" s="179"/>
      <c r="G289" s="179"/>
      <c r="H289" s="181"/>
      <c r="I289" s="181"/>
      <c r="J289" s="181"/>
      <c r="K289" s="179"/>
      <c r="L289" s="179"/>
      <c r="M289" s="179"/>
      <c r="N289" s="181"/>
      <c r="O289" s="179"/>
      <c r="P289" s="179"/>
      <c r="Q289" s="179"/>
      <c r="R289" s="179"/>
      <c r="S289" s="179"/>
      <c r="T289" s="179"/>
      <c r="U289" s="179"/>
      <c r="V289" s="182"/>
      <c r="W289" s="175"/>
      <c r="X289" s="176"/>
    </row>
    <row r="290" spans="1:24" ht="15.75" customHeight="1">
      <c r="A290" s="179"/>
      <c r="B290" s="180"/>
      <c r="C290" s="180"/>
      <c r="D290" s="179"/>
      <c r="E290" s="179"/>
      <c r="F290" s="179"/>
      <c r="G290" s="179"/>
      <c r="H290" s="181"/>
      <c r="I290" s="181"/>
      <c r="J290" s="181"/>
      <c r="K290" s="179"/>
      <c r="L290" s="179"/>
      <c r="M290" s="179"/>
      <c r="N290" s="181"/>
      <c r="O290" s="179"/>
      <c r="P290" s="179"/>
      <c r="Q290" s="179"/>
      <c r="R290" s="179"/>
      <c r="S290" s="179"/>
      <c r="T290" s="179"/>
      <c r="U290" s="179"/>
      <c r="V290" s="182"/>
      <c r="W290" s="175"/>
      <c r="X290" s="176"/>
    </row>
    <row r="291" spans="1:24" ht="15.75" customHeight="1">
      <c r="A291" s="179"/>
      <c r="B291" s="180"/>
      <c r="C291" s="180"/>
      <c r="D291" s="179"/>
      <c r="E291" s="179"/>
      <c r="F291" s="179"/>
      <c r="G291" s="179"/>
      <c r="H291" s="181"/>
      <c r="I291" s="181"/>
      <c r="J291" s="181"/>
      <c r="K291" s="179"/>
      <c r="L291" s="179"/>
      <c r="M291" s="179"/>
      <c r="N291" s="181"/>
      <c r="O291" s="179"/>
      <c r="P291" s="179"/>
      <c r="Q291" s="179"/>
      <c r="R291" s="179"/>
      <c r="S291" s="179"/>
      <c r="T291" s="179"/>
      <c r="U291" s="179"/>
      <c r="V291" s="182"/>
      <c r="W291" s="175"/>
      <c r="X291" s="176"/>
    </row>
    <row r="292" spans="1:24" ht="15.75" customHeight="1">
      <c r="A292" s="179"/>
      <c r="B292" s="180"/>
      <c r="C292" s="180"/>
      <c r="D292" s="179"/>
      <c r="E292" s="179"/>
      <c r="F292" s="179"/>
      <c r="G292" s="179"/>
      <c r="H292" s="181"/>
      <c r="I292" s="181"/>
      <c r="J292" s="181"/>
      <c r="K292" s="179"/>
      <c r="L292" s="179"/>
      <c r="M292" s="179"/>
      <c r="N292" s="181"/>
      <c r="O292" s="179"/>
      <c r="P292" s="179"/>
      <c r="Q292" s="179"/>
      <c r="R292" s="179"/>
      <c r="S292" s="179"/>
      <c r="T292" s="179"/>
      <c r="U292" s="179"/>
      <c r="V292" s="182"/>
      <c r="W292" s="175"/>
      <c r="X292" s="176"/>
    </row>
    <row r="293" spans="1:24" ht="15.75" customHeight="1">
      <c r="A293" s="179"/>
      <c r="B293" s="180"/>
      <c r="C293" s="180"/>
      <c r="D293" s="179"/>
      <c r="E293" s="179"/>
      <c r="F293" s="179"/>
      <c r="G293" s="179"/>
      <c r="H293" s="181"/>
      <c r="I293" s="181"/>
      <c r="J293" s="181"/>
      <c r="K293" s="179"/>
      <c r="L293" s="179"/>
      <c r="M293" s="179"/>
      <c r="N293" s="181"/>
      <c r="O293" s="179"/>
      <c r="P293" s="179"/>
      <c r="Q293" s="179"/>
      <c r="R293" s="179"/>
      <c r="S293" s="179"/>
      <c r="T293" s="179"/>
      <c r="U293" s="179"/>
      <c r="V293" s="182"/>
      <c r="W293" s="175"/>
      <c r="X293" s="176"/>
    </row>
    <row r="294" spans="1:24" ht="15.75" customHeight="1">
      <c r="A294" s="179"/>
      <c r="B294" s="180"/>
      <c r="C294" s="180"/>
      <c r="D294" s="179"/>
      <c r="E294" s="179"/>
      <c r="F294" s="179"/>
      <c r="G294" s="179"/>
      <c r="H294" s="181"/>
      <c r="I294" s="181"/>
      <c r="J294" s="181"/>
      <c r="K294" s="179"/>
      <c r="L294" s="179"/>
      <c r="M294" s="179"/>
      <c r="N294" s="181"/>
      <c r="O294" s="179"/>
      <c r="P294" s="179"/>
      <c r="Q294" s="179"/>
      <c r="R294" s="179"/>
      <c r="S294" s="179"/>
      <c r="T294" s="179"/>
      <c r="U294" s="179"/>
      <c r="V294" s="182"/>
      <c r="W294" s="175"/>
      <c r="X294" s="176"/>
    </row>
    <row r="295" spans="1:24" ht="15.75" customHeight="1">
      <c r="A295" s="179"/>
      <c r="B295" s="180"/>
      <c r="C295" s="180"/>
      <c r="D295" s="179"/>
      <c r="E295" s="179"/>
      <c r="F295" s="179"/>
      <c r="G295" s="179"/>
      <c r="H295" s="181"/>
      <c r="I295" s="181"/>
      <c r="J295" s="181"/>
      <c r="K295" s="179"/>
      <c r="L295" s="179"/>
      <c r="M295" s="179"/>
      <c r="N295" s="181"/>
      <c r="O295" s="179"/>
      <c r="P295" s="179"/>
      <c r="Q295" s="179"/>
      <c r="R295" s="179"/>
      <c r="S295" s="179"/>
      <c r="T295" s="179"/>
      <c r="U295" s="179"/>
      <c r="V295" s="182"/>
      <c r="W295" s="175"/>
      <c r="X295" s="176"/>
    </row>
    <row r="296" spans="1:24" ht="15.75" customHeight="1">
      <c r="A296" s="179"/>
      <c r="B296" s="180"/>
      <c r="C296" s="180"/>
      <c r="D296" s="179"/>
      <c r="E296" s="179"/>
      <c r="F296" s="179"/>
      <c r="G296" s="179"/>
      <c r="H296" s="181"/>
      <c r="I296" s="181"/>
      <c r="J296" s="181"/>
      <c r="K296" s="179"/>
      <c r="L296" s="179"/>
      <c r="M296" s="179"/>
      <c r="N296" s="181"/>
      <c r="O296" s="179"/>
      <c r="P296" s="179"/>
      <c r="Q296" s="179"/>
      <c r="R296" s="179"/>
      <c r="S296" s="179"/>
      <c r="T296" s="179"/>
      <c r="U296" s="179"/>
      <c r="V296" s="182"/>
      <c r="W296" s="175"/>
      <c r="X296" s="176"/>
    </row>
    <row r="297" spans="1:24" ht="15.75" customHeight="1">
      <c r="A297" s="179"/>
      <c r="B297" s="180"/>
      <c r="C297" s="180"/>
      <c r="D297" s="179"/>
      <c r="E297" s="179"/>
      <c r="F297" s="179"/>
      <c r="G297" s="179"/>
      <c r="H297" s="181"/>
      <c r="I297" s="181"/>
      <c r="J297" s="181"/>
      <c r="K297" s="179"/>
      <c r="L297" s="179"/>
      <c r="M297" s="179"/>
      <c r="N297" s="181"/>
      <c r="O297" s="179"/>
      <c r="P297" s="179"/>
      <c r="Q297" s="179"/>
      <c r="R297" s="179"/>
      <c r="S297" s="179"/>
      <c r="T297" s="179"/>
      <c r="U297" s="179"/>
      <c r="V297" s="182"/>
      <c r="W297" s="175"/>
      <c r="X297" s="176"/>
    </row>
    <row r="298" spans="1:24" ht="15.75" customHeight="1">
      <c r="A298" s="179"/>
      <c r="B298" s="180"/>
      <c r="C298" s="180"/>
      <c r="D298" s="179"/>
      <c r="E298" s="179"/>
      <c r="F298" s="179"/>
      <c r="G298" s="179"/>
      <c r="H298" s="181"/>
      <c r="I298" s="181"/>
      <c r="J298" s="181"/>
      <c r="K298" s="179"/>
      <c r="L298" s="179"/>
      <c r="M298" s="179"/>
      <c r="N298" s="181"/>
      <c r="O298" s="179"/>
      <c r="P298" s="179"/>
      <c r="Q298" s="179"/>
      <c r="R298" s="179"/>
      <c r="S298" s="179"/>
      <c r="T298" s="179"/>
      <c r="U298" s="179"/>
      <c r="V298" s="182"/>
      <c r="W298" s="175"/>
      <c r="X298" s="176"/>
    </row>
    <row r="299" spans="1:24" ht="15.75" customHeight="1">
      <c r="A299" s="179"/>
      <c r="B299" s="180"/>
      <c r="C299" s="180"/>
      <c r="D299" s="179"/>
      <c r="E299" s="179"/>
      <c r="F299" s="179"/>
      <c r="G299" s="179"/>
      <c r="H299" s="181"/>
      <c r="I299" s="181"/>
      <c r="J299" s="181"/>
      <c r="K299" s="179"/>
      <c r="L299" s="179"/>
      <c r="M299" s="179"/>
      <c r="N299" s="181"/>
      <c r="O299" s="179"/>
      <c r="P299" s="179"/>
      <c r="Q299" s="179"/>
      <c r="R299" s="179"/>
      <c r="S299" s="179"/>
      <c r="T299" s="179"/>
      <c r="U299" s="179"/>
      <c r="V299" s="182"/>
      <c r="W299" s="175"/>
      <c r="X299" s="176"/>
    </row>
    <row r="300" spans="1:24" ht="15.75" customHeight="1">
      <c r="A300" s="179"/>
      <c r="B300" s="180"/>
      <c r="C300" s="180"/>
      <c r="D300" s="179"/>
      <c r="E300" s="179"/>
      <c r="F300" s="179"/>
      <c r="G300" s="179"/>
      <c r="H300" s="181"/>
      <c r="I300" s="181"/>
      <c r="J300" s="181"/>
      <c r="K300" s="179"/>
      <c r="L300" s="179"/>
      <c r="M300" s="179"/>
      <c r="N300" s="181"/>
      <c r="O300" s="179"/>
      <c r="P300" s="179"/>
      <c r="Q300" s="179"/>
      <c r="R300" s="179"/>
      <c r="S300" s="179"/>
      <c r="T300" s="179"/>
      <c r="U300" s="179"/>
      <c r="V300" s="182"/>
      <c r="W300" s="175"/>
      <c r="X300" s="176"/>
    </row>
    <row r="301" spans="1:24" ht="15.75" customHeight="1">
      <c r="A301" s="179"/>
      <c r="B301" s="180"/>
      <c r="C301" s="180"/>
      <c r="D301" s="179"/>
      <c r="E301" s="179"/>
      <c r="F301" s="179"/>
      <c r="G301" s="179"/>
      <c r="H301" s="181"/>
      <c r="I301" s="181"/>
      <c r="J301" s="181"/>
      <c r="K301" s="179"/>
      <c r="L301" s="179"/>
      <c r="M301" s="179"/>
      <c r="N301" s="181"/>
      <c r="O301" s="179"/>
      <c r="P301" s="179"/>
      <c r="Q301" s="179"/>
      <c r="R301" s="179"/>
      <c r="S301" s="179"/>
      <c r="T301" s="179"/>
      <c r="U301" s="179"/>
      <c r="V301" s="182"/>
      <c r="W301" s="175"/>
      <c r="X301" s="176"/>
    </row>
    <row r="302" spans="1:24" ht="15.75" customHeight="1">
      <c r="A302" s="179"/>
      <c r="B302" s="180"/>
      <c r="C302" s="180"/>
      <c r="D302" s="179"/>
      <c r="E302" s="179"/>
      <c r="F302" s="179"/>
      <c r="G302" s="179"/>
      <c r="H302" s="181"/>
      <c r="I302" s="181"/>
      <c r="J302" s="181"/>
      <c r="K302" s="179"/>
      <c r="L302" s="179"/>
      <c r="M302" s="179"/>
      <c r="N302" s="181"/>
      <c r="O302" s="179"/>
      <c r="P302" s="179"/>
      <c r="Q302" s="179"/>
      <c r="R302" s="179"/>
      <c r="S302" s="179"/>
      <c r="T302" s="179"/>
      <c r="U302" s="179"/>
      <c r="V302" s="182"/>
      <c r="W302" s="175"/>
      <c r="X302" s="176"/>
    </row>
    <row r="303" spans="1:24" ht="15.75" customHeight="1">
      <c r="A303" s="179"/>
      <c r="B303" s="180"/>
      <c r="C303" s="180"/>
      <c r="D303" s="179"/>
      <c r="E303" s="179"/>
      <c r="F303" s="179"/>
      <c r="G303" s="179"/>
      <c r="H303" s="181"/>
      <c r="I303" s="181"/>
      <c r="J303" s="181"/>
      <c r="K303" s="179"/>
      <c r="L303" s="179"/>
      <c r="M303" s="179"/>
      <c r="N303" s="181"/>
      <c r="O303" s="179"/>
      <c r="P303" s="179"/>
      <c r="Q303" s="179"/>
      <c r="R303" s="179"/>
      <c r="S303" s="179"/>
      <c r="T303" s="179"/>
      <c r="U303" s="179"/>
      <c r="V303" s="182"/>
      <c r="W303" s="175"/>
      <c r="X303" s="176"/>
    </row>
    <row r="304" spans="1:24" ht="15.75" customHeight="1">
      <c r="A304" s="179"/>
      <c r="B304" s="180"/>
      <c r="C304" s="180"/>
      <c r="D304" s="179"/>
      <c r="E304" s="179"/>
      <c r="F304" s="179"/>
      <c r="G304" s="179"/>
      <c r="H304" s="181"/>
      <c r="I304" s="181"/>
      <c r="J304" s="181"/>
      <c r="K304" s="179"/>
      <c r="L304" s="179"/>
      <c r="M304" s="179"/>
      <c r="N304" s="181"/>
      <c r="O304" s="179"/>
      <c r="P304" s="179"/>
      <c r="Q304" s="179"/>
      <c r="R304" s="179"/>
      <c r="S304" s="179"/>
      <c r="T304" s="179"/>
      <c r="U304" s="179"/>
      <c r="V304" s="182"/>
      <c r="W304" s="175"/>
      <c r="X304" s="176"/>
    </row>
    <row r="305" spans="1:24" ht="15.75" customHeight="1">
      <c r="A305" s="179"/>
      <c r="B305" s="180"/>
      <c r="C305" s="180"/>
      <c r="D305" s="179"/>
      <c r="E305" s="179"/>
      <c r="F305" s="179"/>
      <c r="G305" s="179"/>
      <c r="H305" s="181"/>
      <c r="I305" s="181"/>
      <c r="J305" s="181"/>
      <c r="K305" s="179"/>
      <c r="L305" s="179"/>
      <c r="M305" s="179"/>
      <c r="N305" s="181"/>
      <c r="O305" s="179"/>
      <c r="P305" s="179"/>
      <c r="Q305" s="179"/>
      <c r="R305" s="179"/>
      <c r="S305" s="179"/>
      <c r="T305" s="179"/>
      <c r="U305" s="179"/>
      <c r="V305" s="182"/>
      <c r="W305" s="175"/>
      <c r="X305" s="176"/>
    </row>
    <row r="306" spans="1:24" ht="15.75" customHeight="1">
      <c r="A306" s="179"/>
      <c r="B306" s="180"/>
      <c r="C306" s="180"/>
      <c r="D306" s="179"/>
      <c r="E306" s="179"/>
      <c r="F306" s="179"/>
      <c r="G306" s="179"/>
      <c r="H306" s="181"/>
      <c r="I306" s="181"/>
      <c r="J306" s="181"/>
      <c r="K306" s="179"/>
      <c r="L306" s="179"/>
      <c r="M306" s="179"/>
      <c r="N306" s="181"/>
      <c r="O306" s="179"/>
      <c r="P306" s="179"/>
      <c r="Q306" s="179"/>
      <c r="R306" s="179"/>
      <c r="S306" s="179"/>
      <c r="T306" s="179"/>
      <c r="U306" s="179"/>
      <c r="V306" s="182"/>
      <c r="W306" s="175"/>
      <c r="X306" s="176"/>
    </row>
    <row r="307" spans="1:24" ht="15.75" customHeight="1">
      <c r="A307" s="179"/>
      <c r="B307" s="180"/>
      <c r="C307" s="180"/>
      <c r="D307" s="179"/>
      <c r="E307" s="179"/>
      <c r="F307" s="179"/>
      <c r="G307" s="179"/>
      <c r="H307" s="181"/>
      <c r="I307" s="181"/>
      <c r="J307" s="181"/>
      <c r="K307" s="179"/>
      <c r="L307" s="179"/>
      <c r="M307" s="179"/>
      <c r="N307" s="181"/>
      <c r="O307" s="179"/>
      <c r="P307" s="179"/>
      <c r="Q307" s="179"/>
      <c r="R307" s="179"/>
      <c r="S307" s="179"/>
      <c r="T307" s="179"/>
      <c r="U307" s="179"/>
      <c r="V307" s="182"/>
      <c r="W307" s="175"/>
      <c r="X307" s="176"/>
    </row>
    <row r="308" spans="1:24" ht="15.75" customHeight="1">
      <c r="A308" s="179"/>
      <c r="B308" s="180"/>
      <c r="C308" s="180"/>
      <c r="D308" s="179"/>
      <c r="E308" s="179"/>
      <c r="F308" s="179"/>
      <c r="G308" s="179"/>
      <c r="H308" s="181"/>
      <c r="I308" s="181"/>
      <c r="J308" s="181"/>
      <c r="K308" s="179"/>
      <c r="L308" s="179"/>
      <c r="M308" s="179"/>
      <c r="N308" s="181"/>
      <c r="O308" s="179"/>
      <c r="P308" s="179"/>
      <c r="Q308" s="179"/>
      <c r="R308" s="179"/>
      <c r="S308" s="179"/>
      <c r="T308" s="179"/>
      <c r="U308" s="179"/>
      <c r="V308" s="182"/>
      <c r="W308" s="175"/>
      <c r="X308" s="176"/>
    </row>
    <row r="309" spans="1:24" ht="15.75" customHeight="1">
      <c r="A309" s="179"/>
      <c r="B309" s="180"/>
      <c r="C309" s="180"/>
      <c r="D309" s="179"/>
      <c r="E309" s="179"/>
      <c r="F309" s="179"/>
      <c r="G309" s="179"/>
      <c r="H309" s="181"/>
      <c r="I309" s="181"/>
      <c r="J309" s="181"/>
      <c r="K309" s="179"/>
      <c r="L309" s="179"/>
      <c r="M309" s="179"/>
      <c r="N309" s="181"/>
      <c r="O309" s="179"/>
      <c r="P309" s="179"/>
      <c r="Q309" s="179"/>
      <c r="R309" s="179"/>
      <c r="S309" s="179"/>
      <c r="T309" s="179"/>
      <c r="U309" s="179"/>
      <c r="V309" s="182"/>
      <c r="W309" s="175"/>
      <c r="X309" s="176"/>
    </row>
    <row r="310" spans="1:24" ht="15.75" customHeight="1">
      <c r="A310" s="179"/>
      <c r="B310" s="180"/>
      <c r="C310" s="180"/>
      <c r="D310" s="179"/>
      <c r="E310" s="179"/>
      <c r="F310" s="179"/>
      <c r="G310" s="179"/>
      <c r="H310" s="181"/>
      <c r="I310" s="181"/>
      <c r="J310" s="181"/>
      <c r="K310" s="179"/>
      <c r="L310" s="179"/>
      <c r="M310" s="179"/>
      <c r="N310" s="181"/>
      <c r="O310" s="179"/>
      <c r="P310" s="179"/>
      <c r="Q310" s="179"/>
      <c r="R310" s="179"/>
      <c r="S310" s="179"/>
      <c r="T310" s="179"/>
      <c r="U310" s="179"/>
      <c r="V310" s="182"/>
      <c r="W310" s="175"/>
      <c r="X310" s="176"/>
    </row>
    <row r="311" spans="1:24" ht="15.75" customHeight="1">
      <c r="A311" s="179"/>
      <c r="B311" s="180"/>
      <c r="C311" s="180"/>
      <c r="D311" s="179"/>
      <c r="E311" s="179"/>
      <c r="F311" s="179"/>
      <c r="G311" s="179"/>
      <c r="H311" s="181"/>
      <c r="I311" s="181"/>
      <c r="J311" s="181"/>
      <c r="K311" s="179"/>
      <c r="L311" s="179"/>
      <c r="M311" s="179"/>
      <c r="N311" s="181"/>
      <c r="O311" s="179"/>
      <c r="P311" s="179"/>
      <c r="Q311" s="179"/>
      <c r="R311" s="179"/>
      <c r="S311" s="179"/>
      <c r="T311" s="179"/>
      <c r="U311" s="179"/>
      <c r="V311" s="182"/>
      <c r="W311" s="175"/>
      <c r="X311" s="176"/>
    </row>
    <row r="312" spans="1:24" ht="15.75" customHeight="1">
      <c r="A312" s="179"/>
      <c r="B312" s="180"/>
      <c r="C312" s="180"/>
      <c r="D312" s="179"/>
      <c r="E312" s="179"/>
      <c r="F312" s="179"/>
      <c r="G312" s="179"/>
      <c r="H312" s="181"/>
      <c r="I312" s="181"/>
      <c r="J312" s="181"/>
      <c r="K312" s="179"/>
      <c r="L312" s="179"/>
      <c r="M312" s="179"/>
      <c r="N312" s="181"/>
      <c r="O312" s="179"/>
      <c r="P312" s="179"/>
      <c r="Q312" s="179"/>
      <c r="R312" s="179"/>
      <c r="S312" s="179"/>
      <c r="T312" s="179"/>
      <c r="U312" s="179"/>
      <c r="V312" s="182"/>
      <c r="W312" s="175"/>
      <c r="X312" s="176"/>
    </row>
    <row r="313" spans="1:24" ht="15.75" customHeight="1">
      <c r="A313" s="179"/>
      <c r="B313" s="180"/>
      <c r="C313" s="180"/>
      <c r="D313" s="179"/>
      <c r="E313" s="179"/>
      <c r="F313" s="179"/>
      <c r="G313" s="179"/>
      <c r="H313" s="181"/>
      <c r="I313" s="181"/>
      <c r="J313" s="181"/>
      <c r="K313" s="179"/>
      <c r="L313" s="179"/>
      <c r="M313" s="179"/>
      <c r="N313" s="181"/>
      <c r="O313" s="179"/>
      <c r="P313" s="179"/>
      <c r="Q313" s="179"/>
      <c r="R313" s="179"/>
      <c r="S313" s="179"/>
      <c r="T313" s="179"/>
      <c r="U313" s="179"/>
      <c r="V313" s="182"/>
      <c r="W313" s="175"/>
      <c r="X313" s="176"/>
    </row>
    <row r="314" spans="1:24" ht="15.75" customHeight="1">
      <c r="A314" s="179"/>
      <c r="B314" s="180"/>
      <c r="C314" s="180"/>
      <c r="D314" s="179"/>
      <c r="E314" s="179"/>
      <c r="F314" s="179"/>
      <c r="G314" s="179"/>
      <c r="H314" s="181"/>
      <c r="I314" s="181"/>
      <c r="J314" s="181"/>
      <c r="K314" s="179"/>
      <c r="L314" s="179"/>
      <c r="M314" s="179"/>
      <c r="N314" s="181"/>
      <c r="O314" s="179"/>
      <c r="P314" s="179"/>
      <c r="Q314" s="179"/>
      <c r="R314" s="179"/>
      <c r="S314" s="179"/>
      <c r="T314" s="179"/>
      <c r="U314" s="179"/>
      <c r="V314" s="182"/>
      <c r="W314" s="175"/>
      <c r="X314" s="176"/>
    </row>
    <row r="315" spans="1:24" ht="15.75" customHeight="1">
      <c r="A315" s="179"/>
      <c r="B315" s="180"/>
      <c r="C315" s="180"/>
      <c r="D315" s="179"/>
      <c r="E315" s="179"/>
      <c r="F315" s="179"/>
      <c r="G315" s="179"/>
      <c r="H315" s="181"/>
      <c r="I315" s="181"/>
      <c r="J315" s="181"/>
      <c r="K315" s="179"/>
      <c r="L315" s="179"/>
      <c r="M315" s="179"/>
      <c r="N315" s="181"/>
      <c r="O315" s="179"/>
      <c r="P315" s="179"/>
      <c r="Q315" s="179"/>
      <c r="R315" s="179"/>
      <c r="S315" s="179"/>
      <c r="T315" s="179"/>
      <c r="U315" s="179"/>
      <c r="V315" s="182"/>
      <c r="W315" s="175"/>
      <c r="X315" s="176"/>
    </row>
    <row r="316" spans="1:24" ht="15.75" customHeight="1">
      <c r="A316" s="179"/>
      <c r="B316" s="180"/>
      <c r="C316" s="180"/>
      <c r="D316" s="179"/>
      <c r="E316" s="179"/>
      <c r="F316" s="179"/>
      <c r="G316" s="179"/>
      <c r="H316" s="181"/>
      <c r="I316" s="181"/>
      <c r="J316" s="181"/>
      <c r="K316" s="179"/>
      <c r="L316" s="179"/>
      <c r="M316" s="179"/>
      <c r="N316" s="181"/>
      <c r="O316" s="179"/>
      <c r="P316" s="179"/>
      <c r="Q316" s="179"/>
      <c r="R316" s="179"/>
      <c r="S316" s="179"/>
      <c r="T316" s="179"/>
      <c r="U316" s="179"/>
      <c r="V316" s="182"/>
      <c r="W316" s="175"/>
      <c r="X316" s="176"/>
    </row>
    <row r="317" spans="1:24" ht="15.75" customHeight="1">
      <c r="A317" s="179"/>
      <c r="B317" s="180"/>
      <c r="C317" s="180"/>
      <c r="D317" s="179"/>
      <c r="E317" s="179"/>
      <c r="F317" s="179"/>
      <c r="G317" s="179"/>
      <c r="H317" s="181"/>
      <c r="I317" s="181"/>
      <c r="J317" s="181"/>
      <c r="K317" s="179"/>
      <c r="L317" s="179"/>
      <c r="M317" s="179"/>
      <c r="N317" s="181"/>
      <c r="O317" s="179"/>
      <c r="P317" s="179"/>
      <c r="Q317" s="179"/>
      <c r="R317" s="179"/>
      <c r="S317" s="179"/>
      <c r="T317" s="179"/>
      <c r="U317" s="179"/>
      <c r="V317" s="182"/>
      <c r="W317" s="175"/>
      <c r="X317" s="176"/>
    </row>
    <row r="318" spans="1:24" ht="15.75" customHeight="1">
      <c r="A318" s="179"/>
      <c r="B318" s="180"/>
      <c r="C318" s="180"/>
      <c r="D318" s="179"/>
      <c r="E318" s="179"/>
      <c r="F318" s="179"/>
      <c r="G318" s="179"/>
      <c r="H318" s="181"/>
      <c r="I318" s="181"/>
      <c r="J318" s="181"/>
      <c r="K318" s="179"/>
      <c r="L318" s="179"/>
      <c r="M318" s="179"/>
      <c r="N318" s="181"/>
      <c r="O318" s="179"/>
      <c r="P318" s="179"/>
      <c r="Q318" s="179"/>
      <c r="R318" s="179"/>
      <c r="S318" s="179"/>
      <c r="T318" s="179"/>
      <c r="U318" s="179"/>
      <c r="V318" s="182"/>
      <c r="W318" s="175"/>
      <c r="X318" s="176"/>
    </row>
    <row r="319" spans="1:24" ht="15.75" customHeight="1">
      <c r="A319" s="179"/>
      <c r="B319" s="180"/>
      <c r="C319" s="180"/>
      <c r="D319" s="179"/>
      <c r="E319" s="179"/>
      <c r="F319" s="179"/>
      <c r="G319" s="179"/>
      <c r="H319" s="181"/>
      <c r="I319" s="181"/>
      <c r="J319" s="181"/>
      <c r="K319" s="179"/>
      <c r="L319" s="179"/>
      <c r="M319" s="179"/>
      <c r="N319" s="181"/>
      <c r="O319" s="179"/>
      <c r="P319" s="179"/>
      <c r="Q319" s="179"/>
      <c r="R319" s="179"/>
      <c r="S319" s="179"/>
      <c r="T319" s="179"/>
      <c r="U319" s="179"/>
      <c r="V319" s="182"/>
      <c r="W319" s="175"/>
      <c r="X319" s="176"/>
    </row>
    <row r="320" spans="1:24" ht="15.75" customHeight="1">
      <c r="A320" s="179"/>
      <c r="B320" s="180"/>
      <c r="C320" s="180"/>
      <c r="D320" s="179"/>
      <c r="E320" s="179"/>
      <c r="F320" s="179"/>
      <c r="G320" s="179"/>
      <c r="H320" s="181"/>
      <c r="I320" s="181"/>
      <c r="J320" s="181"/>
      <c r="K320" s="179"/>
      <c r="L320" s="179"/>
      <c r="M320" s="179"/>
      <c r="N320" s="181"/>
      <c r="O320" s="179"/>
      <c r="P320" s="179"/>
      <c r="Q320" s="179"/>
      <c r="R320" s="179"/>
      <c r="S320" s="179"/>
      <c r="T320" s="179"/>
      <c r="U320" s="179"/>
      <c r="V320" s="182"/>
      <c r="W320" s="175"/>
      <c r="X320" s="176"/>
    </row>
    <row r="321" spans="1:24" ht="15.75" customHeight="1">
      <c r="A321" s="179"/>
      <c r="B321" s="180"/>
      <c r="C321" s="180"/>
      <c r="D321" s="179"/>
      <c r="E321" s="179"/>
      <c r="F321" s="179"/>
      <c r="G321" s="179"/>
      <c r="H321" s="181"/>
      <c r="I321" s="181"/>
      <c r="J321" s="181"/>
      <c r="K321" s="179"/>
      <c r="L321" s="179"/>
      <c r="M321" s="179"/>
      <c r="N321" s="181"/>
      <c r="O321" s="179"/>
      <c r="P321" s="179"/>
      <c r="Q321" s="179"/>
      <c r="R321" s="179"/>
      <c r="S321" s="179"/>
      <c r="T321" s="179"/>
      <c r="U321" s="179"/>
      <c r="V321" s="182"/>
      <c r="W321" s="175"/>
      <c r="X321" s="176"/>
    </row>
    <row r="322" spans="1:24" ht="15.75" customHeight="1">
      <c r="A322" s="179"/>
      <c r="B322" s="180"/>
      <c r="C322" s="180"/>
      <c r="D322" s="179"/>
      <c r="E322" s="179"/>
      <c r="F322" s="179"/>
      <c r="G322" s="179"/>
      <c r="H322" s="181"/>
      <c r="I322" s="181"/>
      <c r="J322" s="181"/>
      <c r="K322" s="179"/>
      <c r="L322" s="179"/>
      <c r="M322" s="179"/>
      <c r="N322" s="181"/>
      <c r="O322" s="179"/>
      <c r="P322" s="179"/>
      <c r="Q322" s="179"/>
      <c r="R322" s="179"/>
      <c r="S322" s="179"/>
      <c r="T322" s="179"/>
      <c r="U322" s="179"/>
      <c r="V322" s="182"/>
      <c r="W322" s="175"/>
      <c r="X322" s="176"/>
    </row>
    <row r="323" spans="1:24" ht="15.75" customHeight="1">
      <c r="A323" s="179"/>
      <c r="B323" s="180"/>
      <c r="C323" s="180"/>
      <c r="D323" s="179"/>
      <c r="E323" s="179"/>
      <c r="F323" s="179"/>
      <c r="G323" s="179"/>
      <c r="H323" s="181"/>
      <c r="I323" s="181"/>
      <c r="J323" s="181"/>
      <c r="K323" s="179"/>
      <c r="L323" s="179"/>
      <c r="M323" s="179"/>
      <c r="N323" s="181"/>
      <c r="O323" s="179"/>
      <c r="P323" s="179"/>
      <c r="Q323" s="179"/>
      <c r="R323" s="179"/>
      <c r="S323" s="179"/>
      <c r="T323" s="179"/>
      <c r="U323" s="179"/>
      <c r="V323" s="182"/>
      <c r="W323" s="175"/>
      <c r="X323" s="176"/>
    </row>
    <row r="324" spans="1:24" ht="15.75" customHeight="1">
      <c r="A324" s="179"/>
      <c r="B324" s="180"/>
      <c r="C324" s="180"/>
      <c r="D324" s="179"/>
      <c r="E324" s="179"/>
      <c r="F324" s="179"/>
      <c r="G324" s="179"/>
      <c r="H324" s="181"/>
      <c r="I324" s="181"/>
      <c r="J324" s="181"/>
      <c r="K324" s="179"/>
      <c r="L324" s="179"/>
      <c r="M324" s="179"/>
      <c r="N324" s="181"/>
      <c r="O324" s="179"/>
      <c r="P324" s="179"/>
      <c r="Q324" s="179"/>
      <c r="R324" s="179"/>
      <c r="S324" s="179"/>
      <c r="T324" s="179"/>
      <c r="U324" s="179"/>
      <c r="V324" s="182"/>
      <c r="W324" s="175"/>
      <c r="X324" s="176"/>
    </row>
    <row r="325" spans="1:24" ht="15.75" customHeight="1">
      <c r="A325" s="179"/>
      <c r="B325" s="180"/>
      <c r="C325" s="180"/>
      <c r="D325" s="179"/>
      <c r="E325" s="179"/>
      <c r="F325" s="179"/>
      <c r="G325" s="179"/>
      <c r="H325" s="181"/>
      <c r="I325" s="181"/>
      <c r="J325" s="181"/>
      <c r="K325" s="179"/>
      <c r="L325" s="179"/>
      <c r="M325" s="179"/>
      <c r="N325" s="181"/>
      <c r="O325" s="179"/>
      <c r="P325" s="179"/>
      <c r="Q325" s="179"/>
      <c r="R325" s="179"/>
      <c r="S325" s="179"/>
      <c r="T325" s="179"/>
      <c r="U325" s="179"/>
      <c r="V325" s="182"/>
      <c r="W325" s="175"/>
      <c r="X325" s="176"/>
    </row>
    <row r="326" spans="1:24" ht="15.75" customHeight="1">
      <c r="A326" s="179"/>
      <c r="B326" s="180"/>
      <c r="C326" s="180"/>
      <c r="D326" s="179"/>
      <c r="E326" s="179"/>
      <c r="F326" s="179"/>
      <c r="G326" s="179"/>
      <c r="H326" s="181"/>
      <c r="I326" s="181"/>
      <c r="J326" s="181"/>
      <c r="K326" s="179"/>
      <c r="L326" s="179"/>
      <c r="M326" s="179"/>
      <c r="N326" s="181"/>
      <c r="O326" s="179"/>
      <c r="P326" s="179"/>
      <c r="Q326" s="179"/>
      <c r="R326" s="179"/>
      <c r="S326" s="179"/>
      <c r="T326" s="179"/>
      <c r="U326" s="179"/>
      <c r="V326" s="182"/>
      <c r="W326" s="175"/>
      <c r="X326" s="176"/>
    </row>
    <row r="327" spans="1:24" ht="15.75" customHeight="1">
      <c r="A327" s="179"/>
      <c r="B327" s="180"/>
      <c r="C327" s="180"/>
      <c r="D327" s="179"/>
      <c r="E327" s="179"/>
      <c r="F327" s="179"/>
      <c r="G327" s="179"/>
      <c r="H327" s="181"/>
      <c r="I327" s="181"/>
      <c r="J327" s="181"/>
      <c r="K327" s="179"/>
      <c r="L327" s="179"/>
      <c r="M327" s="179"/>
      <c r="N327" s="181"/>
      <c r="O327" s="179"/>
      <c r="P327" s="179"/>
      <c r="Q327" s="179"/>
      <c r="R327" s="179"/>
      <c r="S327" s="179"/>
      <c r="T327" s="179"/>
      <c r="U327" s="179"/>
      <c r="V327" s="182"/>
      <c r="W327" s="175"/>
      <c r="X327" s="176"/>
    </row>
    <row r="328" spans="1:24" ht="15.75" customHeight="1">
      <c r="A328" s="179"/>
      <c r="B328" s="180"/>
      <c r="C328" s="180"/>
      <c r="D328" s="179"/>
      <c r="E328" s="179"/>
      <c r="F328" s="179"/>
      <c r="G328" s="179"/>
      <c r="H328" s="181"/>
      <c r="I328" s="181"/>
      <c r="J328" s="181"/>
      <c r="K328" s="179"/>
      <c r="L328" s="179"/>
      <c r="M328" s="179"/>
      <c r="N328" s="181"/>
      <c r="O328" s="179"/>
      <c r="P328" s="179"/>
      <c r="Q328" s="179"/>
      <c r="R328" s="179"/>
      <c r="S328" s="179"/>
      <c r="T328" s="179"/>
      <c r="U328" s="179"/>
      <c r="V328" s="182"/>
      <c r="W328" s="175"/>
      <c r="X328" s="176"/>
    </row>
    <row r="329" spans="1:24" ht="15.75" customHeight="1">
      <c r="A329" s="179"/>
      <c r="B329" s="180"/>
      <c r="C329" s="180"/>
      <c r="D329" s="179"/>
      <c r="E329" s="179"/>
      <c r="F329" s="179"/>
      <c r="G329" s="179"/>
      <c r="H329" s="181"/>
      <c r="I329" s="181"/>
      <c r="J329" s="181"/>
      <c r="K329" s="179"/>
      <c r="L329" s="179"/>
      <c r="M329" s="179"/>
      <c r="N329" s="181"/>
      <c r="O329" s="179"/>
      <c r="P329" s="179"/>
      <c r="Q329" s="179"/>
      <c r="R329" s="179"/>
      <c r="S329" s="179"/>
      <c r="T329" s="179"/>
      <c r="U329" s="179"/>
      <c r="V329" s="182"/>
      <c r="W329" s="175"/>
      <c r="X329" s="176"/>
    </row>
    <row r="330" spans="1:24" ht="15.75" customHeight="1">
      <c r="A330" s="179"/>
      <c r="B330" s="180"/>
      <c r="C330" s="180"/>
      <c r="D330" s="179"/>
      <c r="E330" s="179"/>
      <c r="F330" s="179"/>
      <c r="G330" s="179"/>
      <c r="H330" s="181"/>
      <c r="I330" s="181"/>
      <c r="J330" s="181"/>
      <c r="K330" s="179"/>
      <c r="L330" s="179"/>
      <c r="M330" s="179"/>
      <c r="N330" s="181"/>
      <c r="O330" s="179"/>
      <c r="P330" s="179"/>
      <c r="Q330" s="179"/>
      <c r="R330" s="179"/>
      <c r="S330" s="179"/>
      <c r="T330" s="179"/>
      <c r="U330" s="179"/>
      <c r="V330" s="182"/>
      <c r="W330" s="175"/>
      <c r="X330" s="176"/>
    </row>
    <row r="331" spans="1:24" ht="15.75" customHeight="1">
      <c r="A331" s="179"/>
      <c r="B331" s="180"/>
      <c r="C331" s="180"/>
      <c r="D331" s="179"/>
      <c r="E331" s="179"/>
      <c r="F331" s="179"/>
      <c r="G331" s="179"/>
      <c r="H331" s="181"/>
      <c r="I331" s="181"/>
      <c r="J331" s="181"/>
      <c r="K331" s="179"/>
      <c r="L331" s="179"/>
      <c r="M331" s="179"/>
      <c r="N331" s="181"/>
      <c r="O331" s="179"/>
      <c r="P331" s="179"/>
      <c r="Q331" s="179"/>
      <c r="R331" s="179"/>
      <c r="S331" s="179"/>
      <c r="T331" s="179"/>
      <c r="U331" s="179"/>
      <c r="V331" s="182"/>
      <c r="W331" s="175"/>
      <c r="X331" s="176"/>
    </row>
    <row r="332" spans="1:24" ht="15.75" customHeight="1">
      <c r="A332" s="179"/>
      <c r="B332" s="180"/>
      <c r="C332" s="180"/>
      <c r="D332" s="179"/>
      <c r="E332" s="179"/>
      <c r="F332" s="179"/>
      <c r="G332" s="179"/>
      <c r="H332" s="181"/>
      <c r="I332" s="181"/>
      <c r="J332" s="181"/>
      <c r="K332" s="179"/>
      <c r="L332" s="179"/>
      <c r="M332" s="179"/>
      <c r="N332" s="181"/>
      <c r="O332" s="179"/>
      <c r="P332" s="179"/>
      <c r="Q332" s="179"/>
      <c r="R332" s="179"/>
      <c r="S332" s="179"/>
      <c r="T332" s="179"/>
      <c r="U332" s="179"/>
      <c r="V332" s="182"/>
      <c r="W332" s="175"/>
      <c r="X332" s="176"/>
    </row>
    <row r="333" spans="1:24" ht="15.75" customHeight="1">
      <c r="A333" s="179"/>
      <c r="B333" s="180"/>
      <c r="C333" s="180"/>
      <c r="D333" s="179"/>
      <c r="E333" s="179"/>
      <c r="F333" s="179"/>
      <c r="G333" s="179"/>
      <c r="H333" s="181"/>
      <c r="I333" s="181"/>
      <c r="J333" s="181"/>
      <c r="K333" s="179"/>
      <c r="L333" s="179"/>
      <c r="M333" s="179"/>
      <c r="N333" s="181"/>
      <c r="O333" s="179"/>
      <c r="P333" s="179"/>
      <c r="Q333" s="179"/>
      <c r="R333" s="179"/>
      <c r="S333" s="179"/>
      <c r="T333" s="179"/>
      <c r="U333" s="179"/>
      <c r="V333" s="182"/>
      <c r="W333" s="175"/>
      <c r="X333" s="176"/>
    </row>
    <row r="334" spans="1:24" ht="15.75" customHeight="1">
      <c r="A334" s="179"/>
      <c r="B334" s="180"/>
      <c r="C334" s="180"/>
      <c r="D334" s="179"/>
      <c r="E334" s="179"/>
      <c r="F334" s="179"/>
      <c r="G334" s="179"/>
      <c r="H334" s="181"/>
      <c r="I334" s="181"/>
      <c r="J334" s="181"/>
      <c r="K334" s="179"/>
      <c r="L334" s="179"/>
      <c r="M334" s="179"/>
      <c r="N334" s="181"/>
      <c r="O334" s="179"/>
      <c r="P334" s="179"/>
      <c r="Q334" s="179"/>
      <c r="R334" s="179"/>
      <c r="S334" s="179"/>
      <c r="T334" s="179"/>
      <c r="U334" s="179"/>
      <c r="V334" s="182"/>
      <c r="W334" s="175"/>
      <c r="X334" s="176"/>
    </row>
    <row r="335" spans="1:24" ht="15.75" customHeight="1">
      <c r="A335" s="179"/>
      <c r="B335" s="180"/>
      <c r="C335" s="180"/>
      <c r="D335" s="179"/>
      <c r="E335" s="179"/>
      <c r="F335" s="179"/>
      <c r="G335" s="179"/>
      <c r="H335" s="181"/>
      <c r="I335" s="181"/>
      <c r="J335" s="181"/>
      <c r="K335" s="179"/>
      <c r="L335" s="179"/>
      <c r="M335" s="179"/>
      <c r="N335" s="181"/>
      <c r="O335" s="179"/>
      <c r="P335" s="179"/>
      <c r="Q335" s="179"/>
      <c r="R335" s="179"/>
      <c r="S335" s="179"/>
      <c r="T335" s="179"/>
      <c r="U335" s="179"/>
      <c r="V335" s="182"/>
      <c r="W335" s="175"/>
      <c r="X335" s="176"/>
    </row>
    <row r="336" spans="1:24" ht="15.75" customHeight="1">
      <c r="A336" s="179"/>
      <c r="B336" s="180"/>
      <c r="C336" s="180"/>
      <c r="D336" s="179"/>
      <c r="E336" s="179"/>
      <c r="F336" s="179"/>
      <c r="G336" s="179"/>
      <c r="H336" s="181"/>
      <c r="I336" s="181"/>
      <c r="J336" s="181"/>
      <c r="K336" s="179"/>
      <c r="L336" s="179"/>
      <c r="M336" s="179"/>
      <c r="N336" s="181"/>
      <c r="O336" s="179"/>
      <c r="P336" s="179"/>
      <c r="Q336" s="179"/>
      <c r="R336" s="179"/>
      <c r="S336" s="179"/>
      <c r="T336" s="179"/>
      <c r="U336" s="179"/>
      <c r="V336" s="182"/>
      <c r="W336" s="175"/>
      <c r="X336" s="176"/>
    </row>
    <row r="337" spans="1:24" ht="15.75" customHeight="1">
      <c r="A337" s="179"/>
      <c r="B337" s="180"/>
      <c r="C337" s="180"/>
      <c r="D337" s="179"/>
      <c r="E337" s="179"/>
      <c r="F337" s="179"/>
      <c r="G337" s="179"/>
      <c r="H337" s="181"/>
      <c r="I337" s="181"/>
      <c r="J337" s="181"/>
      <c r="K337" s="179"/>
      <c r="L337" s="179"/>
      <c r="M337" s="179"/>
      <c r="N337" s="181"/>
      <c r="O337" s="179"/>
      <c r="P337" s="179"/>
      <c r="Q337" s="179"/>
      <c r="R337" s="179"/>
      <c r="S337" s="179"/>
      <c r="T337" s="179"/>
      <c r="U337" s="179"/>
      <c r="V337" s="182"/>
      <c r="W337" s="175"/>
      <c r="X337" s="176"/>
    </row>
    <row r="338" spans="1:24" ht="15.75" customHeight="1">
      <c r="A338" s="179"/>
      <c r="B338" s="180"/>
      <c r="C338" s="180"/>
      <c r="D338" s="179"/>
      <c r="E338" s="179"/>
      <c r="F338" s="179"/>
      <c r="G338" s="179"/>
      <c r="H338" s="181"/>
      <c r="I338" s="181"/>
      <c r="J338" s="181"/>
      <c r="K338" s="179"/>
      <c r="L338" s="179"/>
      <c r="M338" s="179"/>
      <c r="N338" s="181"/>
      <c r="O338" s="179"/>
      <c r="P338" s="179"/>
      <c r="Q338" s="179"/>
      <c r="R338" s="179"/>
      <c r="S338" s="179"/>
      <c r="T338" s="179"/>
      <c r="U338" s="179"/>
      <c r="V338" s="182"/>
      <c r="W338" s="175"/>
      <c r="X338" s="176"/>
    </row>
    <row r="339" spans="1:24" ht="15.75" customHeight="1">
      <c r="A339" s="179"/>
      <c r="B339" s="180"/>
      <c r="C339" s="180"/>
      <c r="D339" s="179"/>
      <c r="E339" s="179"/>
      <c r="F339" s="179"/>
      <c r="G339" s="179"/>
      <c r="H339" s="181"/>
      <c r="I339" s="181"/>
      <c r="J339" s="181"/>
      <c r="K339" s="179"/>
      <c r="L339" s="179"/>
      <c r="M339" s="179"/>
      <c r="N339" s="181"/>
      <c r="O339" s="179"/>
      <c r="P339" s="179"/>
      <c r="Q339" s="179"/>
      <c r="R339" s="179"/>
      <c r="S339" s="179"/>
      <c r="T339" s="179"/>
      <c r="U339" s="179"/>
      <c r="V339" s="182"/>
      <c r="W339" s="175"/>
      <c r="X339" s="176"/>
    </row>
    <row r="340" spans="1:24" ht="15.75" customHeight="1">
      <c r="A340" s="179"/>
      <c r="B340" s="180"/>
      <c r="C340" s="180"/>
      <c r="D340" s="179"/>
      <c r="E340" s="179"/>
      <c r="F340" s="179"/>
      <c r="G340" s="179"/>
      <c r="H340" s="181"/>
      <c r="I340" s="181"/>
      <c r="J340" s="181"/>
      <c r="K340" s="179"/>
      <c r="L340" s="179"/>
      <c r="M340" s="179"/>
      <c r="N340" s="181"/>
      <c r="O340" s="179"/>
      <c r="P340" s="179"/>
      <c r="Q340" s="179"/>
      <c r="R340" s="179"/>
      <c r="S340" s="179"/>
      <c r="T340" s="179"/>
      <c r="U340" s="179"/>
      <c r="V340" s="182"/>
      <c r="W340" s="175"/>
      <c r="X340" s="176"/>
    </row>
    <row r="341" spans="1:24" ht="15.75" customHeight="1">
      <c r="A341" s="179"/>
      <c r="B341" s="180"/>
      <c r="C341" s="180"/>
      <c r="D341" s="179"/>
      <c r="E341" s="179"/>
      <c r="F341" s="179"/>
      <c r="G341" s="179"/>
      <c r="H341" s="181"/>
      <c r="I341" s="181"/>
      <c r="J341" s="181"/>
      <c r="K341" s="179"/>
      <c r="L341" s="179"/>
      <c r="M341" s="179"/>
      <c r="N341" s="181"/>
      <c r="O341" s="179"/>
      <c r="P341" s="179"/>
      <c r="Q341" s="179"/>
      <c r="R341" s="179"/>
      <c r="S341" s="179"/>
      <c r="T341" s="179"/>
      <c r="U341" s="179"/>
      <c r="V341" s="182"/>
      <c r="W341" s="175"/>
      <c r="X341" s="176"/>
    </row>
    <row r="342" spans="1:24" ht="15.75" customHeight="1">
      <c r="A342" s="179"/>
      <c r="B342" s="180"/>
      <c r="C342" s="180"/>
      <c r="D342" s="179"/>
      <c r="E342" s="179"/>
      <c r="F342" s="179"/>
      <c r="G342" s="179"/>
      <c r="H342" s="181"/>
      <c r="I342" s="181"/>
      <c r="J342" s="181"/>
      <c r="K342" s="179"/>
      <c r="L342" s="179"/>
      <c r="M342" s="179"/>
      <c r="N342" s="181"/>
      <c r="O342" s="179"/>
      <c r="P342" s="179"/>
      <c r="Q342" s="179"/>
      <c r="R342" s="179"/>
      <c r="S342" s="179"/>
      <c r="T342" s="179"/>
      <c r="U342" s="179"/>
      <c r="V342" s="182"/>
      <c r="W342" s="175"/>
      <c r="X342" s="176"/>
    </row>
    <row r="343" spans="1:24" ht="15.75" customHeight="1">
      <c r="A343" s="179"/>
      <c r="B343" s="180"/>
      <c r="C343" s="180"/>
      <c r="D343" s="179"/>
      <c r="E343" s="179"/>
      <c r="F343" s="179"/>
      <c r="G343" s="179"/>
      <c r="H343" s="181"/>
      <c r="I343" s="181"/>
      <c r="J343" s="181"/>
      <c r="K343" s="179"/>
      <c r="L343" s="179"/>
      <c r="M343" s="179"/>
      <c r="N343" s="181"/>
      <c r="O343" s="179"/>
      <c r="P343" s="179"/>
      <c r="Q343" s="179"/>
      <c r="R343" s="179"/>
      <c r="S343" s="179"/>
      <c r="T343" s="179"/>
      <c r="U343" s="179"/>
      <c r="V343" s="182"/>
      <c r="W343" s="175"/>
      <c r="X343" s="176"/>
    </row>
    <row r="344" spans="1:24" ht="15.75" customHeight="1">
      <c r="A344" s="179"/>
      <c r="B344" s="180"/>
      <c r="C344" s="180"/>
      <c r="D344" s="179"/>
      <c r="E344" s="179"/>
      <c r="F344" s="179"/>
      <c r="G344" s="179"/>
      <c r="H344" s="181"/>
      <c r="I344" s="181"/>
      <c r="J344" s="181"/>
      <c r="K344" s="179"/>
      <c r="L344" s="179"/>
      <c r="M344" s="179"/>
      <c r="N344" s="181"/>
      <c r="O344" s="179"/>
      <c r="P344" s="179"/>
      <c r="Q344" s="179"/>
      <c r="R344" s="179"/>
      <c r="S344" s="179"/>
      <c r="T344" s="179"/>
      <c r="U344" s="179"/>
      <c r="V344" s="182"/>
      <c r="W344" s="175"/>
      <c r="X344" s="176"/>
    </row>
    <row r="345" spans="1:24" ht="15.75" customHeight="1">
      <c r="A345" s="179"/>
      <c r="B345" s="180"/>
      <c r="C345" s="180"/>
      <c r="D345" s="179"/>
      <c r="E345" s="179"/>
      <c r="F345" s="179"/>
      <c r="G345" s="179"/>
      <c r="H345" s="181"/>
      <c r="I345" s="181"/>
      <c r="J345" s="181"/>
      <c r="K345" s="179"/>
      <c r="L345" s="179"/>
      <c r="M345" s="179"/>
      <c r="N345" s="181"/>
      <c r="O345" s="179"/>
      <c r="P345" s="179"/>
      <c r="Q345" s="179"/>
      <c r="R345" s="179"/>
      <c r="S345" s="179"/>
      <c r="T345" s="179"/>
      <c r="U345" s="179"/>
      <c r="V345" s="182"/>
      <c r="W345" s="175"/>
      <c r="X345" s="176"/>
    </row>
    <row r="346" spans="1:24" ht="15.75" customHeight="1">
      <c r="A346" s="179"/>
      <c r="B346" s="180"/>
      <c r="C346" s="180"/>
      <c r="D346" s="179"/>
      <c r="E346" s="179"/>
      <c r="F346" s="179"/>
      <c r="G346" s="179"/>
      <c r="H346" s="181"/>
      <c r="I346" s="181"/>
      <c r="J346" s="181"/>
      <c r="K346" s="179"/>
      <c r="L346" s="179"/>
      <c r="M346" s="179"/>
      <c r="N346" s="181"/>
      <c r="O346" s="179"/>
      <c r="P346" s="179"/>
      <c r="Q346" s="179"/>
      <c r="R346" s="179"/>
      <c r="S346" s="179"/>
      <c r="T346" s="179"/>
      <c r="U346" s="179"/>
      <c r="V346" s="182"/>
      <c r="W346" s="175"/>
      <c r="X346" s="176"/>
    </row>
    <row r="347" spans="1:24" ht="15.75" customHeight="1">
      <c r="A347" s="179"/>
      <c r="B347" s="180"/>
      <c r="C347" s="180"/>
      <c r="D347" s="179"/>
      <c r="E347" s="179"/>
      <c r="F347" s="179"/>
      <c r="G347" s="179"/>
      <c r="H347" s="181"/>
      <c r="I347" s="181"/>
      <c r="J347" s="181"/>
      <c r="K347" s="179"/>
      <c r="L347" s="179"/>
      <c r="M347" s="179"/>
      <c r="N347" s="181"/>
      <c r="O347" s="179"/>
      <c r="P347" s="179"/>
      <c r="Q347" s="179"/>
      <c r="R347" s="179"/>
      <c r="S347" s="179"/>
      <c r="T347" s="179"/>
      <c r="U347" s="179"/>
      <c r="V347" s="182"/>
      <c r="W347" s="175"/>
      <c r="X347" s="176"/>
    </row>
    <row r="348" spans="1:24" ht="15.75" customHeight="1">
      <c r="A348" s="179"/>
      <c r="B348" s="180"/>
      <c r="C348" s="180"/>
      <c r="D348" s="179"/>
      <c r="E348" s="179"/>
      <c r="F348" s="179"/>
      <c r="G348" s="179"/>
      <c r="H348" s="181"/>
      <c r="I348" s="181"/>
      <c r="J348" s="181"/>
      <c r="K348" s="179"/>
      <c r="L348" s="179"/>
      <c r="M348" s="179"/>
      <c r="N348" s="181"/>
      <c r="O348" s="179"/>
      <c r="P348" s="179"/>
      <c r="Q348" s="179"/>
      <c r="R348" s="179"/>
      <c r="S348" s="179"/>
      <c r="T348" s="179"/>
      <c r="U348" s="179"/>
      <c r="V348" s="182"/>
      <c r="W348" s="175"/>
      <c r="X348" s="176"/>
    </row>
    <row r="349" spans="1:24" ht="15.75" customHeight="1">
      <c r="A349" s="179"/>
      <c r="B349" s="180"/>
      <c r="C349" s="180"/>
      <c r="D349" s="179"/>
      <c r="E349" s="179"/>
      <c r="F349" s="179"/>
      <c r="G349" s="179"/>
      <c r="H349" s="181"/>
      <c r="I349" s="181"/>
      <c r="J349" s="181"/>
      <c r="K349" s="179"/>
      <c r="L349" s="179"/>
      <c r="M349" s="179"/>
      <c r="N349" s="181"/>
      <c r="O349" s="179"/>
      <c r="P349" s="179"/>
      <c r="Q349" s="179"/>
      <c r="R349" s="179"/>
      <c r="S349" s="179"/>
      <c r="T349" s="179"/>
      <c r="U349" s="179"/>
      <c r="V349" s="182"/>
      <c r="W349" s="175"/>
      <c r="X349" s="176"/>
    </row>
    <row r="350" spans="1:24" ht="15.75" customHeight="1">
      <c r="A350" s="179"/>
      <c r="B350" s="180"/>
      <c r="C350" s="180"/>
      <c r="D350" s="179"/>
      <c r="E350" s="179"/>
      <c r="F350" s="179"/>
      <c r="G350" s="179"/>
      <c r="H350" s="181"/>
      <c r="I350" s="181"/>
      <c r="J350" s="181"/>
      <c r="K350" s="179"/>
      <c r="L350" s="179"/>
      <c r="M350" s="179"/>
      <c r="N350" s="181"/>
      <c r="O350" s="179"/>
      <c r="P350" s="179"/>
      <c r="Q350" s="179"/>
      <c r="R350" s="179"/>
      <c r="S350" s="179"/>
      <c r="T350" s="179"/>
      <c r="U350" s="179"/>
      <c r="V350" s="182"/>
      <c r="W350" s="175"/>
      <c r="X350" s="176"/>
    </row>
    <row r="351" spans="1:24" ht="15.75" customHeight="1">
      <c r="A351" s="179"/>
      <c r="B351" s="180"/>
      <c r="C351" s="180"/>
      <c r="D351" s="179"/>
      <c r="E351" s="179"/>
      <c r="F351" s="179"/>
      <c r="G351" s="179"/>
      <c r="H351" s="181"/>
      <c r="I351" s="181"/>
      <c r="J351" s="181"/>
      <c r="K351" s="179"/>
      <c r="L351" s="179"/>
      <c r="M351" s="179"/>
      <c r="N351" s="181"/>
      <c r="O351" s="179"/>
      <c r="P351" s="179"/>
      <c r="Q351" s="179"/>
      <c r="R351" s="179"/>
      <c r="S351" s="179"/>
      <c r="T351" s="179"/>
      <c r="U351" s="179"/>
      <c r="V351" s="182"/>
      <c r="W351" s="175"/>
      <c r="X351" s="176"/>
    </row>
    <row r="352" spans="1:24" ht="15.75" customHeight="1">
      <c r="A352" s="179"/>
      <c r="B352" s="180"/>
      <c r="C352" s="180"/>
      <c r="D352" s="179"/>
      <c r="E352" s="179"/>
      <c r="F352" s="179"/>
      <c r="G352" s="179"/>
      <c r="H352" s="181"/>
      <c r="I352" s="181"/>
      <c r="J352" s="181"/>
      <c r="K352" s="179"/>
      <c r="L352" s="179"/>
      <c r="M352" s="179"/>
      <c r="N352" s="181"/>
      <c r="O352" s="179"/>
      <c r="P352" s="179"/>
      <c r="Q352" s="179"/>
      <c r="R352" s="179"/>
      <c r="S352" s="179"/>
      <c r="T352" s="179"/>
      <c r="U352" s="179"/>
      <c r="V352" s="182"/>
      <c r="W352" s="175"/>
      <c r="X352" s="176"/>
    </row>
    <row r="353" spans="1:24" ht="15.75" customHeight="1">
      <c r="A353" s="179"/>
      <c r="B353" s="180"/>
      <c r="C353" s="180"/>
      <c r="D353" s="179"/>
      <c r="E353" s="179"/>
      <c r="F353" s="179"/>
      <c r="G353" s="179"/>
      <c r="H353" s="181"/>
      <c r="I353" s="181"/>
      <c r="J353" s="181"/>
      <c r="K353" s="179"/>
      <c r="L353" s="179"/>
      <c r="M353" s="179"/>
      <c r="N353" s="181"/>
      <c r="O353" s="179"/>
      <c r="P353" s="179"/>
      <c r="Q353" s="179"/>
      <c r="R353" s="179"/>
      <c r="S353" s="179"/>
      <c r="T353" s="179"/>
      <c r="U353" s="179"/>
      <c r="V353" s="182"/>
      <c r="W353" s="175"/>
      <c r="X353" s="176"/>
    </row>
    <row r="354" spans="1:24" ht="15.75" customHeight="1">
      <c r="A354" s="179"/>
      <c r="B354" s="180"/>
      <c r="C354" s="180"/>
      <c r="D354" s="179"/>
      <c r="E354" s="179"/>
      <c r="F354" s="179"/>
      <c r="G354" s="179"/>
      <c r="H354" s="181"/>
      <c r="I354" s="181"/>
      <c r="J354" s="181"/>
      <c r="K354" s="179"/>
      <c r="L354" s="179"/>
      <c r="M354" s="179"/>
      <c r="N354" s="181"/>
      <c r="O354" s="179"/>
      <c r="P354" s="179"/>
      <c r="Q354" s="179"/>
      <c r="R354" s="179"/>
      <c r="S354" s="179"/>
      <c r="T354" s="179"/>
      <c r="U354" s="179"/>
      <c r="V354" s="182"/>
      <c r="W354" s="175"/>
      <c r="X354" s="176"/>
    </row>
    <row r="355" spans="1:24" ht="15.75" customHeight="1">
      <c r="A355" s="179"/>
      <c r="B355" s="180"/>
      <c r="C355" s="180"/>
      <c r="D355" s="179"/>
      <c r="E355" s="179"/>
      <c r="F355" s="179"/>
      <c r="G355" s="179"/>
      <c r="H355" s="181"/>
      <c r="I355" s="181"/>
      <c r="J355" s="181"/>
      <c r="K355" s="179"/>
      <c r="L355" s="179"/>
      <c r="M355" s="179"/>
      <c r="N355" s="181"/>
      <c r="O355" s="179"/>
      <c r="P355" s="179"/>
      <c r="Q355" s="179"/>
      <c r="R355" s="179"/>
      <c r="S355" s="179"/>
      <c r="T355" s="179"/>
      <c r="U355" s="179"/>
      <c r="V355" s="182"/>
      <c r="W355" s="175"/>
      <c r="X355" s="176"/>
    </row>
    <row r="356" spans="1:24" ht="15.75" customHeight="1">
      <c r="A356" s="179"/>
      <c r="B356" s="180"/>
      <c r="C356" s="180"/>
      <c r="D356" s="179"/>
      <c r="E356" s="179"/>
      <c r="F356" s="179"/>
      <c r="G356" s="179"/>
      <c r="H356" s="181"/>
      <c r="I356" s="181"/>
      <c r="J356" s="181"/>
      <c r="K356" s="179"/>
      <c r="L356" s="179"/>
      <c r="M356" s="179"/>
      <c r="N356" s="181"/>
      <c r="O356" s="179"/>
      <c r="P356" s="179"/>
      <c r="Q356" s="179"/>
      <c r="R356" s="179"/>
      <c r="S356" s="179"/>
      <c r="T356" s="179"/>
      <c r="U356" s="179"/>
      <c r="V356" s="182"/>
      <c r="W356" s="175"/>
      <c r="X356" s="176"/>
    </row>
    <row r="357" spans="1:24" ht="15.75" customHeight="1">
      <c r="A357" s="179"/>
      <c r="B357" s="180"/>
      <c r="C357" s="180"/>
      <c r="D357" s="179"/>
      <c r="E357" s="179"/>
      <c r="F357" s="179"/>
      <c r="G357" s="179"/>
      <c r="H357" s="181"/>
      <c r="I357" s="181"/>
      <c r="J357" s="181"/>
      <c r="K357" s="179"/>
      <c r="L357" s="179"/>
      <c r="M357" s="179"/>
      <c r="N357" s="181"/>
      <c r="O357" s="179"/>
      <c r="P357" s="179"/>
      <c r="Q357" s="179"/>
      <c r="R357" s="179"/>
      <c r="S357" s="179"/>
      <c r="T357" s="179"/>
      <c r="U357" s="179"/>
      <c r="V357" s="182"/>
      <c r="W357" s="175"/>
      <c r="X357" s="176"/>
    </row>
    <row r="358" spans="1:24" ht="15.75" customHeight="1">
      <c r="A358" s="179"/>
      <c r="B358" s="180"/>
      <c r="C358" s="180"/>
      <c r="D358" s="179"/>
      <c r="E358" s="179"/>
      <c r="F358" s="179"/>
      <c r="G358" s="179"/>
      <c r="H358" s="181"/>
      <c r="I358" s="181"/>
      <c r="J358" s="181"/>
      <c r="K358" s="179"/>
      <c r="L358" s="179"/>
      <c r="M358" s="179"/>
      <c r="N358" s="181"/>
      <c r="O358" s="179"/>
      <c r="P358" s="179"/>
      <c r="Q358" s="179"/>
      <c r="R358" s="179"/>
      <c r="S358" s="179"/>
      <c r="T358" s="179"/>
      <c r="U358" s="179"/>
      <c r="V358" s="182"/>
      <c r="W358" s="175"/>
      <c r="X358" s="176"/>
    </row>
    <row r="359" spans="1:24" ht="15.75" customHeight="1">
      <c r="A359" s="179"/>
      <c r="B359" s="180"/>
      <c r="C359" s="180"/>
      <c r="D359" s="179"/>
      <c r="E359" s="179"/>
      <c r="F359" s="179"/>
      <c r="G359" s="179"/>
      <c r="H359" s="181"/>
      <c r="I359" s="181"/>
      <c r="J359" s="181"/>
      <c r="K359" s="179"/>
      <c r="L359" s="179"/>
      <c r="M359" s="179"/>
      <c r="N359" s="181"/>
      <c r="O359" s="179"/>
      <c r="P359" s="179"/>
      <c r="Q359" s="179"/>
      <c r="R359" s="179"/>
      <c r="S359" s="179"/>
      <c r="T359" s="179"/>
      <c r="U359" s="179"/>
      <c r="V359" s="182"/>
      <c r="W359" s="175"/>
      <c r="X359" s="176"/>
    </row>
    <row r="360" spans="1:24" ht="15.75" customHeight="1">
      <c r="A360" s="179"/>
      <c r="B360" s="180"/>
      <c r="C360" s="180"/>
      <c r="D360" s="179"/>
      <c r="E360" s="179"/>
      <c r="F360" s="179"/>
      <c r="G360" s="179"/>
      <c r="H360" s="181"/>
      <c r="I360" s="181"/>
      <c r="J360" s="181"/>
      <c r="K360" s="179"/>
      <c r="L360" s="179"/>
      <c r="M360" s="179"/>
      <c r="N360" s="181"/>
      <c r="O360" s="179"/>
      <c r="P360" s="179"/>
      <c r="Q360" s="179"/>
      <c r="R360" s="179"/>
      <c r="S360" s="179"/>
      <c r="T360" s="179"/>
      <c r="U360" s="179"/>
      <c r="V360" s="182"/>
      <c r="W360" s="175"/>
      <c r="X360" s="176"/>
    </row>
    <row r="361" spans="1:24" ht="15.75" customHeight="1">
      <c r="A361" s="179"/>
      <c r="B361" s="180"/>
      <c r="C361" s="180"/>
      <c r="D361" s="179"/>
      <c r="E361" s="179"/>
      <c r="F361" s="179"/>
      <c r="G361" s="179"/>
      <c r="H361" s="181"/>
      <c r="I361" s="181"/>
      <c r="J361" s="181"/>
      <c r="K361" s="179"/>
      <c r="L361" s="179"/>
      <c r="M361" s="179"/>
      <c r="N361" s="181"/>
      <c r="O361" s="179"/>
      <c r="P361" s="179"/>
      <c r="Q361" s="179"/>
      <c r="R361" s="179"/>
      <c r="S361" s="179"/>
      <c r="T361" s="179"/>
      <c r="U361" s="179"/>
      <c r="V361" s="182"/>
      <c r="W361" s="175"/>
      <c r="X361" s="176"/>
    </row>
    <row r="362" spans="1:24" ht="15.75" customHeight="1">
      <c r="A362" s="179"/>
      <c r="B362" s="180"/>
      <c r="C362" s="180"/>
      <c r="D362" s="179"/>
      <c r="E362" s="179"/>
      <c r="F362" s="179"/>
      <c r="G362" s="179"/>
      <c r="H362" s="181"/>
      <c r="I362" s="181"/>
      <c r="J362" s="181"/>
      <c r="K362" s="179"/>
      <c r="L362" s="179"/>
      <c r="M362" s="179"/>
      <c r="N362" s="181"/>
      <c r="O362" s="179"/>
      <c r="P362" s="179"/>
      <c r="Q362" s="179"/>
      <c r="R362" s="179"/>
      <c r="S362" s="179"/>
      <c r="T362" s="179"/>
      <c r="U362" s="179"/>
      <c r="V362" s="182"/>
      <c r="W362" s="175"/>
      <c r="X362" s="176"/>
    </row>
    <row r="363" spans="1:24" ht="15.75" customHeight="1">
      <c r="A363" s="179"/>
      <c r="B363" s="180"/>
      <c r="C363" s="180"/>
      <c r="D363" s="179"/>
      <c r="E363" s="179"/>
      <c r="F363" s="179"/>
      <c r="G363" s="179"/>
      <c r="H363" s="181"/>
      <c r="I363" s="181"/>
      <c r="J363" s="181"/>
      <c r="K363" s="179"/>
      <c r="L363" s="179"/>
      <c r="M363" s="179"/>
      <c r="N363" s="181"/>
      <c r="O363" s="179"/>
      <c r="P363" s="179"/>
      <c r="Q363" s="179"/>
      <c r="R363" s="179"/>
      <c r="S363" s="179"/>
      <c r="T363" s="179"/>
      <c r="U363" s="179"/>
      <c r="V363" s="182"/>
      <c r="W363" s="175"/>
      <c r="X363" s="176"/>
    </row>
    <row r="364" spans="1:24" ht="15.75" customHeight="1">
      <c r="A364" s="179"/>
      <c r="B364" s="180"/>
      <c r="C364" s="180"/>
      <c r="D364" s="179"/>
      <c r="E364" s="179"/>
      <c r="F364" s="179"/>
      <c r="G364" s="179"/>
      <c r="H364" s="181"/>
      <c r="I364" s="181"/>
      <c r="J364" s="181"/>
      <c r="K364" s="179"/>
      <c r="L364" s="179"/>
      <c r="M364" s="179"/>
      <c r="N364" s="181"/>
      <c r="O364" s="179"/>
      <c r="P364" s="179"/>
      <c r="Q364" s="179"/>
      <c r="R364" s="179"/>
      <c r="S364" s="179"/>
      <c r="T364" s="179"/>
      <c r="U364" s="179"/>
      <c r="V364" s="182"/>
      <c r="W364" s="175"/>
      <c r="X364" s="176"/>
    </row>
    <row r="365" spans="1:24" ht="15.75" customHeight="1">
      <c r="A365" s="179"/>
      <c r="B365" s="180"/>
      <c r="C365" s="180"/>
      <c r="D365" s="179"/>
      <c r="E365" s="179"/>
      <c r="F365" s="179"/>
      <c r="G365" s="179"/>
      <c r="H365" s="181"/>
      <c r="I365" s="181"/>
      <c r="J365" s="181"/>
      <c r="K365" s="179"/>
      <c r="L365" s="179"/>
      <c r="M365" s="179"/>
      <c r="N365" s="181"/>
      <c r="O365" s="179"/>
      <c r="P365" s="179"/>
      <c r="Q365" s="179"/>
      <c r="R365" s="179"/>
      <c r="S365" s="179"/>
      <c r="T365" s="179"/>
      <c r="U365" s="179"/>
      <c r="V365" s="182"/>
      <c r="W365" s="175"/>
      <c r="X365" s="176"/>
    </row>
    <row r="366" spans="1:24" ht="15.75" customHeight="1">
      <c r="A366" s="179"/>
      <c r="B366" s="180"/>
      <c r="C366" s="180"/>
      <c r="D366" s="179"/>
      <c r="E366" s="179"/>
      <c r="F366" s="179"/>
      <c r="G366" s="179"/>
      <c r="H366" s="181"/>
      <c r="I366" s="181"/>
      <c r="J366" s="181"/>
      <c r="K366" s="179"/>
      <c r="L366" s="179"/>
      <c r="M366" s="179"/>
      <c r="N366" s="181"/>
      <c r="O366" s="179"/>
      <c r="P366" s="179"/>
      <c r="Q366" s="179"/>
      <c r="R366" s="179"/>
      <c r="S366" s="179"/>
      <c r="T366" s="179"/>
      <c r="U366" s="179"/>
      <c r="V366" s="182"/>
      <c r="W366" s="175"/>
      <c r="X366" s="176"/>
    </row>
    <row r="367" spans="1:24" ht="15.75" customHeight="1">
      <c r="A367" s="179"/>
      <c r="B367" s="180"/>
      <c r="C367" s="180"/>
      <c r="D367" s="179"/>
      <c r="E367" s="179"/>
      <c r="F367" s="179"/>
      <c r="G367" s="179"/>
      <c r="H367" s="181"/>
      <c r="I367" s="181"/>
      <c r="J367" s="181"/>
      <c r="K367" s="179"/>
      <c r="L367" s="179"/>
      <c r="M367" s="179"/>
      <c r="N367" s="181"/>
      <c r="O367" s="179"/>
      <c r="P367" s="179"/>
      <c r="Q367" s="179"/>
      <c r="R367" s="179"/>
      <c r="S367" s="179"/>
      <c r="T367" s="179"/>
      <c r="U367" s="179"/>
      <c r="V367" s="182"/>
      <c r="W367" s="175"/>
      <c r="X367" s="176"/>
    </row>
    <row r="368" spans="1:24" ht="15.75" customHeight="1">
      <c r="A368" s="179"/>
      <c r="B368" s="180"/>
      <c r="C368" s="180"/>
      <c r="D368" s="179"/>
      <c r="E368" s="179"/>
      <c r="F368" s="179"/>
      <c r="G368" s="179"/>
      <c r="H368" s="181"/>
      <c r="I368" s="181"/>
      <c r="J368" s="181"/>
      <c r="K368" s="179"/>
      <c r="L368" s="179"/>
      <c r="M368" s="179"/>
      <c r="N368" s="181"/>
      <c r="O368" s="179"/>
      <c r="P368" s="179"/>
      <c r="Q368" s="179"/>
      <c r="R368" s="179"/>
      <c r="S368" s="179"/>
      <c r="T368" s="179"/>
      <c r="U368" s="179"/>
      <c r="V368" s="182"/>
      <c r="W368" s="175"/>
      <c r="X368" s="176"/>
    </row>
    <row r="369" spans="1:24" ht="15.75" customHeight="1">
      <c r="A369" s="179"/>
      <c r="B369" s="180"/>
      <c r="C369" s="180"/>
      <c r="D369" s="179"/>
      <c r="E369" s="179"/>
      <c r="F369" s="179"/>
      <c r="G369" s="179"/>
      <c r="H369" s="181"/>
      <c r="I369" s="181"/>
      <c r="J369" s="181"/>
      <c r="K369" s="179"/>
      <c r="L369" s="179"/>
      <c r="M369" s="179"/>
      <c r="N369" s="181"/>
      <c r="O369" s="179"/>
      <c r="P369" s="179"/>
      <c r="Q369" s="179"/>
      <c r="R369" s="179"/>
      <c r="S369" s="179"/>
      <c r="T369" s="179"/>
      <c r="U369" s="179"/>
      <c r="V369" s="182"/>
      <c r="W369" s="175"/>
      <c r="X369" s="176"/>
    </row>
    <row r="370" spans="1:24" ht="15.75" customHeight="1">
      <c r="A370" s="179"/>
      <c r="B370" s="180"/>
      <c r="C370" s="180"/>
      <c r="D370" s="179"/>
      <c r="E370" s="179"/>
      <c r="F370" s="179"/>
      <c r="G370" s="179"/>
      <c r="H370" s="181"/>
      <c r="I370" s="181"/>
      <c r="J370" s="181"/>
      <c r="K370" s="179"/>
      <c r="L370" s="179"/>
      <c r="M370" s="179"/>
      <c r="N370" s="181"/>
      <c r="O370" s="179"/>
      <c r="P370" s="179"/>
      <c r="Q370" s="179"/>
      <c r="R370" s="179"/>
      <c r="S370" s="179"/>
      <c r="T370" s="179"/>
      <c r="U370" s="179"/>
      <c r="V370" s="182"/>
      <c r="W370" s="175"/>
      <c r="X370" s="176"/>
    </row>
    <row r="371" spans="1:24" ht="15.75" customHeight="1">
      <c r="A371" s="179"/>
      <c r="B371" s="180"/>
      <c r="C371" s="180"/>
      <c r="D371" s="179"/>
      <c r="E371" s="179"/>
      <c r="F371" s="179"/>
      <c r="G371" s="179"/>
      <c r="H371" s="181"/>
      <c r="I371" s="181"/>
      <c r="J371" s="181"/>
      <c r="K371" s="179"/>
      <c r="L371" s="179"/>
      <c r="M371" s="179"/>
      <c r="N371" s="181"/>
      <c r="O371" s="179"/>
      <c r="P371" s="179"/>
      <c r="Q371" s="179"/>
      <c r="R371" s="179"/>
      <c r="S371" s="179"/>
      <c r="T371" s="179"/>
      <c r="U371" s="179"/>
      <c r="V371" s="182"/>
      <c r="W371" s="175"/>
      <c r="X371" s="176"/>
    </row>
    <row r="372" spans="1:24" ht="15.75" customHeight="1">
      <c r="A372" s="179"/>
      <c r="B372" s="180"/>
      <c r="C372" s="180"/>
      <c r="D372" s="179"/>
      <c r="E372" s="179"/>
      <c r="F372" s="179"/>
      <c r="G372" s="179"/>
      <c r="H372" s="181"/>
      <c r="I372" s="181"/>
      <c r="J372" s="181"/>
      <c r="K372" s="179"/>
      <c r="L372" s="179"/>
      <c r="M372" s="179"/>
      <c r="N372" s="181"/>
      <c r="O372" s="179"/>
      <c r="P372" s="179"/>
      <c r="Q372" s="179"/>
      <c r="R372" s="179"/>
      <c r="S372" s="179"/>
      <c r="T372" s="179"/>
      <c r="U372" s="179"/>
      <c r="V372" s="182"/>
      <c r="W372" s="175"/>
      <c r="X372" s="176"/>
    </row>
    <row r="373" spans="1:24" ht="15.75" customHeight="1">
      <c r="A373" s="179"/>
      <c r="B373" s="180"/>
      <c r="C373" s="180"/>
      <c r="D373" s="179"/>
      <c r="E373" s="179"/>
      <c r="F373" s="179"/>
      <c r="G373" s="179"/>
      <c r="H373" s="181"/>
      <c r="I373" s="181"/>
      <c r="J373" s="181"/>
      <c r="K373" s="179"/>
      <c r="L373" s="179"/>
      <c r="M373" s="179"/>
      <c r="N373" s="181"/>
      <c r="O373" s="179"/>
      <c r="P373" s="179"/>
      <c r="Q373" s="179"/>
      <c r="R373" s="179"/>
      <c r="S373" s="179"/>
      <c r="T373" s="179"/>
      <c r="U373" s="179"/>
      <c r="V373" s="182"/>
      <c r="W373" s="175"/>
      <c r="X373" s="176"/>
    </row>
    <row r="374" spans="1:24" ht="15.75" customHeight="1">
      <c r="A374" s="179"/>
      <c r="B374" s="180"/>
      <c r="C374" s="180"/>
      <c r="D374" s="179"/>
      <c r="E374" s="179"/>
      <c r="F374" s="179"/>
      <c r="G374" s="179"/>
      <c r="H374" s="181"/>
      <c r="I374" s="181"/>
      <c r="J374" s="181"/>
      <c r="K374" s="179"/>
      <c r="L374" s="179"/>
      <c r="M374" s="179"/>
      <c r="N374" s="181"/>
      <c r="O374" s="179"/>
      <c r="P374" s="179"/>
      <c r="Q374" s="179"/>
      <c r="R374" s="179"/>
      <c r="S374" s="179"/>
      <c r="T374" s="179"/>
      <c r="U374" s="179"/>
      <c r="V374" s="182"/>
      <c r="W374" s="175"/>
      <c r="X374" s="176"/>
    </row>
    <row r="375" spans="1:24" ht="15.75" customHeight="1">
      <c r="A375" s="179"/>
      <c r="B375" s="180"/>
      <c r="C375" s="180"/>
      <c r="D375" s="179"/>
      <c r="E375" s="179"/>
      <c r="F375" s="179"/>
      <c r="G375" s="179"/>
      <c r="H375" s="181"/>
      <c r="I375" s="181"/>
      <c r="J375" s="181"/>
      <c r="K375" s="179"/>
      <c r="L375" s="179"/>
      <c r="M375" s="179"/>
      <c r="N375" s="181"/>
      <c r="O375" s="179"/>
      <c r="P375" s="179"/>
      <c r="Q375" s="179"/>
      <c r="R375" s="179"/>
      <c r="S375" s="179"/>
      <c r="T375" s="179"/>
      <c r="U375" s="179"/>
      <c r="V375" s="182"/>
      <c r="W375" s="175"/>
      <c r="X375" s="176"/>
    </row>
    <row r="376" spans="1:24" ht="15.75" customHeight="1">
      <c r="A376" s="179"/>
      <c r="B376" s="180"/>
      <c r="C376" s="180"/>
      <c r="D376" s="179"/>
      <c r="E376" s="179"/>
      <c r="F376" s="179"/>
      <c r="G376" s="179"/>
      <c r="H376" s="181"/>
      <c r="I376" s="181"/>
      <c r="J376" s="181"/>
      <c r="K376" s="179"/>
      <c r="L376" s="179"/>
      <c r="M376" s="179"/>
      <c r="N376" s="181"/>
      <c r="O376" s="179"/>
      <c r="P376" s="179"/>
      <c r="Q376" s="179"/>
      <c r="R376" s="179"/>
      <c r="S376" s="179"/>
      <c r="T376" s="179"/>
      <c r="U376" s="179"/>
      <c r="V376" s="182"/>
      <c r="W376" s="175"/>
      <c r="X376" s="176"/>
    </row>
    <row r="377" spans="1:24" ht="15.75" customHeight="1">
      <c r="A377" s="179"/>
      <c r="B377" s="180"/>
      <c r="C377" s="180"/>
      <c r="D377" s="179"/>
      <c r="E377" s="179"/>
      <c r="F377" s="179"/>
      <c r="G377" s="179"/>
      <c r="H377" s="181"/>
      <c r="I377" s="181"/>
      <c r="J377" s="181"/>
      <c r="K377" s="179"/>
      <c r="L377" s="179"/>
      <c r="M377" s="179"/>
      <c r="N377" s="181"/>
      <c r="O377" s="179"/>
      <c r="P377" s="179"/>
      <c r="Q377" s="179"/>
      <c r="R377" s="179"/>
      <c r="S377" s="179"/>
      <c r="T377" s="179"/>
      <c r="U377" s="179"/>
      <c r="V377" s="182"/>
      <c r="W377" s="175"/>
      <c r="X377" s="176"/>
    </row>
    <row r="378" spans="1:24" ht="15.75" customHeight="1">
      <c r="A378" s="179"/>
      <c r="B378" s="180"/>
      <c r="C378" s="180"/>
      <c r="D378" s="179"/>
      <c r="E378" s="179"/>
      <c r="F378" s="179"/>
      <c r="G378" s="179"/>
      <c r="H378" s="181"/>
      <c r="I378" s="181"/>
      <c r="J378" s="181"/>
      <c r="K378" s="179"/>
      <c r="L378" s="179"/>
      <c r="M378" s="179"/>
      <c r="N378" s="181"/>
      <c r="O378" s="179"/>
      <c r="P378" s="179"/>
      <c r="Q378" s="179"/>
      <c r="R378" s="179"/>
      <c r="S378" s="179"/>
      <c r="T378" s="179"/>
      <c r="U378" s="179"/>
      <c r="V378" s="182"/>
      <c r="W378" s="175"/>
      <c r="X378" s="176"/>
    </row>
    <row r="379" spans="1:24" ht="15.75" customHeight="1">
      <c r="A379" s="179"/>
      <c r="B379" s="180"/>
      <c r="C379" s="180"/>
      <c r="D379" s="179"/>
      <c r="E379" s="179"/>
      <c r="F379" s="179"/>
      <c r="G379" s="179"/>
      <c r="H379" s="181"/>
      <c r="I379" s="181"/>
      <c r="J379" s="181"/>
      <c r="K379" s="179"/>
      <c r="L379" s="179"/>
      <c r="M379" s="179"/>
      <c r="N379" s="181"/>
      <c r="O379" s="179"/>
      <c r="P379" s="179"/>
      <c r="Q379" s="179"/>
      <c r="R379" s="179"/>
      <c r="S379" s="179"/>
      <c r="T379" s="179"/>
      <c r="U379" s="179"/>
      <c r="V379" s="182"/>
      <c r="W379" s="175"/>
      <c r="X379" s="176"/>
    </row>
    <row r="380" spans="1:24" ht="15.75" customHeight="1">
      <c r="A380" s="179"/>
      <c r="B380" s="180"/>
      <c r="C380" s="180"/>
      <c r="D380" s="179"/>
      <c r="E380" s="179"/>
      <c r="F380" s="179"/>
      <c r="G380" s="179"/>
      <c r="H380" s="181"/>
      <c r="I380" s="181"/>
      <c r="J380" s="181"/>
      <c r="K380" s="179"/>
      <c r="L380" s="179"/>
      <c r="M380" s="179"/>
      <c r="N380" s="181"/>
      <c r="O380" s="179"/>
      <c r="P380" s="179"/>
      <c r="Q380" s="179"/>
      <c r="R380" s="179"/>
      <c r="S380" s="179"/>
      <c r="T380" s="179"/>
      <c r="U380" s="179"/>
      <c r="V380" s="182"/>
      <c r="W380" s="175"/>
      <c r="X380" s="176"/>
    </row>
    <row r="381" spans="1:24" ht="15.75" customHeight="1">
      <c r="A381" s="179"/>
      <c r="B381" s="180"/>
      <c r="C381" s="180"/>
      <c r="D381" s="179"/>
      <c r="E381" s="179"/>
      <c r="F381" s="179"/>
      <c r="G381" s="179"/>
      <c r="H381" s="181"/>
      <c r="I381" s="181"/>
      <c r="J381" s="181"/>
      <c r="K381" s="179"/>
      <c r="L381" s="179"/>
      <c r="M381" s="179"/>
      <c r="N381" s="181"/>
      <c r="O381" s="179"/>
      <c r="P381" s="179"/>
      <c r="Q381" s="179"/>
      <c r="R381" s="179"/>
      <c r="S381" s="179"/>
      <c r="T381" s="179"/>
      <c r="U381" s="179"/>
      <c r="V381" s="182"/>
      <c r="W381" s="175"/>
      <c r="X381" s="176"/>
    </row>
    <row r="382" spans="1:24" ht="15.75" customHeight="1">
      <c r="A382" s="179"/>
      <c r="B382" s="180"/>
      <c r="C382" s="180"/>
      <c r="D382" s="179"/>
      <c r="E382" s="179"/>
      <c r="F382" s="179"/>
      <c r="G382" s="179"/>
      <c r="H382" s="181"/>
      <c r="I382" s="181"/>
      <c r="J382" s="181"/>
      <c r="K382" s="179"/>
      <c r="L382" s="179"/>
      <c r="M382" s="179"/>
      <c r="N382" s="181"/>
      <c r="O382" s="179"/>
      <c r="P382" s="179"/>
      <c r="Q382" s="179"/>
      <c r="R382" s="179"/>
      <c r="S382" s="179"/>
      <c r="T382" s="179"/>
      <c r="U382" s="179"/>
      <c r="V382" s="182"/>
      <c r="W382" s="175"/>
      <c r="X382" s="176"/>
    </row>
    <row r="383" spans="1:24" ht="15.75" customHeight="1">
      <c r="A383" s="179"/>
      <c r="B383" s="180"/>
      <c r="C383" s="180"/>
      <c r="D383" s="179"/>
      <c r="E383" s="179"/>
      <c r="F383" s="179"/>
      <c r="G383" s="179"/>
      <c r="H383" s="181"/>
      <c r="I383" s="181"/>
      <c r="J383" s="181"/>
      <c r="K383" s="179"/>
      <c r="L383" s="179"/>
      <c r="M383" s="179"/>
      <c r="N383" s="181"/>
      <c r="O383" s="179"/>
      <c r="P383" s="179"/>
      <c r="Q383" s="179"/>
      <c r="R383" s="179"/>
      <c r="S383" s="179"/>
      <c r="T383" s="179"/>
      <c r="U383" s="179"/>
      <c r="V383" s="182"/>
      <c r="W383" s="175"/>
      <c r="X383" s="176"/>
    </row>
    <row r="384" spans="1:24" ht="15.75" customHeight="1">
      <c r="A384" s="179"/>
      <c r="B384" s="180"/>
      <c r="C384" s="180"/>
      <c r="D384" s="179"/>
      <c r="E384" s="179"/>
      <c r="F384" s="179"/>
      <c r="G384" s="179"/>
      <c r="H384" s="181"/>
      <c r="I384" s="181"/>
      <c r="J384" s="181"/>
      <c r="K384" s="179"/>
      <c r="L384" s="179"/>
      <c r="M384" s="179"/>
      <c r="N384" s="181"/>
      <c r="O384" s="179"/>
      <c r="P384" s="179"/>
      <c r="Q384" s="179"/>
      <c r="R384" s="179"/>
      <c r="S384" s="179"/>
      <c r="T384" s="179"/>
      <c r="U384" s="179"/>
      <c r="V384" s="182"/>
      <c r="W384" s="175"/>
      <c r="X384" s="176"/>
    </row>
    <row r="385" spans="1:24" ht="15.75" customHeight="1">
      <c r="A385" s="179"/>
      <c r="B385" s="180"/>
      <c r="C385" s="180"/>
      <c r="D385" s="179"/>
      <c r="E385" s="179"/>
      <c r="F385" s="179"/>
      <c r="G385" s="179"/>
      <c r="H385" s="181"/>
      <c r="I385" s="181"/>
      <c r="J385" s="181"/>
      <c r="K385" s="179"/>
      <c r="L385" s="179"/>
      <c r="M385" s="179"/>
      <c r="N385" s="181"/>
      <c r="O385" s="179"/>
      <c r="P385" s="179"/>
      <c r="Q385" s="179"/>
      <c r="R385" s="179"/>
      <c r="S385" s="179"/>
      <c r="T385" s="179"/>
      <c r="U385" s="179"/>
      <c r="V385" s="182"/>
      <c r="W385" s="175"/>
      <c r="X385" s="176"/>
    </row>
    <row r="386" spans="1:24" ht="15.75" customHeight="1">
      <c r="A386" s="179"/>
      <c r="B386" s="180"/>
      <c r="C386" s="180"/>
      <c r="D386" s="179"/>
      <c r="E386" s="179"/>
      <c r="F386" s="179"/>
      <c r="G386" s="179"/>
      <c r="H386" s="181"/>
      <c r="I386" s="181"/>
      <c r="J386" s="181"/>
      <c r="K386" s="179"/>
      <c r="L386" s="179"/>
      <c r="M386" s="179"/>
      <c r="N386" s="181"/>
      <c r="O386" s="179"/>
      <c r="P386" s="179"/>
      <c r="Q386" s="179"/>
      <c r="R386" s="179"/>
      <c r="S386" s="179"/>
      <c r="T386" s="179"/>
      <c r="U386" s="179"/>
      <c r="V386" s="182"/>
      <c r="W386" s="175"/>
      <c r="X386" s="176"/>
    </row>
    <row r="387" spans="1:24" ht="15.75" customHeight="1">
      <c r="A387" s="179"/>
      <c r="B387" s="180"/>
      <c r="C387" s="180"/>
      <c r="D387" s="179"/>
      <c r="E387" s="179"/>
      <c r="F387" s="179"/>
      <c r="G387" s="179"/>
      <c r="H387" s="181"/>
      <c r="I387" s="181"/>
      <c r="J387" s="181"/>
      <c r="K387" s="179"/>
      <c r="L387" s="179"/>
      <c r="M387" s="179"/>
      <c r="N387" s="181"/>
      <c r="O387" s="179"/>
      <c r="P387" s="179"/>
      <c r="Q387" s="179"/>
      <c r="R387" s="179"/>
      <c r="S387" s="179"/>
      <c r="T387" s="179"/>
      <c r="U387" s="179"/>
      <c r="V387" s="182"/>
      <c r="W387" s="175"/>
      <c r="X387" s="176"/>
    </row>
    <row r="388" spans="1:24" ht="15.75" customHeight="1">
      <c r="A388" s="179"/>
      <c r="B388" s="180"/>
      <c r="C388" s="180"/>
      <c r="D388" s="179"/>
      <c r="E388" s="179"/>
      <c r="F388" s="179"/>
      <c r="G388" s="179"/>
      <c r="H388" s="181"/>
      <c r="I388" s="181"/>
      <c r="J388" s="181"/>
      <c r="K388" s="179"/>
      <c r="L388" s="179"/>
      <c r="M388" s="179"/>
      <c r="N388" s="181"/>
      <c r="O388" s="179"/>
      <c r="P388" s="179"/>
      <c r="Q388" s="179"/>
      <c r="R388" s="179"/>
      <c r="S388" s="179"/>
      <c r="T388" s="179"/>
      <c r="U388" s="179"/>
      <c r="V388" s="182"/>
      <c r="W388" s="175"/>
      <c r="X388" s="176"/>
    </row>
    <row r="389" spans="1:24" ht="15.75" customHeight="1">
      <c r="A389" s="179"/>
      <c r="B389" s="180"/>
      <c r="C389" s="180"/>
      <c r="D389" s="179"/>
      <c r="E389" s="179"/>
      <c r="F389" s="179"/>
      <c r="G389" s="179"/>
      <c r="H389" s="181"/>
      <c r="I389" s="181"/>
      <c r="J389" s="181"/>
      <c r="K389" s="179"/>
      <c r="L389" s="179"/>
      <c r="M389" s="179"/>
      <c r="N389" s="181"/>
      <c r="O389" s="179"/>
      <c r="P389" s="179"/>
      <c r="Q389" s="179"/>
      <c r="R389" s="179"/>
      <c r="S389" s="179"/>
      <c r="T389" s="179"/>
      <c r="U389" s="179"/>
      <c r="V389" s="182"/>
      <c r="W389" s="175"/>
      <c r="X389" s="176"/>
    </row>
    <row r="390" spans="1:24" ht="15.75" customHeight="1">
      <c r="A390" s="179"/>
      <c r="B390" s="180"/>
      <c r="C390" s="180"/>
      <c r="D390" s="179"/>
      <c r="E390" s="179"/>
      <c r="F390" s="179"/>
      <c r="G390" s="179"/>
      <c r="H390" s="181"/>
      <c r="I390" s="181"/>
      <c r="J390" s="181"/>
      <c r="K390" s="179"/>
      <c r="L390" s="179"/>
      <c r="M390" s="179"/>
      <c r="N390" s="181"/>
      <c r="O390" s="179"/>
      <c r="P390" s="179"/>
      <c r="Q390" s="179"/>
      <c r="R390" s="179"/>
      <c r="S390" s="179"/>
      <c r="T390" s="179"/>
      <c r="U390" s="179"/>
      <c r="V390" s="182"/>
      <c r="W390" s="175"/>
      <c r="X390" s="176"/>
    </row>
    <row r="391" spans="1:24" ht="15.75" customHeight="1">
      <c r="A391" s="179"/>
      <c r="B391" s="180"/>
      <c r="C391" s="180"/>
      <c r="D391" s="179"/>
      <c r="E391" s="179"/>
      <c r="F391" s="179"/>
      <c r="G391" s="179"/>
      <c r="H391" s="181"/>
      <c r="I391" s="181"/>
      <c r="J391" s="181"/>
      <c r="K391" s="179"/>
      <c r="L391" s="179"/>
      <c r="M391" s="179"/>
      <c r="N391" s="181"/>
      <c r="O391" s="179"/>
      <c r="P391" s="179"/>
      <c r="Q391" s="179"/>
      <c r="R391" s="179"/>
      <c r="S391" s="179"/>
      <c r="T391" s="179"/>
      <c r="U391" s="179"/>
      <c r="V391" s="182"/>
      <c r="W391" s="175"/>
      <c r="X391" s="176"/>
    </row>
    <row r="392" spans="1:24" ht="15.75" customHeight="1">
      <c r="A392" s="179"/>
      <c r="B392" s="180"/>
      <c r="C392" s="180"/>
      <c r="D392" s="179"/>
      <c r="E392" s="179"/>
      <c r="F392" s="179"/>
      <c r="G392" s="179"/>
      <c r="H392" s="181"/>
      <c r="I392" s="181"/>
      <c r="J392" s="181"/>
      <c r="K392" s="179"/>
      <c r="L392" s="179"/>
      <c r="M392" s="179"/>
      <c r="N392" s="181"/>
      <c r="O392" s="179"/>
      <c r="P392" s="179"/>
      <c r="Q392" s="179"/>
      <c r="R392" s="179"/>
      <c r="S392" s="179"/>
      <c r="T392" s="179"/>
      <c r="U392" s="179"/>
      <c r="V392" s="182"/>
      <c r="W392" s="175"/>
      <c r="X392" s="176"/>
    </row>
    <row r="393" spans="1:24" ht="15.75" customHeight="1">
      <c r="A393" s="179"/>
      <c r="B393" s="180"/>
      <c r="C393" s="180"/>
      <c r="D393" s="179"/>
      <c r="E393" s="179"/>
      <c r="F393" s="179"/>
      <c r="G393" s="179"/>
      <c r="H393" s="181"/>
      <c r="I393" s="181"/>
      <c r="J393" s="181"/>
      <c r="K393" s="179"/>
      <c r="L393" s="179"/>
      <c r="M393" s="179"/>
      <c r="N393" s="181"/>
      <c r="O393" s="179"/>
      <c r="P393" s="179"/>
      <c r="Q393" s="179"/>
      <c r="R393" s="179"/>
      <c r="S393" s="179"/>
      <c r="T393" s="179"/>
      <c r="U393" s="179"/>
      <c r="V393" s="182"/>
      <c r="W393" s="175"/>
      <c r="X393" s="176"/>
    </row>
    <row r="394" spans="1:24" ht="15.75" customHeight="1">
      <c r="A394" s="179"/>
      <c r="B394" s="180"/>
      <c r="C394" s="180"/>
      <c r="D394" s="179"/>
      <c r="E394" s="179"/>
      <c r="F394" s="179"/>
      <c r="G394" s="179"/>
      <c r="H394" s="181"/>
      <c r="I394" s="181"/>
      <c r="J394" s="181"/>
      <c r="K394" s="179"/>
      <c r="L394" s="179"/>
      <c r="M394" s="179"/>
      <c r="N394" s="181"/>
      <c r="O394" s="179"/>
      <c r="P394" s="179"/>
      <c r="Q394" s="179"/>
      <c r="R394" s="179"/>
      <c r="S394" s="179"/>
      <c r="T394" s="179"/>
      <c r="U394" s="179"/>
      <c r="V394" s="182"/>
      <c r="W394" s="175"/>
      <c r="X394" s="176"/>
    </row>
    <row r="395" spans="1:24" ht="15.75" customHeight="1">
      <c r="A395" s="179"/>
      <c r="B395" s="180"/>
      <c r="C395" s="180"/>
      <c r="D395" s="179"/>
      <c r="E395" s="179"/>
      <c r="F395" s="179"/>
      <c r="G395" s="179"/>
      <c r="H395" s="181"/>
      <c r="I395" s="181"/>
      <c r="J395" s="181"/>
      <c r="K395" s="179"/>
      <c r="L395" s="179"/>
      <c r="M395" s="179"/>
      <c r="N395" s="181"/>
      <c r="O395" s="179"/>
      <c r="P395" s="179"/>
      <c r="Q395" s="179"/>
      <c r="R395" s="179"/>
      <c r="S395" s="179"/>
      <c r="T395" s="179"/>
      <c r="U395" s="179"/>
      <c r="V395" s="182"/>
      <c r="W395" s="175"/>
      <c r="X395" s="176"/>
    </row>
    <row r="396" spans="1:24" ht="15.75" customHeight="1">
      <c r="A396" s="179"/>
      <c r="B396" s="180"/>
      <c r="C396" s="180"/>
      <c r="D396" s="179"/>
      <c r="E396" s="179"/>
      <c r="F396" s="179"/>
      <c r="G396" s="179"/>
      <c r="H396" s="181"/>
      <c r="I396" s="181"/>
      <c r="J396" s="181"/>
      <c r="K396" s="179"/>
      <c r="L396" s="179"/>
      <c r="M396" s="179"/>
      <c r="N396" s="181"/>
      <c r="O396" s="179"/>
      <c r="P396" s="179"/>
      <c r="Q396" s="179"/>
      <c r="R396" s="179"/>
      <c r="S396" s="179"/>
      <c r="T396" s="179"/>
      <c r="U396" s="179"/>
      <c r="V396" s="182"/>
      <c r="W396" s="175"/>
      <c r="X396" s="176"/>
    </row>
    <row r="397" spans="1:24" ht="15.75" customHeight="1">
      <c r="A397" s="179"/>
      <c r="B397" s="180"/>
      <c r="C397" s="180"/>
      <c r="D397" s="179"/>
      <c r="E397" s="179"/>
      <c r="F397" s="179"/>
      <c r="G397" s="179"/>
      <c r="H397" s="181"/>
      <c r="I397" s="181"/>
      <c r="J397" s="181"/>
      <c r="K397" s="179"/>
      <c r="L397" s="179"/>
      <c r="M397" s="179"/>
      <c r="N397" s="181"/>
      <c r="O397" s="179"/>
      <c r="P397" s="179"/>
      <c r="Q397" s="179"/>
      <c r="R397" s="179"/>
      <c r="S397" s="179"/>
      <c r="T397" s="179"/>
      <c r="U397" s="179"/>
      <c r="V397" s="182"/>
      <c r="W397" s="175"/>
      <c r="X397" s="176"/>
    </row>
    <row r="398" spans="1:24" ht="15.75" customHeight="1">
      <c r="A398" s="179"/>
      <c r="B398" s="180"/>
      <c r="C398" s="180"/>
      <c r="D398" s="179"/>
      <c r="E398" s="179"/>
      <c r="F398" s="179"/>
      <c r="G398" s="179"/>
      <c r="H398" s="181"/>
      <c r="I398" s="181"/>
      <c r="J398" s="181"/>
      <c r="K398" s="179"/>
      <c r="L398" s="179"/>
      <c r="M398" s="179"/>
      <c r="N398" s="181"/>
      <c r="O398" s="179"/>
      <c r="P398" s="179"/>
      <c r="Q398" s="179"/>
      <c r="R398" s="179"/>
      <c r="S398" s="179"/>
      <c r="T398" s="179"/>
      <c r="U398" s="179"/>
      <c r="V398" s="182"/>
      <c r="W398" s="175"/>
      <c r="X398" s="176"/>
    </row>
    <row r="399" spans="1:24" ht="15.75" customHeight="1">
      <c r="A399" s="179"/>
      <c r="B399" s="180"/>
      <c r="C399" s="180"/>
      <c r="D399" s="179"/>
      <c r="E399" s="179"/>
      <c r="F399" s="179"/>
      <c r="G399" s="179"/>
      <c r="H399" s="181"/>
      <c r="I399" s="181"/>
      <c r="J399" s="181"/>
      <c r="K399" s="179"/>
      <c r="L399" s="179"/>
      <c r="M399" s="179"/>
      <c r="N399" s="181"/>
      <c r="O399" s="179"/>
      <c r="P399" s="179"/>
      <c r="Q399" s="179"/>
      <c r="R399" s="179"/>
      <c r="S399" s="179"/>
      <c r="T399" s="179"/>
      <c r="U399" s="179"/>
      <c r="V399" s="182"/>
      <c r="W399" s="175"/>
      <c r="X399" s="176"/>
    </row>
    <row r="400" spans="1:24" ht="15.75" customHeight="1">
      <c r="A400" s="179"/>
      <c r="B400" s="180"/>
      <c r="C400" s="180"/>
      <c r="D400" s="179"/>
      <c r="E400" s="179"/>
      <c r="F400" s="179"/>
      <c r="G400" s="179"/>
      <c r="H400" s="181"/>
      <c r="I400" s="181"/>
      <c r="J400" s="181"/>
      <c r="K400" s="179"/>
      <c r="L400" s="179"/>
      <c r="M400" s="179"/>
      <c r="N400" s="181"/>
      <c r="O400" s="179"/>
      <c r="P400" s="179"/>
      <c r="Q400" s="179"/>
      <c r="R400" s="179"/>
      <c r="S400" s="179"/>
      <c r="T400" s="179"/>
      <c r="U400" s="179"/>
      <c r="V400" s="182"/>
      <c r="W400" s="175"/>
      <c r="X400" s="176"/>
    </row>
    <row r="401" spans="1:24" ht="15.75" customHeight="1">
      <c r="A401" s="179"/>
      <c r="B401" s="180"/>
      <c r="C401" s="180"/>
      <c r="D401" s="179"/>
      <c r="E401" s="179"/>
      <c r="F401" s="179"/>
      <c r="G401" s="179"/>
      <c r="H401" s="181"/>
      <c r="I401" s="181"/>
      <c r="J401" s="181"/>
      <c r="K401" s="179"/>
      <c r="L401" s="179"/>
      <c r="M401" s="179"/>
      <c r="N401" s="181"/>
      <c r="O401" s="179"/>
      <c r="P401" s="179"/>
      <c r="Q401" s="179"/>
      <c r="R401" s="179"/>
      <c r="S401" s="179"/>
      <c r="T401" s="179"/>
      <c r="U401" s="179"/>
      <c r="V401" s="182"/>
      <c r="W401" s="175"/>
      <c r="X401" s="176"/>
    </row>
    <row r="402" spans="1:24" ht="15.75" customHeight="1">
      <c r="A402" s="179"/>
      <c r="B402" s="180"/>
      <c r="C402" s="180"/>
      <c r="D402" s="179"/>
      <c r="E402" s="179"/>
      <c r="F402" s="179"/>
      <c r="G402" s="179"/>
      <c r="H402" s="181"/>
      <c r="I402" s="181"/>
      <c r="J402" s="181"/>
      <c r="K402" s="179"/>
      <c r="L402" s="179"/>
      <c r="M402" s="179"/>
      <c r="N402" s="181"/>
      <c r="O402" s="179"/>
      <c r="P402" s="179"/>
      <c r="Q402" s="179"/>
      <c r="R402" s="179"/>
      <c r="S402" s="179"/>
      <c r="T402" s="179"/>
      <c r="U402" s="179"/>
      <c r="V402" s="182"/>
      <c r="W402" s="175"/>
      <c r="X402" s="176"/>
    </row>
    <row r="403" spans="1:24" ht="15.75" customHeight="1">
      <c r="A403" s="179"/>
      <c r="B403" s="180"/>
      <c r="C403" s="180"/>
      <c r="D403" s="179"/>
      <c r="E403" s="179"/>
      <c r="F403" s="179"/>
      <c r="G403" s="179"/>
      <c r="H403" s="181"/>
      <c r="I403" s="181"/>
      <c r="J403" s="181"/>
      <c r="K403" s="179"/>
      <c r="L403" s="179"/>
      <c r="M403" s="179"/>
      <c r="N403" s="181"/>
      <c r="O403" s="179"/>
      <c r="P403" s="179"/>
      <c r="Q403" s="179"/>
      <c r="R403" s="179"/>
      <c r="S403" s="179"/>
      <c r="T403" s="179"/>
      <c r="U403" s="179"/>
      <c r="V403" s="182"/>
      <c r="W403" s="175"/>
      <c r="X403" s="176"/>
    </row>
    <row r="404" spans="1:24" ht="15.75" customHeight="1">
      <c r="A404" s="179"/>
      <c r="B404" s="180"/>
      <c r="C404" s="180"/>
      <c r="D404" s="179"/>
      <c r="E404" s="179"/>
      <c r="F404" s="179"/>
      <c r="G404" s="179"/>
      <c r="H404" s="181"/>
      <c r="I404" s="181"/>
      <c r="J404" s="181"/>
      <c r="K404" s="179"/>
      <c r="L404" s="179"/>
      <c r="M404" s="179"/>
      <c r="N404" s="181"/>
      <c r="O404" s="179"/>
      <c r="P404" s="179"/>
      <c r="Q404" s="179"/>
      <c r="R404" s="179"/>
      <c r="S404" s="179"/>
      <c r="T404" s="179"/>
      <c r="U404" s="179"/>
      <c r="V404" s="182"/>
      <c r="W404" s="175"/>
      <c r="X404" s="176"/>
    </row>
    <row r="405" spans="1:24" ht="15.75" customHeight="1">
      <c r="A405" s="179"/>
      <c r="B405" s="180"/>
      <c r="C405" s="180"/>
      <c r="D405" s="179"/>
      <c r="E405" s="179"/>
      <c r="F405" s="179"/>
      <c r="G405" s="179"/>
      <c r="H405" s="181"/>
      <c r="I405" s="181"/>
      <c r="J405" s="181"/>
      <c r="K405" s="179"/>
      <c r="L405" s="179"/>
      <c r="M405" s="179"/>
      <c r="N405" s="181"/>
      <c r="O405" s="179"/>
      <c r="P405" s="179"/>
      <c r="Q405" s="179"/>
      <c r="R405" s="179"/>
      <c r="S405" s="179"/>
      <c r="T405" s="179"/>
      <c r="U405" s="179"/>
      <c r="V405" s="182"/>
      <c r="W405" s="175"/>
      <c r="X405" s="176"/>
    </row>
    <row r="406" spans="1:24" ht="15.75" customHeight="1">
      <c r="A406" s="179"/>
      <c r="B406" s="180"/>
      <c r="C406" s="180"/>
      <c r="D406" s="179"/>
      <c r="E406" s="179"/>
      <c r="F406" s="179"/>
      <c r="G406" s="179"/>
      <c r="H406" s="181"/>
      <c r="I406" s="181"/>
      <c r="J406" s="181"/>
      <c r="K406" s="179"/>
      <c r="L406" s="179"/>
      <c r="M406" s="179"/>
      <c r="N406" s="181"/>
      <c r="O406" s="179"/>
      <c r="P406" s="179"/>
      <c r="Q406" s="179"/>
      <c r="R406" s="179"/>
      <c r="S406" s="179"/>
      <c r="T406" s="179"/>
      <c r="U406" s="179"/>
      <c r="V406" s="182"/>
      <c r="W406" s="175"/>
      <c r="X406" s="176"/>
    </row>
    <row r="407" spans="1:24" ht="15.75" customHeight="1">
      <c r="A407" s="179"/>
      <c r="B407" s="180"/>
      <c r="C407" s="180"/>
      <c r="D407" s="179"/>
      <c r="E407" s="179"/>
      <c r="F407" s="179"/>
      <c r="G407" s="179"/>
      <c r="H407" s="181"/>
      <c r="I407" s="181"/>
      <c r="J407" s="181"/>
      <c r="K407" s="179"/>
      <c r="L407" s="179"/>
      <c r="M407" s="179"/>
      <c r="N407" s="181"/>
      <c r="O407" s="179"/>
      <c r="P407" s="179"/>
      <c r="Q407" s="179"/>
      <c r="R407" s="179"/>
      <c r="S407" s="179"/>
      <c r="T407" s="179"/>
      <c r="U407" s="179"/>
      <c r="V407" s="182"/>
      <c r="W407" s="175"/>
      <c r="X407" s="176"/>
    </row>
    <row r="408" spans="1:24" ht="15.75" customHeight="1">
      <c r="A408" s="179"/>
      <c r="B408" s="180"/>
      <c r="C408" s="180"/>
      <c r="D408" s="179"/>
      <c r="E408" s="179"/>
      <c r="F408" s="179"/>
      <c r="G408" s="179"/>
      <c r="H408" s="181"/>
      <c r="I408" s="181"/>
      <c r="J408" s="181"/>
      <c r="K408" s="179"/>
      <c r="L408" s="179"/>
      <c r="M408" s="179"/>
      <c r="N408" s="181"/>
      <c r="O408" s="179"/>
      <c r="P408" s="179"/>
      <c r="Q408" s="179"/>
      <c r="R408" s="179"/>
      <c r="S408" s="179"/>
      <c r="T408" s="179"/>
      <c r="U408" s="179"/>
      <c r="V408" s="182"/>
      <c r="W408" s="175"/>
      <c r="X408" s="176"/>
    </row>
    <row r="409" spans="1:24" ht="15.75" customHeight="1">
      <c r="A409" s="179"/>
      <c r="B409" s="180"/>
      <c r="C409" s="180"/>
      <c r="D409" s="179"/>
      <c r="E409" s="179"/>
      <c r="F409" s="179"/>
      <c r="G409" s="179"/>
      <c r="H409" s="181"/>
      <c r="I409" s="181"/>
      <c r="J409" s="181"/>
      <c r="K409" s="179"/>
      <c r="L409" s="179"/>
      <c r="M409" s="179"/>
      <c r="N409" s="181"/>
      <c r="O409" s="179"/>
      <c r="P409" s="179"/>
      <c r="Q409" s="179"/>
      <c r="R409" s="179"/>
      <c r="S409" s="179"/>
      <c r="T409" s="179"/>
      <c r="U409" s="179"/>
      <c r="V409" s="182"/>
      <c r="W409" s="175"/>
      <c r="X409" s="176"/>
    </row>
    <row r="410" spans="1:24" ht="15.75" customHeight="1">
      <c r="A410" s="179"/>
      <c r="B410" s="180"/>
      <c r="C410" s="180"/>
      <c r="D410" s="179"/>
      <c r="E410" s="179"/>
      <c r="F410" s="179"/>
      <c r="G410" s="179"/>
      <c r="H410" s="181"/>
      <c r="I410" s="181"/>
      <c r="J410" s="181"/>
      <c r="K410" s="179"/>
      <c r="L410" s="179"/>
      <c r="M410" s="179"/>
      <c r="N410" s="181"/>
      <c r="O410" s="179"/>
      <c r="P410" s="179"/>
      <c r="Q410" s="179"/>
      <c r="R410" s="179"/>
      <c r="S410" s="179"/>
      <c r="T410" s="179"/>
      <c r="U410" s="179"/>
      <c r="V410" s="182"/>
      <c r="W410" s="175"/>
      <c r="X410" s="176"/>
    </row>
    <row r="411" spans="1:24" ht="15.75" customHeight="1">
      <c r="A411" s="179"/>
      <c r="B411" s="180"/>
      <c r="C411" s="180"/>
      <c r="D411" s="179"/>
      <c r="E411" s="179"/>
      <c r="F411" s="179"/>
      <c r="G411" s="179"/>
      <c r="H411" s="181"/>
      <c r="I411" s="181"/>
      <c r="J411" s="181"/>
      <c r="K411" s="179"/>
      <c r="L411" s="179"/>
      <c r="M411" s="179"/>
      <c r="N411" s="181"/>
      <c r="O411" s="179"/>
      <c r="P411" s="179"/>
      <c r="Q411" s="179"/>
      <c r="R411" s="179"/>
      <c r="S411" s="179"/>
      <c r="T411" s="179"/>
      <c r="U411" s="179"/>
      <c r="V411" s="182"/>
      <c r="W411" s="175"/>
      <c r="X411" s="176"/>
    </row>
    <row r="412" spans="1:24" ht="15.75" customHeight="1">
      <c r="A412" s="179"/>
      <c r="B412" s="180"/>
      <c r="C412" s="180"/>
      <c r="D412" s="179"/>
      <c r="E412" s="179"/>
      <c r="F412" s="179"/>
      <c r="G412" s="179"/>
      <c r="H412" s="181"/>
      <c r="I412" s="181"/>
      <c r="J412" s="181"/>
      <c r="K412" s="179"/>
      <c r="L412" s="179"/>
      <c r="M412" s="179"/>
      <c r="N412" s="181"/>
      <c r="O412" s="179"/>
      <c r="P412" s="179"/>
      <c r="Q412" s="179"/>
      <c r="R412" s="179"/>
      <c r="S412" s="179"/>
      <c r="T412" s="179"/>
      <c r="U412" s="179"/>
      <c r="V412" s="182"/>
      <c r="W412" s="175"/>
      <c r="X412" s="176"/>
    </row>
    <row r="413" spans="1:24" ht="15.75" customHeight="1">
      <c r="A413" s="179"/>
      <c r="B413" s="180"/>
      <c r="C413" s="180"/>
      <c r="D413" s="179"/>
      <c r="E413" s="179"/>
      <c r="F413" s="179"/>
      <c r="G413" s="179"/>
      <c r="H413" s="181"/>
      <c r="I413" s="181"/>
      <c r="J413" s="181"/>
      <c r="K413" s="179"/>
      <c r="L413" s="179"/>
      <c r="M413" s="179"/>
      <c r="N413" s="181"/>
      <c r="O413" s="179"/>
      <c r="P413" s="179"/>
      <c r="Q413" s="179"/>
      <c r="R413" s="179"/>
      <c r="S413" s="179"/>
      <c r="T413" s="179"/>
      <c r="U413" s="179"/>
      <c r="V413" s="182"/>
      <c r="W413" s="175"/>
      <c r="X413" s="176"/>
    </row>
    <row r="414" spans="1:24" ht="15.75" customHeight="1">
      <c r="A414" s="179"/>
      <c r="B414" s="180"/>
      <c r="C414" s="180"/>
      <c r="D414" s="179"/>
      <c r="E414" s="179"/>
      <c r="F414" s="179"/>
      <c r="G414" s="179"/>
      <c r="H414" s="181"/>
      <c r="I414" s="181"/>
      <c r="J414" s="181"/>
      <c r="K414" s="179"/>
      <c r="L414" s="179"/>
      <c r="M414" s="179"/>
      <c r="N414" s="181"/>
      <c r="O414" s="179"/>
      <c r="P414" s="179"/>
      <c r="Q414" s="179"/>
      <c r="R414" s="179"/>
      <c r="S414" s="179"/>
      <c r="T414" s="179"/>
      <c r="U414" s="179"/>
      <c r="V414" s="182"/>
      <c r="W414" s="175"/>
      <c r="X414" s="176"/>
    </row>
    <row r="415" spans="1:24" ht="15.75" customHeight="1">
      <c r="A415" s="179"/>
      <c r="B415" s="180"/>
      <c r="C415" s="180"/>
      <c r="D415" s="179"/>
      <c r="E415" s="179"/>
      <c r="F415" s="179"/>
      <c r="G415" s="179"/>
      <c r="H415" s="181"/>
      <c r="I415" s="181"/>
      <c r="J415" s="181"/>
      <c r="K415" s="179"/>
      <c r="L415" s="179"/>
      <c r="M415" s="179"/>
      <c r="N415" s="181"/>
      <c r="O415" s="179"/>
      <c r="P415" s="179"/>
      <c r="Q415" s="179"/>
      <c r="R415" s="179"/>
      <c r="S415" s="179"/>
      <c r="T415" s="179"/>
      <c r="U415" s="179"/>
      <c r="V415" s="182"/>
      <c r="W415" s="175"/>
      <c r="X415" s="176"/>
    </row>
    <row r="416" spans="1:24" ht="15.75" customHeight="1">
      <c r="A416" s="179"/>
      <c r="B416" s="180"/>
      <c r="C416" s="180"/>
      <c r="D416" s="179"/>
      <c r="E416" s="179"/>
      <c r="F416" s="179"/>
      <c r="G416" s="179"/>
      <c r="H416" s="181"/>
      <c r="I416" s="181"/>
      <c r="J416" s="181"/>
      <c r="K416" s="179"/>
      <c r="L416" s="179"/>
      <c r="M416" s="179"/>
      <c r="N416" s="181"/>
      <c r="O416" s="179"/>
      <c r="P416" s="179"/>
      <c r="Q416" s="179"/>
      <c r="R416" s="179"/>
      <c r="S416" s="179"/>
      <c r="T416" s="179"/>
      <c r="U416" s="179"/>
      <c r="V416" s="182"/>
      <c r="W416" s="175"/>
      <c r="X416" s="176"/>
    </row>
    <row r="417" spans="1:24" ht="15.75" customHeight="1">
      <c r="A417" s="179"/>
      <c r="B417" s="180"/>
      <c r="C417" s="180"/>
      <c r="D417" s="179"/>
      <c r="E417" s="179"/>
      <c r="F417" s="179"/>
      <c r="G417" s="179"/>
      <c r="H417" s="181"/>
      <c r="I417" s="181"/>
      <c r="J417" s="181"/>
      <c r="K417" s="179"/>
      <c r="L417" s="179"/>
      <c r="M417" s="179"/>
      <c r="N417" s="181"/>
      <c r="O417" s="179"/>
      <c r="P417" s="179"/>
      <c r="Q417" s="179"/>
      <c r="R417" s="179"/>
      <c r="S417" s="179"/>
      <c r="T417" s="179"/>
      <c r="U417" s="179"/>
      <c r="V417" s="182"/>
      <c r="W417" s="175"/>
      <c r="X417" s="176"/>
    </row>
    <row r="418" spans="1:24" ht="15.75" customHeight="1">
      <c r="A418" s="179"/>
      <c r="B418" s="180"/>
      <c r="C418" s="180"/>
      <c r="D418" s="179"/>
      <c r="E418" s="179"/>
      <c r="F418" s="179"/>
      <c r="G418" s="179"/>
      <c r="H418" s="181"/>
      <c r="I418" s="181"/>
      <c r="J418" s="181"/>
      <c r="K418" s="179"/>
      <c r="L418" s="179"/>
      <c r="M418" s="179"/>
      <c r="N418" s="181"/>
      <c r="O418" s="179"/>
      <c r="P418" s="179"/>
      <c r="Q418" s="179"/>
      <c r="R418" s="179"/>
      <c r="S418" s="179"/>
      <c r="T418" s="179"/>
      <c r="U418" s="179"/>
      <c r="V418" s="182"/>
      <c r="W418" s="175"/>
      <c r="X418" s="176"/>
    </row>
    <row r="419" spans="1:24" ht="15.75" customHeight="1">
      <c r="A419" s="179"/>
      <c r="B419" s="180"/>
      <c r="C419" s="180"/>
      <c r="D419" s="179"/>
      <c r="E419" s="179"/>
      <c r="F419" s="179"/>
      <c r="G419" s="179"/>
      <c r="H419" s="181"/>
      <c r="I419" s="181"/>
      <c r="J419" s="181"/>
      <c r="K419" s="179"/>
      <c r="L419" s="179"/>
      <c r="M419" s="179"/>
      <c r="N419" s="181"/>
      <c r="O419" s="179"/>
      <c r="P419" s="179"/>
      <c r="Q419" s="179"/>
      <c r="R419" s="179"/>
      <c r="S419" s="179"/>
      <c r="T419" s="179"/>
      <c r="U419" s="179"/>
      <c r="V419" s="182"/>
      <c r="W419" s="175"/>
      <c r="X419" s="176"/>
    </row>
    <row r="420" spans="1:24" ht="15.75" customHeight="1">
      <c r="A420" s="179"/>
      <c r="B420" s="180"/>
      <c r="C420" s="180"/>
      <c r="D420" s="179"/>
      <c r="E420" s="179"/>
      <c r="F420" s="179"/>
      <c r="G420" s="179"/>
      <c r="H420" s="181"/>
      <c r="I420" s="181"/>
      <c r="J420" s="181"/>
      <c r="K420" s="179"/>
      <c r="L420" s="179"/>
      <c r="M420" s="179"/>
      <c r="N420" s="181"/>
      <c r="O420" s="179"/>
      <c r="P420" s="179"/>
      <c r="Q420" s="179"/>
      <c r="R420" s="179"/>
      <c r="S420" s="179"/>
      <c r="T420" s="179"/>
      <c r="U420" s="179"/>
      <c r="V420" s="182"/>
      <c r="W420" s="175"/>
      <c r="X420" s="176"/>
    </row>
    <row r="421" spans="1:24" ht="15.75" customHeight="1">
      <c r="A421" s="179"/>
      <c r="B421" s="180"/>
      <c r="C421" s="180"/>
      <c r="D421" s="179"/>
      <c r="E421" s="179"/>
      <c r="F421" s="179"/>
      <c r="G421" s="179"/>
      <c r="H421" s="181"/>
      <c r="I421" s="181"/>
      <c r="J421" s="181"/>
      <c r="K421" s="179"/>
      <c r="L421" s="179"/>
      <c r="M421" s="179"/>
      <c r="N421" s="181"/>
      <c r="O421" s="179"/>
      <c r="P421" s="179"/>
      <c r="Q421" s="179"/>
      <c r="R421" s="179"/>
      <c r="S421" s="179"/>
      <c r="T421" s="179"/>
      <c r="U421" s="179"/>
      <c r="V421" s="182"/>
      <c r="W421" s="175"/>
      <c r="X421" s="176"/>
    </row>
    <row r="422" spans="1:24" ht="15.75" customHeight="1">
      <c r="A422" s="179"/>
      <c r="B422" s="180"/>
      <c r="C422" s="180"/>
      <c r="D422" s="179"/>
      <c r="E422" s="179"/>
      <c r="F422" s="179"/>
      <c r="G422" s="179"/>
      <c r="H422" s="181"/>
      <c r="I422" s="181"/>
      <c r="J422" s="181"/>
      <c r="K422" s="179"/>
      <c r="L422" s="179"/>
      <c r="M422" s="179"/>
      <c r="N422" s="181"/>
      <c r="O422" s="179"/>
      <c r="P422" s="179"/>
      <c r="Q422" s="179"/>
      <c r="R422" s="179"/>
      <c r="S422" s="179"/>
      <c r="T422" s="179"/>
      <c r="U422" s="179"/>
      <c r="V422" s="182"/>
      <c r="W422" s="175"/>
      <c r="X422" s="176"/>
    </row>
    <row r="423" spans="1:24" ht="15.75" customHeight="1">
      <c r="A423" s="179"/>
      <c r="B423" s="180"/>
      <c r="C423" s="180"/>
      <c r="D423" s="179"/>
      <c r="E423" s="179"/>
      <c r="F423" s="179"/>
      <c r="G423" s="179"/>
      <c r="H423" s="181"/>
      <c r="I423" s="181"/>
      <c r="J423" s="181"/>
      <c r="K423" s="179"/>
      <c r="L423" s="179"/>
      <c r="M423" s="179"/>
      <c r="N423" s="181"/>
      <c r="O423" s="179"/>
      <c r="P423" s="179"/>
      <c r="Q423" s="179"/>
      <c r="R423" s="179"/>
      <c r="S423" s="179"/>
      <c r="T423" s="179"/>
      <c r="U423" s="179"/>
      <c r="V423" s="182"/>
      <c r="W423" s="175"/>
      <c r="X423" s="176"/>
    </row>
    <row r="424" spans="1:24" ht="15.75" customHeight="1">
      <c r="A424" s="179"/>
      <c r="B424" s="180"/>
      <c r="C424" s="180"/>
      <c r="D424" s="179"/>
      <c r="E424" s="179"/>
      <c r="F424" s="179"/>
      <c r="G424" s="179"/>
      <c r="H424" s="181"/>
      <c r="I424" s="181"/>
      <c r="J424" s="181"/>
      <c r="K424" s="179"/>
      <c r="L424" s="179"/>
      <c r="M424" s="179"/>
      <c r="N424" s="181"/>
      <c r="O424" s="179"/>
      <c r="P424" s="179"/>
      <c r="Q424" s="179"/>
      <c r="R424" s="179"/>
      <c r="S424" s="179"/>
      <c r="T424" s="179"/>
      <c r="U424" s="179"/>
      <c r="V424" s="182"/>
      <c r="W424" s="175"/>
      <c r="X424" s="176"/>
    </row>
    <row r="425" spans="1:24" ht="15.75" customHeight="1">
      <c r="A425" s="179"/>
      <c r="B425" s="180"/>
      <c r="C425" s="180"/>
      <c r="D425" s="179"/>
      <c r="E425" s="179"/>
      <c r="F425" s="179"/>
      <c r="G425" s="179"/>
      <c r="H425" s="181"/>
      <c r="I425" s="181"/>
      <c r="J425" s="181"/>
      <c r="K425" s="179"/>
      <c r="L425" s="179"/>
      <c r="M425" s="179"/>
      <c r="N425" s="181"/>
      <c r="O425" s="179"/>
      <c r="P425" s="179"/>
      <c r="Q425" s="179"/>
      <c r="R425" s="179"/>
      <c r="S425" s="179"/>
      <c r="T425" s="179"/>
      <c r="U425" s="179"/>
      <c r="V425" s="182"/>
      <c r="W425" s="175"/>
      <c r="X425" s="176"/>
    </row>
    <row r="426" spans="1:24" ht="15.75" customHeight="1">
      <c r="A426" s="179"/>
      <c r="B426" s="180"/>
      <c r="C426" s="180"/>
      <c r="D426" s="179"/>
      <c r="E426" s="179"/>
      <c r="F426" s="179"/>
      <c r="G426" s="179"/>
      <c r="H426" s="181"/>
      <c r="I426" s="181"/>
      <c r="J426" s="181"/>
      <c r="K426" s="179"/>
      <c r="L426" s="179"/>
      <c r="M426" s="179"/>
      <c r="N426" s="181"/>
      <c r="O426" s="179"/>
      <c r="P426" s="179"/>
      <c r="Q426" s="179"/>
      <c r="R426" s="179"/>
      <c r="S426" s="179"/>
      <c r="T426" s="179"/>
      <c r="U426" s="179"/>
      <c r="V426" s="182"/>
      <c r="W426" s="175"/>
      <c r="X426" s="176"/>
    </row>
    <row r="427" spans="1:24" ht="15.75" customHeight="1">
      <c r="A427" s="179"/>
      <c r="B427" s="180"/>
      <c r="C427" s="180"/>
      <c r="D427" s="179"/>
      <c r="E427" s="179"/>
      <c r="F427" s="179"/>
      <c r="G427" s="179"/>
      <c r="H427" s="181"/>
      <c r="I427" s="181"/>
      <c r="J427" s="181"/>
      <c r="K427" s="179"/>
      <c r="L427" s="179"/>
      <c r="M427" s="179"/>
      <c r="N427" s="181"/>
      <c r="O427" s="179"/>
      <c r="P427" s="179"/>
      <c r="Q427" s="179"/>
      <c r="R427" s="179"/>
      <c r="S427" s="179"/>
      <c r="T427" s="179"/>
      <c r="U427" s="179"/>
      <c r="V427" s="182"/>
      <c r="W427" s="175"/>
      <c r="X427" s="176"/>
    </row>
    <row r="428" spans="1:24" ht="15.75" customHeight="1">
      <c r="A428" s="179"/>
      <c r="B428" s="180"/>
      <c r="C428" s="180"/>
      <c r="D428" s="179"/>
      <c r="E428" s="179"/>
      <c r="F428" s="179"/>
      <c r="G428" s="179"/>
      <c r="H428" s="181"/>
      <c r="I428" s="181"/>
      <c r="J428" s="181"/>
      <c r="K428" s="179"/>
      <c r="L428" s="179"/>
      <c r="M428" s="179"/>
      <c r="N428" s="181"/>
      <c r="O428" s="179"/>
      <c r="P428" s="179"/>
      <c r="Q428" s="179"/>
      <c r="R428" s="179"/>
      <c r="S428" s="179"/>
      <c r="T428" s="179"/>
      <c r="U428" s="179"/>
      <c r="V428" s="182"/>
      <c r="W428" s="175"/>
      <c r="X428" s="176"/>
    </row>
    <row r="429" spans="1:24" ht="15.75" customHeight="1">
      <c r="A429" s="179"/>
      <c r="B429" s="180"/>
      <c r="C429" s="180"/>
      <c r="D429" s="179"/>
      <c r="E429" s="179"/>
      <c r="F429" s="179"/>
      <c r="G429" s="179"/>
      <c r="H429" s="181"/>
      <c r="I429" s="181"/>
      <c r="J429" s="181"/>
      <c r="K429" s="179"/>
      <c r="L429" s="179"/>
      <c r="M429" s="179"/>
      <c r="N429" s="181"/>
      <c r="O429" s="179"/>
      <c r="P429" s="179"/>
      <c r="Q429" s="179"/>
      <c r="R429" s="179"/>
      <c r="S429" s="179"/>
      <c r="T429" s="179"/>
      <c r="U429" s="179"/>
      <c r="V429" s="182"/>
      <c r="W429" s="175"/>
      <c r="X429" s="176"/>
    </row>
    <row r="430" spans="1:24" ht="15.75" customHeight="1">
      <c r="A430" s="179"/>
      <c r="B430" s="180"/>
      <c r="C430" s="180"/>
      <c r="D430" s="179"/>
      <c r="E430" s="179"/>
      <c r="F430" s="179"/>
      <c r="G430" s="179"/>
      <c r="H430" s="181"/>
      <c r="I430" s="181"/>
      <c r="J430" s="181"/>
      <c r="K430" s="179"/>
      <c r="L430" s="179"/>
      <c r="M430" s="179"/>
      <c r="N430" s="181"/>
      <c r="O430" s="179"/>
      <c r="P430" s="179"/>
      <c r="Q430" s="179"/>
      <c r="R430" s="179"/>
      <c r="S430" s="179"/>
      <c r="T430" s="179"/>
      <c r="U430" s="179"/>
      <c r="V430" s="182"/>
      <c r="W430" s="175"/>
      <c r="X430" s="176"/>
    </row>
    <row r="431" spans="1:24" ht="15.75" customHeight="1">
      <c r="A431" s="179"/>
      <c r="B431" s="180"/>
      <c r="C431" s="180"/>
      <c r="D431" s="179"/>
      <c r="E431" s="179"/>
      <c r="F431" s="179"/>
      <c r="G431" s="179"/>
      <c r="H431" s="181"/>
      <c r="I431" s="181"/>
      <c r="J431" s="181"/>
      <c r="K431" s="179"/>
      <c r="L431" s="179"/>
      <c r="M431" s="179"/>
      <c r="N431" s="181"/>
      <c r="O431" s="179"/>
      <c r="P431" s="179"/>
      <c r="Q431" s="179"/>
      <c r="R431" s="179"/>
      <c r="S431" s="179"/>
      <c r="T431" s="179"/>
      <c r="U431" s="179"/>
      <c r="V431" s="182"/>
      <c r="W431" s="175"/>
      <c r="X431" s="176"/>
    </row>
    <row r="432" spans="1:24" ht="15.75" customHeight="1">
      <c r="A432" s="179"/>
      <c r="B432" s="180"/>
      <c r="C432" s="180"/>
      <c r="D432" s="179"/>
      <c r="E432" s="179"/>
      <c r="F432" s="179"/>
      <c r="G432" s="179"/>
      <c r="H432" s="181"/>
      <c r="I432" s="181"/>
      <c r="J432" s="181"/>
      <c r="K432" s="179"/>
      <c r="L432" s="179"/>
      <c r="M432" s="179"/>
      <c r="N432" s="181"/>
      <c r="O432" s="179"/>
      <c r="P432" s="179"/>
      <c r="Q432" s="179"/>
      <c r="R432" s="179"/>
      <c r="S432" s="179"/>
      <c r="T432" s="179"/>
      <c r="U432" s="179"/>
      <c r="V432" s="182"/>
      <c r="W432" s="175"/>
      <c r="X432" s="176"/>
    </row>
    <row r="433" spans="1:24" ht="15.75" customHeight="1">
      <c r="A433" s="179"/>
      <c r="B433" s="180"/>
      <c r="C433" s="180"/>
      <c r="D433" s="179"/>
      <c r="E433" s="179"/>
      <c r="F433" s="179"/>
      <c r="G433" s="179"/>
      <c r="H433" s="181"/>
      <c r="I433" s="181"/>
      <c r="J433" s="181"/>
      <c r="K433" s="179"/>
      <c r="L433" s="179"/>
      <c r="M433" s="179"/>
      <c r="N433" s="181"/>
      <c r="O433" s="179"/>
      <c r="P433" s="179"/>
      <c r="Q433" s="179"/>
      <c r="R433" s="179"/>
      <c r="S433" s="179"/>
      <c r="T433" s="179"/>
      <c r="U433" s="179"/>
      <c r="V433" s="182"/>
      <c r="W433" s="175"/>
      <c r="X433" s="176"/>
    </row>
    <row r="434" spans="1:24" ht="15.75" customHeight="1">
      <c r="A434" s="179"/>
      <c r="B434" s="180"/>
      <c r="C434" s="180"/>
      <c r="D434" s="179"/>
      <c r="E434" s="179"/>
      <c r="F434" s="179"/>
      <c r="G434" s="179"/>
      <c r="H434" s="181"/>
      <c r="I434" s="181"/>
      <c r="J434" s="181"/>
      <c r="K434" s="179"/>
      <c r="L434" s="179"/>
      <c r="M434" s="179"/>
      <c r="N434" s="181"/>
      <c r="O434" s="179"/>
      <c r="P434" s="179"/>
      <c r="Q434" s="179"/>
      <c r="R434" s="179"/>
      <c r="S434" s="179"/>
      <c r="T434" s="179"/>
      <c r="U434" s="179"/>
      <c r="V434" s="182"/>
      <c r="W434" s="175"/>
      <c r="X434" s="176"/>
    </row>
    <row r="435" spans="1:24" ht="15.75" customHeight="1">
      <c r="A435" s="179"/>
      <c r="B435" s="180"/>
      <c r="C435" s="180"/>
      <c r="D435" s="179"/>
      <c r="E435" s="179"/>
      <c r="F435" s="179"/>
      <c r="G435" s="179"/>
      <c r="H435" s="181"/>
      <c r="I435" s="181"/>
      <c r="J435" s="181"/>
      <c r="K435" s="179"/>
      <c r="L435" s="179"/>
      <c r="M435" s="179"/>
      <c r="N435" s="181"/>
      <c r="O435" s="179"/>
      <c r="P435" s="179"/>
      <c r="Q435" s="179"/>
      <c r="R435" s="179"/>
      <c r="S435" s="179"/>
      <c r="T435" s="179"/>
      <c r="U435" s="179"/>
      <c r="V435" s="182"/>
      <c r="W435" s="175"/>
      <c r="X435" s="176"/>
    </row>
    <row r="436" spans="1:24" ht="15.75" customHeight="1">
      <c r="A436" s="179"/>
      <c r="B436" s="180"/>
      <c r="C436" s="180"/>
      <c r="D436" s="179"/>
      <c r="E436" s="179"/>
      <c r="F436" s="179"/>
      <c r="G436" s="179"/>
      <c r="H436" s="181"/>
      <c r="I436" s="181"/>
      <c r="J436" s="181"/>
      <c r="K436" s="179"/>
      <c r="L436" s="179"/>
      <c r="M436" s="179"/>
      <c r="N436" s="181"/>
      <c r="O436" s="179"/>
      <c r="P436" s="179"/>
      <c r="Q436" s="179"/>
      <c r="R436" s="179"/>
      <c r="S436" s="179"/>
      <c r="T436" s="179"/>
      <c r="U436" s="179"/>
      <c r="V436" s="182"/>
      <c r="W436" s="175"/>
      <c r="X436" s="176"/>
    </row>
    <row r="437" spans="1:24" ht="15.75" customHeight="1">
      <c r="A437" s="179"/>
      <c r="B437" s="180"/>
      <c r="C437" s="180"/>
      <c r="D437" s="179"/>
      <c r="E437" s="179"/>
      <c r="F437" s="179"/>
      <c r="G437" s="179"/>
      <c r="H437" s="181"/>
      <c r="I437" s="181"/>
      <c r="J437" s="181"/>
      <c r="K437" s="179"/>
      <c r="L437" s="179"/>
      <c r="M437" s="179"/>
      <c r="N437" s="181"/>
      <c r="O437" s="179"/>
      <c r="P437" s="179"/>
      <c r="Q437" s="179"/>
      <c r="R437" s="179"/>
      <c r="S437" s="179"/>
      <c r="T437" s="179"/>
      <c r="U437" s="179"/>
      <c r="V437" s="182"/>
      <c r="W437" s="175"/>
      <c r="X437" s="176"/>
    </row>
    <row r="438" spans="1:24" ht="15.75" customHeight="1">
      <c r="A438" s="179"/>
      <c r="B438" s="180"/>
      <c r="C438" s="180"/>
      <c r="D438" s="179"/>
      <c r="E438" s="179"/>
      <c r="F438" s="179"/>
      <c r="G438" s="179"/>
      <c r="H438" s="181"/>
      <c r="I438" s="181"/>
      <c r="J438" s="181"/>
      <c r="K438" s="179"/>
      <c r="L438" s="179"/>
      <c r="M438" s="179"/>
      <c r="N438" s="181"/>
      <c r="O438" s="179"/>
      <c r="P438" s="179"/>
      <c r="Q438" s="179"/>
      <c r="R438" s="179"/>
      <c r="S438" s="179"/>
      <c r="T438" s="179"/>
      <c r="U438" s="179"/>
      <c r="V438" s="182"/>
      <c r="W438" s="175"/>
      <c r="X438" s="176"/>
    </row>
    <row r="439" spans="1:24" ht="15.75" customHeight="1">
      <c r="A439" s="179"/>
      <c r="B439" s="180"/>
      <c r="C439" s="180"/>
      <c r="D439" s="179"/>
      <c r="E439" s="179"/>
      <c r="F439" s="179"/>
      <c r="G439" s="179"/>
      <c r="H439" s="181"/>
      <c r="I439" s="181"/>
      <c r="J439" s="181"/>
      <c r="K439" s="179"/>
      <c r="L439" s="179"/>
      <c r="M439" s="179"/>
      <c r="N439" s="181"/>
      <c r="O439" s="179"/>
      <c r="P439" s="179"/>
      <c r="Q439" s="179"/>
      <c r="R439" s="179"/>
      <c r="S439" s="179"/>
      <c r="T439" s="179"/>
      <c r="U439" s="179"/>
      <c r="V439" s="182"/>
      <c r="W439" s="175"/>
      <c r="X439" s="176"/>
    </row>
    <row r="440" spans="1:24" ht="15.75" customHeight="1">
      <c r="A440" s="179"/>
      <c r="B440" s="180"/>
      <c r="C440" s="180"/>
      <c r="D440" s="179"/>
      <c r="E440" s="179"/>
      <c r="F440" s="179"/>
      <c r="G440" s="179"/>
      <c r="H440" s="181"/>
      <c r="I440" s="181"/>
      <c r="J440" s="181"/>
      <c r="K440" s="179"/>
      <c r="L440" s="179"/>
      <c r="M440" s="179"/>
      <c r="N440" s="181"/>
      <c r="O440" s="179"/>
      <c r="P440" s="179"/>
      <c r="Q440" s="179"/>
      <c r="R440" s="179"/>
      <c r="S440" s="179"/>
      <c r="T440" s="179"/>
      <c r="U440" s="179"/>
      <c r="V440" s="182"/>
      <c r="W440" s="175"/>
      <c r="X440" s="176"/>
    </row>
    <row r="441" spans="1:24" ht="15.75" customHeight="1">
      <c r="A441" s="179"/>
      <c r="B441" s="180"/>
      <c r="C441" s="180"/>
      <c r="D441" s="179"/>
      <c r="E441" s="179"/>
      <c r="F441" s="179"/>
      <c r="G441" s="179"/>
      <c r="H441" s="181"/>
      <c r="I441" s="181"/>
      <c r="J441" s="181"/>
      <c r="K441" s="179"/>
      <c r="L441" s="179"/>
      <c r="M441" s="179"/>
      <c r="N441" s="181"/>
      <c r="O441" s="179"/>
      <c r="P441" s="179"/>
      <c r="Q441" s="179"/>
      <c r="R441" s="179"/>
      <c r="S441" s="179"/>
      <c r="T441" s="179"/>
      <c r="U441" s="179"/>
      <c r="V441" s="182"/>
      <c r="W441" s="175"/>
      <c r="X441" s="176"/>
    </row>
    <row r="442" spans="1:24" ht="15.75" customHeight="1">
      <c r="A442" s="179"/>
      <c r="B442" s="180"/>
      <c r="C442" s="180"/>
      <c r="D442" s="179"/>
      <c r="E442" s="179"/>
      <c r="F442" s="179"/>
      <c r="G442" s="179"/>
      <c r="H442" s="181"/>
      <c r="I442" s="181"/>
      <c r="J442" s="181"/>
      <c r="K442" s="179"/>
      <c r="L442" s="179"/>
      <c r="M442" s="179"/>
      <c r="N442" s="181"/>
      <c r="O442" s="179"/>
      <c r="P442" s="179"/>
      <c r="Q442" s="179"/>
      <c r="R442" s="179"/>
      <c r="S442" s="179"/>
      <c r="T442" s="179"/>
      <c r="U442" s="179"/>
      <c r="V442" s="182"/>
      <c r="W442" s="175"/>
      <c r="X442" s="176"/>
    </row>
    <row r="443" spans="1:24" ht="15.75" customHeight="1">
      <c r="A443" s="179"/>
      <c r="B443" s="180"/>
      <c r="C443" s="180"/>
      <c r="D443" s="179"/>
      <c r="E443" s="179"/>
      <c r="F443" s="179"/>
      <c r="G443" s="179"/>
      <c r="H443" s="181"/>
      <c r="I443" s="181"/>
      <c r="J443" s="181"/>
      <c r="K443" s="179"/>
      <c r="L443" s="179"/>
      <c r="M443" s="179"/>
      <c r="N443" s="181"/>
      <c r="O443" s="179"/>
      <c r="P443" s="179"/>
      <c r="Q443" s="179"/>
      <c r="R443" s="179"/>
      <c r="S443" s="179"/>
      <c r="T443" s="179"/>
      <c r="U443" s="179"/>
      <c r="V443" s="182"/>
      <c r="W443" s="175"/>
      <c r="X443" s="176"/>
    </row>
    <row r="444" spans="1:24" ht="15.75" customHeight="1">
      <c r="A444" s="179"/>
      <c r="B444" s="180"/>
      <c r="C444" s="180"/>
      <c r="D444" s="179"/>
      <c r="E444" s="179"/>
      <c r="F444" s="179"/>
      <c r="G444" s="179"/>
      <c r="H444" s="181"/>
      <c r="I444" s="181"/>
      <c r="J444" s="181"/>
      <c r="K444" s="179"/>
      <c r="L444" s="179"/>
      <c r="M444" s="179"/>
      <c r="N444" s="181"/>
      <c r="O444" s="179"/>
      <c r="P444" s="179"/>
      <c r="Q444" s="179"/>
      <c r="R444" s="179"/>
      <c r="S444" s="179"/>
      <c r="T444" s="179"/>
      <c r="U444" s="179"/>
      <c r="V444" s="182"/>
      <c r="W444" s="175"/>
      <c r="X444" s="176"/>
    </row>
    <row r="445" spans="1:24" ht="15.75" customHeight="1">
      <c r="A445" s="179"/>
      <c r="B445" s="180"/>
      <c r="C445" s="180"/>
      <c r="D445" s="179"/>
      <c r="E445" s="179"/>
      <c r="F445" s="179"/>
      <c r="G445" s="179"/>
      <c r="H445" s="181"/>
      <c r="I445" s="181"/>
      <c r="J445" s="181"/>
      <c r="K445" s="179"/>
      <c r="L445" s="179"/>
      <c r="M445" s="179"/>
      <c r="N445" s="181"/>
      <c r="O445" s="179"/>
      <c r="P445" s="179"/>
      <c r="Q445" s="179"/>
      <c r="R445" s="179"/>
      <c r="S445" s="179"/>
      <c r="T445" s="179"/>
      <c r="U445" s="179"/>
      <c r="V445" s="182"/>
      <c r="W445" s="175"/>
      <c r="X445" s="176"/>
    </row>
    <row r="446" spans="1:24" ht="15.75" customHeight="1">
      <c r="A446" s="179"/>
      <c r="B446" s="180"/>
      <c r="C446" s="180"/>
      <c r="D446" s="179"/>
      <c r="E446" s="179"/>
      <c r="F446" s="179"/>
      <c r="G446" s="179"/>
      <c r="H446" s="181"/>
      <c r="I446" s="181"/>
      <c r="J446" s="181"/>
      <c r="K446" s="179"/>
      <c r="L446" s="179"/>
      <c r="M446" s="179"/>
      <c r="N446" s="181"/>
      <c r="O446" s="179"/>
      <c r="P446" s="179"/>
      <c r="Q446" s="179"/>
      <c r="R446" s="179"/>
      <c r="S446" s="179"/>
      <c r="T446" s="179"/>
      <c r="U446" s="179"/>
      <c r="V446" s="182"/>
      <c r="W446" s="175"/>
      <c r="X446" s="176"/>
    </row>
    <row r="447" spans="1:24" ht="15.75" customHeight="1">
      <c r="A447" s="179"/>
      <c r="B447" s="180"/>
      <c r="C447" s="180"/>
      <c r="D447" s="179"/>
      <c r="E447" s="179"/>
      <c r="F447" s="179"/>
      <c r="G447" s="179"/>
      <c r="H447" s="181"/>
      <c r="I447" s="181"/>
      <c r="J447" s="181"/>
      <c r="K447" s="179"/>
      <c r="L447" s="179"/>
      <c r="M447" s="179"/>
      <c r="N447" s="181"/>
      <c r="O447" s="179"/>
      <c r="P447" s="179"/>
      <c r="Q447" s="179"/>
      <c r="R447" s="179"/>
      <c r="S447" s="179"/>
      <c r="T447" s="179"/>
      <c r="U447" s="179"/>
      <c r="V447" s="182"/>
      <c r="W447" s="175"/>
      <c r="X447" s="176"/>
    </row>
    <row r="448" spans="1:24" ht="15.75" customHeight="1">
      <c r="A448" s="179"/>
      <c r="B448" s="180"/>
      <c r="C448" s="180"/>
      <c r="D448" s="179"/>
      <c r="E448" s="179"/>
      <c r="F448" s="179"/>
      <c r="G448" s="179"/>
      <c r="H448" s="181"/>
      <c r="I448" s="181"/>
      <c r="J448" s="181"/>
      <c r="K448" s="179"/>
      <c r="L448" s="179"/>
      <c r="M448" s="179"/>
      <c r="N448" s="181"/>
      <c r="O448" s="179"/>
      <c r="P448" s="179"/>
      <c r="Q448" s="179"/>
      <c r="R448" s="179"/>
      <c r="S448" s="179"/>
      <c r="T448" s="179"/>
      <c r="U448" s="179"/>
      <c r="V448" s="182"/>
      <c r="W448" s="175"/>
      <c r="X448" s="176"/>
    </row>
    <row r="449" spans="1:24" ht="15.75" customHeight="1">
      <c r="A449" s="179"/>
      <c r="B449" s="180"/>
      <c r="C449" s="180"/>
      <c r="D449" s="179"/>
      <c r="E449" s="179"/>
      <c r="F449" s="179"/>
      <c r="G449" s="179"/>
      <c r="H449" s="181"/>
      <c r="I449" s="181"/>
      <c r="J449" s="181"/>
      <c r="K449" s="179"/>
      <c r="L449" s="179"/>
      <c r="M449" s="179"/>
      <c r="N449" s="181"/>
      <c r="O449" s="179"/>
      <c r="P449" s="179"/>
      <c r="Q449" s="179"/>
      <c r="R449" s="179"/>
      <c r="S449" s="179"/>
      <c r="T449" s="179"/>
      <c r="U449" s="179"/>
      <c r="V449" s="182"/>
      <c r="W449" s="175"/>
      <c r="X449" s="176"/>
    </row>
    <row r="450" spans="1:24" ht="15.75" customHeight="1">
      <c r="A450" s="179"/>
      <c r="B450" s="180"/>
      <c r="C450" s="180"/>
      <c r="D450" s="179"/>
      <c r="E450" s="179"/>
      <c r="F450" s="179"/>
      <c r="G450" s="179"/>
      <c r="H450" s="181"/>
      <c r="I450" s="181"/>
      <c r="J450" s="181"/>
      <c r="K450" s="179"/>
      <c r="L450" s="179"/>
      <c r="M450" s="179"/>
      <c r="N450" s="181"/>
      <c r="O450" s="179"/>
      <c r="P450" s="179"/>
      <c r="Q450" s="179"/>
      <c r="R450" s="179"/>
      <c r="S450" s="179"/>
      <c r="T450" s="179"/>
      <c r="U450" s="179"/>
      <c r="V450" s="182"/>
      <c r="W450" s="175"/>
      <c r="X450" s="176"/>
    </row>
    <row r="451" spans="1:24" ht="15.75" customHeight="1">
      <c r="A451" s="179"/>
      <c r="B451" s="180"/>
      <c r="C451" s="180"/>
      <c r="D451" s="179"/>
      <c r="E451" s="179"/>
      <c r="F451" s="179"/>
      <c r="G451" s="179"/>
      <c r="H451" s="181"/>
      <c r="I451" s="181"/>
      <c r="J451" s="181"/>
      <c r="K451" s="179"/>
      <c r="L451" s="179"/>
      <c r="M451" s="179"/>
      <c r="N451" s="181"/>
      <c r="O451" s="179"/>
      <c r="P451" s="179"/>
      <c r="Q451" s="179"/>
      <c r="R451" s="179"/>
      <c r="S451" s="179"/>
      <c r="T451" s="179"/>
      <c r="U451" s="179"/>
      <c r="V451" s="182"/>
      <c r="W451" s="175"/>
      <c r="X451" s="176"/>
    </row>
    <row r="452" spans="1:24" ht="15.75" customHeight="1">
      <c r="A452" s="179"/>
      <c r="B452" s="180"/>
      <c r="C452" s="180"/>
      <c r="D452" s="179"/>
      <c r="E452" s="179"/>
      <c r="F452" s="179"/>
      <c r="G452" s="179"/>
      <c r="H452" s="181"/>
      <c r="I452" s="181"/>
      <c r="J452" s="181"/>
      <c r="K452" s="179"/>
      <c r="L452" s="179"/>
      <c r="M452" s="179"/>
      <c r="N452" s="181"/>
      <c r="O452" s="179"/>
      <c r="P452" s="179"/>
      <c r="Q452" s="179"/>
      <c r="R452" s="179"/>
      <c r="S452" s="179"/>
      <c r="T452" s="179"/>
      <c r="U452" s="179"/>
      <c r="V452" s="182"/>
      <c r="W452" s="175"/>
      <c r="X452" s="176"/>
    </row>
    <row r="453" spans="1:24" ht="15.75" customHeight="1">
      <c r="A453" s="179"/>
      <c r="B453" s="180"/>
      <c r="C453" s="180"/>
      <c r="D453" s="179"/>
      <c r="E453" s="179"/>
      <c r="F453" s="179"/>
      <c r="G453" s="179"/>
      <c r="H453" s="181"/>
      <c r="I453" s="181"/>
      <c r="J453" s="181"/>
      <c r="K453" s="179"/>
      <c r="L453" s="179"/>
      <c r="M453" s="179"/>
      <c r="N453" s="181"/>
      <c r="O453" s="179"/>
      <c r="P453" s="179"/>
      <c r="Q453" s="179"/>
      <c r="R453" s="179"/>
      <c r="S453" s="179"/>
      <c r="T453" s="179"/>
      <c r="U453" s="179"/>
      <c r="V453" s="182"/>
      <c r="W453" s="175"/>
      <c r="X453" s="176"/>
    </row>
    <row r="454" spans="1:24" ht="15.75" customHeight="1">
      <c r="A454" s="179"/>
      <c r="B454" s="180"/>
      <c r="C454" s="180"/>
      <c r="D454" s="179"/>
      <c r="E454" s="179"/>
      <c r="F454" s="179"/>
      <c r="G454" s="179"/>
      <c r="H454" s="181"/>
      <c r="I454" s="181"/>
      <c r="J454" s="181"/>
      <c r="K454" s="179"/>
      <c r="L454" s="179"/>
      <c r="M454" s="179"/>
      <c r="N454" s="181"/>
      <c r="O454" s="179"/>
      <c r="P454" s="179"/>
      <c r="Q454" s="179"/>
      <c r="R454" s="179"/>
      <c r="S454" s="179"/>
      <c r="T454" s="179"/>
      <c r="U454" s="179"/>
      <c r="V454" s="182"/>
      <c r="W454" s="175"/>
      <c r="X454" s="176"/>
    </row>
    <row r="455" spans="1:24" ht="15.75" customHeight="1">
      <c r="A455" s="179"/>
      <c r="B455" s="180"/>
      <c r="C455" s="180"/>
      <c r="D455" s="179"/>
      <c r="E455" s="179"/>
      <c r="F455" s="179"/>
      <c r="G455" s="179"/>
      <c r="H455" s="181"/>
      <c r="I455" s="181"/>
      <c r="J455" s="181"/>
      <c r="K455" s="179"/>
      <c r="L455" s="179"/>
      <c r="M455" s="179"/>
      <c r="N455" s="181"/>
      <c r="O455" s="179"/>
      <c r="P455" s="179"/>
      <c r="Q455" s="179"/>
      <c r="R455" s="179"/>
      <c r="S455" s="179"/>
      <c r="T455" s="179"/>
      <c r="U455" s="179"/>
      <c r="V455" s="182"/>
      <c r="W455" s="175"/>
      <c r="X455" s="176"/>
    </row>
    <row r="456" spans="1:24" ht="15.75" customHeight="1">
      <c r="A456" s="179"/>
      <c r="B456" s="180"/>
      <c r="C456" s="180"/>
      <c r="D456" s="179"/>
      <c r="E456" s="179"/>
      <c r="F456" s="179"/>
      <c r="G456" s="179"/>
      <c r="H456" s="181"/>
      <c r="I456" s="181"/>
      <c r="J456" s="181"/>
      <c r="K456" s="179"/>
      <c r="L456" s="179"/>
      <c r="M456" s="179"/>
      <c r="N456" s="181"/>
      <c r="O456" s="179"/>
      <c r="P456" s="179"/>
      <c r="Q456" s="179"/>
      <c r="R456" s="179"/>
      <c r="S456" s="179"/>
      <c r="T456" s="179"/>
      <c r="U456" s="179"/>
      <c r="V456" s="182"/>
      <c r="W456" s="175"/>
      <c r="X456" s="176"/>
    </row>
    <row r="457" spans="1:24" ht="15.75" customHeight="1">
      <c r="A457" s="179"/>
      <c r="B457" s="180"/>
      <c r="C457" s="180"/>
      <c r="D457" s="179"/>
      <c r="E457" s="179"/>
      <c r="F457" s="179"/>
      <c r="G457" s="179"/>
      <c r="H457" s="181"/>
      <c r="I457" s="181"/>
      <c r="J457" s="181"/>
      <c r="K457" s="179"/>
      <c r="L457" s="179"/>
      <c r="M457" s="179"/>
      <c r="N457" s="181"/>
      <c r="O457" s="179"/>
      <c r="P457" s="179"/>
      <c r="Q457" s="179"/>
      <c r="R457" s="179"/>
      <c r="S457" s="179"/>
      <c r="T457" s="179"/>
      <c r="U457" s="179"/>
      <c r="V457" s="182"/>
      <c r="W457" s="175"/>
      <c r="X457" s="176"/>
    </row>
    <row r="458" spans="1:24" ht="15.75" customHeight="1">
      <c r="A458" s="179"/>
      <c r="B458" s="180"/>
      <c r="C458" s="180"/>
      <c r="D458" s="179"/>
      <c r="E458" s="179"/>
      <c r="F458" s="179"/>
      <c r="G458" s="179"/>
      <c r="H458" s="181"/>
      <c r="I458" s="181"/>
      <c r="J458" s="181"/>
      <c r="K458" s="179"/>
      <c r="L458" s="179"/>
      <c r="M458" s="179"/>
      <c r="N458" s="181"/>
      <c r="O458" s="179"/>
      <c r="P458" s="179"/>
      <c r="Q458" s="179"/>
      <c r="R458" s="179"/>
      <c r="S458" s="179"/>
      <c r="T458" s="179"/>
      <c r="U458" s="179"/>
      <c r="V458" s="182"/>
      <c r="W458" s="175"/>
      <c r="X458" s="176"/>
    </row>
    <row r="459" spans="1:24" ht="15.75" customHeight="1">
      <c r="A459" s="179"/>
      <c r="B459" s="180"/>
      <c r="C459" s="180"/>
      <c r="D459" s="179"/>
      <c r="E459" s="179"/>
      <c r="F459" s="179"/>
      <c r="G459" s="179"/>
      <c r="H459" s="181"/>
      <c r="I459" s="181"/>
      <c r="J459" s="181"/>
      <c r="K459" s="179"/>
      <c r="L459" s="179"/>
      <c r="M459" s="179"/>
      <c r="N459" s="181"/>
      <c r="O459" s="179"/>
      <c r="P459" s="179"/>
      <c r="Q459" s="179"/>
      <c r="R459" s="179"/>
      <c r="S459" s="179"/>
      <c r="T459" s="179"/>
      <c r="U459" s="179"/>
      <c r="V459" s="182"/>
      <c r="W459" s="175"/>
      <c r="X459" s="176"/>
    </row>
    <row r="460" spans="1:24" ht="15.75" customHeight="1">
      <c r="A460" s="179"/>
      <c r="B460" s="180"/>
      <c r="C460" s="180"/>
      <c r="D460" s="179"/>
      <c r="E460" s="179"/>
      <c r="F460" s="179"/>
      <c r="G460" s="179"/>
      <c r="H460" s="181"/>
      <c r="I460" s="181"/>
      <c r="J460" s="181"/>
      <c r="K460" s="179"/>
      <c r="L460" s="179"/>
      <c r="M460" s="179"/>
      <c r="N460" s="181"/>
      <c r="O460" s="179"/>
      <c r="P460" s="179"/>
      <c r="Q460" s="179"/>
      <c r="R460" s="179"/>
      <c r="S460" s="179"/>
      <c r="T460" s="179"/>
      <c r="U460" s="179"/>
      <c r="V460" s="182"/>
      <c r="W460" s="175"/>
      <c r="X460" s="176"/>
    </row>
    <row r="461" spans="1:24" ht="15.75" customHeight="1">
      <c r="A461" s="179"/>
      <c r="B461" s="180"/>
      <c r="C461" s="180"/>
      <c r="D461" s="179"/>
      <c r="E461" s="179"/>
      <c r="F461" s="179"/>
      <c r="G461" s="179"/>
      <c r="H461" s="181"/>
      <c r="I461" s="181"/>
      <c r="J461" s="181"/>
      <c r="K461" s="179"/>
      <c r="L461" s="179"/>
      <c r="M461" s="179"/>
      <c r="N461" s="181"/>
      <c r="O461" s="179"/>
      <c r="P461" s="179"/>
      <c r="Q461" s="179"/>
      <c r="R461" s="179"/>
      <c r="S461" s="179"/>
      <c r="T461" s="179"/>
      <c r="U461" s="179"/>
      <c r="V461" s="182"/>
      <c r="W461" s="175"/>
      <c r="X461" s="176"/>
    </row>
    <row r="462" spans="1:24" ht="15.75" customHeight="1">
      <c r="A462" s="179"/>
      <c r="B462" s="180"/>
      <c r="C462" s="180"/>
      <c r="D462" s="179"/>
      <c r="E462" s="179"/>
      <c r="F462" s="179"/>
      <c r="G462" s="179"/>
      <c r="H462" s="181"/>
      <c r="I462" s="181"/>
      <c r="J462" s="181"/>
      <c r="K462" s="179"/>
      <c r="L462" s="179"/>
      <c r="M462" s="179"/>
      <c r="N462" s="181"/>
      <c r="O462" s="179"/>
      <c r="P462" s="179"/>
      <c r="Q462" s="179"/>
      <c r="R462" s="179"/>
      <c r="S462" s="179"/>
      <c r="T462" s="179"/>
      <c r="U462" s="179"/>
      <c r="V462" s="182"/>
      <c r="W462" s="175"/>
      <c r="X462" s="176"/>
    </row>
    <row r="463" spans="1:24" ht="15.75" customHeight="1">
      <c r="A463" s="179"/>
      <c r="B463" s="180"/>
      <c r="C463" s="180"/>
      <c r="D463" s="179"/>
      <c r="E463" s="179"/>
      <c r="F463" s="179"/>
      <c r="G463" s="179"/>
      <c r="H463" s="181"/>
      <c r="I463" s="181"/>
      <c r="J463" s="181"/>
      <c r="K463" s="179"/>
      <c r="L463" s="179"/>
      <c r="M463" s="179"/>
      <c r="N463" s="181"/>
      <c r="O463" s="179"/>
      <c r="P463" s="179"/>
      <c r="Q463" s="179"/>
      <c r="R463" s="179"/>
      <c r="S463" s="179"/>
      <c r="T463" s="179"/>
      <c r="U463" s="179"/>
      <c r="V463" s="182"/>
      <c r="W463" s="175"/>
      <c r="X463" s="176"/>
    </row>
    <row r="464" spans="1:24" ht="15.75" customHeight="1">
      <c r="A464" s="179"/>
      <c r="B464" s="180"/>
      <c r="C464" s="180"/>
      <c r="D464" s="179"/>
      <c r="E464" s="179"/>
      <c r="F464" s="179"/>
      <c r="G464" s="179"/>
      <c r="H464" s="181"/>
      <c r="I464" s="181"/>
      <c r="J464" s="181"/>
      <c r="K464" s="179"/>
      <c r="L464" s="179"/>
      <c r="M464" s="179"/>
      <c r="N464" s="181"/>
      <c r="O464" s="179"/>
      <c r="P464" s="179"/>
      <c r="Q464" s="179"/>
      <c r="R464" s="179"/>
      <c r="S464" s="179"/>
      <c r="T464" s="179"/>
      <c r="U464" s="179"/>
      <c r="V464" s="182"/>
      <c r="W464" s="175"/>
      <c r="X464" s="176"/>
    </row>
    <row r="465" spans="1:24" ht="15.75" customHeight="1">
      <c r="A465" s="179"/>
      <c r="B465" s="180"/>
      <c r="C465" s="180"/>
      <c r="D465" s="179"/>
      <c r="E465" s="179"/>
      <c r="F465" s="179"/>
      <c r="G465" s="179"/>
      <c r="H465" s="181"/>
      <c r="I465" s="181"/>
      <c r="J465" s="181"/>
      <c r="K465" s="179"/>
      <c r="L465" s="179"/>
      <c r="M465" s="179"/>
      <c r="N465" s="181"/>
      <c r="O465" s="179"/>
      <c r="P465" s="179"/>
      <c r="Q465" s="179"/>
      <c r="R465" s="179"/>
      <c r="S465" s="179"/>
      <c r="T465" s="179"/>
      <c r="U465" s="179"/>
      <c r="V465" s="182"/>
      <c r="W465" s="175"/>
      <c r="X465" s="176"/>
    </row>
    <row r="466" spans="1:24" ht="15.75" customHeight="1">
      <c r="A466" s="179"/>
      <c r="B466" s="180"/>
      <c r="C466" s="180"/>
      <c r="D466" s="179"/>
      <c r="E466" s="179"/>
      <c r="F466" s="179"/>
      <c r="G466" s="179"/>
      <c r="H466" s="181"/>
      <c r="I466" s="181"/>
      <c r="J466" s="181"/>
      <c r="K466" s="179"/>
      <c r="L466" s="179"/>
      <c r="M466" s="179"/>
      <c r="N466" s="181"/>
      <c r="O466" s="179"/>
      <c r="P466" s="179"/>
      <c r="Q466" s="179"/>
      <c r="R466" s="179"/>
      <c r="S466" s="179"/>
      <c r="T466" s="179"/>
      <c r="U466" s="179"/>
      <c r="V466" s="182"/>
      <c r="W466" s="175"/>
      <c r="X466" s="176"/>
    </row>
    <row r="467" spans="1:24" ht="15.75" customHeight="1">
      <c r="A467" s="179"/>
      <c r="B467" s="180"/>
      <c r="C467" s="180"/>
      <c r="D467" s="179"/>
      <c r="E467" s="179"/>
      <c r="F467" s="179"/>
      <c r="G467" s="179"/>
      <c r="H467" s="181"/>
      <c r="I467" s="181"/>
      <c r="J467" s="181"/>
      <c r="K467" s="179"/>
      <c r="L467" s="179"/>
      <c r="M467" s="179"/>
      <c r="N467" s="181"/>
      <c r="O467" s="179"/>
      <c r="P467" s="179"/>
      <c r="Q467" s="179"/>
      <c r="R467" s="179"/>
      <c r="S467" s="179"/>
      <c r="T467" s="179"/>
      <c r="U467" s="179"/>
      <c r="V467" s="182"/>
      <c r="W467" s="175"/>
      <c r="X467" s="176"/>
    </row>
    <row r="468" spans="1:24" ht="15.75" customHeight="1">
      <c r="A468" s="179"/>
      <c r="B468" s="180"/>
      <c r="C468" s="180"/>
      <c r="D468" s="179"/>
      <c r="E468" s="179"/>
      <c r="F468" s="179"/>
      <c r="G468" s="179"/>
      <c r="H468" s="181"/>
      <c r="I468" s="181"/>
      <c r="J468" s="181"/>
      <c r="K468" s="179"/>
      <c r="L468" s="179"/>
      <c r="M468" s="179"/>
      <c r="N468" s="181"/>
      <c r="O468" s="179"/>
      <c r="P468" s="179"/>
      <c r="Q468" s="179"/>
      <c r="R468" s="179"/>
      <c r="S468" s="179"/>
      <c r="T468" s="179"/>
      <c r="U468" s="179"/>
      <c r="V468" s="182"/>
      <c r="W468" s="175"/>
      <c r="X468" s="176"/>
    </row>
    <row r="469" spans="1:24" ht="15.75" customHeight="1">
      <c r="A469" s="179"/>
      <c r="B469" s="180"/>
      <c r="C469" s="180"/>
      <c r="D469" s="179"/>
      <c r="E469" s="179"/>
      <c r="F469" s="179"/>
      <c r="G469" s="179"/>
      <c r="H469" s="181"/>
      <c r="I469" s="181"/>
      <c r="J469" s="181"/>
      <c r="K469" s="179"/>
      <c r="L469" s="179"/>
      <c r="M469" s="179"/>
      <c r="N469" s="181"/>
      <c r="O469" s="179"/>
      <c r="P469" s="179"/>
      <c r="Q469" s="179"/>
      <c r="R469" s="179"/>
      <c r="S469" s="179"/>
      <c r="T469" s="179"/>
      <c r="U469" s="179"/>
      <c r="V469" s="182"/>
      <c r="W469" s="175"/>
      <c r="X469" s="176"/>
    </row>
    <row r="470" spans="1:24" ht="15.75" customHeight="1">
      <c r="A470" s="179"/>
      <c r="B470" s="180"/>
      <c r="C470" s="180"/>
      <c r="D470" s="179"/>
      <c r="E470" s="179"/>
      <c r="F470" s="179"/>
      <c r="G470" s="179"/>
      <c r="H470" s="181"/>
      <c r="I470" s="181"/>
      <c r="J470" s="181"/>
      <c r="K470" s="179"/>
      <c r="L470" s="179"/>
      <c r="M470" s="179"/>
      <c r="N470" s="181"/>
      <c r="O470" s="179"/>
      <c r="P470" s="179"/>
      <c r="Q470" s="179"/>
      <c r="R470" s="179"/>
      <c r="S470" s="179"/>
      <c r="T470" s="179"/>
      <c r="U470" s="179"/>
      <c r="V470" s="182"/>
      <c r="W470" s="175"/>
      <c r="X470" s="176"/>
    </row>
    <row r="471" spans="1:24" ht="15.75" customHeight="1">
      <c r="A471" s="179"/>
      <c r="B471" s="180"/>
      <c r="C471" s="180"/>
      <c r="D471" s="179"/>
      <c r="E471" s="179"/>
      <c r="F471" s="179"/>
      <c r="G471" s="179"/>
      <c r="H471" s="181"/>
      <c r="I471" s="181"/>
      <c r="J471" s="181"/>
      <c r="K471" s="179"/>
      <c r="L471" s="179"/>
      <c r="M471" s="179"/>
      <c r="N471" s="181"/>
      <c r="O471" s="179"/>
      <c r="P471" s="179"/>
      <c r="Q471" s="179"/>
      <c r="R471" s="179"/>
      <c r="S471" s="179"/>
      <c r="T471" s="179"/>
      <c r="U471" s="179"/>
      <c r="V471" s="182"/>
      <c r="W471" s="175"/>
      <c r="X471" s="176"/>
    </row>
    <row r="472" spans="1:24" ht="15.75" customHeight="1">
      <c r="A472" s="179"/>
      <c r="B472" s="180"/>
      <c r="C472" s="180"/>
      <c r="D472" s="179"/>
      <c r="E472" s="179"/>
      <c r="F472" s="179"/>
      <c r="G472" s="179"/>
      <c r="H472" s="181"/>
      <c r="I472" s="181"/>
      <c r="J472" s="181"/>
      <c r="K472" s="179"/>
      <c r="L472" s="179"/>
      <c r="M472" s="179"/>
      <c r="N472" s="181"/>
      <c r="O472" s="179"/>
      <c r="P472" s="179"/>
      <c r="Q472" s="179"/>
      <c r="R472" s="179"/>
      <c r="S472" s="179"/>
      <c r="T472" s="179"/>
      <c r="U472" s="179"/>
      <c r="V472" s="182"/>
      <c r="W472" s="175"/>
      <c r="X472" s="176"/>
    </row>
    <row r="473" spans="1:24" ht="15.75" customHeight="1">
      <c r="A473" s="179"/>
      <c r="B473" s="180"/>
      <c r="C473" s="180"/>
      <c r="D473" s="179"/>
      <c r="E473" s="179"/>
      <c r="F473" s="179"/>
      <c r="G473" s="179"/>
      <c r="H473" s="181"/>
      <c r="I473" s="181"/>
      <c r="J473" s="181"/>
      <c r="K473" s="179"/>
      <c r="L473" s="179"/>
      <c r="M473" s="179"/>
      <c r="N473" s="181"/>
      <c r="O473" s="179"/>
      <c r="P473" s="179"/>
      <c r="Q473" s="179"/>
      <c r="R473" s="179"/>
      <c r="S473" s="179"/>
      <c r="T473" s="179"/>
      <c r="U473" s="179"/>
      <c r="V473" s="182"/>
      <c r="W473" s="175"/>
      <c r="X473" s="176"/>
    </row>
    <row r="474" spans="1:24" ht="15.75" customHeight="1">
      <c r="A474" s="179"/>
      <c r="B474" s="180"/>
      <c r="C474" s="180"/>
      <c r="D474" s="179"/>
      <c r="E474" s="179"/>
      <c r="F474" s="179"/>
      <c r="G474" s="179"/>
      <c r="H474" s="181"/>
      <c r="I474" s="181"/>
      <c r="J474" s="181"/>
      <c r="K474" s="179"/>
      <c r="L474" s="179"/>
      <c r="M474" s="179"/>
      <c r="N474" s="181"/>
      <c r="O474" s="179"/>
      <c r="P474" s="179"/>
      <c r="Q474" s="179"/>
      <c r="R474" s="179"/>
      <c r="S474" s="179"/>
      <c r="T474" s="179"/>
      <c r="U474" s="179"/>
      <c r="V474" s="182"/>
      <c r="W474" s="175"/>
      <c r="X474" s="176"/>
    </row>
    <row r="475" spans="1:24" ht="15.75" customHeight="1">
      <c r="A475" s="179"/>
      <c r="B475" s="180"/>
      <c r="C475" s="180"/>
      <c r="D475" s="179"/>
      <c r="E475" s="179"/>
      <c r="F475" s="179"/>
      <c r="G475" s="179"/>
      <c r="H475" s="181"/>
      <c r="I475" s="181"/>
      <c r="J475" s="181"/>
      <c r="K475" s="179"/>
      <c r="L475" s="179"/>
      <c r="M475" s="179"/>
      <c r="N475" s="181"/>
      <c r="O475" s="179"/>
      <c r="P475" s="179"/>
      <c r="Q475" s="179"/>
      <c r="R475" s="179"/>
      <c r="S475" s="179"/>
      <c r="T475" s="179"/>
      <c r="U475" s="179"/>
      <c r="V475" s="182"/>
      <c r="W475" s="175"/>
      <c r="X475" s="176"/>
    </row>
    <row r="476" spans="1:24" ht="15.75" customHeight="1">
      <c r="A476" s="179"/>
      <c r="B476" s="180"/>
      <c r="C476" s="180"/>
      <c r="D476" s="179"/>
      <c r="E476" s="179"/>
      <c r="F476" s="179"/>
      <c r="G476" s="179"/>
      <c r="H476" s="181"/>
      <c r="I476" s="181"/>
      <c r="J476" s="181"/>
      <c r="K476" s="179"/>
      <c r="L476" s="179"/>
      <c r="M476" s="179"/>
      <c r="N476" s="181"/>
      <c r="O476" s="179"/>
      <c r="P476" s="179"/>
      <c r="Q476" s="179"/>
      <c r="R476" s="179"/>
      <c r="S476" s="179"/>
      <c r="T476" s="179"/>
      <c r="U476" s="179"/>
      <c r="V476" s="182"/>
      <c r="W476" s="175"/>
      <c r="X476" s="176"/>
    </row>
    <row r="477" spans="1:24" ht="15.75" customHeight="1">
      <c r="A477" s="179"/>
      <c r="B477" s="180"/>
      <c r="C477" s="180"/>
      <c r="D477" s="179"/>
      <c r="E477" s="179"/>
      <c r="F477" s="179"/>
      <c r="G477" s="179"/>
      <c r="H477" s="181"/>
      <c r="I477" s="181"/>
      <c r="J477" s="181"/>
      <c r="K477" s="179"/>
      <c r="L477" s="179"/>
      <c r="M477" s="179"/>
      <c r="N477" s="181"/>
      <c r="O477" s="179"/>
      <c r="P477" s="179"/>
      <c r="Q477" s="179"/>
      <c r="R477" s="179"/>
      <c r="S477" s="179"/>
      <c r="T477" s="179"/>
      <c r="U477" s="179"/>
      <c r="V477" s="182"/>
      <c r="W477" s="175"/>
      <c r="X477" s="176"/>
    </row>
    <row r="478" spans="1:24" ht="15.75" customHeight="1">
      <c r="A478" s="179"/>
      <c r="B478" s="180"/>
      <c r="C478" s="180"/>
      <c r="D478" s="179"/>
      <c r="E478" s="179"/>
      <c r="F478" s="179"/>
      <c r="G478" s="179"/>
      <c r="H478" s="181"/>
      <c r="I478" s="181"/>
      <c r="J478" s="181"/>
      <c r="K478" s="179"/>
      <c r="L478" s="179"/>
      <c r="M478" s="179"/>
      <c r="N478" s="181"/>
      <c r="O478" s="179"/>
      <c r="P478" s="179"/>
      <c r="Q478" s="179"/>
      <c r="R478" s="179"/>
      <c r="S478" s="179"/>
      <c r="T478" s="179"/>
      <c r="U478" s="179"/>
      <c r="V478" s="182"/>
      <c r="W478" s="175"/>
      <c r="X478" s="176"/>
    </row>
    <row r="479" spans="1:24" ht="15.75" customHeight="1">
      <c r="A479" s="179"/>
      <c r="B479" s="180"/>
      <c r="C479" s="180"/>
      <c r="D479" s="179"/>
      <c r="E479" s="179"/>
      <c r="F479" s="179"/>
      <c r="G479" s="179"/>
      <c r="H479" s="181"/>
      <c r="I479" s="181"/>
      <c r="J479" s="181"/>
      <c r="K479" s="179"/>
      <c r="L479" s="179"/>
      <c r="M479" s="179"/>
      <c r="N479" s="181"/>
      <c r="O479" s="179"/>
      <c r="P479" s="179"/>
      <c r="Q479" s="179"/>
      <c r="R479" s="179"/>
      <c r="S479" s="179"/>
      <c r="T479" s="179"/>
      <c r="U479" s="179"/>
      <c r="V479" s="182"/>
      <c r="W479" s="175"/>
      <c r="X479" s="176"/>
    </row>
    <row r="480" spans="1:24" ht="15.75" customHeight="1">
      <c r="A480" s="179"/>
      <c r="B480" s="180"/>
      <c r="C480" s="180"/>
      <c r="D480" s="179"/>
      <c r="E480" s="179"/>
      <c r="F480" s="179"/>
      <c r="G480" s="179"/>
      <c r="H480" s="181"/>
      <c r="I480" s="181"/>
      <c r="J480" s="181"/>
      <c r="K480" s="179"/>
      <c r="L480" s="179"/>
      <c r="M480" s="179"/>
      <c r="N480" s="181"/>
      <c r="O480" s="179"/>
      <c r="P480" s="179"/>
      <c r="Q480" s="179"/>
      <c r="R480" s="179"/>
      <c r="S480" s="179"/>
      <c r="T480" s="179"/>
      <c r="U480" s="179"/>
      <c r="V480" s="182"/>
      <c r="W480" s="175"/>
      <c r="X480" s="176"/>
    </row>
    <row r="481" spans="1:24" ht="15.75" customHeight="1">
      <c r="A481" s="179"/>
      <c r="B481" s="180"/>
      <c r="C481" s="180"/>
      <c r="D481" s="179"/>
      <c r="E481" s="179"/>
      <c r="F481" s="179"/>
      <c r="G481" s="179"/>
      <c r="H481" s="181"/>
      <c r="I481" s="181"/>
      <c r="J481" s="181"/>
      <c r="K481" s="179"/>
      <c r="L481" s="179"/>
      <c r="M481" s="179"/>
      <c r="N481" s="181"/>
      <c r="O481" s="179"/>
      <c r="P481" s="179"/>
      <c r="Q481" s="179"/>
      <c r="R481" s="179"/>
      <c r="S481" s="179"/>
      <c r="T481" s="179"/>
      <c r="U481" s="179"/>
      <c r="V481" s="182"/>
      <c r="W481" s="175"/>
      <c r="X481" s="176"/>
    </row>
    <row r="482" spans="1:24" ht="15.75" customHeight="1">
      <c r="A482" s="179"/>
      <c r="B482" s="180"/>
      <c r="C482" s="180"/>
      <c r="D482" s="179"/>
      <c r="E482" s="179"/>
      <c r="F482" s="179"/>
      <c r="G482" s="179"/>
      <c r="H482" s="181"/>
      <c r="I482" s="181"/>
      <c r="J482" s="181"/>
      <c r="K482" s="179"/>
      <c r="L482" s="179"/>
      <c r="M482" s="179"/>
      <c r="N482" s="181"/>
      <c r="O482" s="179"/>
      <c r="P482" s="179"/>
      <c r="Q482" s="179"/>
      <c r="R482" s="179"/>
      <c r="S482" s="179"/>
      <c r="T482" s="179"/>
      <c r="U482" s="179"/>
      <c r="V482" s="182"/>
      <c r="W482" s="175"/>
      <c r="X482" s="176"/>
    </row>
    <row r="483" spans="1:24" ht="15.75" customHeight="1">
      <c r="A483" s="179"/>
      <c r="B483" s="180"/>
      <c r="C483" s="180"/>
      <c r="D483" s="179"/>
      <c r="E483" s="179"/>
      <c r="F483" s="179"/>
      <c r="G483" s="179"/>
      <c r="H483" s="181"/>
      <c r="I483" s="181"/>
      <c r="J483" s="181"/>
      <c r="K483" s="179"/>
      <c r="L483" s="179"/>
      <c r="M483" s="179"/>
      <c r="N483" s="181"/>
      <c r="O483" s="179"/>
      <c r="P483" s="179"/>
      <c r="Q483" s="179"/>
      <c r="R483" s="179"/>
      <c r="S483" s="179"/>
      <c r="T483" s="179"/>
      <c r="U483" s="179"/>
      <c r="V483" s="182"/>
      <c r="W483" s="175"/>
      <c r="X483" s="176"/>
    </row>
    <row r="484" spans="1:24" ht="15.75" customHeight="1">
      <c r="A484" s="179"/>
      <c r="B484" s="180"/>
      <c r="C484" s="180"/>
      <c r="D484" s="179"/>
      <c r="E484" s="179"/>
      <c r="F484" s="179"/>
      <c r="G484" s="179"/>
      <c r="H484" s="181"/>
      <c r="I484" s="181"/>
      <c r="J484" s="181"/>
      <c r="K484" s="179"/>
      <c r="L484" s="179"/>
      <c r="M484" s="179"/>
      <c r="N484" s="181"/>
      <c r="O484" s="179"/>
      <c r="P484" s="179"/>
      <c r="Q484" s="179"/>
      <c r="R484" s="179"/>
      <c r="S484" s="179"/>
      <c r="T484" s="179"/>
      <c r="U484" s="179"/>
      <c r="V484" s="182"/>
      <c r="W484" s="175"/>
      <c r="X484" s="176"/>
    </row>
    <row r="485" spans="1:24" ht="15.75" customHeight="1">
      <c r="A485" s="179"/>
      <c r="B485" s="180"/>
      <c r="C485" s="180"/>
      <c r="D485" s="179"/>
      <c r="E485" s="179"/>
      <c r="F485" s="179"/>
      <c r="G485" s="179"/>
      <c r="H485" s="181"/>
      <c r="I485" s="181"/>
      <c r="J485" s="181"/>
      <c r="K485" s="179"/>
      <c r="L485" s="179"/>
      <c r="M485" s="179"/>
      <c r="N485" s="181"/>
      <c r="O485" s="179"/>
      <c r="P485" s="179"/>
      <c r="Q485" s="179"/>
      <c r="R485" s="179"/>
      <c r="S485" s="179"/>
      <c r="T485" s="179"/>
      <c r="U485" s="179"/>
      <c r="V485" s="182"/>
      <c r="W485" s="175"/>
      <c r="X485" s="176"/>
    </row>
    <row r="486" spans="1:24" ht="15.75" customHeight="1">
      <c r="A486" s="179"/>
      <c r="B486" s="180"/>
      <c r="C486" s="180"/>
      <c r="D486" s="179"/>
      <c r="E486" s="179"/>
      <c r="F486" s="179"/>
      <c r="G486" s="179"/>
      <c r="H486" s="181"/>
      <c r="I486" s="181"/>
      <c r="J486" s="181"/>
      <c r="K486" s="179"/>
      <c r="L486" s="179"/>
      <c r="M486" s="179"/>
      <c r="N486" s="181"/>
      <c r="O486" s="179"/>
      <c r="P486" s="179"/>
      <c r="Q486" s="179"/>
      <c r="R486" s="179"/>
      <c r="S486" s="179"/>
      <c r="T486" s="179"/>
      <c r="U486" s="179"/>
      <c r="V486" s="182"/>
      <c r="W486" s="175"/>
      <c r="X486" s="176"/>
    </row>
    <row r="487" spans="1:24" ht="15.75" customHeight="1">
      <c r="A487" s="179"/>
      <c r="B487" s="180"/>
      <c r="C487" s="180"/>
      <c r="D487" s="179"/>
      <c r="E487" s="179"/>
      <c r="F487" s="179"/>
      <c r="G487" s="179"/>
      <c r="H487" s="181"/>
      <c r="I487" s="181"/>
      <c r="J487" s="181"/>
      <c r="K487" s="179"/>
      <c r="L487" s="179"/>
      <c r="M487" s="179"/>
      <c r="N487" s="181"/>
      <c r="O487" s="179"/>
      <c r="P487" s="179"/>
      <c r="Q487" s="179"/>
      <c r="R487" s="179"/>
      <c r="S487" s="179"/>
      <c r="T487" s="179"/>
      <c r="U487" s="179"/>
      <c r="V487" s="182"/>
      <c r="W487" s="175"/>
      <c r="X487" s="176"/>
    </row>
    <row r="488" spans="1:24" ht="15.75" customHeight="1">
      <c r="A488" s="179"/>
      <c r="B488" s="180"/>
      <c r="C488" s="180"/>
      <c r="D488" s="179"/>
      <c r="E488" s="179"/>
      <c r="F488" s="179"/>
      <c r="G488" s="179"/>
      <c r="H488" s="181"/>
      <c r="I488" s="181"/>
      <c r="J488" s="181"/>
      <c r="K488" s="179"/>
      <c r="L488" s="179"/>
      <c r="M488" s="179"/>
      <c r="N488" s="181"/>
      <c r="O488" s="179"/>
      <c r="P488" s="179"/>
      <c r="Q488" s="179"/>
      <c r="R488" s="179"/>
      <c r="S488" s="179"/>
      <c r="T488" s="179"/>
      <c r="U488" s="179"/>
      <c r="V488" s="182"/>
      <c r="W488" s="175"/>
      <c r="X488" s="176"/>
    </row>
    <row r="489" spans="1:24" ht="15.75" customHeight="1">
      <c r="A489" s="179"/>
      <c r="B489" s="180"/>
      <c r="C489" s="180"/>
      <c r="D489" s="179"/>
      <c r="E489" s="179"/>
      <c r="F489" s="179"/>
      <c r="G489" s="179"/>
      <c r="H489" s="181"/>
      <c r="I489" s="181"/>
      <c r="J489" s="181"/>
      <c r="K489" s="179"/>
      <c r="L489" s="179"/>
      <c r="M489" s="179"/>
      <c r="N489" s="181"/>
      <c r="O489" s="179"/>
      <c r="P489" s="179"/>
      <c r="Q489" s="179"/>
      <c r="R489" s="179"/>
      <c r="S489" s="179"/>
      <c r="T489" s="179"/>
      <c r="U489" s="179"/>
      <c r="V489" s="182"/>
      <c r="W489" s="175"/>
      <c r="X489" s="176"/>
    </row>
    <row r="490" spans="1:24" ht="15.75" customHeight="1">
      <c r="A490" s="179"/>
      <c r="B490" s="180"/>
      <c r="C490" s="180"/>
      <c r="D490" s="179"/>
      <c r="E490" s="179"/>
      <c r="F490" s="179"/>
      <c r="G490" s="179"/>
      <c r="H490" s="181"/>
      <c r="I490" s="181"/>
      <c r="J490" s="181"/>
      <c r="K490" s="179"/>
      <c r="L490" s="179"/>
      <c r="M490" s="179"/>
      <c r="N490" s="181"/>
      <c r="O490" s="179"/>
      <c r="P490" s="179"/>
      <c r="Q490" s="179"/>
      <c r="R490" s="179"/>
      <c r="S490" s="179"/>
      <c r="T490" s="179"/>
      <c r="U490" s="179"/>
      <c r="V490" s="182"/>
      <c r="W490" s="175"/>
      <c r="X490" s="176"/>
    </row>
    <row r="491" spans="1:24" ht="15.75" customHeight="1">
      <c r="A491" s="179"/>
      <c r="B491" s="180"/>
      <c r="C491" s="180"/>
      <c r="D491" s="179"/>
      <c r="E491" s="179"/>
      <c r="F491" s="179"/>
      <c r="G491" s="179"/>
      <c r="H491" s="181"/>
      <c r="I491" s="181"/>
      <c r="J491" s="181"/>
      <c r="K491" s="179"/>
      <c r="L491" s="179"/>
      <c r="M491" s="179"/>
      <c r="N491" s="181"/>
      <c r="O491" s="179"/>
      <c r="P491" s="179"/>
      <c r="Q491" s="179"/>
      <c r="R491" s="179"/>
      <c r="S491" s="179"/>
      <c r="T491" s="179"/>
      <c r="U491" s="179"/>
      <c r="V491" s="182"/>
      <c r="W491" s="175"/>
      <c r="X491" s="176"/>
    </row>
    <row r="492" spans="1:24" ht="15.75" customHeight="1">
      <c r="A492" s="179"/>
      <c r="B492" s="180"/>
      <c r="C492" s="180"/>
      <c r="D492" s="179"/>
      <c r="E492" s="179"/>
      <c r="F492" s="179"/>
      <c r="G492" s="179"/>
      <c r="H492" s="181"/>
      <c r="I492" s="181"/>
      <c r="J492" s="181"/>
      <c r="K492" s="179"/>
      <c r="L492" s="179"/>
      <c r="M492" s="179"/>
      <c r="N492" s="181"/>
      <c r="O492" s="179"/>
      <c r="P492" s="179"/>
      <c r="Q492" s="179"/>
      <c r="R492" s="179"/>
      <c r="S492" s="179"/>
      <c r="T492" s="179"/>
      <c r="U492" s="179"/>
      <c r="V492" s="182"/>
      <c r="W492" s="175"/>
      <c r="X492" s="176"/>
    </row>
    <row r="493" spans="1:24" ht="15.75" customHeight="1">
      <c r="A493" s="179"/>
      <c r="B493" s="180"/>
      <c r="C493" s="180"/>
      <c r="D493" s="179"/>
      <c r="E493" s="179"/>
      <c r="F493" s="179"/>
      <c r="G493" s="179"/>
      <c r="H493" s="181"/>
      <c r="I493" s="181"/>
      <c r="J493" s="181"/>
      <c r="K493" s="179"/>
      <c r="L493" s="179"/>
      <c r="M493" s="179"/>
      <c r="N493" s="181"/>
      <c r="O493" s="179"/>
      <c r="P493" s="179"/>
      <c r="Q493" s="179"/>
      <c r="R493" s="179"/>
      <c r="S493" s="179"/>
      <c r="T493" s="179"/>
      <c r="U493" s="179"/>
      <c r="V493" s="182"/>
      <c r="W493" s="175"/>
      <c r="X493" s="176"/>
    </row>
    <row r="494" spans="1:24" ht="15.75" customHeight="1">
      <c r="A494" s="179"/>
      <c r="B494" s="180"/>
      <c r="C494" s="180"/>
      <c r="D494" s="179"/>
      <c r="E494" s="179"/>
      <c r="F494" s="179"/>
      <c r="G494" s="179"/>
      <c r="H494" s="181"/>
      <c r="I494" s="181"/>
      <c r="J494" s="181"/>
      <c r="K494" s="179"/>
      <c r="L494" s="179"/>
      <c r="M494" s="179"/>
      <c r="N494" s="181"/>
      <c r="O494" s="179"/>
      <c r="P494" s="179"/>
      <c r="Q494" s="179"/>
      <c r="R494" s="179"/>
      <c r="S494" s="179"/>
      <c r="T494" s="179"/>
      <c r="U494" s="179"/>
      <c r="V494" s="182"/>
      <c r="W494" s="175"/>
      <c r="X494" s="176"/>
    </row>
    <row r="495" spans="1:24" ht="15.75" customHeight="1">
      <c r="A495" s="179"/>
      <c r="B495" s="180"/>
      <c r="C495" s="180"/>
      <c r="D495" s="179"/>
      <c r="E495" s="179"/>
      <c r="F495" s="179"/>
      <c r="G495" s="179"/>
      <c r="H495" s="181"/>
      <c r="I495" s="181"/>
      <c r="J495" s="181"/>
      <c r="K495" s="179"/>
      <c r="L495" s="179"/>
      <c r="M495" s="179"/>
      <c r="N495" s="181"/>
      <c r="O495" s="179"/>
      <c r="P495" s="179"/>
      <c r="Q495" s="179"/>
      <c r="R495" s="179"/>
      <c r="S495" s="179"/>
      <c r="T495" s="179"/>
      <c r="U495" s="179"/>
      <c r="V495" s="182"/>
      <c r="W495" s="175"/>
      <c r="X495" s="176"/>
    </row>
    <row r="496" spans="1:24" ht="15.75" customHeight="1">
      <c r="A496" s="179"/>
      <c r="B496" s="180"/>
      <c r="C496" s="180"/>
      <c r="D496" s="179"/>
      <c r="E496" s="179"/>
      <c r="F496" s="179"/>
      <c r="G496" s="179"/>
      <c r="H496" s="181"/>
      <c r="I496" s="181"/>
      <c r="J496" s="181"/>
      <c r="K496" s="179"/>
      <c r="L496" s="179"/>
      <c r="M496" s="179"/>
      <c r="N496" s="181"/>
      <c r="O496" s="179"/>
      <c r="P496" s="179"/>
      <c r="Q496" s="179"/>
      <c r="R496" s="179"/>
      <c r="S496" s="179"/>
      <c r="T496" s="179"/>
      <c r="U496" s="179"/>
      <c r="V496" s="182"/>
      <c r="W496" s="175"/>
      <c r="X496" s="176"/>
    </row>
    <row r="497" spans="1:24" ht="15.75" customHeight="1">
      <c r="A497" s="179"/>
      <c r="B497" s="180"/>
      <c r="C497" s="180"/>
      <c r="D497" s="179"/>
      <c r="E497" s="179"/>
      <c r="F497" s="179"/>
      <c r="G497" s="179"/>
      <c r="H497" s="181"/>
      <c r="I497" s="181"/>
      <c r="J497" s="181"/>
      <c r="K497" s="179"/>
      <c r="L497" s="179"/>
      <c r="M497" s="179"/>
      <c r="N497" s="181"/>
      <c r="O497" s="179"/>
      <c r="P497" s="179"/>
      <c r="Q497" s="179"/>
      <c r="R497" s="179"/>
      <c r="S497" s="179"/>
      <c r="T497" s="179"/>
      <c r="U497" s="179"/>
      <c r="V497" s="182"/>
      <c r="W497" s="175"/>
      <c r="X497" s="176"/>
    </row>
    <row r="498" spans="1:24" ht="15.75" customHeight="1">
      <c r="A498" s="179"/>
      <c r="B498" s="180"/>
      <c r="C498" s="180"/>
      <c r="D498" s="179"/>
      <c r="E498" s="179"/>
      <c r="F498" s="179"/>
      <c r="G498" s="179"/>
      <c r="H498" s="181"/>
      <c r="I498" s="181"/>
      <c r="J498" s="181"/>
      <c r="K498" s="179"/>
      <c r="L498" s="179"/>
      <c r="M498" s="179"/>
      <c r="N498" s="181"/>
      <c r="O498" s="179"/>
      <c r="P498" s="179"/>
      <c r="Q498" s="179"/>
      <c r="R498" s="179"/>
      <c r="S498" s="179"/>
      <c r="T498" s="179"/>
      <c r="U498" s="179"/>
      <c r="V498" s="182"/>
      <c r="W498" s="175"/>
      <c r="X498" s="176"/>
    </row>
    <row r="499" spans="1:24" ht="15.75" customHeight="1">
      <c r="A499" s="179"/>
      <c r="B499" s="180"/>
      <c r="C499" s="180"/>
      <c r="D499" s="179"/>
      <c r="E499" s="179"/>
      <c r="F499" s="179"/>
      <c r="G499" s="179"/>
      <c r="H499" s="181"/>
      <c r="I499" s="181"/>
      <c r="J499" s="181"/>
      <c r="K499" s="179"/>
      <c r="L499" s="179"/>
      <c r="M499" s="179"/>
      <c r="N499" s="181"/>
      <c r="O499" s="179"/>
      <c r="P499" s="179"/>
      <c r="Q499" s="179"/>
      <c r="R499" s="179"/>
      <c r="S499" s="179"/>
      <c r="T499" s="179"/>
      <c r="U499" s="179"/>
      <c r="V499" s="182"/>
      <c r="W499" s="175"/>
      <c r="X499" s="176"/>
    </row>
    <row r="500" spans="1:24" ht="15.75" customHeight="1">
      <c r="A500" s="179"/>
      <c r="B500" s="180"/>
      <c r="C500" s="180"/>
      <c r="D500" s="179"/>
      <c r="E500" s="179"/>
      <c r="F500" s="179"/>
      <c r="G500" s="179"/>
      <c r="H500" s="181"/>
      <c r="I500" s="181"/>
      <c r="J500" s="181"/>
      <c r="K500" s="179"/>
      <c r="L500" s="179"/>
      <c r="M500" s="179"/>
      <c r="N500" s="181"/>
      <c r="O500" s="179"/>
      <c r="P500" s="179"/>
      <c r="Q500" s="179"/>
      <c r="R500" s="179"/>
      <c r="S500" s="179"/>
      <c r="T500" s="179"/>
      <c r="U500" s="179"/>
      <c r="V500" s="182"/>
      <c r="W500" s="175"/>
      <c r="X500" s="176"/>
    </row>
    <row r="501" spans="1:24" ht="15.75" customHeight="1">
      <c r="A501" s="179"/>
      <c r="B501" s="180"/>
      <c r="C501" s="180"/>
      <c r="D501" s="179"/>
      <c r="E501" s="179"/>
      <c r="F501" s="179"/>
      <c r="G501" s="179"/>
      <c r="H501" s="181"/>
      <c r="I501" s="181"/>
      <c r="J501" s="181"/>
      <c r="K501" s="179"/>
      <c r="L501" s="179"/>
      <c r="M501" s="179"/>
      <c r="N501" s="181"/>
      <c r="O501" s="179"/>
      <c r="P501" s="179"/>
      <c r="Q501" s="179"/>
      <c r="R501" s="179"/>
      <c r="S501" s="179"/>
      <c r="T501" s="179"/>
      <c r="U501" s="179"/>
      <c r="V501" s="182"/>
      <c r="W501" s="175"/>
      <c r="X501" s="176"/>
    </row>
    <row r="502" spans="1:24" ht="15.75" customHeight="1">
      <c r="A502" s="179"/>
      <c r="B502" s="180"/>
      <c r="C502" s="180"/>
      <c r="D502" s="179"/>
      <c r="E502" s="179"/>
      <c r="F502" s="179"/>
      <c r="G502" s="179"/>
      <c r="H502" s="181"/>
      <c r="I502" s="181"/>
      <c r="J502" s="181"/>
      <c r="K502" s="179"/>
      <c r="L502" s="179"/>
      <c r="M502" s="179"/>
      <c r="N502" s="181"/>
      <c r="O502" s="179"/>
      <c r="P502" s="179"/>
      <c r="Q502" s="179"/>
      <c r="R502" s="179"/>
      <c r="S502" s="179"/>
      <c r="T502" s="179"/>
      <c r="U502" s="179"/>
      <c r="V502" s="182"/>
      <c r="W502" s="175"/>
      <c r="X502" s="176"/>
    </row>
    <row r="503" spans="1:24" ht="15.75" customHeight="1">
      <c r="A503" s="179"/>
      <c r="B503" s="180"/>
      <c r="C503" s="180"/>
      <c r="D503" s="179"/>
      <c r="E503" s="179"/>
      <c r="F503" s="179"/>
      <c r="G503" s="179"/>
      <c r="H503" s="181"/>
      <c r="I503" s="181"/>
      <c r="J503" s="181"/>
      <c r="K503" s="179"/>
      <c r="L503" s="179"/>
      <c r="M503" s="179"/>
      <c r="N503" s="181"/>
      <c r="O503" s="179"/>
      <c r="P503" s="179"/>
      <c r="Q503" s="179"/>
      <c r="R503" s="179"/>
      <c r="S503" s="179"/>
      <c r="T503" s="179"/>
      <c r="U503" s="179"/>
      <c r="V503" s="182"/>
      <c r="W503" s="175"/>
      <c r="X503" s="176"/>
    </row>
    <row r="504" spans="1:24" ht="15.75" customHeight="1">
      <c r="A504" s="179"/>
      <c r="B504" s="180"/>
      <c r="C504" s="180"/>
      <c r="D504" s="179"/>
      <c r="E504" s="179"/>
      <c r="F504" s="179"/>
      <c r="G504" s="179"/>
      <c r="H504" s="181"/>
      <c r="I504" s="181"/>
      <c r="J504" s="181"/>
      <c r="K504" s="179"/>
      <c r="L504" s="179"/>
      <c r="M504" s="179"/>
      <c r="N504" s="181"/>
      <c r="O504" s="179"/>
      <c r="P504" s="179"/>
      <c r="Q504" s="179"/>
      <c r="R504" s="179"/>
      <c r="S504" s="179"/>
      <c r="T504" s="179"/>
      <c r="U504" s="179"/>
      <c r="V504" s="182"/>
      <c r="W504" s="175"/>
      <c r="X504" s="176"/>
    </row>
    <row r="505" spans="1:24" ht="15.75" customHeight="1">
      <c r="A505" s="179"/>
      <c r="B505" s="180"/>
      <c r="C505" s="180"/>
      <c r="D505" s="179"/>
      <c r="E505" s="179"/>
      <c r="F505" s="179"/>
      <c r="G505" s="179"/>
      <c r="H505" s="181"/>
      <c r="I505" s="181"/>
      <c r="J505" s="181"/>
      <c r="K505" s="179"/>
      <c r="L505" s="179"/>
      <c r="M505" s="179"/>
      <c r="N505" s="181"/>
      <c r="O505" s="179"/>
      <c r="P505" s="179"/>
      <c r="Q505" s="179"/>
      <c r="R505" s="179"/>
      <c r="S505" s="179"/>
      <c r="T505" s="179"/>
      <c r="U505" s="179"/>
      <c r="V505" s="182"/>
      <c r="W505" s="175"/>
      <c r="X505" s="176"/>
    </row>
    <row r="506" spans="1:24" ht="15.75" customHeight="1">
      <c r="A506" s="179"/>
      <c r="B506" s="180"/>
      <c r="C506" s="180"/>
      <c r="D506" s="179"/>
      <c r="E506" s="179"/>
      <c r="F506" s="179"/>
      <c r="G506" s="179"/>
      <c r="H506" s="181"/>
      <c r="I506" s="181"/>
      <c r="J506" s="181"/>
      <c r="K506" s="179"/>
      <c r="L506" s="179"/>
      <c r="M506" s="179"/>
      <c r="N506" s="181"/>
      <c r="O506" s="179"/>
      <c r="P506" s="179"/>
      <c r="Q506" s="179"/>
      <c r="R506" s="179"/>
      <c r="S506" s="179"/>
      <c r="T506" s="179"/>
      <c r="U506" s="179"/>
      <c r="V506" s="182"/>
      <c r="W506" s="175"/>
      <c r="X506" s="176"/>
    </row>
    <row r="507" spans="1:24" ht="15.75" customHeight="1">
      <c r="A507" s="179"/>
      <c r="B507" s="180"/>
      <c r="C507" s="180"/>
      <c r="D507" s="179"/>
      <c r="E507" s="179"/>
      <c r="F507" s="179"/>
      <c r="G507" s="179"/>
      <c r="H507" s="181"/>
      <c r="I507" s="181"/>
      <c r="J507" s="181"/>
      <c r="K507" s="179"/>
      <c r="L507" s="179"/>
      <c r="M507" s="179"/>
      <c r="N507" s="181"/>
      <c r="O507" s="179"/>
      <c r="P507" s="179"/>
      <c r="Q507" s="179"/>
      <c r="R507" s="179"/>
      <c r="S507" s="179"/>
      <c r="T507" s="179"/>
      <c r="U507" s="179"/>
      <c r="V507" s="182"/>
      <c r="W507" s="175"/>
      <c r="X507" s="176"/>
    </row>
    <row r="508" spans="1:24" ht="15.75" customHeight="1">
      <c r="A508" s="179"/>
      <c r="B508" s="180"/>
      <c r="C508" s="180"/>
      <c r="D508" s="179"/>
      <c r="E508" s="179"/>
      <c r="F508" s="179"/>
      <c r="G508" s="179"/>
      <c r="H508" s="181"/>
      <c r="I508" s="181"/>
      <c r="J508" s="181"/>
      <c r="K508" s="179"/>
      <c r="L508" s="179"/>
      <c r="M508" s="179"/>
      <c r="N508" s="181"/>
      <c r="O508" s="179"/>
      <c r="P508" s="179"/>
      <c r="Q508" s="179"/>
      <c r="R508" s="179"/>
      <c r="S508" s="179"/>
      <c r="T508" s="179"/>
      <c r="U508" s="179"/>
      <c r="V508" s="182"/>
      <c r="W508" s="175"/>
      <c r="X508" s="176"/>
    </row>
    <row r="509" spans="1:24" ht="15.75" customHeight="1">
      <c r="A509" s="179"/>
      <c r="B509" s="180"/>
      <c r="C509" s="180"/>
      <c r="D509" s="179"/>
      <c r="E509" s="179"/>
      <c r="F509" s="179"/>
      <c r="G509" s="179"/>
      <c r="H509" s="181"/>
      <c r="I509" s="181"/>
      <c r="J509" s="181"/>
      <c r="K509" s="179"/>
      <c r="L509" s="179"/>
      <c r="M509" s="179"/>
      <c r="N509" s="181"/>
      <c r="O509" s="179"/>
      <c r="P509" s="179"/>
      <c r="Q509" s="179"/>
      <c r="R509" s="179"/>
      <c r="S509" s="179"/>
      <c r="T509" s="179"/>
      <c r="U509" s="179"/>
      <c r="V509" s="182"/>
      <c r="W509" s="175"/>
      <c r="X509" s="176"/>
    </row>
    <row r="510" spans="1:24" ht="15.75" customHeight="1">
      <c r="A510" s="179"/>
      <c r="B510" s="180"/>
      <c r="C510" s="180"/>
      <c r="D510" s="179"/>
      <c r="E510" s="179"/>
      <c r="F510" s="179"/>
      <c r="G510" s="179"/>
      <c r="H510" s="181"/>
      <c r="I510" s="181"/>
      <c r="J510" s="181"/>
      <c r="K510" s="179"/>
      <c r="L510" s="179"/>
      <c r="M510" s="179"/>
      <c r="N510" s="181"/>
      <c r="O510" s="179"/>
      <c r="P510" s="179"/>
      <c r="Q510" s="179"/>
      <c r="R510" s="179"/>
      <c r="S510" s="179"/>
      <c r="T510" s="179"/>
      <c r="U510" s="179"/>
      <c r="V510" s="182"/>
      <c r="W510" s="175"/>
      <c r="X510" s="176"/>
    </row>
    <row r="511" spans="1:24" ht="15.75" customHeight="1">
      <c r="A511" s="179"/>
      <c r="B511" s="180"/>
      <c r="C511" s="180"/>
      <c r="D511" s="179"/>
      <c r="E511" s="179"/>
      <c r="F511" s="179"/>
      <c r="G511" s="179"/>
      <c r="H511" s="181"/>
      <c r="I511" s="181"/>
      <c r="J511" s="181"/>
      <c r="K511" s="179"/>
      <c r="L511" s="179"/>
      <c r="M511" s="179"/>
      <c r="N511" s="181"/>
      <c r="O511" s="179"/>
      <c r="P511" s="179"/>
      <c r="Q511" s="179"/>
      <c r="R511" s="179"/>
      <c r="S511" s="179"/>
      <c r="T511" s="179"/>
      <c r="U511" s="179"/>
      <c r="V511" s="182"/>
      <c r="W511" s="175"/>
      <c r="X511" s="176"/>
    </row>
    <row r="512" spans="1:24" ht="15.75" customHeight="1">
      <c r="A512" s="179"/>
      <c r="B512" s="180"/>
      <c r="C512" s="180"/>
      <c r="D512" s="179"/>
      <c r="E512" s="179"/>
      <c r="F512" s="179"/>
      <c r="G512" s="179"/>
      <c r="H512" s="181"/>
      <c r="I512" s="181"/>
      <c r="J512" s="181"/>
      <c r="K512" s="179"/>
      <c r="L512" s="179"/>
      <c r="M512" s="179"/>
      <c r="N512" s="181"/>
      <c r="O512" s="179"/>
      <c r="P512" s="179"/>
      <c r="Q512" s="179"/>
      <c r="R512" s="179"/>
      <c r="S512" s="179"/>
      <c r="T512" s="179"/>
      <c r="U512" s="179"/>
      <c r="V512" s="182"/>
      <c r="W512" s="175"/>
      <c r="X512" s="176"/>
    </row>
    <row r="513" spans="1:24" ht="15.75" customHeight="1">
      <c r="A513" s="179"/>
      <c r="B513" s="180"/>
      <c r="C513" s="180"/>
      <c r="D513" s="179"/>
      <c r="E513" s="179"/>
      <c r="F513" s="179"/>
      <c r="G513" s="179"/>
      <c r="H513" s="181"/>
      <c r="I513" s="181"/>
      <c r="J513" s="181"/>
      <c r="K513" s="179"/>
      <c r="L513" s="179"/>
      <c r="M513" s="179"/>
      <c r="N513" s="181"/>
      <c r="O513" s="179"/>
      <c r="P513" s="179"/>
      <c r="Q513" s="179"/>
      <c r="R513" s="179"/>
      <c r="S513" s="179"/>
      <c r="T513" s="179"/>
      <c r="U513" s="179"/>
      <c r="V513" s="182"/>
      <c r="W513" s="175"/>
      <c r="X513" s="176"/>
    </row>
    <row r="514" spans="1:24" ht="15.75" customHeight="1">
      <c r="A514" s="179"/>
      <c r="B514" s="180"/>
      <c r="C514" s="180"/>
      <c r="D514" s="179"/>
      <c r="E514" s="179"/>
      <c r="F514" s="179"/>
      <c r="G514" s="179"/>
      <c r="H514" s="181"/>
      <c r="I514" s="181"/>
      <c r="J514" s="181"/>
      <c r="K514" s="179"/>
      <c r="L514" s="179"/>
      <c r="M514" s="179"/>
      <c r="N514" s="181"/>
      <c r="O514" s="179"/>
      <c r="P514" s="179"/>
      <c r="Q514" s="179"/>
      <c r="R514" s="179"/>
      <c r="S514" s="179"/>
      <c r="T514" s="179"/>
      <c r="U514" s="179"/>
      <c r="V514" s="182"/>
      <c r="W514" s="175"/>
      <c r="X514" s="176"/>
    </row>
    <row r="515" spans="1:24" ht="15.75" customHeight="1">
      <c r="A515" s="179"/>
      <c r="B515" s="180"/>
      <c r="C515" s="180"/>
      <c r="D515" s="179"/>
      <c r="E515" s="179"/>
      <c r="F515" s="179"/>
      <c r="G515" s="179"/>
      <c r="H515" s="181"/>
      <c r="I515" s="181"/>
      <c r="J515" s="181"/>
      <c r="K515" s="179"/>
      <c r="L515" s="179"/>
      <c r="M515" s="179"/>
      <c r="N515" s="181"/>
      <c r="O515" s="179"/>
      <c r="P515" s="179"/>
      <c r="Q515" s="179"/>
      <c r="R515" s="179"/>
      <c r="S515" s="179"/>
      <c r="T515" s="179"/>
      <c r="U515" s="179"/>
      <c r="V515" s="182"/>
      <c r="W515" s="175"/>
      <c r="X515" s="176"/>
    </row>
    <row r="516" spans="1:24" ht="15.75" customHeight="1">
      <c r="A516" s="179"/>
      <c r="B516" s="180"/>
      <c r="C516" s="180"/>
      <c r="D516" s="179"/>
      <c r="E516" s="179"/>
      <c r="F516" s="179"/>
      <c r="G516" s="179"/>
      <c r="H516" s="181"/>
      <c r="I516" s="181"/>
      <c r="J516" s="181"/>
      <c r="K516" s="179"/>
      <c r="L516" s="179"/>
      <c r="M516" s="179"/>
      <c r="N516" s="181"/>
      <c r="O516" s="179"/>
      <c r="P516" s="179"/>
      <c r="Q516" s="179"/>
      <c r="R516" s="179"/>
      <c r="S516" s="179"/>
      <c r="T516" s="179"/>
      <c r="U516" s="179"/>
      <c r="V516" s="182"/>
      <c r="W516" s="175"/>
      <c r="X516" s="176"/>
    </row>
    <row r="517" spans="1:24" ht="15.75" customHeight="1">
      <c r="A517" s="179"/>
      <c r="B517" s="180"/>
      <c r="C517" s="180"/>
      <c r="D517" s="179"/>
      <c r="E517" s="179"/>
      <c r="F517" s="179"/>
      <c r="G517" s="179"/>
      <c r="H517" s="181"/>
      <c r="I517" s="181"/>
      <c r="J517" s="181"/>
      <c r="K517" s="179"/>
      <c r="L517" s="179"/>
      <c r="M517" s="179"/>
      <c r="N517" s="181"/>
      <c r="O517" s="179"/>
      <c r="P517" s="179"/>
      <c r="Q517" s="179"/>
      <c r="R517" s="179"/>
      <c r="S517" s="179"/>
      <c r="T517" s="179"/>
      <c r="U517" s="179"/>
      <c r="V517" s="182"/>
      <c r="W517" s="175"/>
      <c r="X517" s="176"/>
    </row>
    <row r="518" spans="1:24" ht="15.75" customHeight="1">
      <c r="A518" s="179"/>
      <c r="B518" s="180"/>
      <c r="C518" s="180"/>
      <c r="D518" s="179"/>
      <c r="E518" s="179"/>
      <c r="F518" s="179"/>
      <c r="G518" s="179"/>
      <c r="H518" s="181"/>
      <c r="I518" s="181"/>
      <c r="J518" s="181"/>
      <c r="K518" s="179"/>
      <c r="L518" s="179"/>
      <c r="M518" s="179"/>
      <c r="N518" s="181"/>
      <c r="O518" s="179"/>
      <c r="P518" s="179"/>
      <c r="Q518" s="179"/>
      <c r="R518" s="179"/>
      <c r="S518" s="179"/>
      <c r="T518" s="179"/>
      <c r="U518" s="179"/>
      <c r="V518" s="182"/>
      <c r="W518" s="175"/>
      <c r="X518" s="176"/>
    </row>
    <row r="519" spans="1:24" ht="15.75" customHeight="1">
      <c r="A519" s="179"/>
      <c r="B519" s="180"/>
      <c r="C519" s="180"/>
      <c r="D519" s="179"/>
      <c r="E519" s="179"/>
      <c r="F519" s="179"/>
      <c r="G519" s="179"/>
      <c r="H519" s="181"/>
      <c r="I519" s="181"/>
      <c r="J519" s="181"/>
      <c r="K519" s="179"/>
      <c r="L519" s="179"/>
      <c r="M519" s="179"/>
      <c r="N519" s="181"/>
      <c r="O519" s="179"/>
      <c r="P519" s="179"/>
      <c r="Q519" s="179"/>
      <c r="R519" s="179"/>
      <c r="S519" s="179"/>
      <c r="T519" s="179"/>
      <c r="U519" s="179"/>
      <c r="V519" s="182"/>
      <c r="W519" s="175"/>
      <c r="X519" s="176"/>
    </row>
    <row r="520" spans="1:24" ht="15.75" customHeight="1">
      <c r="A520" s="179"/>
      <c r="B520" s="180"/>
      <c r="C520" s="180"/>
      <c r="D520" s="179"/>
      <c r="E520" s="179"/>
      <c r="F520" s="179"/>
      <c r="G520" s="179"/>
      <c r="H520" s="181"/>
      <c r="I520" s="181"/>
      <c r="J520" s="181"/>
      <c r="K520" s="179"/>
      <c r="L520" s="179"/>
      <c r="M520" s="179"/>
      <c r="N520" s="181"/>
      <c r="O520" s="179"/>
      <c r="P520" s="179"/>
      <c r="Q520" s="179"/>
      <c r="R520" s="179"/>
      <c r="S520" s="179"/>
      <c r="T520" s="179"/>
      <c r="U520" s="179"/>
      <c r="V520" s="182"/>
      <c r="W520" s="175"/>
      <c r="X520" s="176"/>
    </row>
    <row r="521" spans="1:24" ht="15.75" customHeight="1">
      <c r="A521" s="179"/>
      <c r="B521" s="180"/>
      <c r="C521" s="180"/>
      <c r="D521" s="179"/>
      <c r="E521" s="179"/>
      <c r="F521" s="179"/>
      <c r="G521" s="179"/>
      <c r="H521" s="181"/>
      <c r="I521" s="181"/>
      <c r="J521" s="181"/>
      <c r="K521" s="179"/>
      <c r="L521" s="179"/>
      <c r="M521" s="179"/>
      <c r="N521" s="181"/>
      <c r="O521" s="179"/>
      <c r="P521" s="179"/>
      <c r="Q521" s="179"/>
      <c r="R521" s="179"/>
      <c r="S521" s="179"/>
      <c r="T521" s="179"/>
      <c r="U521" s="179"/>
      <c r="V521" s="182"/>
      <c r="W521" s="175"/>
      <c r="X521" s="176"/>
    </row>
    <row r="522" spans="1:24" ht="15.75" customHeight="1">
      <c r="A522" s="179"/>
      <c r="B522" s="180"/>
      <c r="C522" s="180"/>
      <c r="D522" s="179"/>
      <c r="E522" s="179"/>
      <c r="F522" s="179"/>
      <c r="G522" s="179"/>
      <c r="H522" s="181"/>
      <c r="I522" s="181"/>
      <c r="J522" s="181"/>
      <c r="K522" s="179"/>
      <c r="L522" s="179"/>
      <c r="M522" s="179"/>
      <c r="N522" s="181"/>
      <c r="O522" s="179"/>
      <c r="P522" s="179"/>
      <c r="Q522" s="179"/>
      <c r="R522" s="179"/>
      <c r="S522" s="179"/>
      <c r="T522" s="179"/>
      <c r="U522" s="179"/>
      <c r="V522" s="182"/>
      <c r="W522" s="175"/>
      <c r="X522" s="176"/>
    </row>
    <row r="523" spans="1:24" ht="15.75" customHeight="1">
      <c r="A523" s="179"/>
      <c r="B523" s="180"/>
      <c r="C523" s="180"/>
      <c r="D523" s="179"/>
      <c r="E523" s="179"/>
      <c r="F523" s="179"/>
      <c r="G523" s="179"/>
      <c r="H523" s="181"/>
      <c r="I523" s="181"/>
      <c r="J523" s="181"/>
      <c r="K523" s="179"/>
      <c r="L523" s="179"/>
      <c r="M523" s="179"/>
      <c r="N523" s="181"/>
      <c r="O523" s="179"/>
      <c r="P523" s="179"/>
      <c r="Q523" s="179"/>
      <c r="R523" s="179"/>
      <c r="S523" s="179"/>
      <c r="T523" s="179"/>
      <c r="U523" s="179"/>
      <c r="V523" s="182"/>
      <c r="W523" s="175"/>
      <c r="X523" s="176"/>
    </row>
    <row r="524" spans="1:24" ht="15.75" customHeight="1">
      <c r="A524" s="179"/>
      <c r="B524" s="180"/>
      <c r="C524" s="180"/>
      <c r="D524" s="179"/>
      <c r="E524" s="179"/>
      <c r="F524" s="179"/>
      <c r="G524" s="179"/>
      <c r="H524" s="181"/>
      <c r="I524" s="181"/>
      <c r="J524" s="181"/>
      <c r="K524" s="179"/>
      <c r="L524" s="179"/>
      <c r="M524" s="179"/>
      <c r="N524" s="181"/>
      <c r="O524" s="179"/>
      <c r="P524" s="179"/>
      <c r="Q524" s="179"/>
      <c r="R524" s="179"/>
      <c r="S524" s="179"/>
      <c r="T524" s="179"/>
      <c r="U524" s="179"/>
      <c r="V524" s="182"/>
      <c r="W524" s="175"/>
      <c r="X524" s="176"/>
    </row>
    <row r="525" spans="1:24" ht="15.75" customHeight="1">
      <c r="A525" s="179"/>
      <c r="B525" s="180"/>
      <c r="C525" s="180"/>
      <c r="D525" s="179"/>
      <c r="E525" s="179"/>
      <c r="F525" s="179"/>
      <c r="G525" s="179"/>
      <c r="H525" s="181"/>
      <c r="I525" s="181"/>
      <c r="J525" s="181"/>
      <c r="K525" s="179"/>
      <c r="L525" s="179"/>
      <c r="M525" s="179"/>
      <c r="N525" s="181"/>
      <c r="O525" s="179"/>
      <c r="P525" s="179"/>
      <c r="Q525" s="179"/>
      <c r="R525" s="179"/>
      <c r="S525" s="179"/>
      <c r="T525" s="179"/>
      <c r="U525" s="179"/>
      <c r="V525" s="182"/>
      <c r="W525" s="175"/>
      <c r="X525" s="176"/>
    </row>
    <row r="526" spans="1:24" ht="15.75" customHeight="1">
      <c r="A526" s="179"/>
      <c r="B526" s="180"/>
      <c r="C526" s="180"/>
      <c r="D526" s="179"/>
      <c r="E526" s="179"/>
      <c r="F526" s="179"/>
      <c r="G526" s="179"/>
      <c r="H526" s="181"/>
      <c r="I526" s="181"/>
      <c r="J526" s="181"/>
      <c r="K526" s="179"/>
      <c r="L526" s="179"/>
      <c r="M526" s="179"/>
      <c r="N526" s="181"/>
      <c r="O526" s="179"/>
      <c r="P526" s="179"/>
      <c r="Q526" s="179"/>
      <c r="R526" s="179"/>
      <c r="S526" s="179"/>
      <c r="T526" s="179"/>
      <c r="U526" s="179"/>
      <c r="V526" s="182"/>
      <c r="W526" s="175"/>
      <c r="X526" s="176"/>
    </row>
    <row r="527" spans="1:24" ht="15.75" customHeight="1">
      <c r="A527" s="179"/>
      <c r="B527" s="180"/>
      <c r="C527" s="180"/>
      <c r="D527" s="179"/>
      <c r="E527" s="179"/>
      <c r="F527" s="179"/>
      <c r="G527" s="179"/>
      <c r="H527" s="181"/>
      <c r="I527" s="181"/>
      <c r="J527" s="181"/>
      <c r="K527" s="179"/>
      <c r="L527" s="179"/>
      <c r="M527" s="179"/>
      <c r="N527" s="181"/>
      <c r="O527" s="179"/>
      <c r="P527" s="179"/>
      <c r="Q527" s="179"/>
      <c r="R527" s="179"/>
      <c r="S527" s="179"/>
      <c r="T527" s="179"/>
      <c r="U527" s="179"/>
      <c r="V527" s="182"/>
      <c r="W527" s="175"/>
      <c r="X527" s="176"/>
    </row>
    <row r="528" spans="1:24" ht="15.75" customHeight="1">
      <c r="A528" s="179"/>
      <c r="B528" s="180"/>
      <c r="C528" s="180"/>
      <c r="D528" s="179"/>
      <c r="E528" s="179"/>
      <c r="F528" s="179"/>
      <c r="G528" s="179"/>
      <c r="H528" s="181"/>
      <c r="I528" s="181"/>
      <c r="J528" s="181"/>
      <c r="K528" s="179"/>
      <c r="L528" s="179"/>
      <c r="M528" s="179"/>
      <c r="N528" s="181"/>
      <c r="O528" s="179"/>
      <c r="P528" s="179"/>
      <c r="Q528" s="179"/>
      <c r="R528" s="179"/>
      <c r="S528" s="179"/>
      <c r="T528" s="179"/>
      <c r="U528" s="179"/>
      <c r="V528" s="182"/>
      <c r="W528" s="175"/>
      <c r="X528" s="176"/>
    </row>
    <row r="529" spans="1:24" ht="15.75" customHeight="1">
      <c r="A529" s="179"/>
      <c r="B529" s="180"/>
      <c r="C529" s="180"/>
      <c r="D529" s="179"/>
      <c r="E529" s="179"/>
      <c r="F529" s="179"/>
      <c r="G529" s="179"/>
      <c r="H529" s="181"/>
      <c r="I529" s="181"/>
      <c r="J529" s="181"/>
      <c r="K529" s="179"/>
      <c r="L529" s="179"/>
      <c r="M529" s="179"/>
      <c r="N529" s="181"/>
      <c r="O529" s="179"/>
      <c r="P529" s="179"/>
      <c r="Q529" s="179"/>
      <c r="R529" s="179"/>
      <c r="S529" s="179"/>
      <c r="T529" s="179"/>
      <c r="U529" s="179"/>
      <c r="V529" s="182"/>
      <c r="W529" s="175"/>
      <c r="X529" s="176"/>
    </row>
    <row r="530" spans="1:24" ht="15.75" customHeight="1">
      <c r="A530" s="179"/>
      <c r="B530" s="180"/>
      <c r="C530" s="180"/>
      <c r="D530" s="179"/>
      <c r="E530" s="179"/>
      <c r="F530" s="179"/>
      <c r="G530" s="179"/>
      <c r="H530" s="181"/>
      <c r="I530" s="181"/>
      <c r="J530" s="181"/>
      <c r="K530" s="179"/>
      <c r="L530" s="179"/>
      <c r="M530" s="179"/>
      <c r="N530" s="181"/>
      <c r="O530" s="179"/>
      <c r="P530" s="179"/>
      <c r="Q530" s="179"/>
      <c r="R530" s="179"/>
      <c r="S530" s="179"/>
      <c r="T530" s="179"/>
      <c r="U530" s="179"/>
      <c r="V530" s="182"/>
      <c r="W530" s="175"/>
      <c r="X530" s="176"/>
    </row>
    <row r="531" spans="1:24" ht="15.75" customHeight="1">
      <c r="A531" s="179"/>
      <c r="B531" s="180"/>
      <c r="C531" s="180"/>
      <c r="D531" s="179"/>
      <c r="E531" s="179"/>
      <c r="F531" s="179"/>
      <c r="G531" s="179"/>
      <c r="H531" s="181"/>
      <c r="I531" s="181"/>
      <c r="J531" s="181"/>
      <c r="K531" s="179"/>
      <c r="L531" s="179"/>
      <c r="M531" s="179"/>
      <c r="N531" s="181"/>
      <c r="O531" s="179"/>
      <c r="P531" s="179"/>
      <c r="Q531" s="179"/>
      <c r="R531" s="179"/>
      <c r="S531" s="179"/>
      <c r="T531" s="179"/>
      <c r="U531" s="179"/>
      <c r="V531" s="182"/>
      <c r="W531" s="175"/>
      <c r="X531" s="176"/>
    </row>
    <row r="532" spans="1:24" ht="15.75" customHeight="1">
      <c r="A532" s="179"/>
      <c r="B532" s="180"/>
      <c r="C532" s="180"/>
      <c r="D532" s="179"/>
      <c r="E532" s="179"/>
      <c r="F532" s="179"/>
      <c r="G532" s="179"/>
      <c r="H532" s="181"/>
      <c r="I532" s="181"/>
      <c r="J532" s="181"/>
      <c r="K532" s="179"/>
      <c r="L532" s="179"/>
      <c r="M532" s="179"/>
      <c r="N532" s="181"/>
      <c r="O532" s="179"/>
      <c r="P532" s="179"/>
      <c r="Q532" s="179"/>
      <c r="R532" s="179"/>
      <c r="S532" s="179"/>
      <c r="T532" s="179"/>
      <c r="U532" s="179"/>
      <c r="V532" s="182"/>
      <c r="W532" s="175"/>
      <c r="X532" s="176"/>
    </row>
    <row r="533" spans="1:24" ht="15.75" customHeight="1">
      <c r="A533" s="179"/>
      <c r="B533" s="180"/>
      <c r="C533" s="180"/>
      <c r="D533" s="179"/>
      <c r="E533" s="179"/>
      <c r="F533" s="179"/>
      <c r="G533" s="179"/>
      <c r="H533" s="181"/>
      <c r="I533" s="181"/>
      <c r="J533" s="181"/>
      <c r="K533" s="179"/>
      <c r="L533" s="179"/>
      <c r="M533" s="179"/>
      <c r="N533" s="181"/>
      <c r="O533" s="179"/>
      <c r="P533" s="179"/>
      <c r="Q533" s="179"/>
      <c r="R533" s="179"/>
      <c r="S533" s="179"/>
      <c r="T533" s="179"/>
      <c r="U533" s="179"/>
      <c r="V533" s="182"/>
      <c r="W533" s="175"/>
      <c r="X533" s="176"/>
    </row>
    <row r="534" spans="1:24" ht="15.75" customHeight="1">
      <c r="A534" s="179"/>
      <c r="B534" s="180"/>
      <c r="C534" s="180"/>
      <c r="D534" s="179"/>
      <c r="E534" s="179"/>
      <c r="F534" s="179"/>
      <c r="G534" s="179"/>
      <c r="H534" s="181"/>
      <c r="I534" s="181"/>
      <c r="J534" s="181"/>
      <c r="K534" s="179"/>
      <c r="L534" s="179"/>
      <c r="M534" s="179"/>
      <c r="N534" s="181"/>
      <c r="O534" s="179"/>
      <c r="P534" s="179"/>
      <c r="Q534" s="179"/>
      <c r="R534" s="179"/>
      <c r="S534" s="179"/>
      <c r="T534" s="179"/>
      <c r="U534" s="179"/>
      <c r="V534" s="182"/>
      <c r="W534" s="175"/>
      <c r="X534" s="176"/>
    </row>
    <row r="535" spans="1:24" ht="15.75" customHeight="1">
      <c r="A535" s="179"/>
      <c r="B535" s="180"/>
      <c r="C535" s="180"/>
      <c r="D535" s="179"/>
      <c r="E535" s="179"/>
      <c r="F535" s="179"/>
      <c r="G535" s="179"/>
      <c r="H535" s="181"/>
      <c r="I535" s="181"/>
      <c r="J535" s="181"/>
      <c r="K535" s="179"/>
      <c r="L535" s="179"/>
      <c r="M535" s="179"/>
      <c r="N535" s="181"/>
      <c r="O535" s="179"/>
      <c r="P535" s="179"/>
      <c r="Q535" s="179"/>
      <c r="R535" s="179"/>
      <c r="S535" s="179"/>
      <c r="T535" s="179"/>
      <c r="U535" s="179"/>
      <c r="V535" s="182"/>
      <c r="W535" s="175"/>
      <c r="X535" s="176"/>
    </row>
    <row r="536" spans="1:24" ht="15.75" customHeight="1">
      <c r="A536" s="179"/>
      <c r="B536" s="180"/>
      <c r="C536" s="180"/>
      <c r="D536" s="179"/>
      <c r="E536" s="179"/>
      <c r="F536" s="179"/>
      <c r="G536" s="179"/>
      <c r="H536" s="181"/>
      <c r="I536" s="181"/>
      <c r="J536" s="181"/>
      <c r="K536" s="179"/>
      <c r="L536" s="179"/>
      <c r="M536" s="179"/>
      <c r="N536" s="181"/>
      <c r="O536" s="179"/>
      <c r="P536" s="179"/>
      <c r="Q536" s="179"/>
      <c r="R536" s="179"/>
      <c r="S536" s="179"/>
      <c r="T536" s="179"/>
      <c r="U536" s="179"/>
      <c r="V536" s="182"/>
      <c r="W536" s="175"/>
      <c r="X536" s="176"/>
    </row>
    <row r="537" spans="1:24" ht="15.75" customHeight="1">
      <c r="A537" s="179"/>
      <c r="B537" s="180"/>
      <c r="C537" s="180"/>
      <c r="D537" s="179"/>
      <c r="E537" s="179"/>
      <c r="F537" s="179"/>
      <c r="G537" s="179"/>
      <c r="H537" s="181"/>
      <c r="I537" s="181"/>
      <c r="J537" s="181"/>
      <c r="K537" s="179"/>
      <c r="L537" s="179"/>
      <c r="M537" s="179"/>
      <c r="N537" s="181"/>
      <c r="O537" s="179"/>
      <c r="P537" s="179"/>
      <c r="Q537" s="179"/>
      <c r="R537" s="179"/>
      <c r="S537" s="179"/>
      <c r="T537" s="179"/>
      <c r="U537" s="179"/>
      <c r="V537" s="182"/>
      <c r="W537" s="175"/>
      <c r="X537" s="176"/>
    </row>
    <row r="538" spans="1:24" ht="15.75" customHeight="1">
      <c r="A538" s="179"/>
      <c r="B538" s="180"/>
      <c r="C538" s="180"/>
      <c r="D538" s="179"/>
      <c r="E538" s="179"/>
      <c r="F538" s="179"/>
      <c r="G538" s="179"/>
      <c r="H538" s="181"/>
      <c r="I538" s="181"/>
      <c r="J538" s="181"/>
      <c r="K538" s="179"/>
      <c r="L538" s="179"/>
      <c r="M538" s="179"/>
      <c r="N538" s="181"/>
      <c r="O538" s="179"/>
      <c r="P538" s="179"/>
      <c r="Q538" s="179"/>
      <c r="R538" s="179"/>
      <c r="S538" s="179"/>
      <c r="T538" s="179"/>
      <c r="U538" s="179"/>
      <c r="V538" s="182"/>
      <c r="W538" s="175"/>
      <c r="X538" s="176"/>
    </row>
    <row r="539" spans="1:24" ht="15.75" customHeight="1">
      <c r="A539" s="179"/>
      <c r="B539" s="180"/>
      <c r="C539" s="180"/>
      <c r="D539" s="179"/>
      <c r="E539" s="179"/>
      <c r="F539" s="179"/>
      <c r="G539" s="179"/>
      <c r="H539" s="181"/>
      <c r="I539" s="181"/>
      <c r="J539" s="181"/>
      <c r="K539" s="179"/>
      <c r="L539" s="179"/>
      <c r="M539" s="179"/>
      <c r="N539" s="181"/>
      <c r="O539" s="179"/>
      <c r="P539" s="179"/>
      <c r="Q539" s="179"/>
      <c r="R539" s="179"/>
      <c r="S539" s="179"/>
      <c r="T539" s="179"/>
      <c r="U539" s="179"/>
      <c r="V539" s="182"/>
      <c r="W539" s="175"/>
      <c r="X539" s="176"/>
    </row>
    <row r="540" spans="1:24" ht="15.75" customHeight="1">
      <c r="A540" s="179"/>
      <c r="B540" s="180"/>
      <c r="C540" s="180"/>
      <c r="D540" s="179"/>
      <c r="E540" s="179"/>
      <c r="F540" s="179"/>
      <c r="G540" s="179"/>
      <c r="H540" s="181"/>
      <c r="I540" s="181"/>
      <c r="J540" s="181"/>
      <c r="K540" s="179"/>
      <c r="L540" s="179"/>
      <c r="M540" s="179"/>
      <c r="N540" s="181"/>
      <c r="O540" s="179"/>
      <c r="P540" s="179"/>
      <c r="Q540" s="179"/>
      <c r="R540" s="179"/>
      <c r="S540" s="179"/>
      <c r="T540" s="179"/>
      <c r="U540" s="179"/>
      <c r="V540" s="182"/>
      <c r="W540" s="175"/>
      <c r="X540" s="176"/>
    </row>
    <row r="541" spans="1:24" ht="15.75" customHeight="1">
      <c r="A541" s="179"/>
      <c r="B541" s="180"/>
      <c r="C541" s="180"/>
      <c r="D541" s="179"/>
      <c r="E541" s="179"/>
      <c r="F541" s="179"/>
      <c r="G541" s="179"/>
      <c r="H541" s="181"/>
      <c r="I541" s="181"/>
      <c r="J541" s="181"/>
      <c r="K541" s="179"/>
      <c r="L541" s="179"/>
      <c r="M541" s="179"/>
      <c r="N541" s="181"/>
      <c r="O541" s="179"/>
      <c r="P541" s="179"/>
      <c r="Q541" s="179"/>
      <c r="R541" s="179"/>
      <c r="S541" s="179"/>
      <c r="T541" s="179"/>
      <c r="U541" s="179"/>
      <c r="V541" s="182"/>
      <c r="W541" s="175"/>
      <c r="X541" s="176"/>
    </row>
    <row r="542" spans="1:24" ht="15.75" customHeight="1">
      <c r="A542" s="179"/>
      <c r="B542" s="180"/>
      <c r="C542" s="180"/>
      <c r="D542" s="179"/>
      <c r="E542" s="179"/>
      <c r="F542" s="179"/>
      <c r="G542" s="179"/>
      <c r="H542" s="181"/>
      <c r="I542" s="181"/>
      <c r="J542" s="181"/>
      <c r="K542" s="179"/>
      <c r="L542" s="179"/>
      <c r="M542" s="179"/>
      <c r="N542" s="181"/>
      <c r="O542" s="179"/>
      <c r="P542" s="179"/>
      <c r="Q542" s="179"/>
      <c r="R542" s="179"/>
      <c r="S542" s="179"/>
      <c r="T542" s="179"/>
      <c r="U542" s="179"/>
      <c r="V542" s="182"/>
      <c r="W542" s="175"/>
      <c r="X542" s="176"/>
    </row>
    <row r="543" spans="1:24" ht="15.75" customHeight="1">
      <c r="A543" s="179"/>
      <c r="B543" s="180"/>
      <c r="C543" s="180"/>
      <c r="D543" s="179"/>
      <c r="E543" s="179"/>
      <c r="F543" s="179"/>
      <c r="G543" s="179"/>
      <c r="H543" s="181"/>
      <c r="I543" s="181"/>
      <c r="J543" s="181"/>
      <c r="K543" s="179"/>
      <c r="L543" s="179"/>
      <c r="M543" s="179"/>
      <c r="N543" s="181"/>
      <c r="O543" s="179"/>
      <c r="P543" s="179"/>
      <c r="Q543" s="179"/>
      <c r="R543" s="179"/>
      <c r="S543" s="179"/>
      <c r="T543" s="179"/>
      <c r="U543" s="179"/>
      <c r="V543" s="182"/>
      <c r="W543" s="175"/>
      <c r="X543" s="176"/>
    </row>
    <row r="544" spans="1:24" ht="15.75" customHeight="1">
      <c r="A544" s="179"/>
      <c r="B544" s="180"/>
      <c r="C544" s="180"/>
      <c r="D544" s="179"/>
      <c r="E544" s="179"/>
      <c r="F544" s="179"/>
      <c r="G544" s="179"/>
      <c r="H544" s="181"/>
      <c r="I544" s="181"/>
      <c r="J544" s="181"/>
      <c r="K544" s="179"/>
      <c r="L544" s="179"/>
      <c r="M544" s="179"/>
      <c r="N544" s="181"/>
      <c r="O544" s="179"/>
      <c r="P544" s="179"/>
      <c r="Q544" s="179"/>
      <c r="R544" s="179"/>
      <c r="S544" s="179"/>
      <c r="T544" s="179"/>
      <c r="U544" s="179"/>
      <c r="V544" s="182"/>
      <c r="W544" s="175"/>
      <c r="X544" s="176"/>
    </row>
    <row r="545" spans="1:24" ht="15.75" customHeight="1">
      <c r="A545" s="179"/>
      <c r="B545" s="180"/>
      <c r="C545" s="180"/>
      <c r="D545" s="179"/>
      <c r="E545" s="179"/>
      <c r="F545" s="179"/>
      <c r="G545" s="179"/>
      <c r="H545" s="181"/>
      <c r="I545" s="181"/>
      <c r="J545" s="181"/>
      <c r="K545" s="179"/>
      <c r="L545" s="179"/>
      <c r="M545" s="179"/>
      <c r="N545" s="181"/>
      <c r="O545" s="179"/>
      <c r="P545" s="179"/>
      <c r="Q545" s="179"/>
      <c r="R545" s="179"/>
      <c r="S545" s="179"/>
      <c r="T545" s="179"/>
      <c r="U545" s="179"/>
      <c r="V545" s="182"/>
      <c r="W545" s="175"/>
      <c r="X545" s="176"/>
    </row>
    <row r="546" spans="1:24" ht="15.75" customHeight="1">
      <c r="A546" s="179"/>
      <c r="B546" s="180"/>
      <c r="C546" s="180"/>
      <c r="D546" s="179"/>
      <c r="E546" s="179"/>
      <c r="F546" s="179"/>
      <c r="G546" s="179"/>
      <c r="H546" s="181"/>
      <c r="I546" s="181"/>
      <c r="J546" s="181"/>
      <c r="K546" s="179"/>
      <c r="L546" s="179"/>
      <c r="M546" s="179"/>
      <c r="N546" s="181"/>
      <c r="O546" s="179"/>
      <c r="P546" s="179"/>
      <c r="Q546" s="179"/>
      <c r="R546" s="179"/>
      <c r="S546" s="179"/>
      <c r="T546" s="179"/>
      <c r="U546" s="179"/>
      <c r="V546" s="182"/>
      <c r="W546" s="175"/>
      <c r="X546" s="176"/>
    </row>
    <row r="547" spans="1:24" ht="15.75" customHeight="1">
      <c r="A547" s="179"/>
      <c r="B547" s="180"/>
      <c r="C547" s="180"/>
      <c r="D547" s="179"/>
      <c r="E547" s="179"/>
      <c r="F547" s="179"/>
      <c r="G547" s="179"/>
      <c r="H547" s="181"/>
      <c r="I547" s="181"/>
      <c r="J547" s="181"/>
      <c r="K547" s="179"/>
      <c r="L547" s="179"/>
      <c r="M547" s="179"/>
      <c r="N547" s="181"/>
      <c r="O547" s="179"/>
      <c r="P547" s="179"/>
      <c r="Q547" s="179"/>
      <c r="R547" s="179"/>
      <c r="S547" s="179"/>
      <c r="T547" s="179"/>
      <c r="U547" s="179"/>
      <c r="V547" s="182"/>
      <c r="W547" s="175"/>
      <c r="X547" s="176"/>
    </row>
    <row r="548" spans="1:24" ht="15.75" customHeight="1">
      <c r="A548" s="179"/>
      <c r="B548" s="180"/>
      <c r="C548" s="180"/>
      <c r="D548" s="179"/>
      <c r="E548" s="179"/>
      <c r="F548" s="179"/>
      <c r="G548" s="179"/>
      <c r="H548" s="181"/>
      <c r="I548" s="181"/>
      <c r="J548" s="181"/>
      <c r="K548" s="179"/>
      <c r="L548" s="179"/>
      <c r="M548" s="179"/>
      <c r="N548" s="181"/>
      <c r="O548" s="179"/>
      <c r="P548" s="179"/>
      <c r="Q548" s="179"/>
      <c r="R548" s="179"/>
      <c r="S548" s="179"/>
      <c r="T548" s="179"/>
      <c r="U548" s="179"/>
      <c r="V548" s="182"/>
      <c r="W548" s="175"/>
      <c r="X548" s="176"/>
    </row>
    <row r="549" spans="1:24" ht="15.75" customHeight="1">
      <c r="A549" s="179"/>
      <c r="B549" s="180"/>
      <c r="C549" s="180"/>
      <c r="D549" s="179"/>
      <c r="E549" s="179"/>
      <c r="F549" s="179"/>
      <c r="G549" s="179"/>
      <c r="H549" s="181"/>
      <c r="I549" s="181"/>
      <c r="J549" s="181"/>
      <c r="K549" s="179"/>
      <c r="L549" s="179"/>
      <c r="M549" s="179"/>
      <c r="N549" s="181"/>
      <c r="O549" s="179"/>
      <c r="P549" s="179"/>
      <c r="Q549" s="179"/>
      <c r="R549" s="179"/>
      <c r="S549" s="179"/>
      <c r="T549" s="179"/>
      <c r="U549" s="179"/>
      <c r="V549" s="182"/>
      <c r="W549" s="175"/>
      <c r="X549" s="176"/>
    </row>
    <row r="550" spans="1:24" ht="15.75" customHeight="1">
      <c r="A550" s="179"/>
      <c r="B550" s="180"/>
      <c r="C550" s="180"/>
      <c r="D550" s="179"/>
      <c r="E550" s="179"/>
      <c r="F550" s="179"/>
      <c r="G550" s="179"/>
      <c r="H550" s="181"/>
      <c r="I550" s="181"/>
      <c r="J550" s="181"/>
      <c r="K550" s="179"/>
      <c r="L550" s="179"/>
      <c r="M550" s="179"/>
      <c r="N550" s="181"/>
      <c r="O550" s="179"/>
      <c r="P550" s="179"/>
      <c r="Q550" s="179"/>
      <c r="R550" s="179"/>
      <c r="S550" s="179"/>
      <c r="T550" s="179"/>
      <c r="U550" s="179"/>
      <c r="V550" s="182"/>
      <c r="W550" s="175"/>
      <c r="X550" s="176"/>
    </row>
    <row r="551" spans="1:24" ht="15.75" customHeight="1">
      <c r="A551" s="179"/>
      <c r="B551" s="180"/>
      <c r="C551" s="180"/>
      <c r="D551" s="179"/>
      <c r="E551" s="179"/>
      <c r="F551" s="179"/>
      <c r="G551" s="179"/>
      <c r="H551" s="181"/>
      <c r="I551" s="181"/>
      <c r="J551" s="181"/>
      <c r="K551" s="179"/>
      <c r="L551" s="179"/>
      <c r="M551" s="179"/>
      <c r="N551" s="181"/>
      <c r="O551" s="179"/>
      <c r="P551" s="179"/>
      <c r="Q551" s="179"/>
      <c r="R551" s="179"/>
      <c r="S551" s="179"/>
      <c r="T551" s="179"/>
      <c r="U551" s="179"/>
      <c r="V551" s="182"/>
      <c r="W551" s="175"/>
      <c r="X551" s="176"/>
    </row>
    <row r="552" spans="1:24" ht="15.75" customHeight="1">
      <c r="A552" s="179"/>
      <c r="B552" s="180"/>
      <c r="C552" s="180"/>
      <c r="D552" s="179"/>
      <c r="E552" s="179"/>
      <c r="F552" s="179"/>
      <c r="G552" s="179"/>
      <c r="H552" s="181"/>
      <c r="I552" s="181"/>
      <c r="J552" s="181"/>
      <c r="K552" s="179"/>
      <c r="L552" s="179"/>
      <c r="M552" s="179"/>
      <c r="N552" s="181"/>
      <c r="O552" s="179"/>
      <c r="P552" s="179"/>
      <c r="Q552" s="179"/>
      <c r="R552" s="179"/>
      <c r="S552" s="179"/>
      <c r="T552" s="179"/>
      <c r="U552" s="179"/>
      <c r="V552" s="182"/>
      <c r="W552" s="175"/>
      <c r="X552" s="176"/>
    </row>
    <row r="553" spans="1:24" ht="15.75" customHeight="1">
      <c r="A553" s="179"/>
      <c r="B553" s="180"/>
      <c r="C553" s="180"/>
      <c r="D553" s="179"/>
      <c r="E553" s="179"/>
      <c r="F553" s="179"/>
      <c r="G553" s="179"/>
      <c r="H553" s="181"/>
      <c r="I553" s="181"/>
      <c r="J553" s="181"/>
      <c r="K553" s="179"/>
      <c r="L553" s="179"/>
      <c r="M553" s="179"/>
      <c r="N553" s="181"/>
      <c r="O553" s="179"/>
      <c r="P553" s="179"/>
      <c r="Q553" s="179"/>
      <c r="R553" s="179"/>
      <c r="S553" s="179"/>
      <c r="T553" s="179"/>
      <c r="U553" s="179"/>
      <c r="V553" s="182"/>
      <c r="W553" s="175"/>
      <c r="X553" s="176"/>
    </row>
    <row r="554" spans="1:24" ht="15.75" customHeight="1">
      <c r="A554" s="179"/>
      <c r="B554" s="180"/>
      <c r="C554" s="180"/>
      <c r="D554" s="179"/>
      <c r="E554" s="179"/>
      <c r="F554" s="179"/>
      <c r="G554" s="179"/>
      <c r="H554" s="181"/>
      <c r="I554" s="181"/>
      <c r="J554" s="181"/>
      <c r="K554" s="179"/>
      <c r="L554" s="179"/>
      <c r="M554" s="179"/>
      <c r="N554" s="181"/>
      <c r="O554" s="179"/>
      <c r="P554" s="179"/>
      <c r="Q554" s="179"/>
      <c r="R554" s="179"/>
      <c r="S554" s="179"/>
      <c r="T554" s="179"/>
      <c r="U554" s="179"/>
      <c r="V554" s="182"/>
      <c r="W554" s="175"/>
      <c r="X554" s="176"/>
    </row>
    <row r="555" spans="1:24" ht="15.75" customHeight="1">
      <c r="A555" s="179"/>
      <c r="B555" s="180"/>
      <c r="C555" s="180"/>
      <c r="D555" s="179"/>
      <c r="E555" s="179"/>
      <c r="F555" s="179"/>
      <c r="G555" s="179"/>
      <c r="H555" s="181"/>
      <c r="I555" s="181"/>
      <c r="J555" s="181"/>
      <c r="K555" s="179"/>
      <c r="L555" s="179"/>
      <c r="M555" s="179"/>
      <c r="N555" s="181"/>
      <c r="O555" s="179"/>
      <c r="P555" s="179"/>
      <c r="Q555" s="179"/>
      <c r="R555" s="179"/>
      <c r="S555" s="179"/>
      <c r="T555" s="179"/>
      <c r="U555" s="179"/>
      <c r="V555" s="182"/>
      <c r="W555" s="175"/>
      <c r="X555" s="176"/>
    </row>
    <row r="556" spans="1:24" ht="15.75" customHeight="1">
      <c r="A556" s="179"/>
      <c r="B556" s="180"/>
      <c r="C556" s="180"/>
      <c r="D556" s="179"/>
      <c r="E556" s="179"/>
      <c r="F556" s="179"/>
      <c r="G556" s="179"/>
      <c r="H556" s="181"/>
      <c r="I556" s="181"/>
      <c r="J556" s="181"/>
      <c r="K556" s="179"/>
      <c r="L556" s="179"/>
      <c r="M556" s="179"/>
      <c r="N556" s="181"/>
      <c r="O556" s="179"/>
      <c r="P556" s="179"/>
      <c r="Q556" s="179"/>
      <c r="R556" s="179"/>
      <c r="S556" s="179"/>
      <c r="T556" s="179"/>
      <c r="U556" s="179"/>
      <c r="V556" s="182"/>
      <c r="W556" s="175"/>
      <c r="X556" s="176"/>
    </row>
    <row r="557" spans="1:24" ht="15.75" customHeight="1">
      <c r="A557" s="179"/>
      <c r="B557" s="180"/>
      <c r="C557" s="180"/>
      <c r="D557" s="179"/>
      <c r="E557" s="179"/>
      <c r="F557" s="179"/>
      <c r="G557" s="179"/>
      <c r="H557" s="181"/>
      <c r="I557" s="181"/>
      <c r="J557" s="181"/>
      <c r="K557" s="179"/>
      <c r="L557" s="179"/>
      <c r="M557" s="179"/>
      <c r="N557" s="181"/>
      <c r="O557" s="179"/>
      <c r="P557" s="179"/>
      <c r="Q557" s="179"/>
      <c r="R557" s="179"/>
      <c r="S557" s="179"/>
      <c r="T557" s="179"/>
      <c r="U557" s="179"/>
      <c r="V557" s="182"/>
      <c r="W557" s="175"/>
      <c r="X557" s="176"/>
    </row>
    <row r="558" spans="1:24" ht="15.75" customHeight="1">
      <c r="A558" s="179"/>
      <c r="B558" s="180"/>
      <c r="C558" s="180"/>
      <c r="D558" s="179"/>
      <c r="E558" s="179"/>
      <c r="F558" s="179"/>
      <c r="G558" s="179"/>
      <c r="H558" s="181"/>
      <c r="I558" s="181"/>
      <c r="J558" s="181"/>
      <c r="K558" s="179"/>
      <c r="L558" s="179"/>
      <c r="M558" s="179"/>
      <c r="N558" s="181"/>
      <c r="O558" s="179"/>
      <c r="P558" s="179"/>
      <c r="Q558" s="179"/>
      <c r="R558" s="179"/>
      <c r="S558" s="179"/>
      <c r="T558" s="179"/>
      <c r="U558" s="179"/>
      <c r="V558" s="182"/>
      <c r="W558" s="175"/>
      <c r="X558" s="176"/>
    </row>
    <row r="559" spans="1:24" ht="15.75" customHeight="1">
      <c r="A559" s="179"/>
      <c r="B559" s="180"/>
      <c r="C559" s="180"/>
      <c r="D559" s="179"/>
      <c r="E559" s="179"/>
      <c r="F559" s="179"/>
      <c r="G559" s="179"/>
      <c r="H559" s="181"/>
      <c r="I559" s="181"/>
      <c r="J559" s="181"/>
      <c r="K559" s="179"/>
      <c r="L559" s="179"/>
      <c r="M559" s="179"/>
      <c r="N559" s="181"/>
      <c r="O559" s="179"/>
      <c r="P559" s="179"/>
      <c r="Q559" s="179"/>
      <c r="R559" s="179"/>
      <c r="S559" s="179"/>
      <c r="T559" s="179"/>
      <c r="U559" s="179"/>
      <c r="V559" s="182"/>
      <c r="W559" s="175"/>
      <c r="X559" s="176"/>
    </row>
    <row r="560" spans="1:24" ht="15.75" customHeight="1">
      <c r="A560" s="179"/>
      <c r="B560" s="180"/>
      <c r="C560" s="180"/>
      <c r="D560" s="179"/>
      <c r="E560" s="179"/>
      <c r="F560" s="179"/>
      <c r="G560" s="179"/>
      <c r="H560" s="181"/>
      <c r="I560" s="181"/>
      <c r="J560" s="181"/>
      <c r="K560" s="179"/>
      <c r="L560" s="179"/>
      <c r="M560" s="179"/>
      <c r="N560" s="181"/>
      <c r="O560" s="179"/>
      <c r="P560" s="179"/>
      <c r="Q560" s="179"/>
      <c r="R560" s="179"/>
      <c r="S560" s="179"/>
      <c r="T560" s="179"/>
      <c r="U560" s="179"/>
      <c r="V560" s="182"/>
      <c r="W560" s="175"/>
      <c r="X560" s="176"/>
    </row>
    <row r="561" spans="1:24" ht="15.75" customHeight="1">
      <c r="A561" s="179"/>
      <c r="B561" s="180"/>
      <c r="C561" s="180"/>
      <c r="D561" s="179"/>
      <c r="E561" s="179"/>
      <c r="F561" s="179"/>
      <c r="G561" s="179"/>
      <c r="H561" s="181"/>
      <c r="I561" s="181"/>
      <c r="J561" s="181"/>
      <c r="K561" s="179"/>
      <c r="L561" s="179"/>
      <c r="M561" s="179"/>
      <c r="N561" s="181"/>
      <c r="O561" s="179"/>
      <c r="P561" s="179"/>
      <c r="Q561" s="179"/>
      <c r="R561" s="179"/>
      <c r="S561" s="179"/>
      <c r="T561" s="179"/>
      <c r="U561" s="179"/>
      <c r="V561" s="182"/>
      <c r="W561" s="175"/>
      <c r="X561" s="176"/>
    </row>
    <row r="562" spans="1:24" ht="15.75" customHeight="1">
      <c r="A562" s="179"/>
      <c r="B562" s="180"/>
      <c r="C562" s="180"/>
      <c r="D562" s="179"/>
      <c r="E562" s="179"/>
      <c r="F562" s="179"/>
      <c r="G562" s="179"/>
      <c r="H562" s="181"/>
      <c r="I562" s="181"/>
      <c r="J562" s="181"/>
      <c r="K562" s="179"/>
      <c r="L562" s="179"/>
      <c r="M562" s="179"/>
      <c r="N562" s="181"/>
      <c r="O562" s="179"/>
      <c r="P562" s="179"/>
      <c r="Q562" s="179"/>
      <c r="R562" s="179"/>
      <c r="S562" s="179"/>
      <c r="T562" s="179"/>
      <c r="U562" s="179"/>
      <c r="V562" s="182"/>
      <c r="W562" s="175"/>
      <c r="X562" s="176"/>
    </row>
    <row r="563" spans="1:24" ht="15.75" customHeight="1">
      <c r="A563" s="179"/>
      <c r="B563" s="180"/>
      <c r="C563" s="180"/>
      <c r="D563" s="179"/>
      <c r="E563" s="179"/>
      <c r="F563" s="179"/>
      <c r="G563" s="179"/>
      <c r="H563" s="181"/>
      <c r="I563" s="181"/>
      <c r="J563" s="181"/>
      <c r="K563" s="179"/>
      <c r="L563" s="179"/>
      <c r="M563" s="179"/>
      <c r="N563" s="181"/>
      <c r="O563" s="179"/>
      <c r="P563" s="179"/>
      <c r="Q563" s="179"/>
      <c r="R563" s="179"/>
      <c r="S563" s="179"/>
      <c r="T563" s="179"/>
      <c r="U563" s="179"/>
      <c r="V563" s="182"/>
      <c r="W563" s="175"/>
      <c r="X563" s="176"/>
    </row>
    <row r="564" spans="1:24" ht="15.75" customHeight="1">
      <c r="A564" s="179"/>
      <c r="B564" s="180"/>
      <c r="C564" s="180"/>
      <c r="D564" s="179"/>
      <c r="E564" s="179"/>
      <c r="F564" s="179"/>
      <c r="G564" s="179"/>
      <c r="H564" s="181"/>
      <c r="I564" s="181"/>
      <c r="J564" s="181"/>
      <c r="K564" s="179"/>
      <c r="L564" s="179"/>
      <c r="M564" s="179"/>
      <c r="N564" s="181"/>
      <c r="O564" s="179"/>
      <c r="P564" s="179"/>
      <c r="Q564" s="179"/>
      <c r="R564" s="179"/>
      <c r="S564" s="179"/>
      <c r="T564" s="179"/>
      <c r="U564" s="179"/>
      <c r="V564" s="182"/>
      <c r="W564" s="175"/>
      <c r="X564" s="176"/>
    </row>
    <row r="565" spans="1:24" ht="15.75" customHeight="1">
      <c r="A565" s="179"/>
      <c r="B565" s="180"/>
      <c r="C565" s="180"/>
      <c r="D565" s="179"/>
      <c r="E565" s="179"/>
      <c r="F565" s="179"/>
      <c r="G565" s="179"/>
      <c r="H565" s="181"/>
      <c r="I565" s="181"/>
      <c r="J565" s="181"/>
      <c r="K565" s="179"/>
      <c r="L565" s="179"/>
      <c r="M565" s="179"/>
      <c r="N565" s="181"/>
      <c r="O565" s="179"/>
      <c r="P565" s="179"/>
      <c r="Q565" s="179"/>
      <c r="R565" s="179"/>
      <c r="S565" s="179"/>
      <c r="T565" s="179"/>
      <c r="U565" s="179"/>
      <c r="V565" s="182"/>
      <c r="W565" s="175"/>
      <c r="X565" s="176"/>
    </row>
    <row r="566" spans="1:24" ht="15.75" customHeight="1">
      <c r="A566" s="179"/>
      <c r="B566" s="180"/>
      <c r="C566" s="180"/>
      <c r="D566" s="179"/>
      <c r="E566" s="179"/>
      <c r="F566" s="179"/>
      <c r="G566" s="179"/>
      <c r="H566" s="181"/>
      <c r="I566" s="181"/>
      <c r="J566" s="181"/>
      <c r="K566" s="179"/>
      <c r="L566" s="179"/>
      <c r="M566" s="179"/>
      <c r="N566" s="181"/>
      <c r="O566" s="179"/>
      <c r="P566" s="179"/>
      <c r="Q566" s="179"/>
      <c r="R566" s="179"/>
      <c r="S566" s="179"/>
      <c r="T566" s="179"/>
      <c r="U566" s="179"/>
      <c r="V566" s="182"/>
      <c r="W566" s="175"/>
      <c r="X566" s="176"/>
    </row>
    <row r="567" spans="1:24" ht="15.75" customHeight="1">
      <c r="A567" s="179"/>
      <c r="B567" s="180"/>
      <c r="C567" s="180"/>
      <c r="D567" s="179"/>
      <c r="E567" s="179"/>
      <c r="F567" s="179"/>
      <c r="G567" s="179"/>
      <c r="H567" s="181"/>
      <c r="I567" s="181"/>
      <c r="J567" s="181"/>
      <c r="K567" s="179"/>
      <c r="L567" s="179"/>
      <c r="M567" s="179"/>
      <c r="N567" s="181"/>
      <c r="O567" s="179"/>
      <c r="P567" s="179"/>
      <c r="Q567" s="179"/>
      <c r="R567" s="179"/>
      <c r="S567" s="179"/>
      <c r="T567" s="179"/>
      <c r="U567" s="179"/>
      <c r="V567" s="182"/>
      <c r="W567" s="175"/>
      <c r="X567" s="176"/>
    </row>
    <row r="568" spans="1:24" ht="15.75" customHeight="1">
      <c r="A568" s="179"/>
      <c r="B568" s="180"/>
      <c r="C568" s="180"/>
      <c r="D568" s="179"/>
      <c r="E568" s="179"/>
      <c r="F568" s="179"/>
      <c r="G568" s="179"/>
      <c r="H568" s="181"/>
      <c r="I568" s="181"/>
      <c r="J568" s="181"/>
      <c r="K568" s="179"/>
      <c r="L568" s="179"/>
      <c r="M568" s="179"/>
      <c r="N568" s="181"/>
      <c r="O568" s="179"/>
      <c r="P568" s="179"/>
      <c r="Q568" s="179"/>
      <c r="R568" s="179"/>
      <c r="S568" s="179"/>
      <c r="T568" s="179"/>
      <c r="U568" s="179"/>
      <c r="V568" s="182"/>
      <c r="W568" s="175"/>
      <c r="X568" s="176"/>
    </row>
    <row r="569" spans="1:24" ht="15.75" customHeight="1">
      <c r="A569" s="179"/>
      <c r="B569" s="180"/>
      <c r="C569" s="180"/>
      <c r="D569" s="179"/>
      <c r="E569" s="179"/>
      <c r="F569" s="179"/>
      <c r="G569" s="179"/>
      <c r="H569" s="181"/>
      <c r="I569" s="181"/>
      <c r="J569" s="181"/>
      <c r="K569" s="179"/>
      <c r="L569" s="179"/>
      <c r="M569" s="179"/>
      <c r="N569" s="181"/>
      <c r="O569" s="179"/>
      <c r="P569" s="179"/>
      <c r="Q569" s="179"/>
      <c r="R569" s="179"/>
      <c r="S569" s="179"/>
      <c r="T569" s="179"/>
      <c r="U569" s="179"/>
      <c r="V569" s="182"/>
      <c r="W569" s="175"/>
      <c r="X569" s="176"/>
    </row>
    <row r="570" spans="1:24" ht="15.75" customHeight="1">
      <c r="A570" s="179"/>
      <c r="B570" s="180"/>
      <c r="C570" s="180"/>
      <c r="D570" s="179"/>
      <c r="E570" s="179"/>
      <c r="F570" s="179"/>
      <c r="G570" s="179"/>
      <c r="H570" s="181"/>
      <c r="I570" s="181"/>
      <c r="J570" s="181"/>
      <c r="K570" s="179"/>
      <c r="L570" s="179"/>
      <c r="M570" s="179"/>
      <c r="N570" s="181"/>
      <c r="O570" s="179"/>
      <c r="P570" s="179"/>
      <c r="Q570" s="179"/>
      <c r="R570" s="179"/>
      <c r="S570" s="179"/>
      <c r="T570" s="179"/>
      <c r="U570" s="179"/>
      <c r="V570" s="182"/>
      <c r="W570" s="175"/>
      <c r="X570" s="176"/>
    </row>
    <row r="571" spans="1:24" ht="15.75" customHeight="1">
      <c r="A571" s="179"/>
      <c r="B571" s="180"/>
      <c r="C571" s="180"/>
      <c r="D571" s="179"/>
      <c r="E571" s="179"/>
      <c r="F571" s="179"/>
      <c r="G571" s="179"/>
      <c r="H571" s="181"/>
      <c r="I571" s="181"/>
      <c r="J571" s="181"/>
      <c r="K571" s="179"/>
      <c r="L571" s="179"/>
      <c r="M571" s="179"/>
      <c r="N571" s="181"/>
      <c r="O571" s="179"/>
      <c r="P571" s="179"/>
      <c r="Q571" s="179"/>
      <c r="R571" s="179"/>
      <c r="S571" s="179"/>
      <c r="T571" s="179"/>
      <c r="U571" s="179"/>
      <c r="V571" s="182"/>
      <c r="W571" s="175"/>
      <c r="X571" s="176"/>
    </row>
    <row r="572" spans="1:24" ht="15.75" customHeight="1">
      <c r="A572" s="179"/>
      <c r="B572" s="180"/>
      <c r="C572" s="180"/>
      <c r="D572" s="179"/>
      <c r="E572" s="179"/>
      <c r="F572" s="179"/>
      <c r="G572" s="179"/>
      <c r="H572" s="181"/>
      <c r="I572" s="181"/>
      <c r="J572" s="181"/>
      <c r="K572" s="179"/>
      <c r="L572" s="179"/>
      <c r="M572" s="179"/>
      <c r="N572" s="181"/>
      <c r="O572" s="179"/>
      <c r="P572" s="179"/>
      <c r="Q572" s="179"/>
      <c r="R572" s="179"/>
      <c r="S572" s="179"/>
      <c r="T572" s="179"/>
      <c r="U572" s="179"/>
      <c r="V572" s="182"/>
      <c r="W572" s="175"/>
      <c r="X572" s="176"/>
    </row>
    <row r="573" spans="1:24" ht="15.75" customHeight="1">
      <c r="A573" s="179"/>
      <c r="B573" s="180"/>
      <c r="C573" s="180"/>
      <c r="D573" s="179"/>
      <c r="E573" s="179"/>
      <c r="F573" s="179"/>
      <c r="G573" s="179"/>
      <c r="H573" s="181"/>
      <c r="I573" s="181"/>
      <c r="J573" s="181"/>
      <c r="K573" s="179"/>
      <c r="L573" s="179"/>
      <c r="M573" s="179"/>
      <c r="N573" s="181"/>
      <c r="O573" s="179"/>
      <c r="P573" s="179"/>
      <c r="Q573" s="179"/>
      <c r="R573" s="179"/>
      <c r="S573" s="179"/>
      <c r="T573" s="179"/>
      <c r="U573" s="179"/>
      <c r="V573" s="182"/>
      <c r="W573" s="175"/>
      <c r="X573" s="176"/>
    </row>
    <row r="574" spans="1:24" ht="15.75" customHeight="1">
      <c r="A574" s="179"/>
      <c r="B574" s="180"/>
      <c r="C574" s="180"/>
      <c r="D574" s="179"/>
      <c r="E574" s="179"/>
      <c r="F574" s="179"/>
      <c r="G574" s="179"/>
      <c r="H574" s="181"/>
      <c r="I574" s="181"/>
      <c r="J574" s="181"/>
      <c r="K574" s="179"/>
      <c r="L574" s="179"/>
      <c r="M574" s="179"/>
      <c r="N574" s="181"/>
      <c r="O574" s="179"/>
      <c r="P574" s="179"/>
      <c r="Q574" s="179"/>
      <c r="R574" s="179"/>
      <c r="S574" s="179"/>
      <c r="T574" s="179"/>
      <c r="U574" s="179"/>
      <c r="V574" s="182"/>
      <c r="W574" s="175"/>
      <c r="X574" s="176"/>
    </row>
    <row r="575" spans="1:24" ht="15.75" customHeight="1">
      <c r="A575" s="179"/>
      <c r="B575" s="180"/>
      <c r="C575" s="180"/>
      <c r="D575" s="179"/>
      <c r="E575" s="179"/>
      <c r="F575" s="179"/>
      <c r="G575" s="179"/>
      <c r="H575" s="181"/>
      <c r="I575" s="181"/>
      <c r="J575" s="181"/>
      <c r="K575" s="179"/>
      <c r="L575" s="179"/>
      <c r="M575" s="179"/>
      <c r="N575" s="181"/>
      <c r="O575" s="179"/>
      <c r="P575" s="179"/>
      <c r="Q575" s="179"/>
      <c r="R575" s="179"/>
      <c r="S575" s="179"/>
      <c r="T575" s="179"/>
      <c r="U575" s="179"/>
      <c r="V575" s="182"/>
      <c r="W575" s="175"/>
      <c r="X575" s="176"/>
    </row>
    <row r="576" spans="1:24" ht="15.75" customHeight="1">
      <c r="A576" s="179"/>
      <c r="B576" s="180"/>
      <c r="C576" s="180"/>
      <c r="D576" s="179"/>
      <c r="E576" s="179"/>
      <c r="F576" s="179"/>
      <c r="G576" s="179"/>
      <c r="H576" s="181"/>
      <c r="I576" s="181"/>
      <c r="J576" s="181"/>
      <c r="K576" s="179"/>
      <c r="L576" s="179"/>
      <c r="M576" s="179"/>
      <c r="N576" s="181"/>
      <c r="O576" s="179"/>
      <c r="P576" s="179"/>
      <c r="Q576" s="179"/>
      <c r="R576" s="179"/>
      <c r="S576" s="179"/>
      <c r="T576" s="179"/>
      <c r="U576" s="179"/>
      <c r="V576" s="182"/>
      <c r="W576" s="175"/>
      <c r="X576" s="176"/>
    </row>
    <row r="577" spans="1:24" ht="15.75" customHeight="1">
      <c r="A577" s="179"/>
      <c r="B577" s="180"/>
      <c r="C577" s="180"/>
      <c r="D577" s="179"/>
      <c r="E577" s="179"/>
      <c r="F577" s="179"/>
      <c r="G577" s="179"/>
      <c r="H577" s="181"/>
      <c r="I577" s="181"/>
      <c r="J577" s="181"/>
      <c r="K577" s="179"/>
      <c r="L577" s="179"/>
      <c r="M577" s="179"/>
      <c r="N577" s="181"/>
      <c r="O577" s="179"/>
      <c r="P577" s="179"/>
      <c r="Q577" s="179"/>
      <c r="R577" s="179"/>
      <c r="S577" s="179"/>
      <c r="T577" s="179"/>
      <c r="U577" s="179"/>
      <c r="V577" s="182"/>
      <c r="W577" s="175"/>
      <c r="X577" s="176"/>
    </row>
    <row r="578" spans="1:24" ht="15.75" customHeight="1">
      <c r="A578" s="179"/>
      <c r="B578" s="180"/>
      <c r="C578" s="180"/>
      <c r="D578" s="179"/>
      <c r="E578" s="179"/>
      <c r="F578" s="179"/>
      <c r="G578" s="179"/>
      <c r="H578" s="181"/>
      <c r="I578" s="181"/>
      <c r="J578" s="181"/>
      <c r="K578" s="179"/>
      <c r="L578" s="179"/>
      <c r="M578" s="179"/>
      <c r="N578" s="181"/>
      <c r="O578" s="179"/>
      <c r="P578" s="179"/>
      <c r="Q578" s="179"/>
      <c r="R578" s="179"/>
      <c r="S578" s="179"/>
      <c r="T578" s="179"/>
      <c r="U578" s="179"/>
      <c r="V578" s="182"/>
      <c r="W578" s="175"/>
      <c r="X578" s="176"/>
    </row>
    <row r="579" spans="1:24" ht="15.75" customHeight="1">
      <c r="A579" s="179"/>
      <c r="B579" s="180"/>
      <c r="C579" s="180"/>
      <c r="D579" s="179"/>
      <c r="E579" s="179"/>
      <c r="F579" s="179"/>
      <c r="G579" s="179"/>
      <c r="H579" s="181"/>
      <c r="I579" s="181"/>
      <c r="J579" s="181"/>
      <c r="K579" s="179"/>
      <c r="L579" s="179"/>
      <c r="M579" s="179"/>
      <c r="N579" s="181"/>
      <c r="O579" s="179"/>
      <c r="P579" s="179"/>
      <c r="Q579" s="179"/>
      <c r="R579" s="179"/>
      <c r="S579" s="179"/>
      <c r="T579" s="179"/>
      <c r="U579" s="179"/>
      <c r="V579" s="182"/>
      <c r="W579" s="175"/>
      <c r="X579" s="176"/>
    </row>
    <row r="580" spans="1:24" ht="15.75" customHeight="1">
      <c r="A580" s="179"/>
      <c r="B580" s="180"/>
      <c r="C580" s="180"/>
      <c r="D580" s="179"/>
      <c r="E580" s="179"/>
      <c r="F580" s="179"/>
      <c r="G580" s="179"/>
      <c r="H580" s="181"/>
      <c r="I580" s="181"/>
      <c r="J580" s="181"/>
      <c r="K580" s="179"/>
      <c r="L580" s="179"/>
      <c r="M580" s="179"/>
      <c r="N580" s="181"/>
      <c r="O580" s="179"/>
      <c r="P580" s="179"/>
      <c r="Q580" s="179"/>
      <c r="R580" s="179"/>
      <c r="S580" s="179"/>
      <c r="T580" s="179"/>
      <c r="U580" s="179"/>
      <c r="V580" s="182"/>
      <c r="W580" s="175"/>
      <c r="X580" s="176"/>
    </row>
    <row r="581" spans="1:24" ht="15.75" customHeight="1">
      <c r="A581" s="179"/>
      <c r="B581" s="180"/>
      <c r="C581" s="180"/>
      <c r="D581" s="179"/>
      <c r="E581" s="179"/>
      <c r="F581" s="179"/>
      <c r="G581" s="179"/>
      <c r="H581" s="181"/>
      <c r="I581" s="181"/>
      <c r="J581" s="181"/>
      <c r="K581" s="179"/>
      <c r="L581" s="179"/>
      <c r="M581" s="179"/>
      <c r="N581" s="181"/>
      <c r="O581" s="179"/>
      <c r="P581" s="179"/>
      <c r="Q581" s="179"/>
      <c r="R581" s="179"/>
      <c r="S581" s="179"/>
      <c r="T581" s="179"/>
      <c r="U581" s="179"/>
      <c r="V581" s="182"/>
      <c r="W581" s="175"/>
      <c r="X581" s="176"/>
    </row>
    <row r="582" spans="1:24" ht="15.75" customHeight="1">
      <c r="A582" s="179"/>
      <c r="B582" s="180"/>
      <c r="C582" s="180"/>
      <c r="D582" s="179"/>
      <c r="E582" s="179"/>
      <c r="F582" s="179"/>
      <c r="G582" s="179"/>
      <c r="H582" s="181"/>
      <c r="I582" s="181"/>
      <c r="J582" s="181"/>
      <c r="K582" s="179"/>
      <c r="L582" s="179"/>
      <c r="M582" s="179"/>
      <c r="N582" s="181"/>
      <c r="O582" s="179"/>
      <c r="P582" s="179"/>
      <c r="Q582" s="179"/>
      <c r="R582" s="179"/>
      <c r="S582" s="179"/>
      <c r="T582" s="179"/>
      <c r="U582" s="179"/>
      <c r="V582" s="182"/>
      <c r="W582" s="175"/>
      <c r="X582" s="176"/>
    </row>
    <row r="583" spans="1:24" ht="15.75" customHeight="1">
      <c r="A583" s="179"/>
      <c r="B583" s="180"/>
      <c r="C583" s="180"/>
      <c r="D583" s="179"/>
      <c r="E583" s="179"/>
      <c r="F583" s="179"/>
      <c r="G583" s="179"/>
      <c r="H583" s="181"/>
      <c r="I583" s="181"/>
      <c r="J583" s="181"/>
      <c r="K583" s="179"/>
      <c r="L583" s="179"/>
      <c r="M583" s="179"/>
      <c r="N583" s="181"/>
      <c r="O583" s="179"/>
      <c r="P583" s="179"/>
      <c r="Q583" s="179"/>
      <c r="R583" s="179"/>
      <c r="S583" s="179"/>
      <c r="T583" s="179"/>
      <c r="U583" s="179"/>
      <c r="V583" s="182"/>
      <c r="W583" s="175"/>
      <c r="X583" s="176"/>
    </row>
    <row r="584" spans="1:24" ht="15.75" customHeight="1">
      <c r="A584" s="179"/>
      <c r="B584" s="180"/>
      <c r="C584" s="180"/>
      <c r="D584" s="179"/>
      <c r="E584" s="179"/>
      <c r="F584" s="179"/>
      <c r="G584" s="179"/>
      <c r="H584" s="181"/>
      <c r="I584" s="181"/>
      <c r="J584" s="181"/>
      <c r="K584" s="179"/>
      <c r="L584" s="179"/>
      <c r="M584" s="179"/>
      <c r="N584" s="181"/>
      <c r="O584" s="179"/>
      <c r="P584" s="179"/>
      <c r="Q584" s="179"/>
      <c r="R584" s="179"/>
      <c r="S584" s="179"/>
      <c r="T584" s="179"/>
      <c r="U584" s="179"/>
      <c r="V584" s="182"/>
      <c r="W584" s="175"/>
      <c r="X584" s="176"/>
    </row>
    <row r="585" spans="1:24" ht="15.75" customHeight="1">
      <c r="A585" s="179"/>
      <c r="B585" s="180"/>
      <c r="C585" s="180"/>
      <c r="D585" s="179"/>
      <c r="E585" s="179"/>
      <c r="F585" s="179"/>
      <c r="G585" s="179"/>
      <c r="H585" s="181"/>
      <c r="I585" s="181"/>
      <c r="J585" s="181"/>
      <c r="K585" s="179"/>
      <c r="L585" s="179"/>
      <c r="M585" s="179"/>
      <c r="N585" s="181"/>
      <c r="O585" s="179"/>
      <c r="P585" s="179"/>
      <c r="Q585" s="179"/>
      <c r="R585" s="179"/>
      <c r="S585" s="179"/>
      <c r="T585" s="179"/>
      <c r="U585" s="179"/>
      <c r="V585" s="182"/>
      <c r="W585" s="175"/>
      <c r="X585" s="176"/>
    </row>
    <row r="586" spans="1:24" ht="15.75" customHeight="1">
      <c r="A586" s="179"/>
      <c r="B586" s="180"/>
      <c r="C586" s="180"/>
      <c r="D586" s="179"/>
      <c r="E586" s="179"/>
      <c r="F586" s="179"/>
      <c r="G586" s="179"/>
      <c r="H586" s="181"/>
      <c r="I586" s="181"/>
      <c r="J586" s="181"/>
      <c r="K586" s="179"/>
      <c r="L586" s="179"/>
      <c r="M586" s="179"/>
      <c r="N586" s="181"/>
      <c r="O586" s="179"/>
      <c r="P586" s="179"/>
      <c r="Q586" s="179"/>
      <c r="R586" s="179"/>
      <c r="S586" s="179"/>
      <c r="T586" s="179"/>
      <c r="U586" s="179"/>
      <c r="V586" s="182"/>
      <c r="W586" s="175"/>
      <c r="X586" s="176"/>
    </row>
    <row r="587" spans="1:24" ht="15.75" customHeight="1">
      <c r="A587" s="179"/>
      <c r="B587" s="180"/>
      <c r="C587" s="180"/>
      <c r="D587" s="179"/>
      <c r="E587" s="179"/>
      <c r="F587" s="179"/>
      <c r="G587" s="179"/>
      <c r="H587" s="181"/>
      <c r="I587" s="181"/>
      <c r="J587" s="181"/>
      <c r="K587" s="179"/>
      <c r="L587" s="179"/>
      <c r="M587" s="179"/>
      <c r="N587" s="181"/>
      <c r="O587" s="179"/>
      <c r="P587" s="179"/>
      <c r="Q587" s="179"/>
      <c r="R587" s="179"/>
      <c r="S587" s="179"/>
      <c r="T587" s="179"/>
      <c r="U587" s="179"/>
      <c r="V587" s="182"/>
      <c r="W587" s="175"/>
      <c r="X587" s="176"/>
    </row>
    <row r="588" spans="1:24" ht="15.75" customHeight="1">
      <c r="A588" s="179"/>
      <c r="B588" s="180"/>
      <c r="C588" s="180"/>
      <c r="D588" s="179"/>
      <c r="E588" s="179"/>
      <c r="F588" s="179"/>
      <c r="G588" s="179"/>
      <c r="H588" s="181"/>
      <c r="I588" s="181"/>
      <c r="J588" s="181"/>
      <c r="K588" s="179"/>
      <c r="L588" s="179"/>
      <c r="M588" s="179"/>
      <c r="N588" s="181"/>
      <c r="O588" s="179"/>
      <c r="P588" s="179"/>
      <c r="Q588" s="179"/>
      <c r="R588" s="179"/>
      <c r="S588" s="179"/>
      <c r="T588" s="179"/>
      <c r="U588" s="179"/>
      <c r="V588" s="182"/>
      <c r="W588" s="175"/>
      <c r="X588" s="176"/>
    </row>
    <row r="589" spans="1:24" ht="15.75" customHeight="1">
      <c r="A589" s="179"/>
      <c r="B589" s="180"/>
      <c r="C589" s="180"/>
      <c r="D589" s="179"/>
      <c r="E589" s="179"/>
      <c r="F589" s="179"/>
      <c r="G589" s="179"/>
      <c r="H589" s="181"/>
      <c r="I589" s="181"/>
      <c r="J589" s="181"/>
      <c r="K589" s="179"/>
      <c r="L589" s="179"/>
      <c r="M589" s="179"/>
      <c r="N589" s="181"/>
      <c r="O589" s="179"/>
      <c r="P589" s="179"/>
      <c r="Q589" s="179"/>
      <c r="R589" s="179"/>
      <c r="S589" s="179"/>
      <c r="T589" s="179"/>
      <c r="U589" s="179"/>
      <c r="V589" s="182"/>
      <c r="W589" s="175"/>
      <c r="X589" s="176"/>
    </row>
    <row r="590" spans="1:24" ht="15.75" customHeight="1">
      <c r="A590" s="179"/>
      <c r="B590" s="180"/>
      <c r="C590" s="180"/>
      <c r="D590" s="179"/>
      <c r="E590" s="179"/>
      <c r="F590" s="179"/>
      <c r="G590" s="179"/>
      <c r="H590" s="181"/>
      <c r="I590" s="181"/>
      <c r="J590" s="181"/>
      <c r="K590" s="179"/>
      <c r="L590" s="179"/>
      <c r="M590" s="179"/>
      <c r="N590" s="181"/>
      <c r="O590" s="179"/>
      <c r="P590" s="179"/>
      <c r="Q590" s="179"/>
      <c r="R590" s="179"/>
      <c r="S590" s="179"/>
      <c r="T590" s="179"/>
      <c r="U590" s="179"/>
      <c r="V590" s="182"/>
      <c r="W590" s="175"/>
      <c r="X590" s="176"/>
    </row>
    <row r="591" spans="1:24" ht="15.75" customHeight="1">
      <c r="A591" s="179"/>
      <c r="B591" s="180"/>
      <c r="C591" s="180"/>
      <c r="D591" s="179"/>
      <c r="E591" s="179"/>
      <c r="F591" s="179"/>
      <c r="G591" s="179"/>
      <c r="H591" s="181"/>
      <c r="I591" s="181"/>
      <c r="J591" s="181"/>
      <c r="K591" s="179"/>
      <c r="L591" s="179"/>
      <c r="M591" s="179"/>
      <c r="N591" s="181"/>
      <c r="O591" s="179"/>
      <c r="P591" s="179"/>
      <c r="Q591" s="179"/>
      <c r="R591" s="179"/>
      <c r="S591" s="179"/>
      <c r="T591" s="179"/>
      <c r="U591" s="179"/>
      <c r="V591" s="182"/>
      <c r="W591" s="175"/>
      <c r="X591" s="176"/>
    </row>
    <row r="592" spans="1:24" ht="15.75" customHeight="1">
      <c r="A592" s="179"/>
      <c r="B592" s="180"/>
      <c r="C592" s="180"/>
      <c r="D592" s="179"/>
      <c r="E592" s="179"/>
      <c r="F592" s="179"/>
      <c r="G592" s="179"/>
      <c r="H592" s="181"/>
      <c r="I592" s="181"/>
      <c r="J592" s="181"/>
      <c r="K592" s="179"/>
      <c r="L592" s="179"/>
      <c r="M592" s="179"/>
      <c r="N592" s="181"/>
      <c r="O592" s="179"/>
      <c r="P592" s="179"/>
      <c r="Q592" s="179"/>
      <c r="R592" s="179"/>
      <c r="S592" s="179"/>
      <c r="T592" s="179"/>
      <c r="U592" s="179"/>
      <c r="V592" s="182"/>
      <c r="W592" s="175"/>
      <c r="X592" s="176"/>
    </row>
    <row r="593" spans="1:24" ht="15.75" customHeight="1">
      <c r="A593" s="179"/>
      <c r="B593" s="180"/>
      <c r="C593" s="180"/>
      <c r="D593" s="179"/>
      <c r="E593" s="179"/>
      <c r="F593" s="179"/>
      <c r="G593" s="179"/>
      <c r="H593" s="181"/>
      <c r="I593" s="181"/>
      <c r="J593" s="181"/>
      <c r="K593" s="179"/>
      <c r="L593" s="179"/>
      <c r="M593" s="179"/>
      <c r="N593" s="181"/>
      <c r="O593" s="179"/>
      <c r="P593" s="179"/>
      <c r="Q593" s="179"/>
      <c r="R593" s="179"/>
      <c r="S593" s="179"/>
      <c r="T593" s="179"/>
      <c r="U593" s="179"/>
      <c r="V593" s="182"/>
      <c r="W593" s="175"/>
      <c r="X593" s="176"/>
    </row>
    <row r="594" spans="1:24" ht="15.75" customHeight="1">
      <c r="A594" s="179"/>
      <c r="B594" s="180"/>
      <c r="C594" s="180"/>
      <c r="D594" s="179"/>
      <c r="E594" s="179"/>
      <c r="F594" s="179"/>
      <c r="G594" s="179"/>
      <c r="H594" s="181"/>
      <c r="I594" s="181"/>
      <c r="J594" s="181"/>
      <c r="K594" s="179"/>
      <c r="L594" s="179"/>
      <c r="M594" s="179"/>
      <c r="N594" s="181"/>
      <c r="O594" s="179"/>
      <c r="P594" s="179"/>
      <c r="Q594" s="179"/>
      <c r="R594" s="179"/>
      <c r="S594" s="179"/>
      <c r="T594" s="179"/>
      <c r="U594" s="179"/>
      <c r="V594" s="182"/>
      <c r="W594" s="175"/>
      <c r="X594" s="176"/>
    </row>
    <row r="595" spans="1:24" ht="15.75" customHeight="1">
      <c r="A595" s="179"/>
      <c r="B595" s="180"/>
      <c r="C595" s="180"/>
      <c r="D595" s="179"/>
      <c r="E595" s="179"/>
      <c r="F595" s="179"/>
      <c r="G595" s="179"/>
      <c r="H595" s="181"/>
      <c r="I595" s="181"/>
      <c r="J595" s="181"/>
      <c r="K595" s="179"/>
      <c r="L595" s="179"/>
      <c r="M595" s="179"/>
      <c r="N595" s="181"/>
      <c r="O595" s="179"/>
      <c r="P595" s="179"/>
      <c r="Q595" s="179"/>
      <c r="R595" s="179"/>
      <c r="S595" s="179"/>
      <c r="T595" s="179"/>
      <c r="U595" s="179"/>
      <c r="V595" s="182"/>
      <c r="W595" s="175"/>
      <c r="X595" s="176"/>
    </row>
    <row r="596" spans="1:24" ht="15.75" customHeight="1">
      <c r="A596" s="179"/>
      <c r="B596" s="180"/>
      <c r="C596" s="180"/>
      <c r="D596" s="179"/>
      <c r="E596" s="179"/>
      <c r="F596" s="179"/>
      <c r="G596" s="179"/>
      <c r="H596" s="181"/>
      <c r="I596" s="181"/>
      <c r="J596" s="181"/>
      <c r="K596" s="179"/>
      <c r="L596" s="179"/>
      <c r="M596" s="179"/>
      <c r="N596" s="181"/>
      <c r="O596" s="179"/>
      <c r="P596" s="179"/>
      <c r="Q596" s="179"/>
      <c r="R596" s="179"/>
      <c r="S596" s="179"/>
      <c r="T596" s="179"/>
      <c r="U596" s="179"/>
      <c r="V596" s="182"/>
      <c r="W596" s="175"/>
      <c r="X596" s="176"/>
    </row>
    <row r="597" spans="1:24" ht="15.75" customHeight="1">
      <c r="A597" s="179"/>
      <c r="B597" s="180"/>
      <c r="C597" s="180"/>
      <c r="D597" s="179"/>
      <c r="E597" s="179"/>
      <c r="F597" s="179"/>
      <c r="G597" s="179"/>
      <c r="H597" s="181"/>
      <c r="I597" s="181"/>
      <c r="J597" s="181"/>
      <c r="K597" s="179"/>
      <c r="L597" s="179"/>
      <c r="M597" s="179"/>
      <c r="N597" s="181"/>
      <c r="O597" s="179"/>
      <c r="P597" s="179"/>
      <c r="Q597" s="179"/>
      <c r="R597" s="179"/>
      <c r="S597" s="179"/>
      <c r="T597" s="179"/>
      <c r="U597" s="179"/>
      <c r="V597" s="182"/>
      <c r="W597" s="175"/>
      <c r="X597" s="176"/>
    </row>
    <row r="598" spans="1:24" ht="15.75" customHeight="1">
      <c r="A598" s="179"/>
      <c r="B598" s="180"/>
      <c r="C598" s="180"/>
      <c r="D598" s="179"/>
      <c r="E598" s="179"/>
      <c r="F598" s="179"/>
      <c r="G598" s="179"/>
      <c r="H598" s="181"/>
      <c r="I598" s="181"/>
      <c r="J598" s="181"/>
      <c r="K598" s="179"/>
      <c r="L598" s="179"/>
      <c r="M598" s="179"/>
      <c r="N598" s="181"/>
      <c r="O598" s="179"/>
      <c r="P598" s="179"/>
      <c r="Q598" s="179"/>
      <c r="R598" s="179"/>
      <c r="S598" s="179"/>
      <c r="T598" s="179"/>
      <c r="U598" s="179"/>
      <c r="V598" s="182"/>
      <c r="W598" s="175"/>
      <c r="X598" s="176"/>
    </row>
    <row r="599" spans="1:24" ht="15.75" customHeight="1">
      <c r="A599" s="179"/>
      <c r="B599" s="180"/>
      <c r="C599" s="180"/>
      <c r="D599" s="179"/>
      <c r="E599" s="179"/>
      <c r="F599" s="179"/>
      <c r="G599" s="179"/>
      <c r="H599" s="181"/>
      <c r="I599" s="181"/>
      <c r="J599" s="181"/>
      <c r="K599" s="179"/>
      <c r="L599" s="179"/>
      <c r="M599" s="179"/>
      <c r="N599" s="181"/>
      <c r="O599" s="179"/>
      <c r="P599" s="179"/>
      <c r="Q599" s="179"/>
      <c r="R599" s="179"/>
      <c r="S599" s="179"/>
      <c r="T599" s="179"/>
      <c r="U599" s="179"/>
      <c r="V599" s="182"/>
      <c r="W599" s="175"/>
      <c r="X599" s="176"/>
    </row>
    <row r="600" spans="1:24" ht="15.75" customHeight="1">
      <c r="A600" s="179"/>
      <c r="B600" s="180"/>
      <c r="C600" s="180"/>
      <c r="D600" s="179"/>
      <c r="E600" s="179"/>
      <c r="F600" s="179"/>
      <c r="G600" s="179"/>
      <c r="H600" s="181"/>
      <c r="I600" s="181"/>
      <c r="J600" s="181"/>
      <c r="K600" s="179"/>
      <c r="L600" s="179"/>
      <c r="M600" s="179"/>
      <c r="N600" s="181"/>
      <c r="O600" s="179"/>
      <c r="P600" s="179"/>
      <c r="Q600" s="179"/>
      <c r="R600" s="179"/>
      <c r="S600" s="179"/>
      <c r="T600" s="179"/>
      <c r="U600" s="179"/>
      <c r="V600" s="182"/>
      <c r="W600" s="175"/>
      <c r="X600" s="176"/>
    </row>
    <row r="601" spans="1:24" ht="15.75" customHeight="1">
      <c r="A601" s="179"/>
      <c r="B601" s="180"/>
      <c r="C601" s="180"/>
      <c r="D601" s="179"/>
      <c r="E601" s="179"/>
      <c r="F601" s="179"/>
      <c r="G601" s="179"/>
      <c r="H601" s="181"/>
      <c r="I601" s="181"/>
      <c r="J601" s="181"/>
      <c r="K601" s="179"/>
      <c r="L601" s="179"/>
      <c r="M601" s="179"/>
      <c r="N601" s="181"/>
      <c r="O601" s="179"/>
      <c r="P601" s="179"/>
      <c r="Q601" s="179"/>
      <c r="R601" s="179"/>
      <c r="S601" s="179"/>
      <c r="T601" s="179"/>
      <c r="U601" s="179"/>
      <c r="V601" s="182"/>
      <c r="W601" s="175"/>
      <c r="X601" s="176"/>
    </row>
    <row r="602" spans="1:24" ht="15.75" customHeight="1">
      <c r="A602" s="179"/>
      <c r="B602" s="180"/>
      <c r="C602" s="180"/>
      <c r="D602" s="179"/>
      <c r="E602" s="179"/>
      <c r="F602" s="179"/>
      <c r="G602" s="179"/>
      <c r="H602" s="181"/>
      <c r="I602" s="181"/>
      <c r="J602" s="181"/>
      <c r="K602" s="179"/>
      <c r="L602" s="179"/>
      <c r="M602" s="179"/>
      <c r="N602" s="181"/>
      <c r="O602" s="179"/>
      <c r="P602" s="179"/>
      <c r="Q602" s="179"/>
      <c r="R602" s="179"/>
      <c r="S602" s="179"/>
      <c r="T602" s="179"/>
      <c r="U602" s="179"/>
      <c r="V602" s="182"/>
      <c r="W602" s="175"/>
      <c r="X602" s="176"/>
    </row>
    <row r="603" spans="1:24" ht="15.75" customHeight="1">
      <c r="A603" s="179"/>
      <c r="B603" s="180"/>
      <c r="C603" s="180"/>
      <c r="D603" s="179"/>
      <c r="E603" s="179"/>
      <c r="F603" s="179"/>
      <c r="G603" s="179"/>
      <c r="H603" s="181"/>
      <c r="I603" s="181"/>
      <c r="J603" s="181"/>
      <c r="K603" s="179"/>
      <c r="L603" s="179"/>
      <c r="M603" s="179"/>
      <c r="N603" s="181"/>
      <c r="O603" s="179"/>
      <c r="P603" s="179"/>
      <c r="Q603" s="179"/>
      <c r="R603" s="179"/>
      <c r="S603" s="179"/>
      <c r="T603" s="179"/>
      <c r="U603" s="179"/>
      <c r="V603" s="182"/>
      <c r="W603" s="175"/>
      <c r="X603" s="176"/>
    </row>
    <row r="604" spans="1:24" ht="15.75" customHeight="1">
      <c r="A604" s="179"/>
      <c r="B604" s="180"/>
      <c r="C604" s="180"/>
      <c r="D604" s="179"/>
      <c r="E604" s="179"/>
      <c r="F604" s="179"/>
      <c r="G604" s="179"/>
      <c r="H604" s="181"/>
      <c r="I604" s="181"/>
      <c r="J604" s="181"/>
      <c r="K604" s="179"/>
      <c r="L604" s="179"/>
      <c r="M604" s="179"/>
      <c r="N604" s="181"/>
      <c r="O604" s="179"/>
      <c r="P604" s="179"/>
      <c r="Q604" s="179"/>
      <c r="R604" s="179"/>
      <c r="S604" s="179"/>
      <c r="T604" s="179"/>
      <c r="U604" s="179"/>
      <c r="V604" s="182"/>
      <c r="W604" s="175"/>
      <c r="X604" s="176"/>
    </row>
    <row r="605" spans="1:24" ht="15.75" customHeight="1">
      <c r="A605" s="179"/>
      <c r="B605" s="180"/>
      <c r="C605" s="180"/>
      <c r="D605" s="179"/>
      <c r="E605" s="179"/>
      <c r="F605" s="179"/>
      <c r="G605" s="179"/>
      <c r="H605" s="181"/>
      <c r="I605" s="181"/>
      <c r="J605" s="181"/>
      <c r="K605" s="179"/>
      <c r="L605" s="179"/>
      <c r="M605" s="179"/>
      <c r="N605" s="181"/>
      <c r="O605" s="179"/>
      <c r="P605" s="179"/>
      <c r="Q605" s="179"/>
      <c r="R605" s="179"/>
      <c r="S605" s="179"/>
      <c r="T605" s="179"/>
      <c r="U605" s="179"/>
      <c r="V605" s="182"/>
      <c r="W605" s="175"/>
      <c r="X605" s="176"/>
    </row>
    <row r="606" spans="1:24" ht="15.75" customHeight="1">
      <c r="A606" s="179"/>
      <c r="B606" s="180"/>
      <c r="C606" s="180"/>
      <c r="D606" s="179"/>
      <c r="E606" s="179"/>
      <c r="F606" s="179"/>
      <c r="G606" s="179"/>
      <c r="H606" s="181"/>
      <c r="I606" s="181"/>
      <c r="J606" s="181"/>
      <c r="K606" s="179"/>
      <c r="L606" s="179"/>
      <c r="M606" s="179"/>
      <c r="N606" s="181"/>
      <c r="O606" s="179"/>
      <c r="P606" s="179"/>
      <c r="Q606" s="179"/>
      <c r="R606" s="179"/>
      <c r="S606" s="179"/>
      <c r="T606" s="179"/>
      <c r="U606" s="179"/>
      <c r="V606" s="182"/>
      <c r="W606" s="175"/>
      <c r="X606" s="176"/>
    </row>
    <row r="607" spans="1:24" ht="15.75" customHeight="1">
      <c r="A607" s="179"/>
      <c r="B607" s="180"/>
      <c r="C607" s="180"/>
      <c r="D607" s="179"/>
      <c r="E607" s="179"/>
      <c r="F607" s="179"/>
      <c r="G607" s="179"/>
      <c r="H607" s="181"/>
      <c r="I607" s="181"/>
      <c r="J607" s="181"/>
      <c r="K607" s="179"/>
      <c r="L607" s="179"/>
      <c r="M607" s="179"/>
      <c r="N607" s="181"/>
      <c r="O607" s="179"/>
      <c r="P607" s="179"/>
      <c r="Q607" s="179"/>
      <c r="R607" s="179"/>
      <c r="S607" s="179"/>
      <c r="T607" s="179"/>
      <c r="U607" s="179"/>
      <c r="V607" s="182"/>
      <c r="W607" s="175"/>
      <c r="X607" s="176"/>
    </row>
    <row r="608" spans="1:24" ht="15.75" customHeight="1">
      <c r="A608" s="179"/>
      <c r="B608" s="180"/>
      <c r="C608" s="180"/>
      <c r="D608" s="179"/>
      <c r="E608" s="179"/>
      <c r="F608" s="179"/>
      <c r="G608" s="179"/>
      <c r="H608" s="181"/>
      <c r="I608" s="181"/>
      <c r="J608" s="181"/>
      <c r="K608" s="179"/>
      <c r="L608" s="179"/>
      <c r="M608" s="179"/>
      <c r="N608" s="181"/>
      <c r="O608" s="179"/>
      <c r="P608" s="179"/>
      <c r="Q608" s="179"/>
      <c r="R608" s="179"/>
      <c r="S608" s="179"/>
      <c r="T608" s="179"/>
      <c r="U608" s="179"/>
      <c r="V608" s="182"/>
      <c r="W608" s="175"/>
      <c r="X608" s="176"/>
    </row>
    <row r="609" spans="1:24" ht="15.75" customHeight="1">
      <c r="A609" s="179"/>
      <c r="B609" s="180"/>
      <c r="C609" s="180"/>
      <c r="D609" s="179"/>
      <c r="E609" s="179"/>
      <c r="F609" s="179"/>
      <c r="G609" s="179"/>
      <c r="H609" s="181"/>
      <c r="I609" s="181"/>
      <c r="J609" s="181"/>
      <c r="K609" s="179"/>
      <c r="L609" s="179"/>
      <c r="M609" s="179"/>
      <c r="N609" s="181"/>
      <c r="O609" s="179"/>
      <c r="P609" s="179"/>
      <c r="Q609" s="179"/>
      <c r="R609" s="179"/>
      <c r="S609" s="179"/>
      <c r="T609" s="179"/>
      <c r="U609" s="179"/>
      <c r="V609" s="182"/>
      <c r="W609" s="175"/>
      <c r="X609" s="176"/>
    </row>
    <row r="610" spans="1:24" ht="15.75" customHeight="1">
      <c r="A610" s="179"/>
      <c r="B610" s="180"/>
      <c r="C610" s="180"/>
      <c r="D610" s="179"/>
      <c r="E610" s="179"/>
      <c r="F610" s="179"/>
      <c r="G610" s="179"/>
      <c r="H610" s="181"/>
      <c r="I610" s="181"/>
      <c r="J610" s="181"/>
      <c r="K610" s="179"/>
      <c r="L610" s="179"/>
      <c r="M610" s="179"/>
      <c r="N610" s="181"/>
      <c r="O610" s="179"/>
      <c r="P610" s="179"/>
      <c r="Q610" s="179"/>
      <c r="R610" s="179"/>
      <c r="S610" s="179"/>
      <c r="T610" s="179"/>
      <c r="U610" s="179"/>
      <c r="V610" s="182"/>
      <c r="W610" s="175"/>
      <c r="X610" s="176"/>
    </row>
    <row r="611" spans="1:24" ht="15.75" customHeight="1">
      <c r="A611" s="179"/>
      <c r="B611" s="180"/>
      <c r="C611" s="180"/>
      <c r="D611" s="179"/>
      <c r="E611" s="179"/>
      <c r="F611" s="179"/>
      <c r="G611" s="179"/>
      <c r="H611" s="181"/>
      <c r="I611" s="181"/>
      <c r="J611" s="181"/>
      <c r="K611" s="179"/>
      <c r="L611" s="179"/>
      <c r="M611" s="179"/>
      <c r="N611" s="181"/>
      <c r="O611" s="179"/>
      <c r="P611" s="179"/>
      <c r="Q611" s="179"/>
      <c r="R611" s="179"/>
      <c r="S611" s="179"/>
      <c r="T611" s="179"/>
      <c r="U611" s="179"/>
      <c r="V611" s="182"/>
      <c r="W611" s="175"/>
      <c r="X611" s="176"/>
    </row>
    <row r="612" spans="1:24" ht="15.75" customHeight="1">
      <c r="A612" s="179"/>
      <c r="B612" s="180"/>
      <c r="C612" s="180"/>
      <c r="D612" s="179"/>
      <c r="E612" s="179"/>
      <c r="F612" s="179"/>
      <c r="G612" s="179"/>
      <c r="H612" s="181"/>
      <c r="I612" s="181"/>
      <c r="J612" s="181"/>
      <c r="K612" s="179"/>
      <c r="L612" s="179"/>
      <c r="M612" s="179"/>
      <c r="N612" s="181"/>
      <c r="O612" s="179"/>
      <c r="P612" s="179"/>
      <c r="Q612" s="179"/>
      <c r="R612" s="179"/>
      <c r="S612" s="179"/>
      <c r="T612" s="179"/>
      <c r="U612" s="179"/>
      <c r="V612" s="182"/>
      <c r="W612" s="175"/>
      <c r="X612" s="176"/>
    </row>
    <row r="613" spans="1:24" ht="15.75" customHeight="1">
      <c r="A613" s="179"/>
      <c r="B613" s="180"/>
      <c r="C613" s="180"/>
      <c r="D613" s="179"/>
      <c r="E613" s="179"/>
      <c r="F613" s="179"/>
      <c r="G613" s="179"/>
      <c r="H613" s="181"/>
      <c r="I613" s="181"/>
      <c r="J613" s="181"/>
      <c r="K613" s="179"/>
      <c r="L613" s="179"/>
      <c r="M613" s="179"/>
      <c r="N613" s="181"/>
      <c r="O613" s="179"/>
      <c r="P613" s="179"/>
      <c r="Q613" s="179"/>
      <c r="R613" s="179"/>
      <c r="S613" s="179"/>
      <c r="T613" s="179"/>
      <c r="U613" s="179"/>
      <c r="V613" s="182"/>
      <c r="W613" s="175"/>
      <c r="X613" s="176"/>
    </row>
    <row r="614" spans="1:24" ht="15.75" customHeight="1">
      <c r="A614" s="179"/>
      <c r="B614" s="180"/>
      <c r="C614" s="180"/>
      <c r="D614" s="179"/>
      <c r="E614" s="179"/>
      <c r="F614" s="179"/>
      <c r="G614" s="179"/>
      <c r="H614" s="181"/>
      <c r="I614" s="181"/>
      <c r="J614" s="181"/>
      <c r="K614" s="179"/>
      <c r="L614" s="179"/>
      <c r="M614" s="179"/>
      <c r="N614" s="181"/>
      <c r="O614" s="179"/>
      <c r="P614" s="179"/>
      <c r="Q614" s="179"/>
      <c r="R614" s="179"/>
      <c r="S614" s="179"/>
      <c r="T614" s="179"/>
      <c r="U614" s="179"/>
      <c r="V614" s="182"/>
      <c r="W614" s="175"/>
      <c r="X614" s="176"/>
    </row>
    <row r="615" spans="1:24" ht="15.75" customHeight="1">
      <c r="A615" s="179"/>
      <c r="B615" s="180"/>
      <c r="C615" s="180"/>
      <c r="D615" s="179"/>
      <c r="E615" s="179"/>
      <c r="F615" s="179"/>
      <c r="G615" s="179"/>
      <c r="H615" s="181"/>
      <c r="I615" s="181"/>
      <c r="J615" s="181"/>
      <c r="K615" s="179"/>
      <c r="L615" s="179"/>
      <c r="M615" s="179"/>
      <c r="N615" s="181"/>
      <c r="O615" s="179"/>
      <c r="P615" s="179"/>
      <c r="Q615" s="179"/>
      <c r="R615" s="179"/>
      <c r="S615" s="179"/>
      <c r="T615" s="179"/>
      <c r="U615" s="179"/>
      <c r="V615" s="182"/>
      <c r="W615" s="175"/>
      <c r="X615" s="176"/>
    </row>
    <row r="616" spans="1:24" ht="15.75" customHeight="1">
      <c r="A616" s="179"/>
      <c r="B616" s="180"/>
      <c r="C616" s="180"/>
      <c r="D616" s="179"/>
      <c r="E616" s="179"/>
      <c r="F616" s="179"/>
      <c r="G616" s="179"/>
      <c r="H616" s="181"/>
      <c r="I616" s="181"/>
      <c r="J616" s="181"/>
      <c r="K616" s="179"/>
      <c r="L616" s="179"/>
      <c r="M616" s="179"/>
      <c r="N616" s="181"/>
      <c r="O616" s="179"/>
      <c r="P616" s="179"/>
      <c r="Q616" s="179"/>
      <c r="R616" s="179"/>
      <c r="S616" s="179"/>
      <c r="T616" s="179"/>
      <c r="U616" s="179"/>
      <c r="V616" s="182"/>
      <c r="W616" s="175"/>
      <c r="X616" s="176"/>
    </row>
    <row r="617" spans="1:24" ht="15.75" customHeight="1">
      <c r="A617" s="179"/>
      <c r="B617" s="180"/>
      <c r="C617" s="180"/>
      <c r="D617" s="179"/>
      <c r="E617" s="179"/>
      <c r="F617" s="179"/>
      <c r="G617" s="179"/>
      <c r="H617" s="181"/>
      <c r="I617" s="181"/>
      <c r="J617" s="181"/>
      <c r="K617" s="179"/>
      <c r="L617" s="179"/>
      <c r="M617" s="179"/>
      <c r="N617" s="181"/>
      <c r="O617" s="179"/>
      <c r="P617" s="179"/>
      <c r="Q617" s="179"/>
      <c r="R617" s="179"/>
      <c r="S617" s="179"/>
      <c r="T617" s="179"/>
      <c r="U617" s="179"/>
      <c r="V617" s="182"/>
      <c r="W617" s="175"/>
      <c r="X617" s="176"/>
    </row>
    <row r="618" spans="1:24" ht="15.75" customHeight="1">
      <c r="A618" s="179"/>
      <c r="B618" s="180"/>
      <c r="C618" s="180"/>
      <c r="D618" s="179"/>
      <c r="E618" s="179"/>
      <c r="F618" s="179"/>
      <c r="G618" s="179"/>
      <c r="H618" s="181"/>
      <c r="I618" s="181"/>
      <c r="J618" s="181"/>
      <c r="K618" s="179"/>
      <c r="L618" s="179"/>
      <c r="M618" s="179"/>
      <c r="N618" s="181"/>
      <c r="O618" s="179"/>
      <c r="P618" s="179"/>
      <c r="Q618" s="179"/>
      <c r="R618" s="179"/>
      <c r="S618" s="179"/>
      <c r="T618" s="179"/>
      <c r="U618" s="179"/>
      <c r="V618" s="182"/>
      <c r="W618" s="175"/>
      <c r="X618" s="176"/>
    </row>
    <row r="619" spans="1:24" ht="15.75" customHeight="1">
      <c r="A619" s="179"/>
      <c r="B619" s="180"/>
      <c r="C619" s="180"/>
      <c r="D619" s="179"/>
      <c r="E619" s="179"/>
      <c r="F619" s="179"/>
      <c r="G619" s="179"/>
      <c r="H619" s="181"/>
      <c r="I619" s="181"/>
      <c r="J619" s="181"/>
      <c r="K619" s="179"/>
      <c r="L619" s="179"/>
      <c r="M619" s="179"/>
      <c r="N619" s="181"/>
      <c r="O619" s="179"/>
      <c r="P619" s="179"/>
      <c r="Q619" s="179"/>
      <c r="R619" s="179"/>
      <c r="S619" s="179"/>
      <c r="T619" s="179"/>
      <c r="U619" s="179"/>
      <c r="V619" s="182"/>
      <c r="W619" s="175"/>
      <c r="X619" s="176"/>
    </row>
    <row r="620" spans="1:24" ht="15.75" customHeight="1">
      <c r="A620" s="179"/>
      <c r="B620" s="180"/>
      <c r="C620" s="180"/>
      <c r="D620" s="179"/>
      <c r="E620" s="179"/>
      <c r="F620" s="179"/>
      <c r="G620" s="179"/>
      <c r="H620" s="181"/>
      <c r="I620" s="181"/>
      <c r="J620" s="181"/>
      <c r="K620" s="179"/>
      <c r="L620" s="179"/>
      <c r="M620" s="179"/>
      <c r="N620" s="181"/>
      <c r="O620" s="179"/>
      <c r="P620" s="179"/>
      <c r="Q620" s="179"/>
      <c r="R620" s="179"/>
      <c r="S620" s="179"/>
      <c r="T620" s="179"/>
      <c r="U620" s="179"/>
      <c r="V620" s="182"/>
      <c r="W620" s="175"/>
      <c r="X620" s="176"/>
    </row>
    <row r="621" spans="1:24" ht="15.75" customHeight="1">
      <c r="A621" s="179"/>
      <c r="B621" s="180"/>
      <c r="C621" s="180"/>
      <c r="D621" s="179"/>
      <c r="E621" s="179"/>
      <c r="F621" s="179"/>
      <c r="G621" s="179"/>
      <c r="H621" s="181"/>
      <c r="I621" s="181"/>
      <c r="J621" s="181"/>
      <c r="K621" s="179"/>
      <c r="L621" s="179"/>
      <c r="M621" s="179"/>
      <c r="N621" s="181"/>
      <c r="O621" s="179"/>
      <c r="P621" s="179"/>
      <c r="Q621" s="179"/>
      <c r="R621" s="179"/>
      <c r="S621" s="179"/>
      <c r="T621" s="179"/>
      <c r="U621" s="179"/>
      <c r="V621" s="182"/>
      <c r="W621" s="175"/>
      <c r="X621" s="176"/>
    </row>
    <row r="622" spans="1:24" ht="15.75" customHeight="1">
      <c r="A622" s="179"/>
      <c r="B622" s="180"/>
      <c r="C622" s="180"/>
      <c r="D622" s="179"/>
      <c r="E622" s="179"/>
      <c r="F622" s="179"/>
      <c r="G622" s="179"/>
      <c r="H622" s="181"/>
      <c r="I622" s="181"/>
      <c r="J622" s="181"/>
      <c r="K622" s="179"/>
      <c r="L622" s="179"/>
      <c r="M622" s="179"/>
      <c r="N622" s="181"/>
      <c r="O622" s="179"/>
      <c r="P622" s="179"/>
      <c r="Q622" s="179"/>
      <c r="R622" s="179"/>
      <c r="S622" s="179"/>
      <c r="T622" s="179"/>
      <c r="U622" s="179"/>
      <c r="V622" s="182"/>
      <c r="W622" s="175"/>
      <c r="X622" s="176"/>
    </row>
    <row r="623" spans="1:24" ht="15.75" customHeight="1">
      <c r="A623" s="179"/>
      <c r="B623" s="180"/>
      <c r="C623" s="180"/>
      <c r="D623" s="179"/>
      <c r="E623" s="179"/>
      <c r="F623" s="179"/>
      <c r="G623" s="179"/>
      <c r="H623" s="181"/>
      <c r="I623" s="181"/>
      <c r="J623" s="181"/>
      <c r="K623" s="179"/>
      <c r="L623" s="179"/>
      <c r="M623" s="179"/>
      <c r="N623" s="181"/>
      <c r="O623" s="179"/>
      <c r="P623" s="179"/>
      <c r="Q623" s="179"/>
      <c r="R623" s="179"/>
      <c r="S623" s="179"/>
      <c r="T623" s="179"/>
      <c r="U623" s="179"/>
      <c r="V623" s="182"/>
      <c r="W623" s="175"/>
      <c r="X623" s="176"/>
    </row>
    <row r="624" spans="1:24" ht="15.75" customHeight="1">
      <c r="A624" s="179"/>
      <c r="B624" s="180"/>
      <c r="C624" s="180"/>
      <c r="D624" s="179"/>
      <c r="E624" s="179"/>
      <c r="F624" s="179"/>
      <c r="G624" s="179"/>
      <c r="H624" s="181"/>
      <c r="I624" s="181"/>
      <c r="J624" s="181"/>
      <c r="K624" s="179"/>
      <c r="L624" s="179"/>
      <c r="M624" s="179"/>
      <c r="N624" s="181"/>
      <c r="O624" s="179"/>
      <c r="P624" s="179"/>
      <c r="Q624" s="179"/>
      <c r="R624" s="179"/>
      <c r="S624" s="179"/>
      <c r="T624" s="179"/>
      <c r="U624" s="179"/>
      <c r="V624" s="182"/>
      <c r="W624" s="175"/>
      <c r="X624" s="176"/>
    </row>
    <row r="625" spans="1:24" ht="15.75" customHeight="1">
      <c r="A625" s="179"/>
      <c r="B625" s="180"/>
      <c r="C625" s="180"/>
      <c r="D625" s="179"/>
      <c r="E625" s="179"/>
      <c r="F625" s="179"/>
      <c r="G625" s="179"/>
      <c r="H625" s="181"/>
      <c r="I625" s="181"/>
      <c r="J625" s="181"/>
      <c r="K625" s="179"/>
      <c r="L625" s="179"/>
      <c r="M625" s="179"/>
      <c r="N625" s="181"/>
      <c r="O625" s="179"/>
      <c r="P625" s="179"/>
      <c r="Q625" s="179"/>
      <c r="R625" s="179"/>
      <c r="S625" s="179"/>
      <c r="T625" s="179"/>
      <c r="U625" s="179"/>
      <c r="V625" s="182"/>
      <c r="W625" s="175"/>
      <c r="X625" s="176"/>
    </row>
    <row r="626" spans="1:24" ht="15.75" customHeight="1">
      <c r="A626" s="179"/>
      <c r="B626" s="180"/>
      <c r="C626" s="180"/>
      <c r="D626" s="179"/>
      <c r="E626" s="179"/>
      <c r="F626" s="179"/>
      <c r="G626" s="179"/>
      <c r="H626" s="181"/>
      <c r="I626" s="181"/>
      <c r="J626" s="181"/>
      <c r="K626" s="179"/>
      <c r="L626" s="179"/>
      <c r="M626" s="179"/>
      <c r="N626" s="181"/>
      <c r="O626" s="179"/>
      <c r="P626" s="179"/>
      <c r="Q626" s="179"/>
      <c r="R626" s="179"/>
      <c r="S626" s="179"/>
      <c r="T626" s="179"/>
      <c r="U626" s="179"/>
      <c r="V626" s="182"/>
      <c r="W626" s="175"/>
      <c r="X626" s="176"/>
    </row>
    <row r="627" spans="1:24" ht="15.75" customHeight="1">
      <c r="A627" s="179"/>
      <c r="B627" s="180"/>
      <c r="C627" s="180"/>
      <c r="D627" s="179"/>
      <c r="E627" s="179"/>
      <c r="F627" s="179"/>
      <c r="G627" s="179"/>
      <c r="H627" s="181"/>
      <c r="I627" s="181"/>
      <c r="J627" s="181"/>
      <c r="K627" s="179"/>
      <c r="L627" s="179"/>
      <c r="M627" s="179"/>
      <c r="N627" s="181"/>
      <c r="O627" s="179"/>
      <c r="P627" s="179"/>
      <c r="Q627" s="179"/>
      <c r="R627" s="179"/>
      <c r="S627" s="179"/>
      <c r="T627" s="179"/>
      <c r="U627" s="179"/>
      <c r="V627" s="182"/>
      <c r="W627" s="175"/>
      <c r="X627" s="176"/>
    </row>
    <row r="628" spans="1:24" ht="15.75" customHeight="1">
      <c r="A628" s="179"/>
      <c r="B628" s="180"/>
      <c r="C628" s="180"/>
      <c r="D628" s="179"/>
      <c r="E628" s="179"/>
      <c r="F628" s="179"/>
      <c r="G628" s="179"/>
      <c r="H628" s="181"/>
      <c r="I628" s="181"/>
      <c r="J628" s="181"/>
      <c r="K628" s="179"/>
      <c r="L628" s="179"/>
      <c r="M628" s="179"/>
      <c r="N628" s="181"/>
      <c r="O628" s="179"/>
      <c r="P628" s="179"/>
      <c r="Q628" s="179"/>
      <c r="R628" s="179"/>
      <c r="S628" s="179"/>
      <c r="T628" s="179"/>
      <c r="U628" s="179"/>
      <c r="V628" s="182"/>
      <c r="W628" s="175"/>
      <c r="X628" s="176"/>
    </row>
    <row r="629" spans="1:24" ht="15.75" customHeight="1">
      <c r="A629" s="179"/>
      <c r="B629" s="180"/>
      <c r="C629" s="180"/>
      <c r="D629" s="179"/>
      <c r="E629" s="179"/>
      <c r="F629" s="179"/>
      <c r="G629" s="179"/>
      <c r="H629" s="181"/>
      <c r="I629" s="181"/>
      <c r="J629" s="181"/>
      <c r="K629" s="179"/>
      <c r="L629" s="179"/>
      <c r="M629" s="179"/>
      <c r="N629" s="181"/>
      <c r="O629" s="179"/>
      <c r="P629" s="179"/>
      <c r="Q629" s="179"/>
      <c r="R629" s="179"/>
      <c r="S629" s="179"/>
      <c r="T629" s="179"/>
      <c r="U629" s="179"/>
      <c r="V629" s="182"/>
      <c r="W629" s="175"/>
      <c r="X629" s="176"/>
    </row>
    <row r="630" spans="1:24" ht="15.75" customHeight="1">
      <c r="A630" s="179"/>
      <c r="B630" s="180"/>
      <c r="C630" s="180"/>
      <c r="D630" s="179"/>
      <c r="E630" s="179"/>
      <c r="F630" s="179"/>
      <c r="G630" s="179"/>
      <c r="H630" s="181"/>
      <c r="I630" s="181"/>
      <c r="J630" s="181"/>
      <c r="K630" s="179"/>
      <c r="L630" s="179"/>
      <c r="M630" s="179"/>
      <c r="N630" s="181"/>
      <c r="O630" s="179"/>
      <c r="P630" s="179"/>
      <c r="Q630" s="179"/>
      <c r="R630" s="179"/>
      <c r="S630" s="179"/>
      <c r="T630" s="179"/>
      <c r="U630" s="179"/>
      <c r="V630" s="182"/>
      <c r="W630" s="175"/>
      <c r="X630" s="176"/>
    </row>
    <row r="631" spans="1:24" ht="15.75" customHeight="1">
      <c r="A631" s="179"/>
      <c r="B631" s="180"/>
      <c r="C631" s="180"/>
      <c r="D631" s="179"/>
      <c r="E631" s="179"/>
      <c r="F631" s="179"/>
      <c r="G631" s="179"/>
      <c r="H631" s="181"/>
      <c r="I631" s="181"/>
      <c r="J631" s="181"/>
      <c r="K631" s="179"/>
      <c r="L631" s="179"/>
      <c r="M631" s="179"/>
      <c r="N631" s="181"/>
      <c r="O631" s="179"/>
      <c r="P631" s="179"/>
      <c r="Q631" s="179"/>
      <c r="R631" s="179"/>
      <c r="S631" s="179"/>
      <c r="T631" s="179"/>
      <c r="U631" s="179"/>
      <c r="V631" s="182"/>
      <c r="W631" s="175"/>
      <c r="X631" s="176"/>
    </row>
    <row r="632" spans="1:24" ht="15.75" customHeight="1">
      <c r="A632" s="179"/>
      <c r="B632" s="180"/>
      <c r="C632" s="180"/>
      <c r="D632" s="179"/>
      <c r="E632" s="179"/>
      <c r="F632" s="179"/>
      <c r="G632" s="179"/>
      <c r="H632" s="181"/>
      <c r="I632" s="181"/>
      <c r="J632" s="181"/>
      <c r="K632" s="179"/>
      <c r="L632" s="179"/>
      <c r="M632" s="179"/>
      <c r="N632" s="181"/>
      <c r="O632" s="179"/>
      <c r="P632" s="179"/>
      <c r="Q632" s="179"/>
      <c r="R632" s="179"/>
      <c r="S632" s="179"/>
      <c r="T632" s="179"/>
      <c r="U632" s="179"/>
      <c r="V632" s="182"/>
      <c r="W632" s="175"/>
      <c r="X632" s="176"/>
    </row>
    <row r="633" spans="1:24" ht="15.75" customHeight="1">
      <c r="A633" s="179"/>
      <c r="B633" s="180"/>
      <c r="C633" s="180"/>
      <c r="D633" s="179"/>
      <c r="E633" s="179"/>
      <c r="F633" s="179"/>
      <c r="G633" s="179"/>
      <c r="H633" s="181"/>
      <c r="I633" s="181"/>
      <c r="J633" s="181"/>
      <c r="K633" s="179"/>
      <c r="L633" s="179"/>
      <c r="M633" s="179"/>
      <c r="N633" s="181"/>
      <c r="O633" s="179"/>
      <c r="P633" s="179"/>
      <c r="Q633" s="179"/>
      <c r="R633" s="179"/>
      <c r="S633" s="179"/>
      <c r="T633" s="179"/>
      <c r="U633" s="179"/>
      <c r="V633" s="182"/>
      <c r="W633" s="175"/>
      <c r="X633" s="176"/>
    </row>
    <row r="634" spans="1:24" ht="15.75" customHeight="1">
      <c r="A634" s="179"/>
      <c r="B634" s="180"/>
      <c r="C634" s="180"/>
      <c r="D634" s="179"/>
      <c r="E634" s="179"/>
      <c r="F634" s="179"/>
      <c r="G634" s="179"/>
      <c r="H634" s="181"/>
      <c r="I634" s="181"/>
      <c r="J634" s="181"/>
      <c r="K634" s="179"/>
      <c r="L634" s="179"/>
      <c r="M634" s="179"/>
      <c r="N634" s="181"/>
      <c r="O634" s="179"/>
      <c r="P634" s="179"/>
      <c r="Q634" s="179"/>
      <c r="R634" s="179"/>
      <c r="S634" s="179"/>
      <c r="T634" s="179"/>
      <c r="U634" s="179"/>
      <c r="V634" s="182"/>
      <c r="W634" s="175"/>
      <c r="X634" s="176"/>
    </row>
    <row r="635" spans="1:24" ht="15.75" customHeight="1">
      <c r="A635" s="179"/>
      <c r="B635" s="180"/>
      <c r="C635" s="180"/>
      <c r="D635" s="179"/>
      <c r="E635" s="179"/>
      <c r="F635" s="179"/>
      <c r="G635" s="179"/>
      <c r="H635" s="181"/>
      <c r="I635" s="181"/>
      <c r="J635" s="181"/>
      <c r="K635" s="179"/>
      <c r="L635" s="179"/>
      <c r="M635" s="179"/>
      <c r="N635" s="181"/>
      <c r="O635" s="179"/>
      <c r="P635" s="179"/>
      <c r="Q635" s="179"/>
      <c r="R635" s="179"/>
      <c r="S635" s="179"/>
      <c r="T635" s="179"/>
      <c r="U635" s="179"/>
      <c r="V635" s="182"/>
      <c r="W635" s="175"/>
      <c r="X635" s="176"/>
    </row>
    <row r="636" spans="1:24" ht="15.75" customHeight="1">
      <c r="A636" s="179"/>
      <c r="B636" s="180"/>
      <c r="C636" s="180"/>
      <c r="D636" s="179"/>
      <c r="E636" s="179"/>
      <c r="F636" s="179"/>
      <c r="G636" s="179"/>
      <c r="H636" s="181"/>
      <c r="I636" s="181"/>
      <c r="J636" s="181"/>
      <c r="K636" s="179"/>
      <c r="L636" s="179"/>
      <c r="M636" s="179"/>
      <c r="N636" s="181"/>
      <c r="O636" s="179"/>
      <c r="P636" s="179"/>
      <c r="Q636" s="179"/>
      <c r="R636" s="179"/>
      <c r="S636" s="179"/>
      <c r="T636" s="179"/>
      <c r="U636" s="179"/>
      <c r="V636" s="182"/>
      <c r="W636" s="175"/>
      <c r="X636" s="176"/>
    </row>
    <row r="637" spans="1:24" ht="15.75" customHeight="1">
      <c r="A637" s="179"/>
      <c r="B637" s="180"/>
      <c r="C637" s="180"/>
      <c r="D637" s="179"/>
      <c r="E637" s="179"/>
      <c r="F637" s="179"/>
      <c r="G637" s="179"/>
      <c r="H637" s="181"/>
      <c r="I637" s="181"/>
      <c r="J637" s="181"/>
      <c r="K637" s="179"/>
      <c r="L637" s="179"/>
      <c r="M637" s="179"/>
      <c r="N637" s="181"/>
      <c r="O637" s="179"/>
      <c r="P637" s="179"/>
      <c r="Q637" s="179"/>
      <c r="R637" s="179"/>
      <c r="S637" s="179"/>
      <c r="T637" s="179"/>
      <c r="U637" s="179"/>
      <c r="V637" s="182"/>
      <c r="W637" s="175"/>
      <c r="X637" s="176"/>
    </row>
    <row r="638" spans="1:24" ht="15.75" customHeight="1">
      <c r="A638" s="179"/>
      <c r="B638" s="180"/>
      <c r="C638" s="180"/>
      <c r="D638" s="179"/>
      <c r="E638" s="179"/>
      <c r="F638" s="179"/>
      <c r="G638" s="179"/>
      <c r="H638" s="181"/>
      <c r="I638" s="181"/>
      <c r="J638" s="181"/>
      <c r="K638" s="179"/>
      <c r="L638" s="179"/>
      <c r="M638" s="179"/>
      <c r="N638" s="181"/>
      <c r="O638" s="179"/>
      <c r="P638" s="179"/>
      <c r="Q638" s="179"/>
      <c r="R638" s="179"/>
      <c r="S638" s="179"/>
      <c r="T638" s="179"/>
      <c r="U638" s="179"/>
      <c r="V638" s="182"/>
      <c r="W638" s="175"/>
      <c r="X638" s="176"/>
    </row>
    <row r="639" spans="1:24" ht="15.75" customHeight="1">
      <c r="A639" s="179"/>
      <c r="B639" s="180"/>
      <c r="C639" s="180"/>
      <c r="D639" s="179"/>
      <c r="E639" s="179"/>
      <c r="F639" s="179"/>
      <c r="G639" s="179"/>
      <c r="H639" s="181"/>
      <c r="I639" s="181"/>
      <c r="J639" s="181"/>
      <c r="K639" s="179"/>
      <c r="L639" s="179"/>
      <c r="M639" s="179"/>
      <c r="N639" s="181"/>
      <c r="O639" s="179"/>
      <c r="P639" s="179"/>
      <c r="Q639" s="179"/>
      <c r="R639" s="179"/>
      <c r="S639" s="179"/>
      <c r="T639" s="179"/>
      <c r="U639" s="179"/>
      <c r="V639" s="182"/>
      <c r="W639" s="175"/>
      <c r="X639" s="176"/>
    </row>
    <row r="640" spans="1:24" ht="15.75" customHeight="1">
      <c r="A640" s="179"/>
      <c r="B640" s="180"/>
      <c r="C640" s="180"/>
      <c r="D640" s="179"/>
      <c r="E640" s="179"/>
      <c r="F640" s="179"/>
      <c r="G640" s="179"/>
      <c r="H640" s="181"/>
      <c r="I640" s="181"/>
      <c r="J640" s="181"/>
      <c r="K640" s="179"/>
      <c r="L640" s="179"/>
      <c r="M640" s="179"/>
      <c r="N640" s="181"/>
      <c r="O640" s="179"/>
      <c r="P640" s="179"/>
      <c r="Q640" s="179"/>
      <c r="R640" s="179"/>
      <c r="S640" s="179"/>
      <c r="T640" s="179"/>
      <c r="U640" s="179"/>
      <c r="V640" s="182"/>
      <c r="W640" s="175"/>
      <c r="X640" s="176"/>
    </row>
    <row r="641" spans="1:24" ht="15.75" customHeight="1">
      <c r="A641" s="179"/>
      <c r="B641" s="180"/>
      <c r="C641" s="180"/>
      <c r="D641" s="179"/>
      <c r="E641" s="179"/>
      <c r="F641" s="179"/>
      <c r="G641" s="179"/>
      <c r="H641" s="181"/>
      <c r="I641" s="181"/>
      <c r="J641" s="181"/>
      <c r="K641" s="179"/>
      <c r="L641" s="179"/>
      <c r="M641" s="179"/>
      <c r="N641" s="181"/>
      <c r="O641" s="179"/>
      <c r="P641" s="179"/>
      <c r="Q641" s="179"/>
      <c r="R641" s="179"/>
      <c r="S641" s="179"/>
      <c r="T641" s="179"/>
      <c r="U641" s="179"/>
      <c r="V641" s="182"/>
      <c r="W641" s="175"/>
      <c r="X641" s="176"/>
    </row>
    <row r="642" spans="1:24" ht="15.75" customHeight="1">
      <c r="A642" s="179"/>
      <c r="B642" s="180"/>
      <c r="C642" s="180"/>
      <c r="D642" s="179"/>
      <c r="E642" s="179"/>
      <c r="F642" s="179"/>
      <c r="G642" s="179"/>
      <c r="H642" s="181"/>
      <c r="I642" s="181"/>
      <c r="J642" s="181"/>
      <c r="K642" s="179"/>
      <c r="L642" s="179"/>
      <c r="M642" s="179"/>
      <c r="N642" s="181"/>
      <c r="O642" s="179"/>
      <c r="P642" s="179"/>
      <c r="Q642" s="179"/>
      <c r="R642" s="179"/>
      <c r="S642" s="179"/>
      <c r="T642" s="179"/>
      <c r="U642" s="179"/>
      <c r="V642" s="182"/>
      <c r="W642" s="175"/>
      <c r="X642" s="176"/>
    </row>
    <row r="643" spans="1:24" ht="15.75" customHeight="1">
      <c r="A643" s="179"/>
      <c r="B643" s="180"/>
      <c r="C643" s="180"/>
      <c r="D643" s="179"/>
      <c r="E643" s="179"/>
      <c r="F643" s="179"/>
      <c r="G643" s="179"/>
      <c r="H643" s="181"/>
      <c r="I643" s="181"/>
      <c r="J643" s="181"/>
      <c r="K643" s="179"/>
      <c r="L643" s="179"/>
      <c r="M643" s="179"/>
      <c r="N643" s="181"/>
      <c r="O643" s="179"/>
      <c r="P643" s="179"/>
      <c r="Q643" s="179"/>
      <c r="R643" s="179"/>
      <c r="S643" s="179"/>
      <c r="T643" s="179"/>
      <c r="U643" s="179"/>
      <c r="V643" s="182"/>
      <c r="W643" s="175"/>
      <c r="X643" s="176"/>
    </row>
    <row r="644" spans="1:24" ht="15.75" customHeight="1">
      <c r="A644" s="179"/>
      <c r="B644" s="180"/>
      <c r="C644" s="180"/>
      <c r="D644" s="179"/>
      <c r="E644" s="179"/>
      <c r="F644" s="179"/>
      <c r="G644" s="179"/>
      <c r="H644" s="181"/>
      <c r="I644" s="181"/>
      <c r="J644" s="181"/>
      <c r="K644" s="179"/>
      <c r="L644" s="179"/>
      <c r="M644" s="179"/>
      <c r="N644" s="181"/>
      <c r="O644" s="179"/>
      <c r="P644" s="179"/>
      <c r="Q644" s="179"/>
      <c r="R644" s="179"/>
      <c r="S644" s="179"/>
      <c r="T644" s="179"/>
      <c r="U644" s="179"/>
      <c r="V644" s="182"/>
      <c r="W644" s="175"/>
      <c r="X644" s="176"/>
    </row>
    <row r="645" spans="1:24" ht="15.75" customHeight="1">
      <c r="A645" s="179"/>
      <c r="B645" s="180"/>
      <c r="C645" s="180"/>
      <c r="D645" s="179"/>
      <c r="E645" s="179"/>
      <c r="F645" s="179"/>
      <c r="G645" s="179"/>
      <c r="H645" s="181"/>
      <c r="I645" s="181"/>
      <c r="J645" s="181"/>
      <c r="K645" s="179"/>
      <c r="L645" s="179"/>
      <c r="M645" s="179"/>
      <c r="N645" s="181"/>
      <c r="O645" s="179"/>
      <c r="P645" s="179"/>
      <c r="Q645" s="179"/>
      <c r="R645" s="179"/>
      <c r="S645" s="179"/>
      <c r="T645" s="179"/>
      <c r="U645" s="179"/>
      <c r="V645" s="182"/>
      <c r="W645" s="175"/>
      <c r="X645" s="176"/>
    </row>
    <row r="646" spans="1:24" ht="15.75" customHeight="1">
      <c r="A646" s="179"/>
      <c r="B646" s="180"/>
      <c r="C646" s="180"/>
      <c r="D646" s="179"/>
      <c r="E646" s="179"/>
      <c r="F646" s="179"/>
      <c r="G646" s="179"/>
      <c r="H646" s="181"/>
      <c r="I646" s="181"/>
      <c r="J646" s="181"/>
      <c r="K646" s="179"/>
      <c r="L646" s="179"/>
      <c r="M646" s="179"/>
      <c r="N646" s="181"/>
      <c r="O646" s="179"/>
      <c r="P646" s="179"/>
      <c r="Q646" s="179"/>
      <c r="R646" s="179"/>
      <c r="S646" s="179"/>
      <c r="T646" s="179"/>
      <c r="U646" s="179"/>
      <c r="V646" s="182"/>
      <c r="W646" s="175"/>
      <c r="X646" s="176"/>
    </row>
    <row r="647" spans="1:24" ht="15.75" customHeight="1">
      <c r="A647" s="179"/>
      <c r="B647" s="180"/>
      <c r="C647" s="180"/>
      <c r="D647" s="179"/>
      <c r="E647" s="179"/>
      <c r="F647" s="179"/>
      <c r="G647" s="179"/>
      <c r="H647" s="181"/>
      <c r="I647" s="181"/>
      <c r="J647" s="181"/>
      <c r="K647" s="179"/>
      <c r="L647" s="179"/>
      <c r="M647" s="179"/>
      <c r="N647" s="181"/>
      <c r="O647" s="179"/>
      <c r="P647" s="179"/>
      <c r="Q647" s="179"/>
      <c r="R647" s="179"/>
      <c r="S647" s="179"/>
      <c r="T647" s="179"/>
      <c r="U647" s="179"/>
      <c r="V647" s="182"/>
      <c r="W647" s="175"/>
      <c r="X647" s="176"/>
    </row>
    <row r="648" spans="1:24" ht="15.75" customHeight="1">
      <c r="A648" s="179"/>
      <c r="B648" s="180"/>
      <c r="C648" s="180"/>
      <c r="D648" s="179"/>
      <c r="E648" s="179"/>
      <c r="F648" s="179"/>
      <c r="G648" s="179"/>
      <c r="H648" s="181"/>
      <c r="I648" s="181"/>
      <c r="J648" s="181"/>
      <c r="K648" s="179"/>
      <c r="L648" s="179"/>
      <c r="M648" s="179"/>
      <c r="N648" s="181"/>
      <c r="O648" s="179"/>
      <c r="P648" s="179"/>
      <c r="Q648" s="179"/>
      <c r="R648" s="179"/>
      <c r="S648" s="179"/>
      <c r="T648" s="179"/>
      <c r="U648" s="179"/>
      <c r="V648" s="182"/>
      <c r="W648" s="175"/>
      <c r="X648" s="176"/>
    </row>
    <row r="649" spans="1:24" ht="15.75" customHeight="1">
      <c r="A649" s="179"/>
      <c r="B649" s="180"/>
      <c r="C649" s="180"/>
      <c r="D649" s="179"/>
      <c r="E649" s="179"/>
      <c r="F649" s="179"/>
      <c r="G649" s="179"/>
      <c r="H649" s="181"/>
      <c r="I649" s="181"/>
      <c r="J649" s="181"/>
      <c r="K649" s="179"/>
      <c r="L649" s="179"/>
      <c r="M649" s="179"/>
      <c r="N649" s="181"/>
      <c r="O649" s="179"/>
      <c r="P649" s="179"/>
      <c r="Q649" s="179"/>
      <c r="R649" s="179"/>
      <c r="S649" s="179"/>
      <c r="T649" s="179"/>
      <c r="U649" s="179"/>
      <c r="V649" s="182"/>
      <c r="W649" s="175"/>
      <c r="X649" s="176"/>
    </row>
    <row r="650" spans="1:24" ht="15.75" customHeight="1">
      <c r="A650" s="179"/>
      <c r="B650" s="180"/>
      <c r="C650" s="180"/>
      <c r="D650" s="179"/>
      <c r="E650" s="179"/>
      <c r="F650" s="179"/>
      <c r="G650" s="179"/>
      <c r="H650" s="181"/>
      <c r="I650" s="181"/>
      <c r="J650" s="181"/>
      <c r="K650" s="179"/>
      <c r="L650" s="179"/>
      <c r="M650" s="179"/>
      <c r="N650" s="181"/>
      <c r="O650" s="179"/>
      <c r="P650" s="179"/>
      <c r="Q650" s="179"/>
      <c r="R650" s="179"/>
      <c r="S650" s="179"/>
      <c r="T650" s="179"/>
      <c r="U650" s="179"/>
      <c r="V650" s="182"/>
      <c r="W650" s="175"/>
      <c r="X650" s="176"/>
    </row>
    <row r="651" spans="1:24" ht="15.75" customHeight="1">
      <c r="A651" s="179"/>
      <c r="B651" s="180"/>
      <c r="C651" s="180"/>
      <c r="D651" s="179"/>
      <c r="E651" s="179"/>
      <c r="F651" s="179"/>
      <c r="G651" s="179"/>
      <c r="H651" s="181"/>
      <c r="I651" s="181"/>
      <c r="J651" s="181"/>
      <c r="K651" s="179"/>
      <c r="L651" s="179"/>
      <c r="M651" s="179"/>
      <c r="N651" s="181"/>
      <c r="O651" s="179"/>
      <c r="P651" s="179"/>
      <c r="Q651" s="179"/>
      <c r="R651" s="179"/>
      <c r="S651" s="179"/>
      <c r="T651" s="179"/>
      <c r="U651" s="179"/>
      <c r="V651" s="182"/>
      <c r="W651" s="175"/>
      <c r="X651" s="176"/>
    </row>
    <row r="652" spans="1:24" ht="15.75" customHeight="1">
      <c r="A652" s="179"/>
      <c r="B652" s="180"/>
      <c r="C652" s="180"/>
      <c r="D652" s="179"/>
      <c r="E652" s="179"/>
      <c r="F652" s="179"/>
      <c r="G652" s="179"/>
      <c r="H652" s="181"/>
      <c r="I652" s="181"/>
      <c r="J652" s="181"/>
      <c r="K652" s="179"/>
      <c r="L652" s="179"/>
      <c r="M652" s="179"/>
      <c r="N652" s="181"/>
      <c r="O652" s="179"/>
      <c r="P652" s="179"/>
      <c r="Q652" s="179"/>
      <c r="R652" s="179"/>
      <c r="S652" s="179"/>
      <c r="T652" s="179"/>
      <c r="U652" s="179"/>
      <c r="V652" s="182"/>
      <c r="W652" s="175"/>
      <c r="X652" s="176"/>
    </row>
    <row r="653" spans="1:24" ht="15.75" customHeight="1">
      <c r="A653" s="179"/>
      <c r="B653" s="180"/>
      <c r="C653" s="180"/>
      <c r="D653" s="179"/>
      <c r="E653" s="179"/>
      <c r="F653" s="179"/>
      <c r="G653" s="179"/>
      <c r="H653" s="181"/>
      <c r="I653" s="181"/>
      <c r="J653" s="181"/>
      <c r="K653" s="179"/>
      <c r="L653" s="179"/>
      <c r="M653" s="179"/>
      <c r="N653" s="181"/>
      <c r="O653" s="179"/>
      <c r="P653" s="179"/>
      <c r="Q653" s="179"/>
      <c r="R653" s="179"/>
      <c r="S653" s="179"/>
      <c r="T653" s="179"/>
      <c r="U653" s="179"/>
      <c r="V653" s="182"/>
      <c r="W653" s="175"/>
      <c r="X653" s="176"/>
    </row>
    <row r="654" spans="1:24" ht="15.75" customHeight="1">
      <c r="A654" s="179"/>
      <c r="B654" s="180"/>
      <c r="C654" s="180"/>
      <c r="D654" s="179"/>
      <c r="E654" s="179"/>
      <c r="F654" s="179"/>
      <c r="G654" s="179"/>
      <c r="H654" s="181"/>
      <c r="I654" s="181"/>
      <c r="J654" s="181"/>
      <c r="K654" s="179"/>
      <c r="L654" s="179"/>
      <c r="M654" s="179"/>
      <c r="N654" s="181"/>
      <c r="O654" s="179"/>
      <c r="P654" s="179"/>
      <c r="Q654" s="179"/>
      <c r="R654" s="179"/>
      <c r="S654" s="179"/>
      <c r="T654" s="179"/>
      <c r="U654" s="179"/>
      <c r="V654" s="182"/>
      <c r="W654" s="175"/>
      <c r="X654" s="176"/>
    </row>
    <row r="655" spans="1:24" ht="15.75" customHeight="1">
      <c r="A655" s="179"/>
      <c r="B655" s="180"/>
      <c r="C655" s="180"/>
      <c r="D655" s="179"/>
      <c r="E655" s="179"/>
      <c r="F655" s="179"/>
      <c r="G655" s="179"/>
      <c r="H655" s="181"/>
      <c r="I655" s="181"/>
      <c r="J655" s="181"/>
      <c r="K655" s="179"/>
      <c r="L655" s="179"/>
      <c r="M655" s="179"/>
      <c r="N655" s="181"/>
      <c r="O655" s="179"/>
      <c r="P655" s="179"/>
      <c r="Q655" s="179"/>
      <c r="R655" s="179"/>
      <c r="S655" s="179"/>
      <c r="T655" s="179"/>
      <c r="U655" s="179"/>
      <c r="V655" s="182"/>
      <c r="W655" s="175"/>
      <c r="X655" s="176"/>
    </row>
    <row r="656" spans="1:24" ht="15.75" customHeight="1">
      <c r="A656" s="179"/>
      <c r="B656" s="180"/>
      <c r="C656" s="180"/>
      <c r="D656" s="179"/>
      <c r="E656" s="179"/>
      <c r="F656" s="179"/>
      <c r="G656" s="179"/>
      <c r="H656" s="181"/>
      <c r="I656" s="181"/>
      <c r="J656" s="181"/>
      <c r="K656" s="179"/>
      <c r="L656" s="179"/>
      <c r="M656" s="179"/>
      <c r="N656" s="181"/>
      <c r="O656" s="179"/>
      <c r="P656" s="179"/>
      <c r="Q656" s="179"/>
      <c r="R656" s="179"/>
      <c r="S656" s="179"/>
      <c r="T656" s="179"/>
      <c r="U656" s="179"/>
      <c r="V656" s="182"/>
      <c r="W656" s="175"/>
      <c r="X656" s="176"/>
    </row>
    <row r="657" spans="1:24" ht="15.75" customHeight="1">
      <c r="A657" s="179"/>
      <c r="B657" s="180"/>
      <c r="C657" s="180"/>
      <c r="D657" s="179"/>
      <c r="E657" s="179"/>
      <c r="F657" s="179"/>
      <c r="G657" s="179"/>
      <c r="H657" s="181"/>
      <c r="I657" s="181"/>
      <c r="J657" s="181"/>
      <c r="K657" s="179"/>
      <c r="L657" s="179"/>
      <c r="M657" s="179"/>
      <c r="N657" s="181"/>
      <c r="O657" s="179"/>
      <c r="P657" s="179"/>
      <c r="Q657" s="179"/>
      <c r="R657" s="179"/>
      <c r="S657" s="179"/>
      <c r="T657" s="179"/>
      <c r="U657" s="179"/>
      <c r="V657" s="182"/>
      <c r="W657" s="175"/>
      <c r="X657" s="176"/>
    </row>
    <row r="658" spans="1:24" ht="15.75" customHeight="1">
      <c r="A658" s="179"/>
      <c r="B658" s="180"/>
      <c r="C658" s="180"/>
      <c r="D658" s="179"/>
      <c r="E658" s="179"/>
      <c r="F658" s="179"/>
      <c r="G658" s="179"/>
      <c r="H658" s="181"/>
      <c r="I658" s="181"/>
      <c r="J658" s="181"/>
      <c r="K658" s="179"/>
      <c r="L658" s="179"/>
      <c r="M658" s="179"/>
      <c r="N658" s="181"/>
      <c r="O658" s="179"/>
      <c r="P658" s="179"/>
      <c r="Q658" s="179"/>
      <c r="R658" s="179"/>
      <c r="S658" s="179"/>
      <c r="T658" s="179"/>
      <c r="U658" s="179"/>
      <c r="V658" s="182"/>
      <c r="W658" s="175"/>
      <c r="X658" s="176"/>
    </row>
    <row r="659" spans="1:24" ht="15.75" customHeight="1">
      <c r="A659" s="179"/>
      <c r="B659" s="180"/>
      <c r="C659" s="180"/>
      <c r="D659" s="179"/>
      <c r="E659" s="179"/>
      <c r="F659" s="179"/>
      <c r="G659" s="179"/>
      <c r="H659" s="181"/>
      <c r="I659" s="181"/>
      <c r="J659" s="181"/>
      <c r="K659" s="179"/>
      <c r="L659" s="179"/>
      <c r="M659" s="179"/>
      <c r="N659" s="181"/>
      <c r="O659" s="179"/>
      <c r="P659" s="179"/>
      <c r="Q659" s="179"/>
      <c r="R659" s="179"/>
      <c r="S659" s="179"/>
      <c r="T659" s="179"/>
      <c r="U659" s="179"/>
      <c r="V659" s="182"/>
      <c r="W659" s="175"/>
      <c r="X659" s="176"/>
    </row>
    <row r="660" spans="1:24" ht="15.75" customHeight="1">
      <c r="A660" s="179"/>
      <c r="B660" s="180"/>
      <c r="C660" s="180"/>
      <c r="D660" s="179"/>
      <c r="E660" s="179"/>
      <c r="F660" s="179"/>
      <c r="G660" s="179"/>
      <c r="H660" s="181"/>
      <c r="I660" s="181"/>
      <c r="J660" s="181"/>
      <c r="K660" s="179"/>
      <c r="L660" s="179"/>
      <c r="M660" s="179"/>
      <c r="N660" s="181"/>
      <c r="O660" s="179"/>
      <c r="P660" s="179"/>
      <c r="Q660" s="179"/>
      <c r="R660" s="179"/>
      <c r="S660" s="179"/>
      <c r="T660" s="179"/>
      <c r="U660" s="179"/>
      <c r="V660" s="182"/>
      <c r="W660" s="175"/>
      <c r="X660" s="176"/>
    </row>
    <row r="661" spans="1:24" ht="15.75" customHeight="1">
      <c r="A661" s="179"/>
      <c r="B661" s="180"/>
      <c r="C661" s="180"/>
      <c r="D661" s="179"/>
      <c r="E661" s="179"/>
      <c r="F661" s="179"/>
      <c r="G661" s="179"/>
      <c r="H661" s="181"/>
      <c r="I661" s="181"/>
      <c r="J661" s="181"/>
      <c r="K661" s="179"/>
      <c r="L661" s="179"/>
      <c r="M661" s="179"/>
      <c r="N661" s="181"/>
      <c r="O661" s="179"/>
      <c r="P661" s="179"/>
      <c r="Q661" s="179"/>
      <c r="R661" s="179"/>
      <c r="S661" s="179"/>
      <c r="T661" s="179"/>
      <c r="U661" s="179"/>
      <c r="V661" s="182"/>
      <c r="W661" s="175"/>
      <c r="X661" s="176"/>
    </row>
    <row r="662" spans="1:24" ht="15.75" customHeight="1">
      <c r="A662" s="179"/>
      <c r="B662" s="180"/>
      <c r="C662" s="180"/>
      <c r="D662" s="179"/>
      <c r="E662" s="179"/>
      <c r="F662" s="179"/>
      <c r="G662" s="179"/>
      <c r="H662" s="181"/>
      <c r="I662" s="181"/>
      <c r="J662" s="181"/>
      <c r="K662" s="179"/>
      <c r="L662" s="179"/>
      <c r="M662" s="179"/>
      <c r="N662" s="181"/>
      <c r="O662" s="179"/>
      <c r="P662" s="179"/>
      <c r="Q662" s="179"/>
      <c r="R662" s="179"/>
      <c r="S662" s="179"/>
      <c r="T662" s="179"/>
      <c r="U662" s="179"/>
      <c r="V662" s="182"/>
      <c r="W662" s="175"/>
      <c r="X662" s="176"/>
    </row>
    <row r="663" spans="1:24" ht="15.75" customHeight="1">
      <c r="A663" s="179"/>
      <c r="B663" s="180"/>
      <c r="C663" s="180"/>
      <c r="D663" s="179"/>
      <c r="E663" s="179"/>
      <c r="F663" s="179"/>
      <c r="G663" s="179"/>
      <c r="H663" s="181"/>
      <c r="I663" s="181"/>
      <c r="J663" s="181"/>
      <c r="K663" s="179"/>
      <c r="L663" s="179"/>
      <c r="M663" s="179"/>
      <c r="N663" s="181"/>
      <c r="O663" s="179"/>
      <c r="P663" s="179"/>
      <c r="Q663" s="179"/>
      <c r="R663" s="179"/>
      <c r="S663" s="179"/>
      <c r="T663" s="179"/>
      <c r="U663" s="179"/>
      <c r="V663" s="182"/>
      <c r="W663" s="175"/>
      <c r="X663" s="176"/>
    </row>
    <row r="664" spans="1:24" ht="15.75" customHeight="1">
      <c r="A664" s="179"/>
      <c r="B664" s="180"/>
      <c r="C664" s="180"/>
      <c r="D664" s="179"/>
      <c r="E664" s="179"/>
      <c r="F664" s="179"/>
      <c r="G664" s="179"/>
      <c r="H664" s="181"/>
      <c r="I664" s="181"/>
      <c r="J664" s="181"/>
      <c r="K664" s="179"/>
      <c r="L664" s="179"/>
      <c r="M664" s="179"/>
      <c r="N664" s="181"/>
      <c r="O664" s="179"/>
      <c r="P664" s="179"/>
      <c r="Q664" s="179"/>
      <c r="R664" s="179"/>
      <c r="S664" s="179"/>
      <c r="T664" s="179"/>
      <c r="U664" s="179"/>
      <c r="V664" s="182"/>
      <c r="W664" s="175"/>
      <c r="X664" s="176"/>
    </row>
    <row r="665" spans="1:24" ht="15.75" customHeight="1">
      <c r="A665" s="179"/>
      <c r="B665" s="180"/>
      <c r="C665" s="180"/>
      <c r="D665" s="179"/>
      <c r="E665" s="179"/>
      <c r="F665" s="179"/>
      <c r="G665" s="179"/>
      <c r="H665" s="181"/>
      <c r="I665" s="181"/>
      <c r="J665" s="181"/>
      <c r="K665" s="179"/>
      <c r="L665" s="179"/>
      <c r="M665" s="179"/>
      <c r="N665" s="181"/>
      <c r="O665" s="179"/>
      <c r="P665" s="179"/>
      <c r="Q665" s="179"/>
      <c r="R665" s="179"/>
      <c r="S665" s="179"/>
      <c r="T665" s="179"/>
      <c r="U665" s="179"/>
      <c r="V665" s="182"/>
      <c r="W665" s="175"/>
      <c r="X665" s="176"/>
    </row>
    <row r="666" spans="1:24" ht="15.75" customHeight="1">
      <c r="A666" s="179"/>
      <c r="B666" s="180"/>
      <c r="C666" s="180"/>
      <c r="D666" s="179"/>
      <c r="E666" s="179"/>
      <c r="F666" s="179"/>
      <c r="G666" s="179"/>
      <c r="H666" s="181"/>
      <c r="I666" s="181"/>
      <c r="J666" s="181"/>
      <c r="K666" s="179"/>
      <c r="L666" s="179"/>
      <c r="M666" s="179"/>
      <c r="N666" s="181"/>
      <c r="O666" s="179"/>
      <c r="P666" s="179"/>
      <c r="Q666" s="179"/>
      <c r="R666" s="179"/>
      <c r="S666" s="179"/>
      <c r="T666" s="179"/>
      <c r="U666" s="179"/>
      <c r="V666" s="182"/>
      <c r="W666" s="175"/>
      <c r="X666" s="176"/>
    </row>
    <row r="667" spans="1:24" ht="15.75" customHeight="1">
      <c r="A667" s="179"/>
      <c r="B667" s="180"/>
      <c r="C667" s="180"/>
      <c r="D667" s="179"/>
      <c r="E667" s="179"/>
      <c r="F667" s="179"/>
      <c r="G667" s="179"/>
      <c r="H667" s="181"/>
      <c r="I667" s="181"/>
      <c r="J667" s="181"/>
      <c r="K667" s="179"/>
      <c r="L667" s="179"/>
      <c r="M667" s="179"/>
      <c r="N667" s="181"/>
      <c r="O667" s="179"/>
      <c r="P667" s="179"/>
      <c r="Q667" s="179"/>
      <c r="R667" s="179"/>
      <c r="S667" s="179"/>
      <c r="T667" s="179"/>
      <c r="U667" s="179"/>
      <c r="V667" s="182"/>
      <c r="W667" s="175"/>
      <c r="X667" s="176"/>
    </row>
    <row r="668" spans="1:24" ht="15.75" customHeight="1">
      <c r="A668" s="179"/>
      <c r="B668" s="180"/>
      <c r="C668" s="180"/>
      <c r="D668" s="179"/>
      <c r="E668" s="179"/>
      <c r="F668" s="179"/>
      <c r="G668" s="179"/>
      <c r="H668" s="181"/>
      <c r="I668" s="181"/>
      <c r="J668" s="181"/>
      <c r="K668" s="179"/>
      <c r="L668" s="179"/>
      <c r="M668" s="179"/>
      <c r="N668" s="181"/>
      <c r="O668" s="179"/>
      <c r="P668" s="179"/>
      <c r="Q668" s="179"/>
      <c r="R668" s="179"/>
      <c r="S668" s="179"/>
      <c r="T668" s="179"/>
      <c r="U668" s="179"/>
      <c r="V668" s="182"/>
      <c r="W668" s="175"/>
      <c r="X668" s="176"/>
    </row>
    <row r="669" spans="1:24" ht="15.75" customHeight="1">
      <c r="A669" s="179"/>
      <c r="B669" s="180"/>
      <c r="C669" s="180"/>
      <c r="D669" s="179"/>
      <c r="E669" s="179"/>
      <c r="F669" s="179"/>
      <c r="G669" s="179"/>
      <c r="H669" s="181"/>
      <c r="I669" s="181"/>
      <c r="J669" s="181"/>
      <c r="K669" s="179"/>
      <c r="L669" s="179"/>
      <c r="M669" s="179"/>
      <c r="N669" s="181"/>
      <c r="O669" s="179"/>
      <c r="P669" s="179"/>
      <c r="Q669" s="179"/>
      <c r="R669" s="179"/>
      <c r="S669" s="179"/>
      <c r="T669" s="179"/>
      <c r="U669" s="179"/>
      <c r="V669" s="182"/>
      <c r="W669" s="175"/>
      <c r="X669" s="176"/>
    </row>
    <row r="670" spans="1:24" ht="15.75" customHeight="1">
      <c r="A670" s="179"/>
      <c r="B670" s="180"/>
      <c r="C670" s="180"/>
      <c r="D670" s="179"/>
      <c r="E670" s="179"/>
      <c r="F670" s="179"/>
      <c r="G670" s="179"/>
      <c r="H670" s="181"/>
      <c r="I670" s="181"/>
      <c r="J670" s="181"/>
      <c r="K670" s="179"/>
      <c r="L670" s="179"/>
      <c r="M670" s="179"/>
      <c r="N670" s="181"/>
      <c r="O670" s="179"/>
      <c r="P670" s="179"/>
      <c r="Q670" s="179"/>
      <c r="R670" s="179"/>
      <c r="S670" s="179"/>
      <c r="T670" s="179"/>
      <c r="U670" s="179"/>
      <c r="V670" s="182"/>
      <c r="W670" s="175"/>
      <c r="X670" s="176"/>
    </row>
    <row r="671" spans="1:24" ht="15.75" customHeight="1">
      <c r="A671" s="179"/>
      <c r="B671" s="180"/>
      <c r="C671" s="180"/>
      <c r="D671" s="179"/>
      <c r="E671" s="179"/>
      <c r="F671" s="179"/>
      <c r="G671" s="179"/>
      <c r="H671" s="181"/>
      <c r="I671" s="181"/>
      <c r="J671" s="181"/>
      <c r="K671" s="179"/>
      <c r="L671" s="179"/>
      <c r="M671" s="179"/>
      <c r="N671" s="181"/>
      <c r="O671" s="179"/>
      <c r="P671" s="179"/>
      <c r="Q671" s="179"/>
      <c r="R671" s="179"/>
      <c r="S671" s="179"/>
      <c r="T671" s="179"/>
      <c r="U671" s="179"/>
      <c r="V671" s="182"/>
      <c r="W671" s="175"/>
      <c r="X671" s="176"/>
    </row>
    <row r="672" spans="1:24" ht="15.75" customHeight="1">
      <c r="A672" s="179"/>
      <c r="B672" s="180"/>
      <c r="C672" s="180"/>
      <c r="D672" s="179"/>
      <c r="E672" s="179"/>
      <c r="F672" s="179"/>
      <c r="G672" s="179"/>
      <c r="H672" s="181"/>
      <c r="I672" s="181"/>
      <c r="J672" s="181"/>
      <c r="K672" s="179"/>
      <c r="L672" s="179"/>
      <c r="M672" s="179"/>
      <c r="N672" s="181"/>
      <c r="O672" s="179"/>
      <c r="P672" s="179"/>
      <c r="Q672" s="179"/>
      <c r="R672" s="179"/>
      <c r="S672" s="179"/>
      <c r="T672" s="179"/>
      <c r="U672" s="179"/>
      <c r="V672" s="182"/>
      <c r="W672" s="175"/>
      <c r="X672" s="176"/>
    </row>
    <row r="673" spans="1:24" ht="15.75" customHeight="1">
      <c r="A673" s="179"/>
      <c r="B673" s="180"/>
      <c r="C673" s="180"/>
      <c r="D673" s="179"/>
      <c r="E673" s="179"/>
      <c r="F673" s="179"/>
      <c r="G673" s="179"/>
      <c r="H673" s="181"/>
      <c r="I673" s="181"/>
      <c r="J673" s="181"/>
      <c r="K673" s="179"/>
      <c r="L673" s="179"/>
      <c r="M673" s="179"/>
      <c r="N673" s="181"/>
      <c r="O673" s="179"/>
      <c r="P673" s="179"/>
      <c r="Q673" s="179"/>
      <c r="R673" s="179"/>
      <c r="S673" s="179"/>
      <c r="T673" s="179"/>
      <c r="U673" s="179"/>
      <c r="V673" s="182"/>
      <c r="W673" s="175"/>
      <c r="X673" s="176"/>
    </row>
    <row r="674" spans="1:24" ht="15.75" customHeight="1">
      <c r="A674" s="179"/>
      <c r="B674" s="180"/>
      <c r="C674" s="180"/>
      <c r="D674" s="179"/>
      <c r="E674" s="179"/>
      <c r="F674" s="179"/>
      <c r="G674" s="179"/>
      <c r="H674" s="181"/>
      <c r="I674" s="181"/>
      <c r="J674" s="181"/>
      <c r="K674" s="179"/>
      <c r="L674" s="179"/>
      <c r="M674" s="179"/>
      <c r="N674" s="181"/>
      <c r="O674" s="179"/>
      <c r="P674" s="179"/>
      <c r="Q674" s="179"/>
      <c r="R674" s="179"/>
      <c r="S674" s="179"/>
      <c r="T674" s="179"/>
      <c r="U674" s="179"/>
      <c r="V674" s="182"/>
      <c r="W674" s="175"/>
      <c r="X674" s="176"/>
    </row>
    <row r="675" spans="1:24" ht="15.75" customHeight="1">
      <c r="A675" s="179"/>
      <c r="B675" s="180"/>
      <c r="C675" s="180"/>
      <c r="D675" s="179"/>
      <c r="E675" s="179"/>
      <c r="F675" s="179"/>
      <c r="G675" s="179"/>
      <c r="H675" s="181"/>
      <c r="I675" s="181"/>
      <c r="J675" s="181"/>
      <c r="K675" s="179"/>
      <c r="L675" s="179"/>
      <c r="M675" s="179"/>
      <c r="N675" s="181"/>
      <c r="O675" s="179"/>
      <c r="P675" s="179"/>
      <c r="Q675" s="179"/>
      <c r="R675" s="179"/>
      <c r="S675" s="179"/>
      <c r="T675" s="179"/>
      <c r="U675" s="179"/>
      <c r="V675" s="182"/>
      <c r="W675" s="175"/>
      <c r="X675" s="176"/>
    </row>
    <row r="676" spans="1:24" ht="15.75" customHeight="1">
      <c r="A676" s="179"/>
      <c r="B676" s="180"/>
      <c r="C676" s="180"/>
      <c r="D676" s="179"/>
      <c r="E676" s="179"/>
      <c r="F676" s="179"/>
      <c r="G676" s="179"/>
      <c r="H676" s="181"/>
      <c r="I676" s="181"/>
      <c r="J676" s="181"/>
      <c r="K676" s="179"/>
      <c r="L676" s="179"/>
      <c r="M676" s="179"/>
      <c r="N676" s="181"/>
      <c r="O676" s="179"/>
      <c r="P676" s="179"/>
      <c r="Q676" s="179"/>
      <c r="R676" s="179"/>
      <c r="S676" s="179"/>
      <c r="T676" s="179"/>
      <c r="U676" s="179"/>
      <c r="V676" s="182"/>
      <c r="W676" s="175"/>
      <c r="X676" s="176"/>
    </row>
    <row r="677" spans="1:24" ht="15.75" customHeight="1">
      <c r="A677" s="179"/>
      <c r="B677" s="180"/>
      <c r="C677" s="180"/>
      <c r="D677" s="179"/>
      <c r="E677" s="179"/>
      <c r="F677" s="179"/>
      <c r="G677" s="179"/>
      <c r="H677" s="181"/>
      <c r="I677" s="181"/>
      <c r="J677" s="181"/>
      <c r="K677" s="179"/>
      <c r="L677" s="179"/>
      <c r="M677" s="179"/>
      <c r="N677" s="181"/>
      <c r="O677" s="179"/>
      <c r="P677" s="179"/>
      <c r="Q677" s="179"/>
      <c r="R677" s="179"/>
      <c r="S677" s="179"/>
      <c r="T677" s="179"/>
      <c r="U677" s="179"/>
      <c r="V677" s="182"/>
      <c r="W677" s="175"/>
      <c r="X677" s="176"/>
    </row>
    <row r="678" spans="1:24" ht="15.75" customHeight="1">
      <c r="A678" s="179"/>
      <c r="B678" s="180"/>
      <c r="C678" s="180"/>
      <c r="D678" s="179"/>
      <c r="E678" s="179"/>
      <c r="F678" s="179"/>
      <c r="G678" s="179"/>
      <c r="H678" s="181"/>
      <c r="I678" s="181"/>
      <c r="J678" s="181"/>
      <c r="K678" s="179"/>
      <c r="L678" s="179"/>
      <c r="M678" s="179"/>
      <c r="N678" s="181"/>
      <c r="O678" s="179"/>
      <c r="P678" s="179"/>
      <c r="Q678" s="179"/>
      <c r="R678" s="179"/>
      <c r="S678" s="179"/>
      <c r="T678" s="179"/>
      <c r="U678" s="179"/>
      <c r="V678" s="182"/>
      <c r="W678" s="175"/>
      <c r="X678" s="176"/>
    </row>
    <row r="679" spans="1:24" ht="15.75" customHeight="1">
      <c r="A679" s="179"/>
      <c r="B679" s="180"/>
      <c r="C679" s="180"/>
      <c r="D679" s="179"/>
      <c r="E679" s="179"/>
      <c r="F679" s="179"/>
      <c r="G679" s="179"/>
      <c r="H679" s="181"/>
      <c r="I679" s="181"/>
      <c r="J679" s="181"/>
      <c r="K679" s="179"/>
      <c r="L679" s="179"/>
      <c r="M679" s="179"/>
      <c r="N679" s="181"/>
      <c r="O679" s="179"/>
      <c r="P679" s="179"/>
      <c r="Q679" s="179"/>
      <c r="R679" s="179"/>
      <c r="S679" s="179"/>
      <c r="T679" s="179"/>
      <c r="U679" s="179"/>
      <c r="V679" s="182"/>
      <c r="W679" s="175"/>
      <c r="X679" s="176"/>
    </row>
    <row r="680" spans="1:24" ht="15.75" customHeight="1">
      <c r="A680" s="179"/>
      <c r="B680" s="180"/>
      <c r="C680" s="180"/>
      <c r="D680" s="179"/>
      <c r="E680" s="179"/>
      <c r="F680" s="179"/>
      <c r="G680" s="179"/>
      <c r="H680" s="181"/>
      <c r="I680" s="181"/>
      <c r="J680" s="181"/>
      <c r="K680" s="179"/>
      <c r="L680" s="179"/>
      <c r="M680" s="179"/>
      <c r="N680" s="181"/>
      <c r="O680" s="179"/>
      <c r="P680" s="179"/>
      <c r="Q680" s="179"/>
      <c r="R680" s="179"/>
      <c r="S680" s="179"/>
      <c r="T680" s="179"/>
      <c r="U680" s="179"/>
      <c r="V680" s="182"/>
      <c r="W680" s="175"/>
      <c r="X680" s="176"/>
    </row>
    <row r="681" spans="1:24" ht="15.75" customHeight="1">
      <c r="A681" s="179"/>
      <c r="B681" s="180"/>
      <c r="C681" s="180"/>
      <c r="D681" s="179"/>
      <c r="E681" s="179"/>
      <c r="F681" s="179"/>
      <c r="G681" s="179"/>
      <c r="H681" s="181"/>
      <c r="I681" s="181"/>
      <c r="J681" s="181"/>
      <c r="K681" s="179"/>
      <c r="L681" s="179"/>
      <c r="M681" s="179"/>
      <c r="N681" s="181"/>
      <c r="O681" s="179"/>
      <c r="P681" s="179"/>
      <c r="Q681" s="179"/>
      <c r="R681" s="179"/>
      <c r="S681" s="179"/>
      <c r="T681" s="179"/>
      <c r="U681" s="179"/>
      <c r="V681" s="182"/>
      <c r="W681" s="175"/>
      <c r="X681" s="176"/>
    </row>
    <row r="682" spans="1:24" ht="15.75" customHeight="1">
      <c r="A682" s="179"/>
      <c r="B682" s="180"/>
      <c r="C682" s="180"/>
      <c r="D682" s="179"/>
      <c r="E682" s="179"/>
      <c r="F682" s="179"/>
      <c r="G682" s="179"/>
      <c r="H682" s="181"/>
      <c r="I682" s="181"/>
      <c r="J682" s="181"/>
      <c r="K682" s="179"/>
      <c r="L682" s="179"/>
      <c r="M682" s="179"/>
      <c r="N682" s="181"/>
      <c r="O682" s="179"/>
      <c r="P682" s="179"/>
      <c r="Q682" s="179"/>
      <c r="R682" s="179"/>
      <c r="S682" s="179"/>
      <c r="T682" s="179"/>
      <c r="U682" s="179"/>
      <c r="V682" s="182"/>
      <c r="W682" s="175"/>
      <c r="X682" s="176"/>
    </row>
    <row r="683" spans="1:24" ht="15.75" customHeight="1">
      <c r="A683" s="179"/>
      <c r="B683" s="180"/>
      <c r="C683" s="180"/>
      <c r="D683" s="179"/>
      <c r="E683" s="179"/>
      <c r="F683" s="179"/>
      <c r="G683" s="179"/>
      <c r="H683" s="181"/>
      <c r="I683" s="181"/>
      <c r="J683" s="181"/>
      <c r="K683" s="179"/>
      <c r="L683" s="179"/>
      <c r="M683" s="179"/>
      <c r="N683" s="181"/>
      <c r="O683" s="179"/>
      <c r="P683" s="179"/>
      <c r="Q683" s="179"/>
      <c r="R683" s="179"/>
      <c r="S683" s="179"/>
      <c r="T683" s="179"/>
      <c r="U683" s="179"/>
      <c r="V683" s="182"/>
      <c r="W683" s="175"/>
      <c r="X683" s="176"/>
    </row>
    <row r="684" spans="1:24" ht="15.75" customHeight="1">
      <c r="A684" s="179"/>
      <c r="B684" s="180"/>
      <c r="C684" s="180"/>
      <c r="D684" s="179"/>
      <c r="E684" s="179"/>
      <c r="F684" s="179"/>
      <c r="G684" s="179"/>
      <c r="H684" s="181"/>
      <c r="I684" s="181"/>
      <c r="J684" s="181"/>
      <c r="K684" s="179"/>
      <c r="L684" s="179"/>
      <c r="M684" s="179"/>
      <c r="N684" s="181"/>
      <c r="O684" s="179"/>
      <c r="P684" s="179"/>
      <c r="Q684" s="179"/>
      <c r="R684" s="179"/>
      <c r="S684" s="179"/>
      <c r="T684" s="179"/>
      <c r="U684" s="179"/>
      <c r="V684" s="182"/>
      <c r="W684" s="175"/>
      <c r="X684" s="176"/>
    </row>
    <row r="685" spans="1:24" ht="15.75" customHeight="1">
      <c r="A685" s="179"/>
      <c r="B685" s="180"/>
      <c r="C685" s="180"/>
      <c r="D685" s="179"/>
      <c r="E685" s="179"/>
      <c r="F685" s="179"/>
      <c r="G685" s="179"/>
      <c r="H685" s="181"/>
      <c r="I685" s="181"/>
      <c r="J685" s="181"/>
      <c r="K685" s="179"/>
      <c r="L685" s="179"/>
      <c r="M685" s="179"/>
      <c r="N685" s="181"/>
      <c r="O685" s="179"/>
      <c r="P685" s="179"/>
      <c r="Q685" s="179"/>
      <c r="R685" s="179"/>
      <c r="S685" s="179"/>
      <c r="T685" s="179"/>
      <c r="U685" s="179"/>
      <c r="V685" s="182"/>
      <c r="W685" s="175"/>
      <c r="X685" s="176"/>
    </row>
    <row r="686" spans="1:24" ht="15.75" customHeight="1">
      <c r="A686" s="179"/>
      <c r="B686" s="180"/>
      <c r="C686" s="180"/>
      <c r="D686" s="179"/>
      <c r="E686" s="179"/>
      <c r="F686" s="179"/>
      <c r="G686" s="179"/>
      <c r="H686" s="181"/>
      <c r="I686" s="181"/>
      <c r="J686" s="181"/>
      <c r="K686" s="179"/>
      <c r="L686" s="179"/>
      <c r="M686" s="179"/>
      <c r="N686" s="181"/>
      <c r="O686" s="179"/>
      <c r="P686" s="179"/>
      <c r="Q686" s="179"/>
      <c r="R686" s="179"/>
      <c r="S686" s="179"/>
      <c r="T686" s="179"/>
      <c r="U686" s="179"/>
      <c r="V686" s="182"/>
      <c r="W686" s="175"/>
      <c r="X686" s="176"/>
    </row>
    <row r="687" spans="1:24" ht="15.75" customHeight="1">
      <c r="A687" s="179"/>
      <c r="B687" s="180"/>
      <c r="C687" s="180"/>
      <c r="D687" s="179"/>
      <c r="E687" s="179"/>
      <c r="F687" s="179"/>
      <c r="G687" s="179"/>
      <c r="H687" s="181"/>
      <c r="I687" s="181"/>
      <c r="J687" s="181"/>
      <c r="K687" s="179"/>
      <c r="L687" s="179"/>
      <c r="M687" s="179"/>
      <c r="N687" s="181"/>
      <c r="O687" s="179"/>
      <c r="P687" s="179"/>
      <c r="Q687" s="179"/>
      <c r="R687" s="179"/>
      <c r="S687" s="179"/>
      <c r="T687" s="179"/>
      <c r="U687" s="179"/>
      <c r="V687" s="182"/>
      <c r="W687" s="175"/>
      <c r="X687" s="176"/>
    </row>
    <row r="688" spans="1:24" ht="15.75" customHeight="1">
      <c r="A688" s="179"/>
      <c r="B688" s="180"/>
      <c r="C688" s="180"/>
      <c r="D688" s="179"/>
      <c r="E688" s="179"/>
      <c r="F688" s="179"/>
      <c r="G688" s="179"/>
      <c r="H688" s="181"/>
      <c r="I688" s="181"/>
      <c r="J688" s="181"/>
      <c r="K688" s="179"/>
      <c r="L688" s="179"/>
      <c r="M688" s="179"/>
      <c r="N688" s="181"/>
      <c r="O688" s="179"/>
      <c r="P688" s="179"/>
      <c r="Q688" s="179"/>
      <c r="R688" s="179"/>
      <c r="S688" s="179"/>
      <c r="T688" s="179"/>
      <c r="U688" s="179"/>
      <c r="V688" s="182"/>
      <c r="W688" s="175"/>
      <c r="X688" s="176"/>
    </row>
    <row r="689" spans="1:24" ht="15.75" customHeight="1">
      <c r="A689" s="179"/>
      <c r="B689" s="180"/>
      <c r="C689" s="180"/>
      <c r="D689" s="179"/>
      <c r="E689" s="179"/>
      <c r="F689" s="179"/>
      <c r="G689" s="179"/>
      <c r="H689" s="181"/>
      <c r="I689" s="181"/>
      <c r="J689" s="181"/>
      <c r="K689" s="179"/>
      <c r="L689" s="179"/>
      <c r="M689" s="179"/>
      <c r="N689" s="181"/>
      <c r="O689" s="179"/>
      <c r="P689" s="179"/>
      <c r="Q689" s="179"/>
      <c r="R689" s="179"/>
      <c r="S689" s="179"/>
      <c r="T689" s="179"/>
      <c r="U689" s="179"/>
      <c r="V689" s="182"/>
      <c r="W689" s="175"/>
      <c r="X689" s="176"/>
    </row>
    <row r="690" spans="1:24" ht="15.75" customHeight="1">
      <c r="A690" s="179"/>
      <c r="B690" s="180"/>
      <c r="C690" s="180"/>
      <c r="D690" s="179"/>
      <c r="E690" s="179"/>
      <c r="F690" s="179"/>
      <c r="G690" s="179"/>
      <c r="H690" s="181"/>
      <c r="I690" s="181"/>
      <c r="J690" s="181"/>
      <c r="K690" s="179"/>
      <c r="L690" s="179"/>
      <c r="M690" s="179"/>
      <c r="N690" s="181"/>
      <c r="O690" s="179"/>
      <c r="P690" s="179"/>
      <c r="Q690" s="179"/>
      <c r="R690" s="179"/>
      <c r="S690" s="179"/>
      <c r="T690" s="179"/>
      <c r="U690" s="179"/>
      <c r="V690" s="182"/>
      <c r="W690" s="175"/>
      <c r="X690" s="176"/>
    </row>
    <row r="691" spans="1:24" ht="15.75" customHeight="1">
      <c r="A691" s="179"/>
      <c r="B691" s="180"/>
      <c r="C691" s="180"/>
      <c r="D691" s="179"/>
      <c r="E691" s="179"/>
      <c r="F691" s="179"/>
      <c r="G691" s="179"/>
      <c r="H691" s="181"/>
      <c r="I691" s="181"/>
      <c r="J691" s="181"/>
      <c r="K691" s="179"/>
      <c r="L691" s="179"/>
      <c r="M691" s="179"/>
      <c r="N691" s="181"/>
      <c r="O691" s="179"/>
      <c r="P691" s="179"/>
      <c r="Q691" s="179"/>
      <c r="R691" s="179"/>
      <c r="S691" s="179"/>
      <c r="T691" s="179"/>
      <c r="U691" s="179"/>
      <c r="V691" s="182"/>
      <c r="W691" s="175"/>
      <c r="X691" s="176"/>
    </row>
    <row r="692" spans="1:24" ht="15.75" customHeight="1">
      <c r="A692" s="179"/>
      <c r="B692" s="180"/>
      <c r="C692" s="180"/>
      <c r="D692" s="179"/>
      <c r="E692" s="179"/>
      <c r="F692" s="179"/>
      <c r="G692" s="179"/>
      <c r="H692" s="181"/>
      <c r="I692" s="181"/>
      <c r="J692" s="181"/>
      <c r="K692" s="179"/>
      <c r="L692" s="179"/>
      <c r="M692" s="179"/>
      <c r="N692" s="181"/>
      <c r="O692" s="179"/>
      <c r="P692" s="179"/>
      <c r="Q692" s="179"/>
      <c r="R692" s="179"/>
      <c r="S692" s="179"/>
      <c r="T692" s="179"/>
      <c r="U692" s="179"/>
      <c r="V692" s="182"/>
      <c r="W692" s="175"/>
      <c r="X692" s="176"/>
    </row>
    <row r="693" spans="1:24" ht="15.75" customHeight="1">
      <c r="A693" s="179"/>
      <c r="B693" s="180"/>
      <c r="C693" s="180"/>
      <c r="D693" s="179"/>
      <c r="E693" s="179"/>
      <c r="F693" s="179"/>
      <c r="G693" s="179"/>
      <c r="H693" s="181"/>
      <c r="I693" s="181"/>
      <c r="J693" s="181"/>
      <c r="K693" s="179"/>
      <c r="L693" s="179"/>
      <c r="M693" s="179"/>
      <c r="N693" s="181"/>
      <c r="O693" s="179"/>
      <c r="P693" s="179"/>
      <c r="Q693" s="179"/>
      <c r="R693" s="179"/>
      <c r="S693" s="179"/>
      <c r="T693" s="179"/>
      <c r="U693" s="179"/>
      <c r="V693" s="182"/>
      <c r="W693" s="175"/>
      <c r="X693" s="176"/>
    </row>
    <row r="694" spans="1:24" ht="15.75" customHeight="1">
      <c r="A694" s="179"/>
      <c r="B694" s="180"/>
      <c r="C694" s="180"/>
      <c r="D694" s="179"/>
      <c r="E694" s="179"/>
      <c r="F694" s="179"/>
      <c r="G694" s="179"/>
      <c r="H694" s="181"/>
      <c r="I694" s="181"/>
      <c r="J694" s="181"/>
      <c r="K694" s="179"/>
      <c r="L694" s="179"/>
      <c r="M694" s="179"/>
      <c r="N694" s="181"/>
      <c r="O694" s="179"/>
      <c r="P694" s="179"/>
      <c r="Q694" s="179"/>
      <c r="R694" s="179"/>
      <c r="S694" s="179"/>
      <c r="T694" s="179"/>
      <c r="U694" s="179"/>
      <c r="V694" s="182"/>
      <c r="W694" s="175"/>
      <c r="X694" s="176"/>
    </row>
    <row r="695" spans="1:24" ht="15.75" customHeight="1">
      <c r="A695" s="179"/>
      <c r="B695" s="180"/>
      <c r="C695" s="180"/>
      <c r="D695" s="179"/>
      <c r="E695" s="179"/>
      <c r="F695" s="179"/>
      <c r="G695" s="179"/>
      <c r="H695" s="181"/>
      <c r="I695" s="181"/>
      <c r="J695" s="181"/>
      <c r="K695" s="179"/>
      <c r="L695" s="179"/>
      <c r="M695" s="179"/>
      <c r="N695" s="181"/>
      <c r="O695" s="179"/>
      <c r="P695" s="179"/>
      <c r="Q695" s="179"/>
      <c r="R695" s="179"/>
      <c r="S695" s="179"/>
      <c r="T695" s="179"/>
      <c r="U695" s="179"/>
      <c r="V695" s="182"/>
      <c r="W695" s="175"/>
      <c r="X695" s="176"/>
    </row>
    <row r="696" spans="1:24" ht="15.75" customHeight="1">
      <c r="A696" s="179"/>
      <c r="B696" s="180"/>
      <c r="C696" s="180"/>
      <c r="D696" s="179"/>
      <c r="E696" s="179"/>
      <c r="F696" s="179"/>
      <c r="G696" s="179"/>
      <c r="H696" s="181"/>
      <c r="I696" s="181"/>
      <c r="J696" s="181"/>
      <c r="K696" s="179"/>
      <c r="L696" s="179"/>
      <c r="M696" s="179"/>
      <c r="N696" s="181"/>
      <c r="O696" s="179"/>
      <c r="P696" s="179"/>
      <c r="Q696" s="179"/>
      <c r="R696" s="179"/>
      <c r="S696" s="179"/>
      <c r="T696" s="179"/>
      <c r="U696" s="179"/>
      <c r="V696" s="182"/>
      <c r="W696" s="175"/>
      <c r="X696" s="176"/>
    </row>
    <row r="697" spans="1:24" ht="15.75" customHeight="1">
      <c r="A697" s="179"/>
      <c r="B697" s="180"/>
      <c r="C697" s="180"/>
      <c r="D697" s="179"/>
      <c r="E697" s="179"/>
      <c r="F697" s="179"/>
      <c r="G697" s="179"/>
      <c r="H697" s="181"/>
      <c r="I697" s="181"/>
      <c r="J697" s="181"/>
      <c r="K697" s="179"/>
      <c r="L697" s="179"/>
      <c r="M697" s="179"/>
      <c r="N697" s="181"/>
      <c r="O697" s="179"/>
      <c r="P697" s="179"/>
      <c r="Q697" s="179"/>
      <c r="R697" s="179"/>
      <c r="S697" s="179"/>
      <c r="T697" s="179"/>
      <c r="U697" s="179"/>
      <c r="V697" s="182"/>
      <c r="W697" s="175"/>
      <c r="X697" s="176"/>
    </row>
    <row r="698" spans="1:24" ht="15.75" customHeight="1">
      <c r="A698" s="179"/>
      <c r="B698" s="180"/>
      <c r="C698" s="180"/>
      <c r="D698" s="179"/>
      <c r="E698" s="179"/>
      <c r="F698" s="179"/>
      <c r="G698" s="179"/>
      <c r="H698" s="181"/>
      <c r="I698" s="181"/>
      <c r="J698" s="181"/>
      <c r="K698" s="179"/>
      <c r="L698" s="179"/>
      <c r="M698" s="179"/>
      <c r="N698" s="181"/>
      <c r="O698" s="179"/>
      <c r="P698" s="179"/>
      <c r="Q698" s="179"/>
      <c r="R698" s="179"/>
      <c r="S698" s="179"/>
      <c r="T698" s="179"/>
      <c r="U698" s="179"/>
      <c r="V698" s="182"/>
      <c r="W698" s="175"/>
      <c r="X698" s="176"/>
    </row>
    <row r="699" spans="1:24" ht="15.75" customHeight="1">
      <c r="A699" s="179"/>
      <c r="B699" s="180"/>
      <c r="C699" s="180"/>
      <c r="D699" s="179"/>
      <c r="E699" s="179"/>
      <c r="F699" s="179"/>
      <c r="G699" s="179"/>
      <c r="H699" s="181"/>
      <c r="I699" s="181"/>
      <c r="J699" s="181"/>
      <c r="K699" s="179"/>
      <c r="L699" s="179"/>
      <c r="M699" s="179"/>
      <c r="N699" s="181"/>
      <c r="O699" s="179"/>
      <c r="P699" s="179"/>
      <c r="Q699" s="179"/>
      <c r="R699" s="179"/>
      <c r="S699" s="179"/>
      <c r="T699" s="179"/>
      <c r="U699" s="179"/>
      <c r="V699" s="182"/>
      <c r="W699" s="175"/>
      <c r="X699" s="176"/>
    </row>
    <row r="700" spans="1:24" ht="15.75" customHeight="1">
      <c r="A700" s="179"/>
      <c r="B700" s="180"/>
      <c r="C700" s="180"/>
      <c r="D700" s="179"/>
      <c r="E700" s="179"/>
      <c r="F700" s="179"/>
      <c r="G700" s="179"/>
      <c r="H700" s="181"/>
      <c r="I700" s="181"/>
      <c r="J700" s="181"/>
      <c r="K700" s="179"/>
      <c r="L700" s="179"/>
      <c r="M700" s="179"/>
      <c r="N700" s="181"/>
      <c r="O700" s="179"/>
      <c r="P700" s="179"/>
      <c r="Q700" s="179"/>
      <c r="R700" s="179"/>
      <c r="S700" s="179"/>
      <c r="T700" s="179"/>
      <c r="U700" s="179"/>
      <c r="V700" s="182"/>
      <c r="W700" s="175"/>
      <c r="X700" s="176"/>
    </row>
    <row r="701" spans="1:24" ht="15.75" customHeight="1">
      <c r="A701" s="179"/>
      <c r="B701" s="180"/>
      <c r="C701" s="180"/>
      <c r="D701" s="179"/>
      <c r="E701" s="179"/>
      <c r="F701" s="179"/>
      <c r="G701" s="179"/>
      <c r="H701" s="181"/>
      <c r="I701" s="181"/>
      <c r="J701" s="181"/>
      <c r="K701" s="179"/>
      <c r="L701" s="179"/>
      <c r="M701" s="179"/>
      <c r="N701" s="181"/>
      <c r="O701" s="179"/>
      <c r="P701" s="179"/>
      <c r="Q701" s="179"/>
      <c r="R701" s="179"/>
      <c r="S701" s="179"/>
      <c r="T701" s="179"/>
      <c r="U701" s="179"/>
      <c r="V701" s="182"/>
      <c r="W701" s="175"/>
      <c r="X701" s="176"/>
    </row>
    <row r="702" spans="1:24" ht="15.75" customHeight="1">
      <c r="A702" s="179"/>
      <c r="B702" s="180"/>
      <c r="C702" s="180"/>
      <c r="D702" s="179"/>
      <c r="E702" s="179"/>
      <c r="F702" s="179"/>
      <c r="G702" s="179"/>
      <c r="H702" s="181"/>
      <c r="I702" s="181"/>
      <c r="J702" s="181"/>
      <c r="K702" s="179"/>
      <c r="L702" s="179"/>
      <c r="M702" s="179"/>
      <c r="N702" s="181"/>
      <c r="O702" s="179"/>
      <c r="P702" s="179"/>
      <c r="Q702" s="179"/>
      <c r="R702" s="179"/>
      <c r="S702" s="179"/>
      <c r="T702" s="179"/>
      <c r="U702" s="179"/>
      <c r="V702" s="182"/>
      <c r="W702" s="175"/>
      <c r="X702" s="176"/>
    </row>
    <row r="703" spans="1:24" ht="15.75" customHeight="1">
      <c r="A703" s="179"/>
      <c r="B703" s="180"/>
      <c r="C703" s="180"/>
      <c r="D703" s="179"/>
      <c r="E703" s="179"/>
      <c r="F703" s="179"/>
      <c r="G703" s="179"/>
      <c r="H703" s="181"/>
      <c r="I703" s="181"/>
      <c r="J703" s="181"/>
      <c r="K703" s="179"/>
      <c r="L703" s="179"/>
      <c r="M703" s="179"/>
      <c r="N703" s="181"/>
      <c r="O703" s="179"/>
      <c r="P703" s="179"/>
      <c r="Q703" s="179"/>
      <c r="R703" s="179"/>
      <c r="S703" s="179"/>
      <c r="T703" s="179"/>
      <c r="U703" s="179"/>
      <c r="V703" s="182"/>
      <c r="W703" s="175"/>
      <c r="X703" s="176"/>
    </row>
    <row r="704" spans="1:24" ht="15.75" customHeight="1">
      <c r="A704" s="179"/>
      <c r="B704" s="180"/>
      <c r="C704" s="180"/>
      <c r="D704" s="179"/>
      <c r="E704" s="179"/>
      <c r="F704" s="179"/>
      <c r="G704" s="179"/>
      <c r="H704" s="181"/>
      <c r="I704" s="181"/>
      <c r="J704" s="181"/>
      <c r="K704" s="179"/>
      <c r="L704" s="179"/>
      <c r="M704" s="179"/>
      <c r="N704" s="181"/>
      <c r="O704" s="179"/>
      <c r="P704" s="179"/>
      <c r="Q704" s="179"/>
      <c r="R704" s="179"/>
      <c r="S704" s="179"/>
      <c r="T704" s="179"/>
      <c r="U704" s="179"/>
      <c r="V704" s="182"/>
      <c r="W704" s="175"/>
      <c r="X704" s="176"/>
    </row>
    <row r="705" spans="1:24" ht="15.75" customHeight="1">
      <c r="A705" s="179"/>
      <c r="B705" s="180"/>
      <c r="C705" s="180"/>
      <c r="D705" s="179"/>
      <c r="E705" s="179"/>
      <c r="F705" s="179"/>
      <c r="G705" s="179"/>
      <c r="H705" s="181"/>
      <c r="I705" s="181"/>
      <c r="J705" s="181"/>
      <c r="K705" s="179"/>
      <c r="L705" s="179"/>
      <c r="M705" s="179"/>
      <c r="N705" s="181"/>
      <c r="O705" s="179"/>
      <c r="P705" s="179"/>
      <c r="Q705" s="179"/>
      <c r="R705" s="179"/>
      <c r="S705" s="179"/>
      <c r="T705" s="179"/>
      <c r="U705" s="179"/>
      <c r="V705" s="182"/>
      <c r="W705" s="175"/>
      <c r="X705" s="176"/>
    </row>
    <row r="706" spans="1:24" ht="15.75" customHeight="1">
      <c r="A706" s="179"/>
      <c r="B706" s="180"/>
      <c r="C706" s="180"/>
      <c r="D706" s="179"/>
      <c r="E706" s="179"/>
      <c r="F706" s="179"/>
      <c r="G706" s="179"/>
      <c r="H706" s="181"/>
      <c r="I706" s="181"/>
      <c r="J706" s="181"/>
      <c r="K706" s="179"/>
      <c r="L706" s="179"/>
      <c r="M706" s="179"/>
      <c r="N706" s="181"/>
      <c r="O706" s="179"/>
      <c r="P706" s="179"/>
      <c r="Q706" s="179"/>
      <c r="R706" s="179"/>
      <c r="S706" s="179"/>
      <c r="T706" s="179"/>
      <c r="U706" s="179"/>
      <c r="V706" s="182"/>
      <c r="W706" s="175"/>
      <c r="X706" s="176"/>
    </row>
    <row r="707" spans="1:24" ht="15.75" customHeight="1">
      <c r="A707" s="179"/>
      <c r="B707" s="180"/>
      <c r="C707" s="180"/>
      <c r="D707" s="179"/>
      <c r="E707" s="179"/>
      <c r="F707" s="179"/>
      <c r="G707" s="179"/>
      <c r="H707" s="181"/>
      <c r="I707" s="181"/>
      <c r="J707" s="181"/>
      <c r="K707" s="179"/>
      <c r="L707" s="179"/>
      <c r="M707" s="179"/>
      <c r="N707" s="181"/>
      <c r="O707" s="179"/>
      <c r="P707" s="179"/>
      <c r="Q707" s="179"/>
      <c r="R707" s="179"/>
      <c r="S707" s="179"/>
      <c r="T707" s="179"/>
      <c r="U707" s="179"/>
      <c r="V707" s="182"/>
      <c r="W707" s="175"/>
      <c r="X707" s="176"/>
    </row>
    <row r="708" spans="1:24" ht="15.75" customHeight="1">
      <c r="A708" s="179"/>
      <c r="B708" s="180"/>
      <c r="C708" s="180"/>
      <c r="D708" s="179"/>
      <c r="E708" s="179"/>
      <c r="F708" s="179"/>
      <c r="G708" s="179"/>
      <c r="H708" s="181"/>
      <c r="I708" s="181"/>
      <c r="J708" s="181"/>
      <c r="K708" s="179"/>
      <c r="L708" s="179"/>
      <c r="M708" s="179"/>
      <c r="N708" s="181"/>
      <c r="O708" s="179"/>
      <c r="P708" s="179"/>
      <c r="Q708" s="179"/>
      <c r="R708" s="179"/>
      <c r="S708" s="179"/>
      <c r="T708" s="179"/>
      <c r="U708" s="179"/>
      <c r="V708" s="182"/>
      <c r="W708" s="175"/>
      <c r="X708" s="176"/>
    </row>
    <row r="709" spans="1:24" ht="15.75" customHeight="1">
      <c r="A709" s="179"/>
      <c r="B709" s="180"/>
      <c r="C709" s="180"/>
      <c r="D709" s="179"/>
      <c r="E709" s="179"/>
      <c r="F709" s="179"/>
      <c r="G709" s="179"/>
      <c r="H709" s="181"/>
      <c r="I709" s="181"/>
      <c r="J709" s="181"/>
      <c r="K709" s="179"/>
      <c r="L709" s="179"/>
      <c r="M709" s="179"/>
      <c r="N709" s="181"/>
      <c r="O709" s="179"/>
      <c r="P709" s="179"/>
      <c r="Q709" s="179"/>
      <c r="R709" s="179"/>
      <c r="S709" s="179"/>
      <c r="T709" s="179"/>
      <c r="U709" s="179"/>
      <c r="V709" s="182"/>
      <c r="W709" s="175"/>
      <c r="X709" s="176"/>
    </row>
    <row r="710" spans="1:24" ht="15.75" customHeight="1">
      <c r="A710" s="179"/>
      <c r="B710" s="180"/>
      <c r="C710" s="180"/>
      <c r="D710" s="179"/>
      <c r="E710" s="179"/>
      <c r="F710" s="179"/>
      <c r="G710" s="179"/>
      <c r="H710" s="181"/>
      <c r="I710" s="181"/>
      <c r="J710" s="181"/>
      <c r="K710" s="179"/>
      <c r="L710" s="179"/>
      <c r="M710" s="179"/>
      <c r="N710" s="181"/>
      <c r="O710" s="179"/>
      <c r="P710" s="179"/>
      <c r="Q710" s="179"/>
      <c r="R710" s="179"/>
      <c r="S710" s="179"/>
      <c r="T710" s="179"/>
      <c r="U710" s="179"/>
      <c r="V710" s="182"/>
      <c r="W710" s="175"/>
      <c r="X710" s="176"/>
    </row>
    <row r="711" spans="1:24" ht="15.75" customHeight="1">
      <c r="A711" s="179"/>
      <c r="B711" s="180"/>
      <c r="C711" s="180"/>
      <c r="D711" s="179"/>
      <c r="E711" s="179"/>
      <c r="F711" s="179"/>
      <c r="G711" s="179"/>
      <c r="H711" s="181"/>
      <c r="I711" s="181"/>
      <c r="J711" s="181"/>
      <c r="K711" s="179"/>
      <c r="L711" s="179"/>
      <c r="M711" s="179"/>
      <c r="N711" s="181"/>
      <c r="O711" s="179"/>
      <c r="P711" s="179"/>
      <c r="Q711" s="179"/>
      <c r="R711" s="179"/>
      <c r="S711" s="179"/>
      <c r="T711" s="179"/>
      <c r="U711" s="179"/>
      <c r="V711" s="182"/>
      <c r="W711" s="175"/>
      <c r="X711" s="176"/>
    </row>
    <row r="712" spans="1:24" ht="15.75" customHeight="1">
      <c r="A712" s="179"/>
      <c r="B712" s="180"/>
      <c r="C712" s="180"/>
      <c r="D712" s="179"/>
      <c r="E712" s="179"/>
      <c r="F712" s="179"/>
      <c r="G712" s="179"/>
      <c r="H712" s="181"/>
      <c r="I712" s="181"/>
      <c r="J712" s="181"/>
      <c r="K712" s="179"/>
      <c r="L712" s="179"/>
      <c r="M712" s="179"/>
      <c r="N712" s="181"/>
      <c r="O712" s="179"/>
      <c r="P712" s="179"/>
      <c r="Q712" s="179"/>
      <c r="R712" s="179"/>
      <c r="S712" s="179"/>
      <c r="T712" s="179"/>
      <c r="U712" s="179"/>
      <c r="V712" s="182"/>
      <c r="W712" s="175"/>
      <c r="X712" s="176"/>
    </row>
    <row r="713" spans="1:24" ht="15.75" customHeight="1">
      <c r="A713" s="179"/>
      <c r="B713" s="180"/>
      <c r="C713" s="180"/>
      <c r="D713" s="179"/>
      <c r="E713" s="179"/>
      <c r="F713" s="179"/>
      <c r="G713" s="179"/>
      <c r="H713" s="181"/>
      <c r="I713" s="181"/>
      <c r="J713" s="181"/>
      <c r="K713" s="179"/>
      <c r="L713" s="179"/>
      <c r="M713" s="179"/>
      <c r="N713" s="181"/>
      <c r="O713" s="179"/>
      <c r="P713" s="179"/>
      <c r="Q713" s="179"/>
      <c r="R713" s="179"/>
      <c r="S713" s="179"/>
      <c r="T713" s="179"/>
      <c r="U713" s="179"/>
      <c r="V713" s="182"/>
      <c r="W713" s="175"/>
      <c r="X713" s="176"/>
    </row>
    <row r="714" spans="1:24" ht="15.75" customHeight="1">
      <c r="A714" s="179"/>
      <c r="B714" s="180"/>
      <c r="C714" s="180"/>
      <c r="D714" s="179"/>
      <c r="E714" s="179"/>
      <c r="F714" s="179"/>
      <c r="G714" s="179"/>
      <c r="H714" s="181"/>
      <c r="I714" s="181"/>
      <c r="J714" s="181"/>
      <c r="K714" s="179"/>
      <c r="L714" s="179"/>
      <c r="M714" s="179"/>
      <c r="N714" s="181"/>
      <c r="O714" s="179"/>
      <c r="P714" s="179"/>
      <c r="Q714" s="179"/>
      <c r="R714" s="179"/>
      <c r="S714" s="179"/>
      <c r="T714" s="179"/>
      <c r="U714" s="179"/>
      <c r="V714" s="182"/>
      <c r="W714" s="175"/>
      <c r="X714" s="176"/>
    </row>
    <row r="715" spans="1:24" ht="15.75" customHeight="1">
      <c r="A715" s="179"/>
      <c r="B715" s="180"/>
      <c r="C715" s="180"/>
      <c r="D715" s="179"/>
      <c r="E715" s="179"/>
      <c r="F715" s="179"/>
      <c r="G715" s="179"/>
      <c r="H715" s="181"/>
      <c r="I715" s="181"/>
      <c r="J715" s="181"/>
      <c r="K715" s="179"/>
      <c r="L715" s="179"/>
      <c r="M715" s="179"/>
      <c r="N715" s="181"/>
      <c r="O715" s="179"/>
      <c r="P715" s="179"/>
      <c r="Q715" s="179"/>
      <c r="R715" s="179"/>
      <c r="S715" s="179"/>
      <c r="T715" s="179"/>
      <c r="U715" s="179"/>
      <c r="V715" s="182"/>
      <c r="W715" s="175"/>
      <c r="X715" s="176"/>
    </row>
    <row r="716" spans="1:24" ht="15.75" customHeight="1">
      <c r="A716" s="179"/>
      <c r="B716" s="180"/>
      <c r="C716" s="180"/>
      <c r="D716" s="179"/>
      <c r="E716" s="179"/>
      <c r="F716" s="179"/>
      <c r="G716" s="179"/>
      <c r="H716" s="181"/>
      <c r="I716" s="181"/>
      <c r="J716" s="181"/>
      <c r="K716" s="179"/>
      <c r="L716" s="179"/>
      <c r="M716" s="179"/>
      <c r="N716" s="181"/>
      <c r="O716" s="179"/>
      <c r="P716" s="179"/>
      <c r="Q716" s="179"/>
      <c r="R716" s="179"/>
      <c r="S716" s="179"/>
      <c r="T716" s="179"/>
      <c r="U716" s="179"/>
      <c r="V716" s="182"/>
      <c r="W716" s="175"/>
      <c r="X716" s="176"/>
    </row>
    <row r="717" spans="1:24" ht="15.75" customHeight="1">
      <c r="A717" s="179"/>
      <c r="B717" s="180"/>
      <c r="C717" s="180"/>
      <c r="D717" s="179"/>
      <c r="E717" s="179"/>
      <c r="F717" s="179"/>
      <c r="G717" s="179"/>
      <c r="H717" s="181"/>
      <c r="I717" s="181"/>
      <c r="J717" s="181"/>
      <c r="K717" s="179"/>
      <c r="L717" s="179"/>
      <c r="M717" s="179"/>
      <c r="N717" s="181"/>
      <c r="O717" s="179"/>
      <c r="P717" s="179"/>
      <c r="Q717" s="179"/>
      <c r="R717" s="179"/>
      <c r="S717" s="179"/>
      <c r="T717" s="179"/>
      <c r="U717" s="179"/>
      <c r="V717" s="182"/>
      <c r="W717" s="175"/>
      <c r="X717" s="176"/>
    </row>
    <row r="718" spans="1:24" ht="15.75" customHeight="1">
      <c r="A718" s="179"/>
      <c r="B718" s="180"/>
      <c r="C718" s="180"/>
      <c r="D718" s="179"/>
      <c r="E718" s="179"/>
      <c r="F718" s="179"/>
      <c r="G718" s="179"/>
      <c r="H718" s="181"/>
      <c r="I718" s="181"/>
      <c r="J718" s="181"/>
      <c r="K718" s="179"/>
      <c r="L718" s="179"/>
      <c r="M718" s="179"/>
      <c r="N718" s="181"/>
      <c r="O718" s="179"/>
      <c r="P718" s="179"/>
      <c r="Q718" s="179"/>
      <c r="R718" s="179"/>
      <c r="S718" s="179"/>
      <c r="T718" s="179"/>
      <c r="U718" s="179"/>
      <c r="V718" s="182"/>
      <c r="W718" s="175"/>
      <c r="X718" s="176"/>
    </row>
    <row r="719" spans="1:24" ht="15.75" customHeight="1">
      <c r="A719" s="179"/>
      <c r="B719" s="180"/>
      <c r="C719" s="180"/>
      <c r="D719" s="179"/>
      <c r="E719" s="179"/>
      <c r="F719" s="179"/>
      <c r="G719" s="179"/>
      <c r="H719" s="181"/>
      <c r="I719" s="181"/>
      <c r="J719" s="181"/>
      <c r="K719" s="179"/>
      <c r="L719" s="179"/>
      <c r="M719" s="179"/>
      <c r="N719" s="181"/>
      <c r="O719" s="179"/>
      <c r="P719" s="179"/>
      <c r="Q719" s="179"/>
      <c r="R719" s="179"/>
      <c r="S719" s="179"/>
      <c r="T719" s="179"/>
      <c r="U719" s="179"/>
      <c r="V719" s="182"/>
      <c r="W719" s="175"/>
      <c r="X719" s="176"/>
    </row>
    <row r="720" spans="1:24" ht="15.75" customHeight="1">
      <c r="A720" s="179"/>
      <c r="B720" s="180"/>
      <c r="C720" s="180"/>
      <c r="D720" s="179"/>
      <c r="E720" s="179"/>
      <c r="F720" s="179"/>
      <c r="G720" s="179"/>
      <c r="H720" s="181"/>
      <c r="I720" s="181"/>
      <c r="J720" s="181"/>
      <c r="K720" s="179"/>
      <c r="L720" s="179"/>
      <c r="M720" s="179"/>
      <c r="N720" s="181"/>
      <c r="O720" s="179"/>
      <c r="P720" s="179"/>
      <c r="Q720" s="179"/>
      <c r="R720" s="179"/>
      <c r="S720" s="179"/>
      <c r="T720" s="179"/>
      <c r="U720" s="179"/>
      <c r="V720" s="182"/>
      <c r="W720" s="175"/>
      <c r="X720" s="176"/>
    </row>
    <row r="721" spans="1:24" ht="15.75" customHeight="1">
      <c r="A721" s="179"/>
      <c r="B721" s="180"/>
      <c r="C721" s="180"/>
      <c r="D721" s="179"/>
      <c r="E721" s="179"/>
      <c r="F721" s="179"/>
      <c r="G721" s="179"/>
      <c r="H721" s="181"/>
      <c r="I721" s="181"/>
      <c r="J721" s="181"/>
      <c r="K721" s="179"/>
      <c r="L721" s="179"/>
      <c r="M721" s="179"/>
      <c r="N721" s="181"/>
      <c r="O721" s="179"/>
      <c r="P721" s="179"/>
      <c r="Q721" s="179"/>
      <c r="R721" s="179"/>
      <c r="S721" s="179"/>
      <c r="T721" s="179"/>
      <c r="U721" s="179"/>
      <c r="V721" s="182"/>
      <c r="W721" s="175"/>
      <c r="X721" s="176"/>
    </row>
    <row r="722" spans="1:24" ht="15.75" customHeight="1">
      <c r="A722" s="179"/>
      <c r="B722" s="180"/>
      <c r="C722" s="180"/>
      <c r="D722" s="179"/>
      <c r="E722" s="179"/>
      <c r="F722" s="179"/>
      <c r="G722" s="179"/>
      <c r="H722" s="181"/>
      <c r="I722" s="181"/>
      <c r="J722" s="181"/>
      <c r="K722" s="179"/>
      <c r="L722" s="179"/>
      <c r="M722" s="179"/>
      <c r="N722" s="181"/>
      <c r="O722" s="179"/>
      <c r="P722" s="179"/>
      <c r="Q722" s="179"/>
      <c r="R722" s="179"/>
      <c r="S722" s="179"/>
      <c r="T722" s="179"/>
      <c r="U722" s="179"/>
      <c r="V722" s="182"/>
      <c r="W722" s="175"/>
      <c r="X722" s="176"/>
    </row>
    <row r="723" spans="1:24" ht="15.75" customHeight="1">
      <c r="A723" s="179"/>
      <c r="B723" s="180"/>
      <c r="C723" s="180"/>
      <c r="D723" s="179"/>
      <c r="E723" s="179"/>
      <c r="F723" s="179"/>
      <c r="G723" s="179"/>
      <c r="H723" s="181"/>
      <c r="I723" s="181"/>
      <c r="J723" s="181"/>
      <c r="K723" s="179"/>
      <c r="L723" s="179"/>
      <c r="M723" s="179"/>
      <c r="N723" s="181"/>
      <c r="O723" s="179"/>
      <c r="P723" s="179"/>
      <c r="Q723" s="179"/>
      <c r="R723" s="179"/>
      <c r="S723" s="179"/>
      <c r="T723" s="179"/>
      <c r="U723" s="179"/>
      <c r="V723" s="182"/>
      <c r="W723" s="175"/>
      <c r="X723" s="176"/>
    </row>
    <row r="724" spans="1:24" ht="15.75" customHeight="1">
      <c r="A724" s="179"/>
      <c r="B724" s="180"/>
      <c r="C724" s="180"/>
      <c r="D724" s="179"/>
      <c r="E724" s="179"/>
      <c r="F724" s="179"/>
      <c r="G724" s="179"/>
      <c r="H724" s="181"/>
      <c r="I724" s="181"/>
      <c r="J724" s="181"/>
      <c r="K724" s="179"/>
      <c r="L724" s="179"/>
      <c r="M724" s="179"/>
      <c r="N724" s="181"/>
      <c r="O724" s="179"/>
      <c r="P724" s="179"/>
      <c r="Q724" s="179"/>
      <c r="R724" s="179"/>
      <c r="S724" s="179"/>
      <c r="T724" s="179"/>
      <c r="U724" s="179"/>
      <c r="V724" s="182"/>
      <c r="W724" s="175"/>
      <c r="X724" s="176"/>
    </row>
    <row r="725" spans="1:24" ht="15.75" customHeight="1">
      <c r="A725" s="179"/>
      <c r="B725" s="180"/>
      <c r="C725" s="180"/>
      <c r="D725" s="179"/>
      <c r="E725" s="179"/>
      <c r="F725" s="179"/>
      <c r="G725" s="179"/>
      <c r="H725" s="181"/>
      <c r="I725" s="181"/>
      <c r="J725" s="181"/>
      <c r="K725" s="179"/>
      <c r="L725" s="179"/>
      <c r="M725" s="179"/>
      <c r="N725" s="181"/>
      <c r="O725" s="179"/>
      <c r="P725" s="179"/>
      <c r="Q725" s="179"/>
      <c r="R725" s="179"/>
      <c r="S725" s="179"/>
      <c r="T725" s="179"/>
      <c r="U725" s="179"/>
      <c r="V725" s="182"/>
      <c r="W725" s="175"/>
      <c r="X725" s="176"/>
    </row>
    <row r="726" spans="1:24" ht="15.75" customHeight="1">
      <c r="A726" s="179"/>
      <c r="B726" s="180"/>
      <c r="C726" s="180"/>
      <c r="D726" s="179"/>
      <c r="E726" s="179"/>
      <c r="F726" s="179"/>
      <c r="G726" s="179"/>
      <c r="H726" s="181"/>
      <c r="I726" s="181"/>
      <c r="J726" s="181"/>
      <c r="K726" s="179"/>
      <c r="L726" s="179"/>
      <c r="M726" s="179"/>
      <c r="N726" s="181"/>
      <c r="O726" s="179"/>
      <c r="P726" s="179"/>
      <c r="Q726" s="179"/>
      <c r="R726" s="179"/>
      <c r="S726" s="179"/>
      <c r="T726" s="179"/>
      <c r="U726" s="179"/>
      <c r="V726" s="182"/>
      <c r="W726" s="175"/>
      <c r="X726" s="176"/>
    </row>
    <row r="727" spans="1:24" ht="15.75" customHeight="1">
      <c r="A727" s="179"/>
      <c r="B727" s="180"/>
      <c r="C727" s="180"/>
      <c r="D727" s="179"/>
      <c r="E727" s="179"/>
      <c r="F727" s="179"/>
      <c r="G727" s="179"/>
      <c r="H727" s="181"/>
      <c r="I727" s="181"/>
      <c r="J727" s="181"/>
      <c r="K727" s="179"/>
      <c r="L727" s="179"/>
      <c r="M727" s="179"/>
      <c r="N727" s="181"/>
      <c r="O727" s="179"/>
      <c r="P727" s="179"/>
      <c r="Q727" s="179"/>
      <c r="R727" s="179"/>
      <c r="S727" s="179"/>
      <c r="T727" s="179"/>
      <c r="U727" s="179"/>
      <c r="V727" s="182"/>
      <c r="W727" s="175"/>
      <c r="X727" s="176"/>
    </row>
    <row r="728" spans="1:24" ht="15.75" customHeight="1">
      <c r="A728" s="179"/>
      <c r="B728" s="180"/>
      <c r="C728" s="180"/>
      <c r="D728" s="179"/>
      <c r="E728" s="179"/>
      <c r="F728" s="179"/>
      <c r="G728" s="179"/>
      <c r="H728" s="181"/>
      <c r="I728" s="181"/>
      <c r="J728" s="181"/>
      <c r="K728" s="179"/>
      <c r="L728" s="179"/>
      <c r="M728" s="179"/>
      <c r="N728" s="181"/>
      <c r="O728" s="179"/>
      <c r="P728" s="179"/>
      <c r="Q728" s="179"/>
      <c r="R728" s="179"/>
      <c r="S728" s="179"/>
      <c r="T728" s="179"/>
      <c r="U728" s="179"/>
      <c r="V728" s="182"/>
      <c r="W728" s="175"/>
      <c r="X728" s="176"/>
    </row>
    <row r="729" spans="1:24" ht="15.75" customHeight="1">
      <c r="A729" s="179"/>
      <c r="B729" s="180"/>
      <c r="C729" s="180"/>
      <c r="D729" s="179"/>
      <c r="E729" s="179"/>
      <c r="F729" s="179"/>
      <c r="G729" s="179"/>
      <c r="H729" s="181"/>
      <c r="I729" s="181"/>
      <c r="J729" s="181"/>
      <c r="K729" s="179"/>
      <c r="L729" s="179"/>
      <c r="M729" s="179"/>
      <c r="N729" s="181"/>
      <c r="O729" s="179"/>
      <c r="P729" s="179"/>
      <c r="Q729" s="179"/>
      <c r="R729" s="179"/>
      <c r="S729" s="179"/>
      <c r="T729" s="179"/>
      <c r="U729" s="179"/>
      <c r="V729" s="182"/>
      <c r="W729" s="175"/>
      <c r="X729" s="176"/>
    </row>
    <row r="730" spans="1:24" ht="15.75" customHeight="1">
      <c r="A730" s="179"/>
      <c r="B730" s="180"/>
      <c r="C730" s="180"/>
      <c r="D730" s="179"/>
      <c r="E730" s="179"/>
      <c r="F730" s="179"/>
      <c r="G730" s="179"/>
      <c r="H730" s="181"/>
      <c r="I730" s="181"/>
      <c r="J730" s="181"/>
      <c r="K730" s="179"/>
      <c r="L730" s="179"/>
      <c r="M730" s="179"/>
      <c r="N730" s="181"/>
      <c r="O730" s="179"/>
      <c r="P730" s="179"/>
      <c r="Q730" s="179"/>
      <c r="R730" s="179"/>
      <c r="S730" s="179"/>
      <c r="T730" s="179"/>
      <c r="U730" s="179"/>
      <c r="V730" s="182"/>
      <c r="W730" s="175"/>
      <c r="X730" s="176"/>
    </row>
    <row r="731" spans="1:24" ht="15.75" customHeight="1">
      <c r="A731" s="179"/>
      <c r="B731" s="180"/>
      <c r="C731" s="180"/>
      <c r="D731" s="179"/>
      <c r="E731" s="179"/>
      <c r="F731" s="179"/>
      <c r="G731" s="179"/>
      <c r="H731" s="181"/>
      <c r="I731" s="181"/>
      <c r="J731" s="181"/>
      <c r="K731" s="179"/>
      <c r="L731" s="179"/>
      <c r="M731" s="179"/>
      <c r="N731" s="181"/>
      <c r="O731" s="179"/>
      <c r="P731" s="179"/>
      <c r="Q731" s="179"/>
      <c r="R731" s="179"/>
      <c r="S731" s="179"/>
      <c r="T731" s="179"/>
      <c r="U731" s="179"/>
      <c r="V731" s="182"/>
      <c r="W731" s="175"/>
      <c r="X731" s="176"/>
    </row>
    <row r="732" spans="1:24" ht="15.75" customHeight="1">
      <c r="A732" s="179"/>
      <c r="B732" s="180"/>
      <c r="C732" s="180"/>
      <c r="D732" s="179"/>
      <c r="E732" s="179"/>
      <c r="F732" s="179"/>
      <c r="G732" s="179"/>
      <c r="H732" s="181"/>
      <c r="I732" s="181"/>
      <c r="J732" s="181"/>
      <c r="K732" s="179"/>
      <c r="L732" s="179"/>
      <c r="M732" s="179"/>
      <c r="N732" s="181"/>
      <c r="O732" s="179"/>
      <c r="P732" s="179"/>
      <c r="Q732" s="179"/>
      <c r="R732" s="179"/>
      <c r="S732" s="179"/>
      <c r="T732" s="179"/>
      <c r="U732" s="179"/>
      <c r="V732" s="182"/>
      <c r="W732" s="175"/>
      <c r="X732" s="176"/>
    </row>
    <row r="733" spans="1:24" ht="15.75" customHeight="1">
      <c r="A733" s="179"/>
      <c r="B733" s="180"/>
      <c r="C733" s="180"/>
      <c r="D733" s="179"/>
      <c r="E733" s="179"/>
      <c r="F733" s="179"/>
      <c r="G733" s="179"/>
      <c r="H733" s="181"/>
      <c r="I733" s="181"/>
      <c r="J733" s="181"/>
      <c r="K733" s="179"/>
      <c r="L733" s="179"/>
      <c r="M733" s="179"/>
      <c r="N733" s="181"/>
      <c r="O733" s="179"/>
      <c r="P733" s="179"/>
      <c r="Q733" s="179"/>
      <c r="R733" s="179"/>
      <c r="S733" s="179"/>
      <c r="T733" s="179"/>
      <c r="U733" s="179"/>
      <c r="V733" s="182"/>
      <c r="W733" s="175"/>
      <c r="X733" s="176"/>
    </row>
    <row r="734" spans="1:24" ht="15.75" customHeight="1">
      <c r="A734" s="179"/>
      <c r="B734" s="180"/>
      <c r="C734" s="180"/>
      <c r="D734" s="179"/>
      <c r="E734" s="179"/>
      <c r="F734" s="179"/>
      <c r="G734" s="179"/>
      <c r="H734" s="181"/>
      <c r="I734" s="181"/>
      <c r="J734" s="181"/>
      <c r="K734" s="179"/>
      <c r="L734" s="179"/>
      <c r="M734" s="179"/>
      <c r="N734" s="181"/>
      <c r="O734" s="179"/>
      <c r="P734" s="179"/>
      <c r="Q734" s="179"/>
      <c r="R734" s="179"/>
      <c r="S734" s="179"/>
      <c r="T734" s="179"/>
      <c r="U734" s="179"/>
      <c r="V734" s="182"/>
      <c r="W734" s="175"/>
      <c r="X734" s="176"/>
    </row>
    <row r="735" spans="1:24" ht="15.75" customHeight="1">
      <c r="A735" s="179"/>
      <c r="B735" s="180"/>
      <c r="C735" s="180"/>
      <c r="D735" s="179"/>
      <c r="E735" s="179"/>
      <c r="F735" s="179"/>
      <c r="G735" s="179"/>
      <c r="H735" s="181"/>
      <c r="I735" s="181"/>
      <c r="J735" s="181"/>
      <c r="K735" s="179"/>
      <c r="L735" s="179"/>
      <c r="M735" s="179"/>
      <c r="N735" s="181"/>
      <c r="O735" s="179"/>
      <c r="P735" s="179"/>
      <c r="Q735" s="179"/>
      <c r="R735" s="179"/>
      <c r="S735" s="179"/>
      <c r="T735" s="179"/>
      <c r="U735" s="179"/>
      <c r="V735" s="182"/>
      <c r="W735" s="175"/>
      <c r="X735" s="176"/>
    </row>
    <row r="736" spans="1:24" ht="15.75" customHeight="1">
      <c r="A736" s="179"/>
      <c r="B736" s="180"/>
      <c r="C736" s="180"/>
      <c r="D736" s="179"/>
      <c r="E736" s="179"/>
      <c r="F736" s="179"/>
      <c r="G736" s="179"/>
      <c r="H736" s="181"/>
      <c r="I736" s="181"/>
      <c r="J736" s="181"/>
      <c r="K736" s="179"/>
      <c r="L736" s="179"/>
      <c r="M736" s="179"/>
      <c r="N736" s="181"/>
      <c r="O736" s="179"/>
      <c r="P736" s="179"/>
      <c r="Q736" s="179"/>
      <c r="R736" s="179"/>
      <c r="S736" s="179"/>
      <c r="T736" s="179"/>
      <c r="U736" s="179"/>
      <c r="V736" s="182"/>
      <c r="W736" s="175"/>
      <c r="X736" s="176"/>
    </row>
    <row r="737" spans="1:24" ht="15.75" customHeight="1">
      <c r="A737" s="179"/>
      <c r="B737" s="180"/>
      <c r="C737" s="180"/>
      <c r="D737" s="179"/>
      <c r="E737" s="179"/>
      <c r="F737" s="179"/>
      <c r="G737" s="179"/>
      <c r="H737" s="181"/>
      <c r="I737" s="181"/>
      <c r="J737" s="181"/>
      <c r="K737" s="179"/>
      <c r="L737" s="179"/>
      <c r="M737" s="179"/>
      <c r="N737" s="181"/>
      <c r="O737" s="179"/>
      <c r="P737" s="179"/>
      <c r="Q737" s="179"/>
      <c r="R737" s="179"/>
      <c r="S737" s="179"/>
      <c r="T737" s="179"/>
      <c r="U737" s="179"/>
      <c r="V737" s="182"/>
      <c r="W737" s="175"/>
      <c r="X737" s="176"/>
    </row>
    <row r="738" spans="1:24" ht="15.75" customHeight="1">
      <c r="A738" s="179"/>
      <c r="B738" s="180"/>
      <c r="C738" s="180"/>
      <c r="D738" s="179"/>
      <c r="E738" s="179"/>
      <c r="F738" s="179"/>
      <c r="G738" s="179"/>
      <c r="H738" s="181"/>
      <c r="I738" s="181"/>
      <c r="J738" s="181"/>
      <c r="K738" s="179"/>
      <c r="L738" s="179"/>
      <c r="M738" s="179"/>
      <c r="N738" s="181"/>
      <c r="O738" s="179"/>
      <c r="P738" s="179"/>
      <c r="Q738" s="179"/>
      <c r="R738" s="179"/>
      <c r="S738" s="179"/>
      <c r="T738" s="179"/>
      <c r="U738" s="179"/>
      <c r="V738" s="182"/>
      <c r="W738" s="175"/>
      <c r="X738" s="176"/>
    </row>
    <row r="739" spans="1:24" ht="15.75" customHeight="1">
      <c r="A739" s="179"/>
      <c r="B739" s="180"/>
      <c r="C739" s="180"/>
      <c r="D739" s="179"/>
      <c r="E739" s="179"/>
      <c r="F739" s="179"/>
      <c r="G739" s="179"/>
      <c r="H739" s="181"/>
      <c r="I739" s="181"/>
      <c r="J739" s="181"/>
      <c r="K739" s="179"/>
      <c r="L739" s="179"/>
      <c r="M739" s="179"/>
      <c r="N739" s="181"/>
      <c r="O739" s="179"/>
      <c r="P739" s="179"/>
      <c r="Q739" s="179"/>
      <c r="R739" s="179"/>
      <c r="S739" s="179"/>
      <c r="T739" s="179"/>
      <c r="U739" s="179"/>
      <c r="V739" s="182"/>
      <c r="W739" s="175"/>
      <c r="X739" s="176"/>
    </row>
    <row r="740" spans="1:24" ht="15.75" customHeight="1">
      <c r="A740" s="179"/>
      <c r="B740" s="180"/>
      <c r="C740" s="180"/>
      <c r="D740" s="179"/>
      <c r="E740" s="179"/>
      <c r="F740" s="179"/>
      <c r="G740" s="179"/>
      <c r="H740" s="181"/>
      <c r="I740" s="181"/>
      <c r="J740" s="181"/>
      <c r="K740" s="179"/>
      <c r="L740" s="179"/>
      <c r="M740" s="179"/>
      <c r="N740" s="181"/>
      <c r="O740" s="179"/>
      <c r="P740" s="179"/>
      <c r="Q740" s="179"/>
      <c r="R740" s="179"/>
      <c r="S740" s="179"/>
      <c r="T740" s="179"/>
      <c r="U740" s="179"/>
      <c r="V740" s="182"/>
      <c r="W740" s="175"/>
      <c r="X740" s="176"/>
    </row>
    <row r="741" spans="1:24" ht="15.75" customHeight="1">
      <c r="A741" s="179"/>
      <c r="B741" s="180"/>
      <c r="C741" s="180"/>
      <c r="D741" s="179"/>
      <c r="E741" s="179"/>
      <c r="F741" s="179"/>
      <c r="G741" s="179"/>
      <c r="H741" s="181"/>
      <c r="I741" s="181"/>
      <c r="J741" s="181"/>
      <c r="K741" s="179"/>
      <c r="L741" s="179"/>
      <c r="M741" s="179"/>
      <c r="N741" s="181"/>
      <c r="O741" s="179"/>
      <c r="P741" s="179"/>
      <c r="Q741" s="179"/>
      <c r="R741" s="179"/>
      <c r="S741" s="179"/>
      <c r="T741" s="179"/>
      <c r="U741" s="179"/>
      <c r="V741" s="182"/>
      <c r="W741" s="175"/>
      <c r="X741" s="176"/>
    </row>
    <row r="742" spans="1:24" ht="15.75" customHeight="1">
      <c r="A742" s="179"/>
      <c r="B742" s="180"/>
      <c r="C742" s="180"/>
      <c r="D742" s="179"/>
      <c r="E742" s="179"/>
      <c r="F742" s="179"/>
      <c r="G742" s="179"/>
      <c r="H742" s="181"/>
      <c r="I742" s="181"/>
      <c r="J742" s="181"/>
      <c r="K742" s="179"/>
      <c r="L742" s="179"/>
      <c r="M742" s="179"/>
      <c r="N742" s="181"/>
      <c r="O742" s="179"/>
      <c r="P742" s="179"/>
      <c r="Q742" s="179"/>
      <c r="R742" s="179"/>
      <c r="S742" s="179"/>
      <c r="T742" s="179"/>
      <c r="U742" s="179"/>
      <c r="V742" s="182"/>
      <c r="W742" s="175"/>
      <c r="X742" s="176"/>
    </row>
    <row r="743" spans="1:24" ht="15.75" customHeight="1">
      <c r="A743" s="179"/>
      <c r="B743" s="180"/>
      <c r="C743" s="180"/>
      <c r="D743" s="179"/>
      <c r="E743" s="179"/>
      <c r="F743" s="179"/>
      <c r="G743" s="179"/>
      <c r="H743" s="181"/>
      <c r="I743" s="181"/>
      <c r="J743" s="181"/>
      <c r="K743" s="179"/>
      <c r="L743" s="179"/>
      <c r="M743" s="179"/>
      <c r="N743" s="181"/>
      <c r="O743" s="179"/>
      <c r="P743" s="179"/>
      <c r="Q743" s="179"/>
      <c r="R743" s="179"/>
      <c r="S743" s="179"/>
      <c r="T743" s="179"/>
      <c r="U743" s="179"/>
      <c r="V743" s="182"/>
      <c r="W743" s="175"/>
      <c r="X743" s="176"/>
    </row>
    <row r="744" spans="1:24" ht="15.75" customHeight="1">
      <c r="A744" s="179"/>
      <c r="B744" s="180"/>
      <c r="C744" s="180"/>
      <c r="D744" s="179"/>
      <c r="E744" s="179"/>
      <c r="F744" s="179"/>
      <c r="G744" s="179"/>
      <c r="H744" s="181"/>
      <c r="I744" s="181"/>
      <c r="J744" s="181"/>
      <c r="K744" s="179"/>
      <c r="L744" s="179"/>
      <c r="M744" s="179"/>
      <c r="N744" s="181"/>
      <c r="O744" s="179"/>
      <c r="P744" s="179"/>
      <c r="Q744" s="179"/>
      <c r="R744" s="179"/>
      <c r="S744" s="179"/>
      <c r="T744" s="179"/>
      <c r="U744" s="179"/>
      <c r="V744" s="182"/>
      <c r="W744" s="175"/>
      <c r="X744" s="176"/>
    </row>
    <row r="745" spans="1:24" ht="15.75" customHeight="1">
      <c r="A745" s="179"/>
      <c r="B745" s="180"/>
      <c r="C745" s="180"/>
      <c r="D745" s="179"/>
      <c r="E745" s="179"/>
      <c r="F745" s="179"/>
      <c r="G745" s="179"/>
      <c r="H745" s="181"/>
      <c r="I745" s="181"/>
      <c r="J745" s="181"/>
      <c r="K745" s="179"/>
      <c r="L745" s="179"/>
      <c r="M745" s="179"/>
      <c r="N745" s="181"/>
      <c r="O745" s="179"/>
      <c r="P745" s="179"/>
      <c r="Q745" s="179"/>
      <c r="R745" s="179"/>
      <c r="S745" s="179"/>
      <c r="T745" s="179"/>
      <c r="U745" s="179"/>
      <c r="V745" s="182"/>
      <c r="W745" s="175"/>
      <c r="X745" s="176"/>
    </row>
    <row r="746" spans="1:24" ht="15.75" customHeight="1">
      <c r="A746" s="179"/>
      <c r="B746" s="180"/>
      <c r="C746" s="180"/>
      <c r="D746" s="179"/>
      <c r="E746" s="179"/>
      <c r="F746" s="179"/>
      <c r="G746" s="179"/>
      <c r="H746" s="181"/>
      <c r="I746" s="181"/>
      <c r="J746" s="181"/>
      <c r="K746" s="179"/>
      <c r="L746" s="179"/>
      <c r="M746" s="179"/>
      <c r="N746" s="181"/>
      <c r="O746" s="179"/>
      <c r="P746" s="179"/>
      <c r="Q746" s="179"/>
      <c r="R746" s="179"/>
      <c r="S746" s="179"/>
      <c r="T746" s="179"/>
      <c r="U746" s="179"/>
      <c r="V746" s="182"/>
      <c r="W746" s="175"/>
      <c r="X746" s="176"/>
    </row>
    <row r="747" spans="1:24" ht="15.75" customHeight="1">
      <c r="A747" s="179"/>
      <c r="B747" s="180"/>
      <c r="C747" s="180"/>
      <c r="D747" s="179"/>
      <c r="E747" s="179"/>
      <c r="F747" s="179"/>
      <c r="G747" s="179"/>
      <c r="H747" s="181"/>
      <c r="I747" s="181"/>
      <c r="J747" s="181"/>
      <c r="K747" s="179"/>
      <c r="L747" s="179"/>
      <c r="M747" s="179"/>
      <c r="N747" s="181"/>
      <c r="O747" s="179"/>
      <c r="P747" s="179"/>
      <c r="Q747" s="179"/>
      <c r="R747" s="179"/>
      <c r="S747" s="179"/>
      <c r="T747" s="179"/>
      <c r="U747" s="179"/>
      <c r="V747" s="182"/>
      <c r="W747" s="175"/>
      <c r="X747" s="176"/>
    </row>
    <row r="748" spans="1:24" ht="15.75" customHeight="1">
      <c r="A748" s="179"/>
      <c r="B748" s="180"/>
      <c r="C748" s="180"/>
      <c r="D748" s="179"/>
      <c r="E748" s="179"/>
      <c r="F748" s="179"/>
      <c r="G748" s="179"/>
      <c r="H748" s="181"/>
      <c r="I748" s="181"/>
      <c r="J748" s="181"/>
      <c r="K748" s="179"/>
      <c r="L748" s="179"/>
      <c r="M748" s="179"/>
      <c r="N748" s="181"/>
      <c r="O748" s="179"/>
      <c r="P748" s="179"/>
      <c r="Q748" s="179"/>
      <c r="R748" s="179"/>
      <c r="S748" s="179"/>
      <c r="T748" s="179"/>
      <c r="U748" s="179"/>
      <c r="V748" s="182"/>
      <c r="W748" s="175"/>
      <c r="X748" s="176"/>
    </row>
    <row r="749" spans="1:24" ht="15.75" customHeight="1">
      <c r="A749" s="179"/>
      <c r="B749" s="180"/>
      <c r="C749" s="180"/>
      <c r="D749" s="179"/>
      <c r="E749" s="179"/>
      <c r="F749" s="179"/>
      <c r="G749" s="179"/>
      <c r="H749" s="181"/>
      <c r="I749" s="181"/>
      <c r="J749" s="181"/>
      <c r="K749" s="179"/>
      <c r="L749" s="179"/>
      <c r="M749" s="179"/>
      <c r="N749" s="181"/>
      <c r="O749" s="179"/>
      <c r="P749" s="179"/>
      <c r="Q749" s="179"/>
      <c r="R749" s="179"/>
      <c r="S749" s="179"/>
      <c r="T749" s="179"/>
      <c r="U749" s="179"/>
      <c r="V749" s="182"/>
      <c r="W749" s="175"/>
      <c r="X749" s="176"/>
    </row>
    <row r="750" spans="1:24" ht="15.75" customHeight="1">
      <c r="A750" s="179"/>
      <c r="B750" s="180"/>
      <c r="C750" s="180"/>
      <c r="D750" s="179"/>
      <c r="E750" s="179"/>
      <c r="F750" s="179"/>
      <c r="G750" s="179"/>
      <c r="H750" s="181"/>
      <c r="I750" s="181"/>
      <c r="J750" s="181"/>
      <c r="K750" s="179"/>
      <c r="L750" s="179"/>
      <c r="M750" s="179"/>
      <c r="N750" s="181"/>
      <c r="O750" s="179"/>
      <c r="P750" s="179"/>
      <c r="Q750" s="179"/>
      <c r="R750" s="179"/>
      <c r="S750" s="179"/>
      <c r="T750" s="179"/>
      <c r="U750" s="179"/>
      <c r="V750" s="182"/>
      <c r="W750" s="175"/>
      <c r="X750" s="176"/>
    </row>
    <row r="751" spans="1:24" ht="15.75" customHeight="1">
      <c r="A751" s="179"/>
      <c r="B751" s="180"/>
      <c r="C751" s="180"/>
      <c r="D751" s="179"/>
      <c r="E751" s="179"/>
      <c r="F751" s="179"/>
      <c r="G751" s="179"/>
      <c r="H751" s="181"/>
      <c r="I751" s="181"/>
      <c r="J751" s="181"/>
      <c r="K751" s="179"/>
      <c r="L751" s="179"/>
      <c r="M751" s="179"/>
      <c r="N751" s="181"/>
      <c r="O751" s="179"/>
      <c r="P751" s="179"/>
      <c r="Q751" s="179"/>
      <c r="R751" s="179"/>
      <c r="S751" s="179"/>
      <c r="T751" s="179"/>
      <c r="U751" s="179"/>
      <c r="V751" s="182"/>
      <c r="W751" s="175"/>
      <c r="X751" s="176"/>
    </row>
    <row r="752" spans="1:24" ht="15.75" customHeight="1">
      <c r="A752" s="179"/>
      <c r="B752" s="180"/>
      <c r="C752" s="180"/>
      <c r="D752" s="179"/>
      <c r="E752" s="179"/>
      <c r="F752" s="179"/>
      <c r="G752" s="179"/>
      <c r="H752" s="181"/>
      <c r="I752" s="181"/>
      <c r="J752" s="181"/>
      <c r="K752" s="179"/>
      <c r="L752" s="179"/>
      <c r="M752" s="179"/>
      <c r="N752" s="181"/>
      <c r="O752" s="179"/>
      <c r="P752" s="179"/>
      <c r="Q752" s="179"/>
      <c r="R752" s="179"/>
      <c r="S752" s="179"/>
      <c r="T752" s="179"/>
      <c r="U752" s="179"/>
      <c r="V752" s="182"/>
      <c r="W752" s="175"/>
      <c r="X752" s="176"/>
    </row>
    <row r="753" spans="1:24" ht="15.75" customHeight="1">
      <c r="A753" s="179"/>
      <c r="B753" s="180"/>
      <c r="C753" s="180"/>
      <c r="D753" s="179"/>
      <c r="E753" s="179"/>
      <c r="F753" s="179"/>
      <c r="G753" s="179"/>
      <c r="H753" s="181"/>
      <c r="I753" s="181"/>
      <c r="J753" s="181"/>
      <c r="K753" s="179"/>
      <c r="L753" s="179"/>
      <c r="M753" s="179"/>
      <c r="N753" s="181"/>
      <c r="O753" s="179"/>
      <c r="P753" s="179"/>
      <c r="Q753" s="179"/>
      <c r="R753" s="179"/>
      <c r="S753" s="179"/>
      <c r="T753" s="179"/>
      <c r="U753" s="179"/>
      <c r="V753" s="182"/>
      <c r="W753" s="175"/>
      <c r="X753" s="176"/>
    </row>
    <row r="754" spans="1:24" ht="15.75" customHeight="1">
      <c r="A754" s="179"/>
      <c r="B754" s="180"/>
      <c r="C754" s="180"/>
      <c r="D754" s="179"/>
      <c r="E754" s="179"/>
      <c r="F754" s="179"/>
      <c r="G754" s="179"/>
      <c r="H754" s="181"/>
      <c r="I754" s="181"/>
      <c r="J754" s="181"/>
      <c r="K754" s="179"/>
      <c r="L754" s="179"/>
      <c r="M754" s="179"/>
      <c r="N754" s="181"/>
      <c r="O754" s="179"/>
      <c r="P754" s="179"/>
      <c r="Q754" s="179"/>
      <c r="R754" s="179"/>
      <c r="S754" s="179"/>
      <c r="T754" s="179"/>
      <c r="U754" s="179"/>
      <c r="V754" s="182"/>
      <c r="W754" s="175"/>
      <c r="X754" s="176"/>
    </row>
    <row r="755" spans="1:24" ht="15.75" customHeight="1">
      <c r="A755" s="179"/>
      <c r="B755" s="180"/>
      <c r="C755" s="180"/>
      <c r="D755" s="179"/>
      <c r="E755" s="179"/>
      <c r="F755" s="179"/>
      <c r="G755" s="179"/>
      <c r="H755" s="181"/>
      <c r="I755" s="181"/>
      <c r="J755" s="181"/>
      <c r="K755" s="179"/>
      <c r="L755" s="179"/>
      <c r="M755" s="179"/>
      <c r="N755" s="181"/>
      <c r="O755" s="179"/>
      <c r="P755" s="179"/>
      <c r="Q755" s="179"/>
      <c r="R755" s="179"/>
      <c r="S755" s="179"/>
      <c r="T755" s="179"/>
      <c r="U755" s="179"/>
      <c r="V755" s="182"/>
      <c r="W755" s="175"/>
      <c r="X755" s="176"/>
    </row>
    <row r="756" spans="1:24" ht="15.75" customHeight="1">
      <c r="A756" s="179"/>
      <c r="B756" s="180"/>
      <c r="C756" s="180"/>
      <c r="D756" s="179"/>
      <c r="E756" s="179"/>
      <c r="F756" s="179"/>
      <c r="G756" s="179"/>
      <c r="H756" s="181"/>
      <c r="I756" s="181"/>
      <c r="J756" s="181"/>
      <c r="K756" s="179"/>
      <c r="L756" s="179"/>
      <c r="M756" s="179"/>
      <c r="N756" s="181"/>
      <c r="O756" s="179"/>
      <c r="P756" s="179"/>
      <c r="Q756" s="179"/>
      <c r="R756" s="179"/>
      <c r="S756" s="179"/>
      <c r="T756" s="179"/>
      <c r="U756" s="179"/>
      <c r="V756" s="182"/>
      <c r="W756" s="175"/>
      <c r="X756" s="176"/>
    </row>
    <row r="757" spans="1:24" ht="15.75" customHeight="1">
      <c r="A757" s="179"/>
      <c r="B757" s="180"/>
      <c r="C757" s="180"/>
      <c r="D757" s="179"/>
      <c r="E757" s="179"/>
      <c r="F757" s="179"/>
      <c r="G757" s="179"/>
      <c r="H757" s="181"/>
      <c r="I757" s="181"/>
      <c r="J757" s="181"/>
      <c r="K757" s="179"/>
      <c r="L757" s="179"/>
      <c r="M757" s="179"/>
      <c r="N757" s="181"/>
      <c r="O757" s="179"/>
      <c r="P757" s="179"/>
      <c r="Q757" s="179"/>
      <c r="R757" s="179"/>
      <c r="S757" s="179"/>
      <c r="T757" s="179"/>
      <c r="U757" s="179"/>
      <c r="V757" s="182"/>
      <c r="W757" s="175"/>
      <c r="X757" s="176"/>
    </row>
    <row r="758" spans="1:24" ht="15.75" customHeight="1">
      <c r="A758" s="179"/>
      <c r="B758" s="180"/>
      <c r="C758" s="180"/>
      <c r="D758" s="179"/>
      <c r="E758" s="179"/>
      <c r="F758" s="179"/>
      <c r="G758" s="179"/>
      <c r="H758" s="181"/>
      <c r="I758" s="181"/>
      <c r="J758" s="181"/>
      <c r="K758" s="179"/>
      <c r="L758" s="179"/>
      <c r="M758" s="179"/>
      <c r="N758" s="181"/>
      <c r="O758" s="179"/>
      <c r="P758" s="179"/>
      <c r="Q758" s="179"/>
      <c r="R758" s="179"/>
      <c r="S758" s="179"/>
      <c r="T758" s="179"/>
      <c r="U758" s="179"/>
      <c r="V758" s="182"/>
      <c r="W758" s="175"/>
      <c r="X758" s="176"/>
    </row>
    <row r="759" spans="1:24" ht="15.75" customHeight="1">
      <c r="A759" s="179"/>
      <c r="B759" s="180"/>
      <c r="C759" s="180"/>
      <c r="D759" s="179"/>
      <c r="E759" s="179"/>
      <c r="F759" s="179"/>
      <c r="G759" s="179"/>
      <c r="H759" s="181"/>
      <c r="I759" s="181"/>
      <c r="J759" s="181"/>
      <c r="K759" s="179"/>
      <c r="L759" s="179"/>
      <c r="M759" s="179"/>
      <c r="N759" s="181"/>
      <c r="O759" s="179"/>
      <c r="P759" s="179"/>
      <c r="Q759" s="179"/>
      <c r="R759" s="179"/>
      <c r="S759" s="179"/>
      <c r="T759" s="179"/>
      <c r="U759" s="179"/>
      <c r="V759" s="182"/>
      <c r="W759" s="175"/>
      <c r="X759" s="176"/>
    </row>
    <row r="760" spans="1:24" ht="15.75" customHeight="1">
      <c r="A760" s="179"/>
      <c r="B760" s="180"/>
      <c r="C760" s="180"/>
      <c r="D760" s="179"/>
      <c r="E760" s="179"/>
      <c r="F760" s="179"/>
      <c r="G760" s="179"/>
      <c r="H760" s="181"/>
      <c r="I760" s="181"/>
      <c r="J760" s="181"/>
      <c r="K760" s="179"/>
      <c r="L760" s="179"/>
      <c r="M760" s="179"/>
      <c r="N760" s="181"/>
      <c r="O760" s="179"/>
      <c r="P760" s="179"/>
      <c r="Q760" s="179"/>
      <c r="R760" s="179"/>
      <c r="S760" s="179"/>
      <c r="T760" s="179"/>
      <c r="U760" s="179"/>
      <c r="V760" s="182"/>
      <c r="W760" s="175"/>
      <c r="X760" s="176"/>
    </row>
    <row r="761" spans="1:24" ht="15.75" customHeight="1">
      <c r="A761" s="179"/>
      <c r="B761" s="180"/>
      <c r="C761" s="180"/>
      <c r="D761" s="179"/>
      <c r="E761" s="179"/>
      <c r="F761" s="179"/>
      <c r="G761" s="179"/>
      <c r="H761" s="181"/>
      <c r="I761" s="181"/>
      <c r="J761" s="181"/>
      <c r="K761" s="179"/>
      <c r="L761" s="179"/>
      <c r="M761" s="179"/>
      <c r="N761" s="181"/>
      <c r="O761" s="179"/>
      <c r="P761" s="179"/>
      <c r="Q761" s="179"/>
      <c r="R761" s="179"/>
      <c r="S761" s="179"/>
      <c r="T761" s="179"/>
      <c r="U761" s="179"/>
      <c r="V761" s="182"/>
      <c r="W761" s="175"/>
      <c r="X761" s="176"/>
    </row>
    <row r="762" spans="1:24" ht="15.75" customHeight="1">
      <c r="A762" s="179"/>
      <c r="B762" s="180"/>
      <c r="C762" s="180"/>
      <c r="D762" s="179"/>
      <c r="E762" s="179"/>
      <c r="F762" s="179"/>
      <c r="G762" s="179"/>
      <c r="H762" s="181"/>
      <c r="I762" s="181"/>
      <c r="J762" s="181"/>
      <c r="K762" s="179"/>
      <c r="L762" s="179"/>
      <c r="M762" s="179"/>
      <c r="N762" s="181"/>
      <c r="O762" s="179"/>
      <c r="P762" s="179"/>
      <c r="Q762" s="179"/>
      <c r="R762" s="179"/>
      <c r="S762" s="179"/>
      <c r="T762" s="179"/>
      <c r="U762" s="179"/>
      <c r="V762" s="182"/>
      <c r="W762" s="175"/>
      <c r="X762" s="176"/>
    </row>
    <row r="763" spans="1:24" ht="15.75" customHeight="1">
      <c r="A763" s="179"/>
      <c r="B763" s="180"/>
      <c r="C763" s="180"/>
      <c r="D763" s="179"/>
      <c r="E763" s="179"/>
      <c r="F763" s="179"/>
      <c r="G763" s="179"/>
      <c r="H763" s="181"/>
      <c r="I763" s="181"/>
      <c r="J763" s="181"/>
      <c r="K763" s="179"/>
      <c r="L763" s="179"/>
      <c r="M763" s="179"/>
      <c r="N763" s="181"/>
      <c r="O763" s="179"/>
      <c r="P763" s="179"/>
      <c r="Q763" s="179"/>
      <c r="R763" s="179"/>
      <c r="S763" s="179"/>
      <c r="T763" s="179"/>
      <c r="U763" s="179"/>
      <c r="V763" s="182"/>
      <c r="W763" s="175"/>
      <c r="X763" s="176"/>
    </row>
    <row r="764" spans="1:24" ht="15.75" customHeight="1">
      <c r="A764" s="179"/>
      <c r="B764" s="180"/>
      <c r="C764" s="180"/>
      <c r="D764" s="179"/>
      <c r="E764" s="179"/>
      <c r="F764" s="179"/>
      <c r="G764" s="179"/>
      <c r="H764" s="181"/>
      <c r="I764" s="181"/>
      <c r="J764" s="181"/>
      <c r="K764" s="179"/>
      <c r="L764" s="179"/>
      <c r="M764" s="179"/>
      <c r="N764" s="181"/>
      <c r="O764" s="179"/>
      <c r="P764" s="179"/>
      <c r="Q764" s="179"/>
      <c r="R764" s="179"/>
      <c r="S764" s="179"/>
      <c r="T764" s="179"/>
      <c r="U764" s="179"/>
      <c r="V764" s="182"/>
      <c r="W764" s="175"/>
      <c r="X764" s="176"/>
    </row>
    <row r="765" spans="1:24" ht="15.75" customHeight="1">
      <c r="A765" s="179"/>
      <c r="B765" s="180"/>
      <c r="C765" s="180"/>
      <c r="D765" s="179"/>
      <c r="E765" s="179"/>
      <c r="F765" s="179"/>
      <c r="G765" s="179"/>
      <c r="H765" s="181"/>
      <c r="I765" s="181"/>
      <c r="J765" s="181"/>
      <c r="K765" s="179"/>
      <c r="L765" s="179"/>
      <c r="M765" s="179"/>
      <c r="N765" s="181"/>
      <c r="O765" s="179"/>
      <c r="P765" s="179"/>
      <c r="Q765" s="179"/>
      <c r="R765" s="179"/>
      <c r="S765" s="179"/>
      <c r="T765" s="179"/>
      <c r="U765" s="179"/>
      <c r="V765" s="182"/>
      <c r="W765" s="175"/>
      <c r="X765" s="176"/>
    </row>
    <row r="766" spans="1:24" ht="15.75" customHeight="1">
      <c r="A766" s="179"/>
      <c r="B766" s="180"/>
      <c r="C766" s="180"/>
      <c r="D766" s="179"/>
      <c r="E766" s="179"/>
      <c r="F766" s="179"/>
      <c r="G766" s="179"/>
      <c r="H766" s="181"/>
      <c r="I766" s="181"/>
      <c r="J766" s="181"/>
      <c r="K766" s="179"/>
      <c r="L766" s="179"/>
      <c r="M766" s="179"/>
      <c r="N766" s="181"/>
      <c r="O766" s="179"/>
      <c r="P766" s="179"/>
      <c r="Q766" s="179"/>
      <c r="R766" s="179"/>
      <c r="S766" s="179"/>
      <c r="T766" s="179"/>
      <c r="U766" s="179"/>
      <c r="V766" s="182"/>
      <c r="W766" s="175"/>
      <c r="X766" s="176"/>
    </row>
    <row r="767" spans="1:24" ht="15.75" customHeight="1">
      <c r="A767" s="179"/>
      <c r="B767" s="180"/>
      <c r="C767" s="180"/>
      <c r="D767" s="179"/>
      <c r="E767" s="179"/>
      <c r="F767" s="179"/>
      <c r="G767" s="179"/>
      <c r="H767" s="181"/>
      <c r="I767" s="181"/>
      <c r="J767" s="181"/>
      <c r="K767" s="179"/>
      <c r="L767" s="179"/>
      <c r="M767" s="179"/>
      <c r="N767" s="181"/>
      <c r="O767" s="179"/>
      <c r="P767" s="179"/>
      <c r="Q767" s="179"/>
      <c r="R767" s="179"/>
      <c r="S767" s="179"/>
      <c r="T767" s="179"/>
      <c r="U767" s="179"/>
      <c r="V767" s="182"/>
      <c r="W767" s="175"/>
      <c r="X767" s="176"/>
    </row>
    <row r="768" spans="1:24" ht="15.75" customHeight="1">
      <c r="A768" s="179"/>
      <c r="B768" s="180"/>
      <c r="C768" s="180"/>
      <c r="D768" s="179"/>
      <c r="E768" s="179"/>
      <c r="F768" s="179"/>
      <c r="G768" s="179"/>
      <c r="H768" s="181"/>
      <c r="I768" s="181"/>
      <c r="J768" s="181"/>
      <c r="K768" s="179"/>
      <c r="L768" s="179"/>
      <c r="M768" s="179"/>
      <c r="N768" s="181"/>
      <c r="O768" s="179"/>
      <c r="P768" s="179"/>
      <c r="Q768" s="179"/>
      <c r="R768" s="179"/>
      <c r="S768" s="179"/>
      <c r="T768" s="179"/>
      <c r="U768" s="179"/>
      <c r="V768" s="182"/>
      <c r="W768" s="175"/>
      <c r="X768" s="176"/>
    </row>
    <row r="769" spans="1:24" ht="15.75" customHeight="1">
      <c r="A769" s="179"/>
      <c r="B769" s="180"/>
      <c r="C769" s="180"/>
      <c r="D769" s="179"/>
      <c r="E769" s="179"/>
      <c r="F769" s="179"/>
      <c r="G769" s="179"/>
      <c r="H769" s="181"/>
      <c r="I769" s="181"/>
      <c r="J769" s="181"/>
      <c r="K769" s="179"/>
      <c r="L769" s="179"/>
      <c r="M769" s="179"/>
      <c r="N769" s="181"/>
      <c r="O769" s="179"/>
      <c r="P769" s="179"/>
      <c r="Q769" s="179"/>
      <c r="R769" s="179"/>
      <c r="S769" s="179"/>
      <c r="T769" s="179"/>
      <c r="U769" s="179"/>
      <c r="V769" s="182"/>
      <c r="W769" s="175"/>
      <c r="X769" s="176"/>
    </row>
    <row r="770" spans="1:24" ht="15.75" customHeight="1">
      <c r="A770" s="179"/>
      <c r="B770" s="180"/>
      <c r="C770" s="180"/>
      <c r="D770" s="179"/>
      <c r="E770" s="179"/>
      <c r="F770" s="179"/>
      <c r="G770" s="179"/>
      <c r="H770" s="181"/>
      <c r="I770" s="181"/>
      <c r="J770" s="181"/>
      <c r="K770" s="179"/>
      <c r="L770" s="179"/>
      <c r="M770" s="179"/>
      <c r="N770" s="181"/>
      <c r="O770" s="179"/>
      <c r="P770" s="179"/>
      <c r="Q770" s="179"/>
      <c r="R770" s="179"/>
      <c r="S770" s="179"/>
      <c r="T770" s="179"/>
      <c r="U770" s="179"/>
      <c r="V770" s="182"/>
      <c r="W770" s="175"/>
      <c r="X770" s="176"/>
    </row>
    <row r="771" spans="1:24" ht="15.75" customHeight="1">
      <c r="A771" s="179"/>
      <c r="B771" s="180"/>
      <c r="C771" s="180"/>
      <c r="D771" s="179"/>
      <c r="E771" s="179"/>
      <c r="F771" s="179"/>
      <c r="G771" s="179"/>
      <c r="H771" s="181"/>
      <c r="I771" s="181"/>
      <c r="J771" s="181"/>
      <c r="K771" s="179"/>
      <c r="L771" s="179"/>
      <c r="M771" s="179"/>
      <c r="N771" s="181"/>
      <c r="O771" s="179"/>
      <c r="P771" s="179"/>
      <c r="Q771" s="179"/>
      <c r="R771" s="179"/>
      <c r="S771" s="179"/>
      <c r="T771" s="179"/>
      <c r="U771" s="179"/>
      <c r="V771" s="182"/>
      <c r="W771" s="175"/>
      <c r="X771" s="176"/>
    </row>
    <row r="772" spans="1:24" ht="15.75" customHeight="1">
      <c r="A772" s="179"/>
      <c r="B772" s="180"/>
      <c r="C772" s="180"/>
      <c r="D772" s="179"/>
      <c r="E772" s="179"/>
      <c r="F772" s="179"/>
      <c r="G772" s="179"/>
      <c r="H772" s="181"/>
      <c r="I772" s="181"/>
      <c r="J772" s="181"/>
      <c r="K772" s="179"/>
      <c r="L772" s="179"/>
      <c r="M772" s="179"/>
      <c r="N772" s="181"/>
      <c r="O772" s="179"/>
      <c r="P772" s="179"/>
      <c r="Q772" s="179"/>
      <c r="R772" s="179"/>
      <c r="S772" s="179"/>
      <c r="T772" s="179"/>
      <c r="U772" s="179"/>
      <c r="V772" s="182"/>
      <c r="W772" s="175"/>
      <c r="X772" s="176"/>
    </row>
    <row r="773" spans="1:24" ht="15.75" customHeight="1">
      <c r="A773" s="179"/>
      <c r="B773" s="180"/>
      <c r="C773" s="180"/>
      <c r="D773" s="179"/>
      <c r="E773" s="179"/>
      <c r="F773" s="179"/>
      <c r="G773" s="179"/>
      <c r="H773" s="181"/>
      <c r="I773" s="181"/>
      <c r="J773" s="181"/>
      <c r="K773" s="179"/>
      <c r="L773" s="179"/>
      <c r="M773" s="179"/>
      <c r="N773" s="181"/>
      <c r="O773" s="179"/>
      <c r="P773" s="179"/>
      <c r="Q773" s="179"/>
      <c r="R773" s="179"/>
      <c r="S773" s="179"/>
      <c r="T773" s="179"/>
      <c r="U773" s="179"/>
      <c r="V773" s="182"/>
      <c r="W773" s="175"/>
      <c r="X773" s="176"/>
    </row>
    <row r="774" spans="1:24" ht="15.75" customHeight="1">
      <c r="A774" s="179"/>
      <c r="B774" s="180"/>
      <c r="C774" s="180"/>
      <c r="D774" s="179"/>
      <c r="E774" s="179"/>
      <c r="F774" s="179"/>
      <c r="G774" s="179"/>
      <c r="H774" s="181"/>
      <c r="I774" s="181"/>
      <c r="J774" s="181"/>
      <c r="K774" s="179"/>
      <c r="L774" s="179"/>
      <c r="M774" s="179"/>
      <c r="N774" s="181"/>
      <c r="O774" s="179"/>
      <c r="P774" s="179"/>
      <c r="Q774" s="179"/>
      <c r="R774" s="179"/>
      <c r="S774" s="179"/>
      <c r="T774" s="179"/>
      <c r="U774" s="179"/>
      <c r="V774" s="182"/>
      <c r="W774" s="175"/>
      <c r="X774" s="176"/>
    </row>
    <row r="775" spans="1:24" ht="15.75" customHeight="1">
      <c r="A775" s="179"/>
      <c r="B775" s="180"/>
      <c r="C775" s="180"/>
      <c r="D775" s="179"/>
      <c r="E775" s="179"/>
      <c r="F775" s="179"/>
      <c r="G775" s="179"/>
      <c r="H775" s="181"/>
      <c r="I775" s="181"/>
      <c r="J775" s="181"/>
      <c r="K775" s="179"/>
      <c r="L775" s="179"/>
      <c r="M775" s="179"/>
      <c r="N775" s="181"/>
      <c r="O775" s="179"/>
      <c r="P775" s="179"/>
      <c r="Q775" s="179"/>
      <c r="R775" s="179"/>
      <c r="S775" s="179"/>
      <c r="T775" s="179"/>
      <c r="U775" s="179"/>
      <c r="V775" s="182"/>
      <c r="W775" s="175"/>
      <c r="X775" s="176"/>
    </row>
    <row r="776" spans="1:24" ht="15.75" customHeight="1">
      <c r="A776" s="179"/>
      <c r="B776" s="180"/>
      <c r="C776" s="180"/>
      <c r="D776" s="179"/>
      <c r="E776" s="179"/>
      <c r="F776" s="179"/>
      <c r="G776" s="179"/>
      <c r="H776" s="181"/>
      <c r="I776" s="181"/>
      <c r="J776" s="181"/>
      <c r="K776" s="179"/>
      <c r="L776" s="179"/>
      <c r="M776" s="179"/>
      <c r="N776" s="181"/>
      <c r="O776" s="179"/>
      <c r="P776" s="179"/>
      <c r="Q776" s="179"/>
      <c r="R776" s="179"/>
      <c r="S776" s="179"/>
      <c r="T776" s="179"/>
      <c r="U776" s="179"/>
      <c r="V776" s="182"/>
      <c r="W776" s="175"/>
      <c r="X776" s="176"/>
    </row>
    <row r="777" spans="1:24" ht="15.75" customHeight="1">
      <c r="A777" s="179"/>
      <c r="B777" s="180"/>
      <c r="C777" s="180"/>
      <c r="D777" s="179"/>
      <c r="E777" s="179"/>
      <c r="F777" s="179"/>
      <c r="G777" s="179"/>
      <c r="H777" s="181"/>
      <c r="I777" s="181"/>
      <c r="J777" s="181"/>
      <c r="K777" s="179"/>
      <c r="L777" s="179"/>
      <c r="M777" s="179"/>
      <c r="N777" s="181"/>
      <c r="O777" s="179"/>
      <c r="P777" s="179"/>
      <c r="Q777" s="179"/>
      <c r="R777" s="179"/>
      <c r="S777" s="179"/>
      <c r="T777" s="179"/>
      <c r="U777" s="179"/>
      <c r="V777" s="182"/>
      <c r="W777" s="175"/>
      <c r="X777" s="176"/>
    </row>
    <row r="778" spans="1:24" ht="15.75" customHeight="1">
      <c r="A778" s="179"/>
      <c r="B778" s="180"/>
      <c r="C778" s="180"/>
      <c r="D778" s="179"/>
      <c r="E778" s="179"/>
      <c r="F778" s="179"/>
      <c r="G778" s="179"/>
      <c r="H778" s="181"/>
      <c r="I778" s="181"/>
      <c r="J778" s="181"/>
      <c r="K778" s="179"/>
      <c r="L778" s="179"/>
      <c r="M778" s="179"/>
      <c r="N778" s="181"/>
      <c r="O778" s="179"/>
      <c r="P778" s="179"/>
      <c r="Q778" s="179"/>
      <c r="R778" s="179"/>
      <c r="S778" s="179"/>
      <c r="T778" s="179"/>
      <c r="U778" s="179"/>
      <c r="V778" s="182"/>
      <c r="W778" s="175"/>
      <c r="X778" s="176"/>
    </row>
    <row r="779" spans="1:24" ht="15.75" customHeight="1">
      <c r="A779" s="179"/>
      <c r="B779" s="180"/>
      <c r="C779" s="180"/>
      <c r="D779" s="179"/>
      <c r="E779" s="179"/>
      <c r="F779" s="179"/>
      <c r="G779" s="179"/>
      <c r="H779" s="181"/>
      <c r="I779" s="181"/>
      <c r="J779" s="181"/>
      <c r="K779" s="179"/>
      <c r="L779" s="179"/>
      <c r="M779" s="179"/>
      <c r="N779" s="181"/>
      <c r="O779" s="179"/>
      <c r="P779" s="179"/>
      <c r="Q779" s="179"/>
      <c r="R779" s="179"/>
      <c r="S779" s="179"/>
      <c r="T779" s="179"/>
      <c r="U779" s="179"/>
      <c r="V779" s="182"/>
      <c r="W779" s="175"/>
      <c r="X779" s="176"/>
    </row>
    <row r="780" spans="1:24" ht="15.75" customHeight="1">
      <c r="A780" s="179"/>
      <c r="B780" s="180"/>
      <c r="C780" s="180"/>
      <c r="D780" s="179"/>
      <c r="E780" s="179"/>
      <c r="F780" s="179"/>
      <c r="G780" s="179"/>
      <c r="H780" s="181"/>
      <c r="I780" s="181"/>
      <c r="J780" s="181"/>
      <c r="K780" s="179"/>
      <c r="L780" s="179"/>
      <c r="M780" s="179"/>
      <c r="N780" s="181"/>
      <c r="O780" s="179"/>
      <c r="P780" s="179"/>
      <c r="Q780" s="179"/>
      <c r="R780" s="179"/>
      <c r="S780" s="179"/>
      <c r="T780" s="179"/>
      <c r="U780" s="179"/>
      <c r="V780" s="182"/>
      <c r="W780" s="175"/>
      <c r="X780" s="176"/>
    </row>
    <row r="781" spans="1:24" ht="15.75" customHeight="1">
      <c r="A781" s="179"/>
      <c r="B781" s="180"/>
      <c r="C781" s="180"/>
      <c r="D781" s="179"/>
      <c r="E781" s="179"/>
      <c r="F781" s="179"/>
      <c r="G781" s="179"/>
      <c r="H781" s="181"/>
      <c r="I781" s="181"/>
      <c r="J781" s="181"/>
      <c r="K781" s="179"/>
      <c r="L781" s="179"/>
      <c r="M781" s="179"/>
      <c r="N781" s="181"/>
      <c r="O781" s="179"/>
      <c r="P781" s="179"/>
      <c r="Q781" s="179"/>
      <c r="R781" s="179"/>
      <c r="S781" s="179"/>
      <c r="T781" s="179"/>
      <c r="U781" s="179"/>
      <c r="V781" s="182"/>
      <c r="W781" s="175"/>
      <c r="X781" s="176"/>
    </row>
    <row r="782" spans="1:24" ht="15.75" customHeight="1">
      <c r="A782" s="179"/>
      <c r="B782" s="180"/>
      <c r="C782" s="180"/>
      <c r="D782" s="179"/>
      <c r="E782" s="179"/>
      <c r="F782" s="179"/>
      <c r="G782" s="179"/>
      <c r="H782" s="181"/>
      <c r="I782" s="181"/>
      <c r="J782" s="181"/>
      <c r="K782" s="179"/>
      <c r="L782" s="179"/>
      <c r="M782" s="179"/>
      <c r="N782" s="181"/>
      <c r="O782" s="179"/>
      <c r="P782" s="179"/>
      <c r="Q782" s="179"/>
      <c r="R782" s="179"/>
      <c r="S782" s="179"/>
      <c r="T782" s="179"/>
      <c r="U782" s="179"/>
      <c r="V782" s="182"/>
      <c r="W782" s="175"/>
      <c r="X782" s="176"/>
    </row>
    <row r="783" spans="1:24" ht="15.75" customHeight="1">
      <c r="A783" s="179"/>
      <c r="B783" s="180"/>
      <c r="C783" s="180"/>
      <c r="D783" s="179"/>
      <c r="E783" s="179"/>
      <c r="F783" s="179"/>
      <c r="G783" s="179"/>
      <c r="H783" s="181"/>
      <c r="I783" s="181"/>
      <c r="J783" s="181"/>
      <c r="K783" s="179"/>
      <c r="L783" s="179"/>
      <c r="M783" s="179"/>
      <c r="N783" s="181"/>
      <c r="O783" s="179"/>
      <c r="P783" s="179"/>
      <c r="Q783" s="179"/>
      <c r="R783" s="179"/>
      <c r="S783" s="179"/>
      <c r="T783" s="179"/>
      <c r="U783" s="179"/>
      <c r="V783" s="182"/>
      <c r="W783" s="175"/>
      <c r="X783" s="176"/>
    </row>
    <row r="784" spans="1:24" ht="15.75" customHeight="1">
      <c r="A784" s="179"/>
      <c r="B784" s="180"/>
      <c r="C784" s="180"/>
      <c r="D784" s="179"/>
      <c r="E784" s="179"/>
      <c r="F784" s="179"/>
      <c r="G784" s="179"/>
      <c r="H784" s="181"/>
      <c r="I784" s="181"/>
      <c r="J784" s="181"/>
      <c r="K784" s="179"/>
      <c r="L784" s="179"/>
      <c r="M784" s="179"/>
      <c r="N784" s="181"/>
      <c r="O784" s="179"/>
      <c r="P784" s="179"/>
      <c r="Q784" s="179"/>
      <c r="R784" s="179"/>
      <c r="S784" s="179"/>
      <c r="T784" s="179"/>
      <c r="U784" s="179"/>
      <c r="V784" s="182"/>
      <c r="W784" s="175"/>
      <c r="X784" s="176"/>
    </row>
    <row r="785" spans="1:24" ht="15.75" customHeight="1">
      <c r="A785" s="179"/>
      <c r="B785" s="180"/>
      <c r="C785" s="180"/>
      <c r="D785" s="179"/>
      <c r="E785" s="179"/>
      <c r="F785" s="179"/>
      <c r="G785" s="179"/>
      <c r="H785" s="181"/>
      <c r="I785" s="181"/>
      <c r="J785" s="181"/>
      <c r="K785" s="179"/>
      <c r="L785" s="179"/>
      <c r="M785" s="179"/>
      <c r="N785" s="181"/>
      <c r="O785" s="179"/>
      <c r="P785" s="179"/>
      <c r="Q785" s="179"/>
      <c r="R785" s="179"/>
      <c r="S785" s="179"/>
      <c r="T785" s="179"/>
      <c r="U785" s="179"/>
      <c r="V785" s="182"/>
      <c r="W785" s="175"/>
      <c r="X785" s="176"/>
    </row>
    <row r="786" spans="1:24" ht="15.75" customHeight="1">
      <c r="A786" s="179"/>
      <c r="B786" s="180"/>
      <c r="C786" s="180"/>
      <c r="D786" s="179"/>
      <c r="E786" s="179"/>
      <c r="F786" s="179"/>
      <c r="G786" s="179"/>
      <c r="H786" s="181"/>
      <c r="I786" s="181"/>
      <c r="J786" s="181"/>
      <c r="K786" s="179"/>
      <c r="L786" s="179"/>
      <c r="M786" s="179"/>
      <c r="N786" s="181"/>
      <c r="O786" s="179"/>
      <c r="P786" s="179"/>
      <c r="Q786" s="179"/>
      <c r="R786" s="179"/>
      <c r="S786" s="179"/>
      <c r="T786" s="179"/>
      <c r="U786" s="179"/>
      <c r="V786" s="182"/>
      <c r="W786" s="175"/>
      <c r="X786" s="176"/>
    </row>
    <row r="787" spans="1:24" ht="15.75" customHeight="1">
      <c r="A787" s="179"/>
      <c r="B787" s="180"/>
      <c r="C787" s="180"/>
      <c r="D787" s="179"/>
      <c r="E787" s="179"/>
      <c r="F787" s="179"/>
      <c r="G787" s="179"/>
      <c r="H787" s="181"/>
      <c r="I787" s="181"/>
      <c r="J787" s="181"/>
      <c r="K787" s="179"/>
      <c r="L787" s="179"/>
      <c r="M787" s="179"/>
      <c r="N787" s="181"/>
      <c r="O787" s="179"/>
      <c r="P787" s="179"/>
      <c r="Q787" s="179"/>
      <c r="R787" s="179"/>
      <c r="S787" s="179"/>
      <c r="T787" s="179"/>
      <c r="U787" s="179"/>
      <c r="V787" s="182"/>
      <c r="W787" s="175"/>
      <c r="X787" s="176"/>
    </row>
    <row r="788" spans="1:24" ht="15.75" customHeight="1">
      <c r="A788" s="179"/>
      <c r="B788" s="180"/>
      <c r="C788" s="180"/>
      <c r="D788" s="179"/>
      <c r="E788" s="179"/>
      <c r="F788" s="179"/>
      <c r="G788" s="179"/>
      <c r="H788" s="181"/>
      <c r="I788" s="181"/>
      <c r="J788" s="181"/>
      <c r="K788" s="179"/>
      <c r="L788" s="179"/>
      <c r="M788" s="179"/>
      <c r="N788" s="181"/>
      <c r="O788" s="179"/>
      <c r="P788" s="179"/>
      <c r="Q788" s="179"/>
      <c r="R788" s="179"/>
      <c r="S788" s="179"/>
      <c r="T788" s="179"/>
      <c r="U788" s="179"/>
      <c r="V788" s="182"/>
      <c r="W788" s="175"/>
      <c r="X788" s="176"/>
    </row>
    <row r="789" spans="1:24" ht="15.75" customHeight="1">
      <c r="A789" s="179"/>
      <c r="B789" s="180"/>
      <c r="C789" s="180"/>
      <c r="D789" s="179"/>
      <c r="E789" s="179"/>
      <c r="F789" s="179"/>
      <c r="G789" s="179"/>
      <c r="H789" s="181"/>
      <c r="I789" s="181"/>
      <c r="J789" s="181"/>
      <c r="K789" s="179"/>
      <c r="L789" s="179"/>
      <c r="M789" s="179"/>
      <c r="N789" s="181"/>
      <c r="O789" s="179"/>
      <c r="P789" s="179"/>
      <c r="Q789" s="179"/>
      <c r="R789" s="179"/>
      <c r="S789" s="179"/>
      <c r="T789" s="179"/>
      <c r="U789" s="179"/>
      <c r="V789" s="182"/>
      <c r="W789" s="175"/>
      <c r="X789" s="176"/>
    </row>
    <row r="790" spans="1:24" ht="15.75" customHeight="1">
      <c r="A790" s="179"/>
      <c r="B790" s="180"/>
      <c r="C790" s="180"/>
      <c r="D790" s="179"/>
      <c r="E790" s="179"/>
      <c r="F790" s="179"/>
      <c r="G790" s="179"/>
      <c r="H790" s="181"/>
      <c r="I790" s="181"/>
      <c r="J790" s="181"/>
      <c r="K790" s="179"/>
      <c r="L790" s="179"/>
      <c r="M790" s="179"/>
      <c r="N790" s="181"/>
      <c r="O790" s="179"/>
      <c r="P790" s="179"/>
      <c r="Q790" s="179"/>
      <c r="R790" s="179"/>
      <c r="S790" s="179"/>
      <c r="T790" s="179"/>
      <c r="U790" s="179"/>
      <c r="V790" s="182"/>
      <c r="W790" s="175"/>
      <c r="X790" s="176"/>
    </row>
    <row r="791" spans="1:24" ht="15.75" customHeight="1">
      <c r="A791" s="179"/>
      <c r="B791" s="180"/>
      <c r="C791" s="180"/>
      <c r="D791" s="179"/>
      <c r="E791" s="179"/>
      <c r="F791" s="179"/>
      <c r="G791" s="179"/>
      <c r="H791" s="181"/>
      <c r="I791" s="181"/>
      <c r="J791" s="181"/>
      <c r="K791" s="179"/>
      <c r="L791" s="179"/>
      <c r="M791" s="179"/>
      <c r="N791" s="181"/>
      <c r="O791" s="179"/>
      <c r="P791" s="179"/>
      <c r="Q791" s="179"/>
      <c r="R791" s="179"/>
      <c r="S791" s="179"/>
      <c r="T791" s="179"/>
      <c r="U791" s="179"/>
      <c r="V791" s="182"/>
      <c r="W791" s="175"/>
      <c r="X791" s="176"/>
    </row>
    <row r="792" spans="1:24" ht="15.75" customHeight="1">
      <c r="A792" s="179"/>
      <c r="B792" s="180"/>
      <c r="C792" s="180"/>
      <c r="D792" s="179"/>
      <c r="E792" s="179"/>
      <c r="F792" s="179"/>
      <c r="G792" s="179"/>
      <c r="H792" s="181"/>
      <c r="I792" s="181"/>
      <c r="J792" s="181"/>
      <c r="K792" s="179"/>
      <c r="L792" s="179"/>
      <c r="M792" s="179"/>
      <c r="N792" s="181"/>
      <c r="O792" s="179"/>
      <c r="P792" s="179"/>
      <c r="Q792" s="179"/>
      <c r="R792" s="179"/>
      <c r="S792" s="179"/>
      <c r="T792" s="179"/>
      <c r="U792" s="179"/>
      <c r="V792" s="182"/>
      <c r="W792" s="175"/>
      <c r="X792" s="176"/>
    </row>
    <row r="793" spans="1:24" ht="15.75" customHeight="1">
      <c r="A793" s="179"/>
      <c r="B793" s="180"/>
      <c r="C793" s="180"/>
      <c r="D793" s="179"/>
      <c r="E793" s="179"/>
      <c r="F793" s="179"/>
      <c r="G793" s="179"/>
      <c r="H793" s="181"/>
      <c r="I793" s="181"/>
      <c r="J793" s="181"/>
      <c r="K793" s="179"/>
      <c r="L793" s="179"/>
      <c r="M793" s="179"/>
      <c r="N793" s="181"/>
      <c r="O793" s="179"/>
      <c r="P793" s="179"/>
      <c r="Q793" s="179"/>
      <c r="R793" s="179"/>
      <c r="S793" s="179"/>
      <c r="T793" s="179"/>
      <c r="U793" s="179"/>
      <c r="V793" s="182"/>
      <c r="W793" s="175"/>
      <c r="X793" s="176"/>
    </row>
    <row r="794" spans="1:24" ht="15.75" customHeight="1">
      <c r="A794" s="179"/>
      <c r="B794" s="180"/>
      <c r="C794" s="180"/>
      <c r="D794" s="179"/>
      <c r="E794" s="179"/>
      <c r="F794" s="179"/>
      <c r="G794" s="179"/>
      <c r="H794" s="181"/>
      <c r="I794" s="181"/>
      <c r="J794" s="181"/>
      <c r="K794" s="179"/>
      <c r="L794" s="179"/>
      <c r="M794" s="179"/>
      <c r="N794" s="181"/>
      <c r="O794" s="179"/>
      <c r="P794" s="179"/>
      <c r="Q794" s="179"/>
      <c r="R794" s="179"/>
      <c r="S794" s="179"/>
      <c r="T794" s="179"/>
      <c r="U794" s="179"/>
      <c r="V794" s="182"/>
      <c r="W794" s="175"/>
      <c r="X794" s="176"/>
    </row>
    <row r="795" spans="1:24" ht="15.75" customHeight="1">
      <c r="A795" s="179"/>
      <c r="B795" s="180"/>
      <c r="C795" s="180"/>
      <c r="D795" s="179"/>
      <c r="E795" s="179"/>
      <c r="F795" s="179"/>
      <c r="G795" s="179"/>
      <c r="H795" s="181"/>
      <c r="I795" s="181"/>
      <c r="J795" s="181"/>
      <c r="K795" s="179"/>
      <c r="L795" s="179"/>
      <c r="M795" s="179"/>
      <c r="N795" s="181"/>
      <c r="O795" s="179"/>
      <c r="P795" s="179"/>
      <c r="Q795" s="179"/>
      <c r="R795" s="179"/>
      <c r="S795" s="179"/>
      <c r="T795" s="179"/>
      <c r="U795" s="179"/>
      <c r="V795" s="182"/>
      <c r="W795" s="175"/>
      <c r="X795" s="176"/>
    </row>
    <row r="796" spans="1:24" ht="15.75" customHeight="1">
      <c r="A796" s="179"/>
      <c r="B796" s="180"/>
      <c r="C796" s="180"/>
      <c r="D796" s="179"/>
      <c r="E796" s="179"/>
      <c r="F796" s="179"/>
      <c r="G796" s="179"/>
      <c r="H796" s="181"/>
      <c r="I796" s="181"/>
      <c r="J796" s="181"/>
      <c r="K796" s="179"/>
      <c r="L796" s="179"/>
      <c r="M796" s="179"/>
      <c r="N796" s="181"/>
      <c r="O796" s="179"/>
      <c r="P796" s="179"/>
      <c r="Q796" s="179"/>
      <c r="R796" s="179"/>
      <c r="S796" s="179"/>
      <c r="T796" s="179"/>
      <c r="U796" s="179"/>
      <c r="V796" s="182"/>
      <c r="W796" s="175"/>
      <c r="X796" s="176"/>
    </row>
    <row r="797" spans="1:24" ht="15.75" customHeight="1">
      <c r="A797" s="179"/>
      <c r="B797" s="180"/>
      <c r="C797" s="180"/>
      <c r="D797" s="179"/>
      <c r="E797" s="179"/>
      <c r="F797" s="179"/>
      <c r="G797" s="179"/>
      <c r="H797" s="181"/>
      <c r="I797" s="181"/>
      <c r="J797" s="181"/>
      <c r="K797" s="179"/>
      <c r="L797" s="179"/>
      <c r="M797" s="179"/>
      <c r="N797" s="181"/>
      <c r="O797" s="179"/>
      <c r="P797" s="179"/>
      <c r="Q797" s="179"/>
      <c r="R797" s="179"/>
      <c r="S797" s="179"/>
      <c r="T797" s="179"/>
      <c r="U797" s="179"/>
      <c r="V797" s="182"/>
      <c r="W797" s="175"/>
      <c r="X797" s="176"/>
    </row>
    <row r="798" spans="1:24" ht="15.75" customHeight="1">
      <c r="A798" s="179"/>
      <c r="B798" s="180"/>
      <c r="C798" s="180"/>
      <c r="D798" s="179"/>
      <c r="E798" s="179"/>
      <c r="F798" s="179"/>
      <c r="G798" s="179"/>
      <c r="H798" s="181"/>
      <c r="I798" s="181"/>
      <c r="J798" s="181"/>
      <c r="K798" s="179"/>
      <c r="L798" s="179"/>
      <c r="M798" s="179"/>
      <c r="N798" s="181"/>
      <c r="O798" s="179"/>
      <c r="P798" s="179"/>
      <c r="Q798" s="179"/>
      <c r="R798" s="179"/>
      <c r="S798" s="179"/>
      <c r="T798" s="179"/>
      <c r="U798" s="179"/>
      <c r="V798" s="182"/>
      <c r="W798" s="175"/>
      <c r="X798" s="176"/>
    </row>
    <row r="799" spans="1:24" ht="15.75" customHeight="1">
      <c r="A799" s="179"/>
      <c r="B799" s="180"/>
      <c r="C799" s="180"/>
      <c r="D799" s="179"/>
      <c r="E799" s="179"/>
      <c r="F799" s="179"/>
      <c r="G799" s="179"/>
      <c r="H799" s="181"/>
      <c r="I799" s="181"/>
      <c r="J799" s="181"/>
      <c r="K799" s="179"/>
      <c r="L799" s="179"/>
      <c r="M799" s="179"/>
      <c r="N799" s="181"/>
      <c r="O799" s="179"/>
      <c r="P799" s="179"/>
      <c r="Q799" s="179"/>
      <c r="R799" s="179"/>
      <c r="S799" s="179"/>
      <c r="T799" s="179"/>
      <c r="U799" s="179"/>
      <c r="V799" s="182"/>
      <c r="W799" s="175"/>
      <c r="X799" s="176"/>
    </row>
    <row r="800" spans="1:24" ht="15.75" customHeight="1">
      <c r="A800" s="179"/>
      <c r="B800" s="180"/>
      <c r="C800" s="180"/>
      <c r="D800" s="179"/>
      <c r="E800" s="179"/>
      <c r="F800" s="179"/>
      <c r="G800" s="179"/>
      <c r="H800" s="181"/>
      <c r="I800" s="181"/>
      <c r="J800" s="181"/>
      <c r="K800" s="179"/>
      <c r="L800" s="179"/>
      <c r="M800" s="179"/>
      <c r="N800" s="181"/>
      <c r="O800" s="179"/>
      <c r="P800" s="179"/>
      <c r="Q800" s="179"/>
      <c r="R800" s="179"/>
      <c r="S800" s="179"/>
      <c r="T800" s="179"/>
      <c r="U800" s="179"/>
      <c r="V800" s="182"/>
      <c r="W800" s="175"/>
      <c r="X800" s="176"/>
    </row>
    <row r="801" spans="1:24" ht="15.75" customHeight="1">
      <c r="A801" s="179"/>
      <c r="B801" s="180"/>
      <c r="C801" s="180"/>
      <c r="D801" s="179"/>
      <c r="E801" s="179"/>
      <c r="F801" s="179"/>
      <c r="G801" s="179"/>
      <c r="H801" s="181"/>
      <c r="I801" s="181"/>
      <c r="J801" s="181"/>
      <c r="K801" s="179"/>
      <c r="L801" s="179"/>
      <c r="M801" s="179"/>
      <c r="N801" s="181"/>
      <c r="O801" s="179"/>
      <c r="P801" s="179"/>
      <c r="Q801" s="179"/>
      <c r="R801" s="179"/>
      <c r="S801" s="179"/>
      <c r="T801" s="179"/>
      <c r="U801" s="179"/>
      <c r="V801" s="182"/>
      <c r="W801" s="175"/>
      <c r="X801" s="176"/>
    </row>
    <row r="802" spans="1:24" ht="15.75" customHeight="1">
      <c r="A802" s="179"/>
      <c r="B802" s="180"/>
      <c r="C802" s="180"/>
      <c r="D802" s="179"/>
      <c r="E802" s="179"/>
      <c r="F802" s="179"/>
      <c r="G802" s="179"/>
      <c r="H802" s="181"/>
      <c r="I802" s="181"/>
      <c r="J802" s="181"/>
      <c r="K802" s="179"/>
      <c r="L802" s="179"/>
      <c r="M802" s="179"/>
      <c r="N802" s="181"/>
      <c r="O802" s="179"/>
      <c r="P802" s="179"/>
      <c r="Q802" s="179"/>
      <c r="R802" s="179"/>
      <c r="S802" s="179"/>
      <c r="T802" s="179"/>
      <c r="U802" s="179"/>
      <c r="V802" s="182"/>
      <c r="W802" s="175"/>
      <c r="X802" s="176"/>
    </row>
    <row r="803" spans="1:24" ht="15.75" customHeight="1">
      <c r="A803" s="179"/>
      <c r="B803" s="180"/>
      <c r="C803" s="180"/>
      <c r="D803" s="179"/>
      <c r="E803" s="179"/>
      <c r="F803" s="179"/>
      <c r="G803" s="179"/>
      <c r="H803" s="181"/>
      <c r="I803" s="181"/>
      <c r="J803" s="181"/>
      <c r="K803" s="179"/>
      <c r="L803" s="179"/>
      <c r="M803" s="179"/>
      <c r="N803" s="181"/>
      <c r="O803" s="179"/>
      <c r="P803" s="179"/>
      <c r="Q803" s="179"/>
      <c r="R803" s="179"/>
      <c r="S803" s="179"/>
      <c r="T803" s="179"/>
      <c r="U803" s="179"/>
      <c r="V803" s="182"/>
      <c r="W803" s="175"/>
      <c r="X803" s="176"/>
    </row>
    <row r="804" spans="1:24" ht="15.75" customHeight="1">
      <c r="A804" s="179"/>
      <c r="B804" s="180"/>
      <c r="C804" s="180"/>
      <c r="D804" s="179"/>
      <c r="E804" s="179"/>
      <c r="F804" s="179"/>
      <c r="G804" s="179"/>
      <c r="H804" s="181"/>
      <c r="I804" s="181"/>
      <c r="J804" s="181"/>
      <c r="K804" s="179"/>
      <c r="L804" s="179"/>
      <c r="M804" s="179"/>
      <c r="N804" s="181"/>
      <c r="O804" s="179"/>
      <c r="P804" s="179"/>
      <c r="Q804" s="179"/>
      <c r="R804" s="179"/>
      <c r="S804" s="179"/>
      <c r="T804" s="179"/>
      <c r="U804" s="179"/>
      <c r="V804" s="182"/>
      <c r="W804" s="175"/>
      <c r="X804" s="176"/>
    </row>
    <row r="805" spans="1:24" ht="15.75" customHeight="1">
      <c r="A805" s="179"/>
      <c r="B805" s="180"/>
      <c r="C805" s="180"/>
      <c r="D805" s="179"/>
      <c r="E805" s="179"/>
      <c r="F805" s="179"/>
      <c r="G805" s="179"/>
      <c r="H805" s="181"/>
      <c r="I805" s="181"/>
      <c r="J805" s="181"/>
      <c r="K805" s="179"/>
      <c r="L805" s="179"/>
      <c r="M805" s="179"/>
      <c r="N805" s="181"/>
      <c r="O805" s="179"/>
      <c r="P805" s="179"/>
      <c r="Q805" s="179"/>
      <c r="R805" s="179"/>
      <c r="S805" s="179"/>
      <c r="T805" s="179"/>
      <c r="U805" s="179"/>
      <c r="V805" s="182"/>
      <c r="W805" s="175"/>
      <c r="X805" s="176"/>
    </row>
    <row r="806" spans="1:24" ht="15.75" customHeight="1">
      <c r="A806" s="179"/>
      <c r="B806" s="180"/>
      <c r="C806" s="180"/>
      <c r="D806" s="179"/>
      <c r="E806" s="179"/>
      <c r="F806" s="179"/>
      <c r="G806" s="179"/>
      <c r="H806" s="181"/>
      <c r="I806" s="181"/>
      <c r="J806" s="181"/>
      <c r="K806" s="179"/>
      <c r="L806" s="179"/>
      <c r="M806" s="179"/>
      <c r="N806" s="181"/>
      <c r="O806" s="179"/>
      <c r="P806" s="179"/>
      <c r="Q806" s="179"/>
      <c r="R806" s="179"/>
      <c r="S806" s="179"/>
      <c r="T806" s="179"/>
      <c r="U806" s="179"/>
      <c r="V806" s="182"/>
      <c r="W806" s="175"/>
      <c r="X806" s="176"/>
    </row>
    <row r="807" spans="1:24" ht="15.75" customHeight="1">
      <c r="A807" s="179"/>
      <c r="B807" s="180"/>
      <c r="C807" s="180"/>
      <c r="D807" s="179"/>
      <c r="E807" s="179"/>
      <c r="F807" s="179"/>
      <c r="G807" s="179"/>
      <c r="H807" s="181"/>
      <c r="I807" s="181"/>
      <c r="J807" s="181"/>
      <c r="K807" s="179"/>
      <c r="L807" s="179"/>
      <c r="M807" s="179"/>
      <c r="N807" s="181"/>
      <c r="O807" s="179"/>
      <c r="P807" s="179"/>
      <c r="Q807" s="179"/>
      <c r="R807" s="179"/>
      <c r="S807" s="179"/>
      <c r="T807" s="179"/>
      <c r="U807" s="179"/>
      <c r="V807" s="182"/>
      <c r="W807" s="175"/>
      <c r="X807" s="176"/>
    </row>
    <row r="808" spans="1:24" ht="15.75" customHeight="1">
      <c r="A808" s="179"/>
      <c r="B808" s="180"/>
      <c r="C808" s="180"/>
      <c r="D808" s="179"/>
      <c r="E808" s="179"/>
      <c r="F808" s="179"/>
      <c r="G808" s="179"/>
      <c r="H808" s="181"/>
      <c r="I808" s="181"/>
      <c r="J808" s="181"/>
      <c r="K808" s="179"/>
      <c r="L808" s="179"/>
      <c r="M808" s="179"/>
      <c r="N808" s="181"/>
      <c r="O808" s="179"/>
      <c r="P808" s="179"/>
      <c r="Q808" s="179"/>
      <c r="R808" s="179"/>
      <c r="S808" s="179"/>
      <c r="T808" s="179"/>
      <c r="U808" s="179"/>
      <c r="V808" s="182"/>
      <c r="W808" s="175"/>
      <c r="X808" s="176"/>
    </row>
    <row r="809" spans="1:24" ht="15.75" customHeight="1">
      <c r="A809" s="179"/>
      <c r="B809" s="180"/>
      <c r="C809" s="180"/>
      <c r="D809" s="179"/>
      <c r="E809" s="179"/>
      <c r="F809" s="179"/>
      <c r="G809" s="179"/>
      <c r="H809" s="181"/>
      <c r="I809" s="181"/>
      <c r="J809" s="181"/>
      <c r="K809" s="179"/>
      <c r="L809" s="179"/>
      <c r="M809" s="179"/>
      <c r="N809" s="181"/>
      <c r="O809" s="179"/>
      <c r="P809" s="179"/>
      <c r="Q809" s="179"/>
      <c r="R809" s="179"/>
      <c r="S809" s="179"/>
      <c r="T809" s="179"/>
      <c r="U809" s="179"/>
      <c r="V809" s="182"/>
      <c r="W809" s="175"/>
      <c r="X809" s="176"/>
    </row>
    <row r="810" spans="1:24" ht="15.75" customHeight="1">
      <c r="A810" s="179"/>
      <c r="B810" s="180"/>
      <c r="C810" s="180"/>
      <c r="D810" s="179"/>
      <c r="E810" s="179"/>
      <c r="F810" s="179"/>
      <c r="G810" s="179"/>
      <c r="H810" s="181"/>
      <c r="I810" s="181"/>
      <c r="J810" s="181"/>
      <c r="K810" s="179"/>
      <c r="L810" s="179"/>
      <c r="M810" s="179"/>
      <c r="N810" s="181"/>
      <c r="O810" s="179"/>
      <c r="P810" s="179"/>
      <c r="Q810" s="179"/>
      <c r="R810" s="179"/>
      <c r="S810" s="179"/>
      <c r="T810" s="179"/>
      <c r="U810" s="179"/>
      <c r="V810" s="182"/>
      <c r="W810" s="175"/>
      <c r="X810" s="176"/>
    </row>
    <row r="811" spans="1:24" ht="15.75" customHeight="1">
      <c r="A811" s="179"/>
      <c r="B811" s="180"/>
      <c r="C811" s="180"/>
      <c r="D811" s="179"/>
      <c r="E811" s="179"/>
      <c r="F811" s="179"/>
      <c r="G811" s="179"/>
      <c r="H811" s="181"/>
      <c r="I811" s="181"/>
      <c r="J811" s="181"/>
      <c r="K811" s="179"/>
      <c r="L811" s="179"/>
      <c r="M811" s="179"/>
      <c r="N811" s="181"/>
      <c r="O811" s="179"/>
      <c r="P811" s="179"/>
      <c r="Q811" s="179"/>
      <c r="R811" s="179"/>
      <c r="S811" s="179"/>
      <c r="T811" s="179"/>
      <c r="U811" s="179"/>
      <c r="V811" s="182"/>
      <c r="W811" s="175"/>
      <c r="X811" s="176"/>
    </row>
    <row r="812" spans="1:24" ht="15.75" customHeight="1">
      <c r="A812" s="179"/>
      <c r="B812" s="180"/>
      <c r="C812" s="180"/>
      <c r="D812" s="179"/>
      <c r="E812" s="179"/>
      <c r="F812" s="179"/>
      <c r="G812" s="179"/>
      <c r="H812" s="181"/>
      <c r="I812" s="181"/>
      <c r="J812" s="181"/>
      <c r="K812" s="179"/>
      <c r="L812" s="179"/>
      <c r="M812" s="179"/>
      <c r="N812" s="181"/>
      <c r="O812" s="179"/>
      <c r="P812" s="179"/>
      <c r="Q812" s="179"/>
      <c r="R812" s="179"/>
      <c r="S812" s="179"/>
      <c r="T812" s="179"/>
      <c r="U812" s="179"/>
      <c r="V812" s="182"/>
      <c r="W812" s="175"/>
      <c r="X812" s="176"/>
    </row>
    <row r="813" spans="1:24" ht="15.75" customHeight="1">
      <c r="A813" s="179"/>
      <c r="B813" s="180"/>
      <c r="C813" s="180"/>
      <c r="D813" s="179"/>
      <c r="E813" s="179"/>
      <c r="F813" s="179"/>
      <c r="G813" s="179"/>
      <c r="H813" s="181"/>
      <c r="I813" s="181"/>
      <c r="J813" s="181"/>
      <c r="K813" s="179"/>
      <c r="L813" s="179"/>
      <c r="M813" s="179"/>
      <c r="N813" s="181"/>
      <c r="O813" s="179"/>
      <c r="P813" s="179"/>
      <c r="Q813" s="179"/>
      <c r="R813" s="179"/>
      <c r="S813" s="179"/>
      <c r="T813" s="179"/>
      <c r="U813" s="179"/>
      <c r="V813" s="182"/>
      <c r="W813" s="175"/>
      <c r="X813" s="176"/>
    </row>
    <row r="814" spans="1:24" ht="15.75" customHeight="1">
      <c r="A814" s="179"/>
      <c r="B814" s="180"/>
      <c r="C814" s="180"/>
      <c r="D814" s="179"/>
      <c r="E814" s="179"/>
      <c r="F814" s="179"/>
      <c r="G814" s="179"/>
      <c r="H814" s="181"/>
      <c r="I814" s="181"/>
      <c r="J814" s="181"/>
      <c r="K814" s="179"/>
      <c r="L814" s="179"/>
      <c r="M814" s="179"/>
      <c r="N814" s="181"/>
      <c r="O814" s="179"/>
      <c r="P814" s="179"/>
      <c r="Q814" s="179"/>
      <c r="R814" s="179"/>
      <c r="S814" s="179"/>
      <c r="T814" s="179"/>
      <c r="U814" s="179"/>
      <c r="V814" s="182"/>
      <c r="W814" s="175"/>
      <c r="X814" s="176"/>
    </row>
    <row r="815" spans="1:24" ht="15.75" customHeight="1">
      <c r="A815" s="179"/>
      <c r="B815" s="180"/>
      <c r="C815" s="180"/>
      <c r="D815" s="179"/>
      <c r="E815" s="179"/>
      <c r="F815" s="179"/>
      <c r="G815" s="179"/>
      <c r="H815" s="181"/>
      <c r="I815" s="181"/>
      <c r="J815" s="181"/>
      <c r="K815" s="179"/>
      <c r="L815" s="179"/>
      <c r="M815" s="179"/>
      <c r="N815" s="181"/>
      <c r="O815" s="179"/>
      <c r="P815" s="179"/>
      <c r="Q815" s="179"/>
      <c r="R815" s="179"/>
      <c r="S815" s="179"/>
      <c r="T815" s="179"/>
      <c r="U815" s="179"/>
      <c r="V815" s="182"/>
      <c r="W815" s="175"/>
      <c r="X815" s="176"/>
    </row>
    <row r="816" spans="1:24" ht="15.75" customHeight="1">
      <c r="A816" s="179"/>
      <c r="B816" s="180"/>
      <c r="C816" s="180"/>
      <c r="D816" s="179"/>
      <c r="E816" s="179"/>
      <c r="F816" s="179"/>
      <c r="G816" s="179"/>
      <c r="H816" s="181"/>
      <c r="I816" s="181"/>
      <c r="J816" s="181"/>
      <c r="K816" s="179"/>
      <c r="L816" s="179"/>
      <c r="M816" s="179"/>
      <c r="N816" s="181"/>
      <c r="O816" s="179"/>
      <c r="P816" s="179"/>
      <c r="Q816" s="179"/>
      <c r="R816" s="179"/>
      <c r="S816" s="179"/>
      <c r="T816" s="179"/>
      <c r="U816" s="179"/>
      <c r="V816" s="182"/>
      <c r="W816" s="175"/>
      <c r="X816" s="176"/>
    </row>
    <row r="817" spans="1:24" ht="15.75" customHeight="1">
      <c r="A817" s="179"/>
      <c r="B817" s="180"/>
      <c r="C817" s="180"/>
      <c r="D817" s="179"/>
      <c r="E817" s="179"/>
      <c r="F817" s="179"/>
      <c r="G817" s="179"/>
      <c r="H817" s="181"/>
      <c r="I817" s="181"/>
      <c r="J817" s="181"/>
      <c r="K817" s="179"/>
      <c r="L817" s="179"/>
      <c r="M817" s="179"/>
      <c r="N817" s="181"/>
      <c r="O817" s="179"/>
      <c r="P817" s="179"/>
      <c r="Q817" s="179"/>
      <c r="R817" s="179"/>
      <c r="S817" s="179"/>
      <c r="T817" s="179"/>
      <c r="U817" s="179"/>
      <c r="V817" s="182"/>
      <c r="W817" s="175"/>
      <c r="X817" s="176"/>
    </row>
    <row r="818" spans="1:24" ht="15.75" customHeight="1">
      <c r="A818" s="179"/>
      <c r="B818" s="180"/>
      <c r="C818" s="180"/>
      <c r="D818" s="179"/>
      <c r="E818" s="179"/>
      <c r="F818" s="179"/>
      <c r="G818" s="179"/>
      <c r="H818" s="181"/>
      <c r="I818" s="181"/>
      <c r="J818" s="181"/>
      <c r="K818" s="179"/>
      <c r="L818" s="179"/>
      <c r="M818" s="179"/>
      <c r="N818" s="181"/>
      <c r="O818" s="179"/>
      <c r="P818" s="179"/>
      <c r="Q818" s="179"/>
      <c r="R818" s="179"/>
      <c r="S818" s="179"/>
      <c r="T818" s="179"/>
      <c r="U818" s="179"/>
      <c r="V818" s="182"/>
      <c r="W818" s="175"/>
      <c r="X818" s="176"/>
    </row>
    <row r="819" spans="1:24" ht="15.75" customHeight="1">
      <c r="A819" s="179"/>
      <c r="B819" s="180"/>
      <c r="C819" s="180"/>
      <c r="D819" s="179"/>
      <c r="E819" s="179"/>
      <c r="F819" s="179"/>
      <c r="G819" s="179"/>
      <c r="H819" s="181"/>
      <c r="I819" s="181"/>
      <c r="J819" s="181"/>
      <c r="K819" s="179"/>
      <c r="L819" s="179"/>
      <c r="M819" s="179"/>
      <c r="N819" s="181"/>
      <c r="O819" s="179"/>
      <c r="P819" s="179"/>
      <c r="Q819" s="179"/>
      <c r="R819" s="179"/>
      <c r="S819" s="179"/>
      <c r="T819" s="179"/>
      <c r="U819" s="179"/>
      <c r="V819" s="182"/>
      <c r="W819" s="175"/>
      <c r="X819" s="176"/>
    </row>
    <row r="820" spans="1:24" ht="15.75" customHeight="1">
      <c r="A820" s="179"/>
      <c r="B820" s="180"/>
      <c r="C820" s="180"/>
      <c r="D820" s="179"/>
      <c r="E820" s="179"/>
      <c r="F820" s="179"/>
      <c r="G820" s="179"/>
      <c r="H820" s="181"/>
      <c r="I820" s="181"/>
      <c r="J820" s="181"/>
      <c r="K820" s="179"/>
      <c r="L820" s="179"/>
      <c r="M820" s="179"/>
      <c r="N820" s="181"/>
      <c r="O820" s="179"/>
      <c r="P820" s="179"/>
      <c r="Q820" s="179"/>
      <c r="R820" s="179"/>
      <c r="S820" s="179"/>
      <c r="T820" s="179"/>
      <c r="U820" s="179"/>
      <c r="V820" s="182"/>
      <c r="W820" s="175"/>
      <c r="X820" s="176"/>
    </row>
    <row r="821" spans="1:24" ht="15.75" customHeight="1">
      <c r="A821" s="179"/>
      <c r="B821" s="180"/>
      <c r="C821" s="180"/>
      <c r="D821" s="179"/>
      <c r="E821" s="179"/>
      <c r="F821" s="179"/>
      <c r="G821" s="179"/>
      <c r="H821" s="181"/>
      <c r="I821" s="181"/>
      <c r="J821" s="181"/>
      <c r="K821" s="179"/>
      <c r="L821" s="179"/>
      <c r="M821" s="179"/>
      <c r="N821" s="181"/>
      <c r="O821" s="179"/>
      <c r="P821" s="179"/>
      <c r="Q821" s="179"/>
      <c r="R821" s="179"/>
      <c r="S821" s="179"/>
      <c r="T821" s="179"/>
      <c r="U821" s="179"/>
      <c r="V821" s="182"/>
      <c r="W821" s="175"/>
      <c r="X821" s="176"/>
    </row>
    <row r="822" spans="1:24" ht="15.75" customHeight="1">
      <c r="A822" s="179"/>
      <c r="B822" s="180"/>
      <c r="C822" s="180"/>
      <c r="D822" s="179"/>
      <c r="E822" s="179"/>
      <c r="F822" s="179"/>
      <c r="G822" s="179"/>
      <c r="H822" s="181"/>
      <c r="I822" s="181"/>
      <c r="J822" s="181"/>
      <c r="K822" s="179"/>
      <c r="L822" s="179"/>
      <c r="M822" s="179"/>
      <c r="N822" s="181"/>
      <c r="O822" s="179"/>
      <c r="P822" s="179"/>
      <c r="Q822" s="179"/>
      <c r="R822" s="179"/>
      <c r="S822" s="179"/>
      <c r="T822" s="179"/>
      <c r="U822" s="179"/>
      <c r="V822" s="182"/>
      <c r="W822" s="175"/>
      <c r="X822" s="176"/>
    </row>
    <row r="823" spans="1:24" ht="15.75" customHeight="1">
      <c r="A823" s="179"/>
      <c r="B823" s="180"/>
      <c r="C823" s="180"/>
      <c r="D823" s="179"/>
      <c r="E823" s="179"/>
      <c r="F823" s="179"/>
      <c r="G823" s="179"/>
      <c r="H823" s="181"/>
      <c r="I823" s="181"/>
      <c r="J823" s="181"/>
      <c r="K823" s="179"/>
      <c r="L823" s="179"/>
      <c r="M823" s="179"/>
      <c r="N823" s="181"/>
      <c r="O823" s="179"/>
      <c r="P823" s="179"/>
      <c r="Q823" s="179"/>
      <c r="R823" s="179"/>
      <c r="S823" s="179"/>
      <c r="T823" s="179"/>
      <c r="U823" s="179"/>
      <c r="V823" s="182"/>
      <c r="W823" s="175"/>
      <c r="X823" s="176"/>
    </row>
    <row r="824" spans="1:24" ht="15.75" customHeight="1">
      <c r="A824" s="179"/>
      <c r="B824" s="180"/>
      <c r="C824" s="180"/>
      <c r="D824" s="179"/>
      <c r="E824" s="179"/>
      <c r="F824" s="179"/>
      <c r="G824" s="179"/>
      <c r="H824" s="181"/>
      <c r="I824" s="181"/>
      <c r="J824" s="181"/>
      <c r="K824" s="179"/>
      <c r="L824" s="179"/>
      <c r="M824" s="179"/>
      <c r="N824" s="181"/>
      <c r="O824" s="179"/>
      <c r="P824" s="179"/>
      <c r="Q824" s="179"/>
      <c r="R824" s="179"/>
      <c r="S824" s="179"/>
      <c r="T824" s="179"/>
      <c r="U824" s="179"/>
      <c r="V824" s="182"/>
      <c r="W824" s="175"/>
      <c r="X824" s="176"/>
    </row>
    <row r="825" spans="1:24" ht="15.75" customHeight="1">
      <c r="A825" s="179"/>
      <c r="B825" s="180"/>
      <c r="C825" s="180"/>
      <c r="D825" s="179"/>
      <c r="E825" s="179"/>
      <c r="F825" s="179"/>
      <c r="G825" s="179"/>
      <c r="H825" s="181"/>
      <c r="I825" s="181"/>
      <c r="J825" s="181"/>
      <c r="K825" s="179"/>
      <c r="L825" s="179"/>
      <c r="M825" s="179"/>
      <c r="N825" s="181"/>
      <c r="O825" s="179"/>
      <c r="P825" s="179"/>
      <c r="Q825" s="179"/>
      <c r="R825" s="179"/>
      <c r="S825" s="179"/>
      <c r="T825" s="179"/>
      <c r="U825" s="179"/>
      <c r="V825" s="182"/>
      <c r="W825" s="175"/>
      <c r="X825" s="176"/>
    </row>
    <row r="826" spans="1:24" ht="15.75" customHeight="1">
      <c r="A826" s="179"/>
      <c r="B826" s="180"/>
      <c r="C826" s="180"/>
      <c r="D826" s="179"/>
      <c r="E826" s="179"/>
      <c r="F826" s="179"/>
      <c r="G826" s="179"/>
      <c r="H826" s="181"/>
      <c r="I826" s="181"/>
      <c r="J826" s="181"/>
      <c r="K826" s="179"/>
      <c r="L826" s="179"/>
      <c r="M826" s="179"/>
      <c r="N826" s="181"/>
      <c r="O826" s="179"/>
      <c r="P826" s="179"/>
      <c r="Q826" s="179"/>
      <c r="R826" s="179"/>
      <c r="S826" s="179"/>
      <c r="T826" s="179"/>
      <c r="U826" s="179"/>
      <c r="V826" s="182"/>
      <c r="W826" s="175"/>
      <c r="X826" s="176"/>
    </row>
    <row r="827" spans="1:24" ht="15.75" customHeight="1">
      <c r="A827" s="179"/>
      <c r="B827" s="180"/>
      <c r="C827" s="180"/>
      <c r="D827" s="179"/>
      <c r="E827" s="179"/>
      <c r="F827" s="179"/>
      <c r="G827" s="179"/>
      <c r="H827" s="181"/>
      <c r="I827" s="181"/>
      <c r="J827" s="181"/>
      <c r="K827" s="179"/>
      <c r="L827" s="179"/>
      <c r="M827" s="179"/>
      <c r="N827" s="181"/>
      <c r="O827" s="179"/>
      <c r="P827" s="179"/>
      <c r="Q827" s="179"/>
      <c r="R827" s="179"/>
      <c r="S827" s="179"/>
      <c r="T827" s="179"/>
      <c r="U827" s="179"/>
      <c r="V827" s="182"/>
      <c r="W827" s="175"/>
      <c r="X827" s="176"/>
    </row>
    <row r="828" spans="1:24" ht="15.75" customHeight="1">
      <c r="A828" s="179"/>
      <c r="B828" s="180"/>
      <c r="C828" s="180"/>
      <c r="D828" s="179"/>
      <c r="E828" s="179"/>
      <c r="F828" s="179"/>
      <c r="G828" s="179"/>
      <c r="H828" s="181"/>
      <c r="I828" s="181"/>
      <c r="J828" s="181"/>
      <c r="K828" s="179"/>
      <c r="L828" s="179"/>
      <c r="M828" s="179"/>
      <c r="N828" s="181"/>
      <c r="O828" s="179"/>
      <c r="P828" s="179"/>
      <c r="Q828" s="179"/>
      <c r="R828" s="179"/>
      <c r="S828" s="179"/>
      <c r="T828" s="179"/>
      <c r="U828" s="179"/>
      <c r="V828" s="182"/>
      <c r="W828" s="175"/>
      <c r="X828" s="176"/>
    </row>
    <row r="829" spans="1:24" ht="15.75" customHeight="1">
      <c r="A829" s="179"/>
      <c r="B829" s="180"/>
      <c r="C829" s="180"/>
      <c r="D829" s="179"/>
      <c r="E829" s="179"/>
      <c r="F829" s="179"/>
      <c r="G829" s="179"/>
      <c r="H829" s="181"/>
      <c r="I829" s="181"/>
      <c r="J829" s="181"/>
      <c r="K829" s="179"/>
      <c r="L829" s="179"/>
      <c r="M829" s="179"/>
      <c r="N829" s="181"/>
      <c r="O829" s="179"/>
      <c r="P829" s="179"/>
      <c r="Q829" s="179"/>
      <c r="R829" s="179"/>
      <c r="S829" s="179"/>
      <c r="T829" s="179"/>
      <c r="U829" s="179"/>
      <c r="V829" s="182"/>
      <c r="W829" s="175"/>
      <c r="X829" s="176"/>
    </row>
    <row r="830" spans="1:24" ht="15.75" customHeight="1">
      <c r="A830" s="179"/>
      <c r="B830" s="180"/>
      <c r="C830" s="180"/>
      <c r="D830" s="179"/>
      <c r="E830" s="179"/>
      <c r="F830" s="179"/>
      <c r="G830" s="179"/>
      <c r="H830" s="181"/>
      <c r="I830" s="181"/>
      <c r="J830" s="181"/>
      <c r="K830" s="179"/>
      <c r="L830" s="179"/>
      <c r="M830" s="179"/>
      <c r="N830" s="181"/>
      <c r="O830" s="179"/>
      <c r="P830" s="179"/>
      <c r="Q830" s="179"/>
      <c r="R830" s="179"/>
      <c r="S830" s="179"/>
      <c r="T830" s="179"/>
      <c r="U830" s="179"/>
      <c r="V830" s="182"/>
      <c r="W830" s="175"/>
      <c r="X830" s="176"/>
    </row>
    <row r="831" spans="1:24" ht="15.75" customHeight="1">
      <c r="A831" s="179"/>
      <c r="B831" s="180"/>
      <c r="C831" s="180"/>
      <c r="D831" s="179"/>
      <c r="E831" s="179"/>
      <c r="F831" s="179"/>
      <c r="G831" s="179"/>
      <c r="H831" s="181"/>
      <c r="I831" s="181"/>
      <c r="J831" s="181"/>
      <c r="K831" s="179"/>
      <c r="L831" s="179"/>
      <c r="M831" s="179"/>
      <c r="N831" s="181"/>
      <c r="O831" s="179"/>
      <c r="P831" s="179"/>
      <c r="Q831" s="179"/>
      <c r="R831" s="179"/>
      <c r="S831" s="179"/>
      <c r="T831" s="179"/>
      <c r="U831" s="179"/>
      <c r="V831" s="182"/>
      <c r="W831" s="175"/>
      <c r="X831" s="176"/>
    </row>
    <row r="832" spans="1:24" ht="15.75" customHeight="1">
      <c r="A832" s="179"/>
      <c r="B832" s="180"/>
      <c r="C832" s="180"/>
      <c r="D832" s="179"/>
      <c r="E832" s="179"/>
      <c r="F832" s="179"/>
      <c r="G832" s="179"/>
      <c r="H832" s="181"/>
      <c r="I832" s="181"/>
      <c r="J832" s="181"/>
      <c r="K832" s="179"/>
      <c r="L832" s="179"/>
      <c r="M832" s="179"/>
      <c r="N832" s="181"/>
      <c r="O832" s="179"/>
      <c r="P832" s="179"/>
      <c r="Q832" s="179"/>
      <c r="R832" s="179"/>
      <c r="S832" s="179"/>
      <c r="T832" s="179"/>
      <c r="U832" s="179"/>
      <c r="V832" s="182"/>
      <c r="W832" s="175"/>
      <c r="X832" s="176"/>
    </row>
    <row r="833" spans="1:24" ht="15.75" customHeight="1">
      <c r="A833" s="179"/>
      <c r="B833" s="180"/>
      <c r="C833" s="180"/>
      <c r="D833" s="179"/>
      <c r="E833" s="179"/>
      <c r="F833" s="179"/>
      <c r="G833" s="179"/>
      <c r="H833" s="181"/>
      <c r="I833" s="181"/>
      <c r="J833" s="181"/>
      <c r="K833" s="179"/>
      <c r="L833" s="179"/>
      <c r="M833" s="179"/>
      <c r="N833" s="181"/>
      <c r="O833" s="179"/>
      <c r="P833" s="179"/>
      <c r="Q833" s="179"/>
      <c r="R833" s="179"/>
      <c r="S833" s="179"/>
      <c r="T833" s="179"/>
      <c r="U833" s="179"/>
      <c r="V833" s="182"/>
      <c r="W833" s="175"/>
      <c r="X833" s="176"/>
    </row>
    <row r="834" spans="1:24" ht="15.75" customHeight="1">
      <c r="A834" s="179"/>
      <c r="B834" s="180"/>
      <c r="C834" s="180"/>
      <c r="D834" s="179"/>
      <c r="E834" s="179"/>
      <c r="F834" s="179"/>
      <c r="G834" s="179"/>
      <c r="H834" s="181"/>
      <c r="I834" s="181"/>
      <c r="J834" s="181"/>
      <c r="K834" s="179"/>
      <c r="L834" s="179"/>
      <c r="M834" s="179"/>
      <c r="N834" s="181"/>
      <c r="O834" s="179"/>
      <c r="P834" s="179"/>
      <c r="Q834" s="179"/>
      <c r="R834" s="179"/>
      <c r="S834" s="179"/>
      <c r="T834" s="179"/>
      <c r="U834" s="179"/>
      <c r="V834" s="182"/>
      <c r="W834" s="175"/>
      <c r="X834" s="176"/>
    </row>
    <row r="835" spans="1:24" ht="15.75" customHeight="1">
      <c r="A835" s="179"/>
      <c r="B835" s="180"/>
      <c r="C835" s="180"/>
      <c r="D835" s="179"/>
      <c r="E835" s="179"/>
      <c r="F835" s="179"/>
      <c r="G835" s="179"/>
      <c r="H835" s="181"/>
      <c r="I835" s="181"/>
      <c r="J835" s="181"/>
      <c r="K835" s="179"/>
      <c r="L835" s="179"/>
      <c r="M835" s="179"/>
      <c r="N835" s="181"/>
      <c r="O835" s="179"/>
      <c r="P835" s="179"/>
      <c r="Q835" s="179"/>
      <c r="R835" s="179"/>
      <c r="S835" s="179"/>
      <c r="T835" s="179"/>
      <c r="U835" s="179"/>
      <c r="V835" s="182"/>
      <c r="W835" s="175"/>
      <c r="X835" s="176"/>
    </row>
    <row r="836" spans="1:24" ht="15.75" customHeight="1">
      <c r="A836" s="179"/>
      <c r="B836" s="180"/>
      <c r="C836" s="180"/>
      <c r="D836" s="179"/>
      <c r="E836" s="179"/>
      <c r="F836" s="179"/>
      <c r="G836" s="179"/>
      <c r="H836" s="181"/>
      <c r="I836" s="181"/>
      <c r="J836" s="181"/>
      <c r="K836" s="179"/>
      <c r="L836" s="179"/>
      <c r="M836" s="179"/>
      <c r="N836" s="181"/>
      <c r="O836" s="179"/>
      <c r="P836" s="179"/>
      <c r="Q836" s="179"/>
      <c r="R836" s="179"/>
      <c r="S836" s="179"/>
      <c r="T836" s="179"/>
      <c r="U836" s="179"/>
      <c r="V836" s="182"/>
      <c r="W836" s="175"/>
      <c r="X836" s="176"/>
    </row>
    <row r="837" spans="1:24" ht="15.75" customHeight="1">
      <c r="A837" s="179"/>
      <c r="B837" s="180"/>
      <c r="C837" s="180"/>
      <c r="D837" s="179"/>
      <c r="E837" s="179"/>
      <c r="F837" s="179"/>
      <c r="G837" s="179"/>
      <c r="H837" s="181"/>
      <c r="I837" s="181"/>
      <c r="J837" s="181"/>
      <c r="K837" s="179"/>
      <c r="L837" s="179"/>
      <c r="M837" s="179"/>
      <c r="N837" s="181"/>
      <c r="O837" s="179"/>
      <c r="P837" s="179"/>
      <c r="Q837" s="179"/>
      <c r="R837" s="179"/>
      <c r="S837" s="179"/>
      <c r="T837" s="179"/>
      <c r="U837" s="179"/>
      <c r="V837" s="182"/>
      <c r="W837" s="175"/>
      <c r="X837" s="176"/>
    </row>
    <row r="838" spans="1:24" ht="15.75" customHeight="1">
      <c r="A838" s="179"/>
      <c r="B838" s="180"/>
      <c r="C838" s="180"/>
      <c r="D838" s="179"/>
      <c r="E838" s="179"/>
      <c r="F838" s="179"/>
      <c r="G838" s="179"/>
      <c r="H838" s="181"/>
      <c r="I838" s="181"/>
      <c r="J838" s="181"/>
      <c r="K838" s="179"/>
      <c r="L838" s="179"/>
      <c r="M838" s="179"/>
      <c r="N838" s="181"/>
      <c r="O838" s="179"/>
      <c r="P838" s="179"/>
      <c r="Q838" s="179"/>
      <c r="R838" s="179"/>
      <c r="S838" s="179"/>
      <c r="T838" s="179"/>
      <c r="U838" s="179"/>
      <c r="V838" s="182"/>
      <c r="W838" s="175"/>
      <c r="X838" s="176"/>
    </row>
    <row r="839" spans="1:24" ht="15.75" customHeight="1">
      <c r="A839" s="179"/>
      <c r="B839" s="180"/>
      <c r="C839" s="180"/>
      <c r="D839" s="179"/>
      <c r="E839" s="179"/>
      <c r="F839" s="179"/>
      <c r="G839" s="179"/>
      <c r="H839" s="181"/>
      <c r="I839" s="181"/>
      <c r="J839" s="181"/>
      <c r="K839" s="179"/>
      <c r="L839" s="179"/>
      <c r="M839" s="179"/>
      <c r="N839" s="181"/>
      <c r="O839" s="179"/>
      <c r="P839" s="179"/>
      <c r="Q839" s="179"/>
      <c r="R839" s="179"/>
      <c r="S839" s="179"/>
      <c r="T839" s="179"/>
      <c r="U839" s="179"/>
      <c r="V839" s="182"/>
      <c r="W839" s="175"/>
      <c r="X839" s="176"/>
    </row>
    <row r="840" spans="1:24" ht="15.75" customHeight="1">
      <c r="A840" s="179"/>
      <c r="B840" s="180"/>
      <c r="C840" s="180"/>
      <c r="D840" s="179"/>
      <c r="E840" s="179"/>
      <c r="F840" s="179"/>
      <c r="G840" s="179"/>
      <c r="H840" s="181"/>
      <c r="I840" s="181"/>
      <c r="J840" s="181"/>
      <c r="K840" s="179"/>
      <c r="L840" s="179"/>
      <c r="M840" s="179"/>
      <c r="N840" s="181"/>
      <c r="O840" s="179"/>
      <c r="P840" s="179"/>
      <c r="Q840" s="179"/>
      <c r="R840" s="179"/>
      <c r="S840" s="179"/>
      <c r="T840" s="179"/>
      <c r="U840" s="179"/>
      <c r="V840" s="182"/>
      <c r="W840" s="175"/>
      <c r="X840" s="176"/>
    </row>
    <row r="841" spans="1:24" ht="15.75" customHeight="1">
      <c r="A841" s="179"/>
      <c r="B841" s="180"/>
      <c r="C841" s="180"/>
      <c r="D841" s="179"/>
      <c r="E841" s="179"/>
      <c r="F841" s="179"/>
      <c r="G841" s="179"/>
      <c r="H841" s="181"/>
      <c r="I841" s="181"/>
      <c r="J841" s="181"/>
      <c r="K841" s="179"/>
      <c r="L841" s="179"/>
      <c r="M841" s="179"/>
      <c r="N841" s="181"/>
      <c r="O841" s="179"/>
      <c r="P841" s="179"/>
      <c r="Q841" s="179"/>
      <c r="R841" s="179"/>
      <c r="S841" s="179"/>
      <c r="T841" s="179"/>
      <c r="U841" s="179"/>
      <c r="V841" s="182"/>
      <c r="W841" s="175"/>
      <c r="X841" s="176"/>
    </row>
    <row r="842" spans="1:24" ht="15.75" customHeight="1">
      <c r="A842" s="179"/>
      <c r="B842" s="180"/>
      <c r="C842" s="180"/>
      <c r="D842" s="179"/>
      <c r="E842" s="179"/>
      <c r="F842" s="179"/>
      <c r="G842" s="179"/>
      <c r="H842" s="181"/>
      <c r="I842" s="181"/>
      <c r="J842" s="181"/>
      <c r="K842" s="179"/>
      <c r="L842" s="179"/>
      <c r="M842" s="179"/>
      <c r="N842" s="181"/>
      <c r="O842" s="179"/>
      <c r="P842" s="179"/>
      <c r="Q842" s="179"/>
      <c r="R842" s="179"/>
      <c r="S842" s="179"/>
      <c r="T842" s="179"/>
      <c r="U842" s="179"/>
      <c r="V842" s="182"/>
      <c r="W842" s="175"/>
      <c r="X842" s="176"/>
    </row>
    <row r="843" spans="1:24" ht="15.75" customHeight="1">
      <c r="A843" s="179"/>
      <c r="B843" s="180"/>
      <c r="C843" s="180"/>
      <c r="D843" s="179"/>
      <c r="E843" s="179"/>
      <c r="F843" s="179"/>
      <c r="G843" s="179"/>
      <c r="H843" s="181"/>
      <c r="I843" s="181"/>
      <c r="J843" s="181"/>
      <c r="K843" s="179"/>
      <c r="L843" s="179"/>
      <c r="M843" s="179"/>
      <c r="N843" s="181"/>
      <c r="O843" s="179"/>
      <c r="P843" s="179"/>
      <c r="Q843" s="179"/>
      <c r="R843" s="179"/>
      <c r="S843" s="179"/>
      <c r="T843" s="179"/>
      <c r="U843" s="179"/>
      <c r="V843" s="182"/>
      <c r="W843" s="175"/>
      <c r="X843" s="176"/>
    </row>
    <row r="844" spans="1:24" ht="15.75" customHeight="1">
      <c r="A844" s="179"/>
      <c r="B844" s="180"/>
      <c r="C844" s="180"/>
      <c r="D844" s="179"/>
      <c r="E844" s="179"/>
      <c r="F844" s="179"/>
      <c r="G844" s="179"/>
      <c r="H844" s="181"/>
      <c r="I844" s="181"/>
      <c r="J844" s="181"/>
      <c r="K844" s="179"/>
      <c r="L844" s="179"/>
      <c r="M844" s="179"/>
      <c r="N844" s="181"/>
      <c r="O844" s="179"/>
      <c r="P844" s="179"/>
      <c r="Q844" s="179"/>
      <c r="R844" s="179"/>
      <c r="S844" s="179"/>
      <c r="T844" s="179"/>
      <c r="U844" s="179"/>
      <c r="V844" s="182"/>
      <c r="W844" s="175"/>
      <c r="X844" s="176"/>
    </row>
    <row r="845" spans="1:24" ht="15.75" customHeight="1">
      <c r="A845" s="179"/>
      <c r="B845" s="180"/>
      <c r="C845" s="180"/>
      <c r="D845" s="179"/>
      <c r="E845" s="179"/>
      <c r="F845" s="179"/>
      <c r="G845" s="179"/>
      <c r="H845" s="181"/>
      <c r="I845" s="181"/>
      <c r="J845" s="181"/>
      <c r="K845" s="179"/>
      <c r="L845" s="179"/>
      <c r="M845" s="179"/>
      <c r="N845" s="181"/>
      <c r="O845" s="179"/>
      <c r="P845" s="179"/>
      <c r="Q845" s="179"/>
      <c r="R845" s="179"/>
      <c r="S845" s="179"/>
      <c r="T845" s="179"/>
      <c r="U845" s="179"/>
      <c r="V845" s="182"/>
      <c r="W845" s="175"/>
      <c r="X845" s="176"/>
    </row>
    <row r="846" spans="1:24" ht="15.75" customHeight="1">
      <c r="A846" s="179"/>
      <c r="B846" s="180"/>
      <c r="C846" s="180"/>
      <c r="D846" s="179"/>
      <c r="E846" s="179"/>
      <c r="F846" s="179"/>
      <c r="G846" s="179"/>
      <c r="H846" s="181"/>
      <c r="I846" s="181"/>
      <c r="J846" s="181"/>
      <c r="K846" s="179"/>
      <c r="L846" s="179"/>
      <c r="M846" s="179"/>
      <c r="N846" s="181"/>
      <c r="O846" s="179"/>
      <c r="P846" s="179"/>
      <c r="Q846" s="179"/>
      <c r="R846" s="179"/>
      <c r="S846" s="179"/>
      <c r="T846" s="179"/>
      <c r="U846" s="179"/>
      <c r="V846" s="182"/>
      <c r="W846" s="175"/>
      <c r="X846" s="176"/>
    </row>
    <row r="847" spans="1:24" ht="15.75" customHeight="1">
      <c r="A847" s="179"/>
      <c r="B847" s="180"/>
      <c r="C847" s="180"/>
      <c r="D847" s="179"/>
      <c r="E847" s="179"/>
      <c r="F847" s="179"/>
      <c r="G847" s="179"/>
      <c r="H847" s="181"/>
      <c r="I847" s="181"/>
      <c r="J847" s="181"/>
      <c r="K847" s="179"/>
      <c r="L847" s="179"/>
      <c r="M847" s="179"/>
      <c r="N847" s="181"/>
      <c r="O847" s="179"/>
      <c r="P847" s="179"/>
      <c r="Q847" s="179"/>
      <c r="R847" s="179"/>
      <c r="S847" s="179"/>
      <c r="T847" s="179"/>
      <c r="U847" s="179"/>
      <c r="V847" s="182"/>
      <c r="W847" s="175"/>
      <c r="X847" s="176"/>
    </row>
    <row r="848" spans="1:24" ht="15.75" customHeight="1">
      <c r="A848" s="179"/>
      <c r="B848" s="180"/>
      <c r="C848" s="180"/>
      <c r="D848" s="179"/>
      <c r="E848" s="179"/>
      <c r="F848" s="179"/>
      <c r="G848" s="179"/>
      <c r="H848" s="181"/>
      <c r="I848" s="181"/>
      <c r="J848" s="181"/>
      <c r="K848" s="179"/>
      <c r="L848" s="179"/>
      <c r="M848" s="179"/>
      <c r="N848" s="181"/>
      <c r="O848" s="179"/>
      <c r="P848" s="179"/>
      <c r="Q848" s="179"/>
      <c r="R848" s="179"/>
      <c r="S848" s="179"/>
      <c r="T848" s="179"/>
      <c r="U848" s="179"/>
      <c r="V848" s="182"/>
      <c r="W848" s="175"/>
      <c r="X848" s="176"/>
    </row>
    <row r="849" spans="1:24" ht="15.75" customHeight="1">
      <c r="A849" s="179"/>
      <c r="B849" s="180"/>
      <c r="C849" s="180"/>
      <c r="D849" s="179"/>
      <c r="E849" s="179"/>
      <c r="F849" s="179"/>
      <c r="G849" s="179"/>
      <c r="H849" s="181"/>
      <c r="I849" s="181"/>
      <c r="J849" s="181"/>
      <c r="K849" s="179"/>
      <c r="L849" s="179"/>
      <c r="M849" s="179"/>
      <c r="N849" s="181"/>
      <c r="O849" s="179"/>
      <c r="P849" s="179"/>
      <c r="Q849" s="179"/>
      <c r="R849" s="179"/>
      <c r="S849" s="179"/>
      <c r="T849" s="179"/>
      <c r="U849" s="179"/>
      <c r="V849" s="182"/>
      <c r="W849" s="175"/>
      <c r="X849" s="176"/>
    </row>
    <row r="850" spans="1:24" ht="15.75" customHeight="1">
      <c r="A850" s="179"/>
      <c r="B850" s="180"/>
      <c r="C850" s="180"/>
      <c r="D850" s="179"/>
      <c r="E850" s="179"/>
      <c r="F850" s="179"/>
      <c r="G850" s="179"/>
      <c r="H850" s="181"/>
      <c r="I850" s="181"/>
      <c r="J850" s="181"/>
      <c r="K850" s="179"/>
      <c r="L850" s="179"/>
      <c r="M850" s="179"/>
      <c r="N850" s="181"/>
      <c r="O850" s="179"/>
      <c r="P850" s="179"/>
      <c r="Q850" s="179"/>
      <c r="R850" s="179"/>
      <c r="S850" s="179"/>
      <c r="T850" s="179"/>
      <c r="U850" s="179"/>
      <c r="V850" s="182"/>
      <c r="W850" s="175"/>
      <c r="X850" s="176"/>
    </row>
    <row r="851" spans="1:24" ht="15.75" customHeight="1">
      <c r="A851" s="179"/>
      <c r="B851" s="180"/>
      <c r="C851" s="180"/>
      <c r="D851" s="179"/>
      <c r="E851" s="179"/>
      <c r="F851" s="179"/>
      <c r="G851" s="179"/>
      <c r="H851" s="181"/>
      <c r="I851" s="181"/>
      <c r="J851" s="181"/>
      <c r="K851" s="179"/>
      <c r="L851" s="179"/>
      <c r="M851" s="179"/>
      <c r="N851" s="181"/>
      <c r="O851" s="179"/>
      <c r="P851" s="179"/>
      <c r="Q851" s="179"/>
      <c r="R851" s="179"/>
      <c r="S851" s="179"/>
      <c r="T851" s="179"/>
      <c r="U851" s="179"/>
      <c r="V851" s="182"/>
      <c r="W851" s="175"/>
      <c r="X851" s="176"/>
    </row>
    <row r="852" spans="1:24" ht="15.75" customHeight="1">
      <c r="A852" s="179"/>
      <c r="B852" s="180"/>
      <c r="C852" s="180"/>
      <c r="D852" s="179"/>
      <c r="E852" s="179"/>
      <c r="F852" s="179"/>
      <c r="G852" s="179"/>
      <c r="H852" s="181"/>
      <c r="I852" s="181"/>
      <c r="J852" s="181"/>
      <c r="K852" s="179"/>
      <c r="L852" s="179"/>
      <c r="M852" s="179"/>
      <c r="N852" s="181"/>
      <c r="O852" s="179"/>
      <c r="P852" s="179"/>
      <c r="Q852" s="179"/>
      <c r="R852" s="179"/>
      <c r="S852" s="179"/>
      <c r="T852" s="179"/>
      <c r="U852" s="179"/>
      <c r="V852" s="182"/>
      <c r="W852" s="175"/>
      <c r="X852" s="176"/>
    </row>
    <row r="853" spans="1:24" ht="15.75" customHeight="1">
      <c r="A853" s="179"/>
      <c r="B853" s="180"/>
      <c r="C853" s="180"/>
      <c r="D853" s="179"/>
      <c r="E853" s="179"/>
      <c r="F853" s="179"/>
      <c r="G853" s="179"/>
      <c r="H853" s="181"/>
      <c r="I853" s="181"/>
      <c r="J853" s="181"/>
      <c r="K853" s="179"/>
      <c r="L853" s="179"/>
      <c r="M853" s="179"/>
      <c r="N853" s="181"/>
      <c r="O853" s="179"/>
      <c r="P853" s="179"/>
      <c r="Q853" s="179"/>
      <c r="R853" s="179"/>
      <c r="S853" s="179"/>
      <c r="T853" s="179"/>
      <c r="U853" s="179"/>
      <c r="V853" s="182"/>
      <c r="W853" s="175"/>
      <c r="X853" s="176"/>
    </row>
    <row r="854" spans="1:24" ht="15.75" customHeight="1">
      <c r="A854" s="179"/>
      <c r="B854" s="180"/>
      <c r="C854" s="180"/>
      <c r="D854" s="179"/>
      <c r="E854" s="179"/>
      <c r="F854" s="179"/>
      <c r="G854" s="179"/>
      <c r="H854" s="181"/>
      <c r="I854" s="181"/>
      <c r="J854" s="181"/>
      <c r="K854" s="179"/>
      <c r="L854" s="179"/>
      <c r="M854" s="179"/>
      <c r="N854" s="181"/>
      <c r="O854" s="179"/>
      <c r="P854" s="179"/>
      <c r="Q854" s="179"/>
      <c r="R854" s="179"/>
      <c r="S854" s="179"/>
      <c r="T854" s="179"/>
      <c r="U854" s="179"/>
      <c r="V854" s="182"/>
      <c r="W854" s="175"/>
      <c r="X854" s="176"/>
    </row>
    <row r="855" spans="1:24" ht="15.75" customHeight="1">
      <c r="A855" s="179"/>
      <c r="B855" s="180"/>
      <c r="C855" s="180"/>
      <c r="D855" s="179"/>
      <c r="E855" s="179"/>
      <c r="F855" s="179"/>
      <c r="G855" s="179"/>
      <c r="H855" s="181"/>
      <c r="I855" s="181"/>
      <c r="J855" s="181"/>
      <c r="K855" s="179"/>
      <c r="L855" s="179"/>
      <c r="M855" s="179"/>
      <c r="N855" s="181"/>
      <c r="O855" s="179"/>
      <c r="P855" s="179"/>
      <c r="Q855" s="179"/>
      <c r="R855" s="179"/>
      <c r="S855" s="179"/>
      <c r="T855" s="179"/>
      <c r="U855" s="179"/>
      <c r="V855" s="182"/>
      <c r="W855" s="175"/>
      <c r="X855" s="176"/>
    </row>
    <row r="856" spans="1:24" ht="15.75" customHeight="1">
      <c r="A856" s="179"/>
      <c r="B856" s="180"/>
      <c r="C856" s="180"/>
      <c r="D856" s="179"/>
      <c r="E856" s="179"/>
      <c r="F856" s="179"/>
      <c r="G856" s="179"/>
      <c r="H856" s="181"/>
      <c r="I856" s="181"/>
      <c r="J856" s="181"/>
      <c r="K856" s="179"/>
      <c r="L856" s="179"/>
      <c r="M856" s="179"/>
      <c r="N856" s="181"/>
      <c r="O856" s="179"/>
      <c r="P856" s="179"/>
      <c r="Q856" s="179"/>
      <c r="R856" s="179"/>
      <c r="S856" s="179"/>
      <c r="T856" s="179"/>
      <c r="U856" s="179"/>
      <c r="V856" s="182"/>
      <c r="W856" s="175"/>
      <c r="X856" s="176"/>
    </row>
    <row r="857" spans="1:24" ht="15.75" customHeight="1">
      <c r="A857" s="179"/>
      <c r="B857" s="180"/>
      <c r="C857" s="180"/>
      <c r="D857" s="179"/>
      <c r="E857" s="179"/>
      <c r="F857" s="179"/>
      <c r="G857" s="179"/>
      <c r="H857" s="181"/>
      <c r="I857" s="181"/>
      <c r="J857" s="181"/>
      <c r="K857" s="179"/>
      <c r="L857" s="179"/>
      <c r="M857" s="179"/>
      <c r="N857" s="181"/>
      <c r="O857" s="179"/>
      <c r="P857" s="179"/>
      <c r="Q857" s="179"/>
      <c r="R857" s="179"/>
      <c r="S857" s="179"/>
      <c r="T857" s="179"/>
      <c r="U857" s="179"/>
      <c r="V857" s="182"/>
      <c r="W857" s="175"/>
      <c r="X857" s="176"/>
    </row>
    <row r="858" spans="1:24" ht="15.75" customHeight="1">
      <c r="A858" s="179"/>
      <c r="B858" s="180"/>
      <c r="C858" s="180"/>
      <c r="D858" s="179"/>
      <c r="E858" s="179"/>
      <c r="F858" s="179"/>
      <c r="G858" s="179"/>
      <c r="H858" s="181"/>
      <c r="I858" s="181"/>
      <c r="J858" s="181"/>
      <c r="K858" s="179"/>
      <c r="L858" s="179"/>
      <c r="M858" s="179"/>
      <c r="N858" s="181"/>
      <c r="O858" s="179"/>
      <c r="P858" s="179"/>
      <c r="Q858" s="179"/>
      <c r="R858" s="179"/>
      <c r="S858" s="179"/>
      <c r="T858" s="179"/>
      <c r="U858" s="179"/>
      <c r="V858" s="182"/>
      <c r="W858" s="175"/>
      <c r="X858" s="176"/>
    </row>
    <row r="859" spans="1:24" ht="15.75" customHeight="1">
      <c r="A859" s="179"/>
      <c r="B859" s="180"/>
      <c r="C859" s="180"/>
      <c r="D859" s="179"/>
      <c r="E859" s="179"/>
      <c r="F859" s="179"/>
      <c r="G859" s="179"/>
      <c r="H859" s="181"/>
      <c r="I859" s="181"/>
      <c r="J859" s="181"/>
      <c r="K859" s="179"/>
      <c r="L859" s="179"/>
      <c r="M859" s="179"/>
      <c r="N859" s="181"/>
      <c r="O859" s="179"/>
      <c r="P859" s="179"/>
      <c r="Q859" s="179"/>
      <c r="R859" s="179"/>
      <c r="S859" s="179"/>
      <c r="T859" s="179"/>
      <c r="U859" s="179"/>
      <c r="V859" s="182"/>
      <c r="W859" s="175"/>
      <c r="X859" s="176"/>
    </row>
    <row r="860" spans="1:24" ht="15.75" customHeight="1">
      <c r="A860" s="179"/>
      <c r="B860" s="180"/>
      <c r="C860" s="180"/>
      <c r="D860" s="179"/>
      <c r="E860" s="179"/>
      <c r="F860" s="179"/>
      <c r="G860" s="179"/>
      <c r="H860" s="181"/>
      <c r="I860" s="181"/>
      <c r="J860" s="181"/>
      <c r="K860" s="179"/>
      <c r="L860" s="179"/>
      <c r="M860" s="179"/>
      <c r="N860" s="181"/>
      <c r="O860" s="179"/>
      <c r="P860" s="179"/>
      <c r="Q860" s="179"/>
      <c r="R860" s="179"/>
      <c r="S860" s="179"/>
      <c r="T860" s="179"/>
      <c r="U860" s="179"/>
      <c r="V860" s="182"/>
      <c r="W860" s="175"/>
      <c r="X860" s="176"/>
    </row>
    <row r="861" spans="1:24" ht="15.75" customHeight="1">
      <c r="A861" s="179"/>
      <c r="B861" s="180"/>
      <c r="C861" s="180"/>
      <c r="D861" s="179"/>
      <c r="E861" s="179"/>
      <c r="F861" s="179"/>
      <c r="G861" s="179"/>
      <c r="H861" s="181"/>
      <c r="I861" s="181"/>
      <c r="J861" s="181"/>
      <c r="K861" s="179"/>
      <c r="L861" s="179"/>
      <c r="M861" s="179"/>
      <c r="N861" s="181"/>
      <c r="O861" s="179"/>
      <c r="P861" s="179"/>
      <c r="Q861" s="179"/>
      <c r="R861" s="179"/>
      <c r="S861" s="179"/>
      <c r="T861" s="179"/>
      <c r="U861" s="179"/>
      <c r="V861" s="182"/>
      <c r="W861" s="175"/>
      <c r="X861" s="176"/>
    </row>
    <row r="862" spans="1:24" ht="15.75" customHeight="1">
      <c r="A862" s="179"/>
      <c r="B862" s="180"/>
      <c r="C862" s="180"/>
      <c r="D862" s="179"/>
      <c r="E862" s="179"/>
      <c r="F862" s="179"/>
      <c r="G862" s="179"/>
      <c r="H862" s="181"/>
      <c r="I862" s="181"/>
      <c r="J862" s="181"/>
      <c r="K862" s="179"/>
      <c r="L862" s="179"/>
      <c r="M862" s="179"/>
      <c r="N862" s="181"/>
      <c r="O862" s="179"/>
      <c r="P862" s="179"/>
      <c r="Q862" s="179"/>
      <c r="R862" s="179"/>
      <c r="S862" s="179"/>
      <c r="T862" s="179"/>
      <c r="U862" s="179"/>
      <c r="V862" s="182"/>
      <c r="W862" s="175"/>
      <c r="X862" s="176"/>
    </row>
    <row r="863" spans="1:24" ht="15.75" customHeight="1">
      <c r="A863" s="179"/>
      <c r="B863" s="180"/>
      <c r="C863" s="180"/>
      <c r="D863" s="179"/>
      <c r="E863" s="179"/>
      <c r="F863" s="179"/>
      <c r="G863" s="179"/>
      <c r="H863" s="181"/>
      <c r="I863" s="181"/>
      <c r="J863" s="181"/>
      <c r="K863" s="179"/>
      <c r="L863" s="179"/>
      <c r="M863" s="179"/>
      <c r="N863" s="181"/>
      <c r="O863" s="179"/>
      <c r="P863" s="179"/>
      <c r="Q863" s="179"/>
      <c r="R863" s="179"/>
      <c r="S863" s="179"/>
      <c r="T863" s="179"/>
      <c r="U863" s="179"/>
      <c r="V863" s="182"/>
      <c r="W863" s="175"/>
      <c r="X863" s="176"/>
    </row>
    <row r="864" spans="1:24" ht="15.75" customHeight="1">
      <c r="A864" s="179"/>
      <c r="B864" s="180"/>
      <c r="C864" s="180"/>
      <c r="D864" s="179"/>
      <c r="E864" s="179"/>
      <c r="F864" s="179"/>
      <c r="G864" s="179"/>
      <c r="H864" s="181"/>
      <c r="I864" s="181"/>
      <c r="J864" s="181"/>
      <c r="K864" s="179"/>
      <c r="L864" s="179"/>
      <c r="M864" s="179"/>
      <c r="N864" s="181"/>
      <c r="O864" s="179"/>
      <c r="P864" s="179"/>
      <c r="Q864" s="179"/>
      <c r="R864" s="179"/>
      <c r="S864" s="179"/>
      <c r="T864" s="179"/>
      <c r="U864" s="179"/>
      <c r="V864" s="182"/>
      <c r="W864" s="175"/>
      <c r="X864" s="176"/>
    </row>
    <row r="865" spans="1:24" ht="15.75" customHeight="1">
      <c r="A865" s="179"/>
      <c r="B865" s="180"/>
      <c r="C865" s="180"/>
      <c r="D865" s="179"/>
      <c r="E865" s="179"/>
      <c r="F865" s="179"/>
      <c r="G865" s="179"/>
      <c r="H865" s="181"/>
      <c r="I865" s="181"/>
      <c r="J865" s="181"/>
      <c r="K865" s="179"/>
      <c r="L865" s="179"/>
      <c r="M865" s="179"/>
      <c r="N865" s="181"/>
      <c r="O865" s="179"/>
      <c r="P865" s="179"/>
      <c r="Q865" s="179"/>
      <c r="R865" s="179"/>
      <c r="S865" s="179"/>
      <c r="T865" s="179"/>
      <c r="U865" s="179"/>
      <c r="V865" s="182"/>
      <c r="W865" s="175"/>
      <c r="X865" s="176"/>
    </row>
    <row r="866" spans="1:24" ht="15.75" customHeight="1">
      <c r="A866" s="179"/>
      <c r="B866" s="180"/>
      <c r="C866" s="180"/>
      <c r="D866" s="179"/>
      <c r="E866" s="179"/>
      <c r="F866" s="179"/>
      <c r="G866" s="179"/>
      <c r="H866" s="181"/>
      <c r="I866" s="181"/>
      <c r="J866" s="181"/>
      <c r="K866" s="179"/>
      <c r="L866" s="179"/>
      <c r="M866" s="179"/>
      <c r="N866" s="181"/>
      <c r="O866" s="179"/>
      <c r="P866" s="179"/>
      <c r="Q866" s="179"/>
      <c r="R866" s="179"/>
      <c r="S866" s="179"/>
      <c r="T866" s="179"/>
      <c r="U866" s="179"/>
      <c r="V866" s="182"/>
      <c r="W866" s="175"/>
      <c r="X866" s="176"/>
    </row>
    <row r="867" spans="1:24" ht="15.75" customHeight="1">
      <c r="A867" s="179"/>
      <c r="B867" s="180"/>
      <c r="C867" s="180"/>
      <c r="D867" s="179"/>
      <c r="E867" s="179"/>
      <c r="F867" s="179"/>
      <c r="G867" s="179"/>
      <c r="H867" s="181"/>
      <c r="I867" s="181"/>
      <c r="J867" s="181"/>
      <c r="K867" s="179"/>
      <c r="L867" s="179"/>
      <c r="M867" s="179"/>
      <c r="N867" s="181"/>
      <c r="O867" s="179"/>
      <c r="P867" s="179"/>
      <c r="Q867" s="179"/>
      <c r="R867" s="179"/>
      <c r="S867" s="179"/>
      <c r="T867" s="179"/>
      <c r="U867" s="179"/>
      <c r="V867" s="182"/>
      <c r="W867" s="175"/>
      <c r="X867" s="176"/>
    </row>
    <row r="868" spans="1:24" ht="15.75" customHeight="1">
      <c r="A868" s="179"/>
      <c r="B868" s="180"/>
      <c r="C868" s="180"/>
      <c r="D868" s="179"/>
      <c r="E868" s="179"/>
      <c r="F868" s="179"/>
      <c r="G868" s="179"/>
      <c r="H868" s="181"/>
      <c r="I868" s="181"/>
      <c r="J868" s="181"/>
      <c r="K868" s="179"/>
      <c r="L868" s="179"/>
      <c r="M868" s="179"/>
      <c r="N868" s="181"/>
      <c r="O868" s="179"/>
      <c r="P868" s="179"/>
      <c r="Q868" s="179"/>
      <c r="R868" s="179"/>
      <c r="S868" s="179"/>
      <c r="T868" s="179"/>
      <c r="U868" s="179"/>
      <c r="V868" s="182"/>
      <c r="W868" s="175"/>
      <c r="X868" s="176"/>
    </row>
    <row r="869" spans="1:24" ht="15.75" customHeight="1">
      <c r="A869" s="179"/>
      <c r="B869" s="180"/>
      <c r="C869" s="180"/>
      <c r="D869" s="179"/>
      <c r="E869" s="179"/>
      <c r="F869" s="179"/>
      <c r="G869" s="179"/>
      <c r="H869" s="181"/>
      <c r="I869" s="181"/>
      <c r="J869" s="181"/>
      <c r="K869" s="179"/>
      <c r="L869" s="179"/>
      <c r="M869" s="179"/>
      <c r="N869" s="181"/>
      <c r="O869" s="179"/>
      <c r="P869" s="179"/>
      <c r="Q869" s="179"/>
      <c r="R869" s="179"/>
      <c r="S869" s="179"/>
      <c r="T869" s="179"/>
      <c r="U869" s="179"/>
      <c r="V869" s="182"/>
      <c r="W869" s="175"/>
      <c r="X869" s="176"/>
    </row>
    <row r="870" spans="1:24" ht="15.75" customHeight="1">
      <c r="A870" s="179"/>
      <c r="B870" s="180"/>
      <c r="C870" s="180"/>
      <c r="D870" s="179"/>
      <c r="E870" s="179"/>
      <c r="F870" s="179"/>
      <c r="G870" s="179"/>
      <c r="H870" s="181"/>
      <c r="I870" s="181"/>
      <c r="J870" s="181"/>
      <c r="K870" s="179"/>
      <c r="L870" s="179"/>
      <c r="M870" s="179"/>
      <c r="N870" s="181"/>
      <c r="O870" s="179"/>
      <c r="P870" s="179"/>
      <c r="Q870" s="179"/>
      <c r="R870" s="179"/>
      <c r="S870" s="179"/>
      <c r="T870" s="179"/>
      <c r="U870" s="179"/>
      <c r="V870" s="182"/>
      <c r="W870" s="175"/>
      <c r="X870" s="176"/>
    </row>
    <row r="871" spans="1:24" ht="15.75" customHeight="1">
      <c r="A871" s="179"/>
      <c r="B871" s="180"/>
      <c r="C871" s="180"/>
      <c r="D871" s="179"/>
      <c r="E871" s="179"/>
      <c r="F871" s="179"/>
      <c r="G871" s="179"/>
      <c r="H871" s="181"/>
      <c r="I871" s="181"/>
      <c r="J871" s="181"/>
      <c r="K871" s="179"/>
      <c r="L871" s="179"/>
      <c r="M871" s="179"/>
      <c r="N871" s="181"/>
      <c r="O871" s="179"/>
      <c r="P871" s="179"/>
      <c r="Q871" s="179"/>
      <c r="R871" s="179"/>
      <c r="S871" s="179"/>
      <c r="T871" s="179"/>
      <c r="U871" s="179"/>
      <c r="V871" s="182"/>
      <c r="W871" s="175"/>
      <c r="X871" s="176"/>
    </row>
    <row r="872" spans="1:24" ht="15.75" customHeight="1">
      <c r="A872" s="179"/>
      <c r="B872" s="180"/>
      <c r="C872" s="180"/>
      <c r="D872" s="179"/>
      <c r="E872" s="179"/>
      <c r="F872" s="179"/>
      <c r="G872" s="179"/>
      <c r="H872" s="181"/>
      <c r="I872" s="181"/>
      <c r="J872" s="181"/>
      <c r="K872" s="179"/>
      <c r="L872" s="179"/>
      <c r="M872" s="179"/>
      <c r="N872" s="181"/>
      <c r="O872" s="179"/>
      <c r="P872" s="179"/>
      <c r="Q872" s="179"/>
      <c r="R872" s="179"/>
      <c r="S872" s="179"/>
      <c r="T872" s="179"/>
      <c r="U872" s="179"/>
      <c r="V872" s="182"/>
      <c r="W872" s="175"/>
      <c r="X872" s="176"/>
    </row>
    <row r="873" spans="1:24" ht="15.75" customHeight="1">
      <c r="A873" s="179"/>
      <c r="B873" s="180"/>
      <c r="C873" s="180"/>
      <c r="D873" s="179"/>
      <c r="E873" s="179"/>
      <c r="F873" s="179"/>
      <c r="G873" s="179"/>
      <c r="H873" s="181"/>
      <c r="I873" s="181"/>
      <c r="J873" s="181"/>
      <c r="K873" s="179"/>
      <c r="L873" s="179"/>
      <c r="M873" s="179"/>
      <c r="N873" s="181"/>
      <c r="O873" s="179"/>
      <c r="P873" s="179"/>
      <c r="Q873" s="179"/>
      <c r="R873" s="179"/>
      <c r="S873" s="179"/>
      <c r="T873" s="179"/>
      <c r="U873" s="179"/>
      <c r="V873" s="182"/>
      <c r="W873" s="175"/>
      <c r="X873" s="176"/>
    </row>
    <row r="874" spans="1:24" ht="15.75" customHeight="1">
      <c r="A874" s="179"/>
      <c r="B874" s="180"/>
      <c r="C874" s="180"/>
      <c r="D874" s="179"/>
      <c r="E874" s="179"/>
      <c r="F874" s="179"/>
      <c r="G874" s="179"/>
      <c r="H874" s="181"/>
      <c r="I874" s="181"/>
      <c r="J874" s="181"/>
      <c r="K874" s="179"/>
      <c r="L874" s="179"/>
      <c r="M874" s="179"/>
      <c r="N874" s="181"/>
      <c r="O874" s="179"/>
      <c r="P874" s="179"/>
      <c r="Q874" s="179"/>
      <c r="R874" s="179"/>
      <c r="S874" s="179"/>
      <c r="T874" s="179"/>
      <c r="U874" s="179"/>
      <c r="V874" s="182"/>
      <c r="W874" s="175"/>
      <c r="X874" s="176"/>
    </row>
    <row r="875" spans="1:24" ht="15.75" customHeight="1">
      <c r="A875" s="179"/>
      <c r="B875" s="180"/>
      <c r="C875" s="180"/>
      <c r="D875" s="179"/>
      <c r="E875" s="179"/>
      <c r="F875" s="179"/>
      <c r="G875" s="179"/>
      <c r="H875" s="181"/>
      <c r="I875" s="181"/>
      <c r="J875" s="181"/>
      <c r="K875" s="179"/>
      <c r="L875" s="179"/>
      <c r="M875" s="179"/>
      <c r="N875" s="181"/>
      <c r="O875" s="179"/>
      <c r="P875" s="179"/>
      <c r="Q875" s="179"/>
      <c r="R875" s="179"/>
      <c r="S875" s="179"/>
      <c r="T875" s="179"/>
      <c r="U875" s="179"/>
      <c r="V875" s="182"/>
      <c r="W875" s="175"/>
      <c r="X875" s="176"/>
    </row>
    <row r="876" spans="1:24" ht="15.75" customHeight="1">
      <c r="A876" s="179"/>
      <c r="B876" s="180"/>
      <c r="C876" s="180"/>
      <c r="D876" s="179"/>
      <c r="E876" s="179"/>
      <c r="F876" s="179"/>
      <c r="G876" s="179"/>
      <c r="H876" s="181"/>
      <c r="I876" s="181"/>
      <c r="J876" s="181"/>
      <c r="K876" s="179"/>
      <c r="L876" s="179"/>
      <c r="M876" s="179"/>
      <c r="N876" s="181"/>
      <c r="O876" s="179"/>
      <c r="P876" s="179"/>
      <c r="Q876" s="179"/>
      <c r="R876" s="179"/>
      <c r="S876" s="179"/>
      <c r="T876" s="179"/>
      <c r="U876" s="179"/>
      <c r="V876" s="182"/>
      <c r="W876" s="175"/>
      <c r="X876" s="176"/>
    </row>
    <row r="877" spans="1:24" ht="15.75" customHeight="1">
      <c r="A877" s="179"/>
      <c r="B877" s="180"/>
      <c r="C877" s="180"/>
      <c r="D877" s="179"/>
      <c r="E877" s="179"/>
      <c r="F877" s="179"/>
      <c r="G877" s="179"/>
      <c r="H877" s="181"/>
      <c r="I877" s="181"/>
      <c r="J877" s="181"/>
      <c r="K877" s="179"/>
      <c r="L877" s="179"/>
      <c r="M877" s="179"/>
      <c r="N877" s="181"/>
      <c r="O877" s="179"/>
      <c r="P877" s="179"/>
      <c r="Q877" s="179"/>
      <c r="R877" s="179"/>
      <c r="S877" s="179"/>
      <c r="T877" s="179"/>
      <c r="U877" s="179"/>
      <c r="V877" s="182"/>
      <c r="W877" s="175"/>
      <c r="X877" s="176"/>
    </row>
    <row r="878" spans="1:24" ht="15.75" customHeight="1">
      <c r="A878" s="179"/>
      <c r="B878" s="180"/>
      <c r="C878" s="180"/>
      <c r="D878" s="179"/>
      <c r="E878" s="179"/>
      <c r="F878" s="179"/>
      <c r="G878" s="179"/>
      <c r="H878" s="181"/>
      <c r="I878" s="181"/>
      <c r="J878" s="181"/>
      <c r="K878" s="179"/>
      <c r="L878" s="179"/>
      <c r="M878" s="179"/>
      <c r="N878" s="181"/>
      <c r="O878" s="179"/>
      <c r="P878" s="179"/>
      <c r="Q878" s="179"/>
      <c r="R878" s="179"/>
      <c r="S878" s="179"/>
      <c r="T878" s="179"/>
      <c r="U878" s="179"/>
      <c r="V878" s="182"/>
      <c r="W878" s="175"/>
      <c r="X878" s="176"/>
    </row>
    <row r="879" spans="1:24" ht="15.75" customHeight="1">
      <c r="A879" s="179"/>
      <c r="B879" s="180"/>
      <c r="C879" s="180"/>
      <c r="D879" s="179"/>
      <c r="E879" s="179"/>
      <c r="F879" s="179"/>
      <c r="G879" s="179"/>
      <c r="H879" s="181"/>
      <c r="I879" s="181"/>
      <c r="J879" s="181"/>
      <c r="K879" s="179"/>
      <c r="L879" s="179"/>
      <c r="M879" s="179"/>
      <c r="N879" s="181"/>
      <c r="O879" s="179"/>
      <c r="P879" s="179"/>
      <c r="Q879" s="179"/>
      <c r="R879" s="179"/>
      <c r="S879" s="179"/>
      <c r="T879" s="179"/>
      <c r="U879" s="179"/>
      <c r="V879" s="182"/>
      <c r="W879" s="175"/>
      <c r="X879" s="176"/>
    </row>
    <row r="880" spans="1:24" ht="15.75" customHeight="1">
      <c r="A880" s="179"/>
      <c r="B880" s="180"/>
      <c r="C880" s="180"/>
      <c r="D880" s="179"/>
      <c r="E880" s="179"/>
      <c r="F880" s="179"/>
      <c r="G880" s="179"/>
      <c r="H880" s="181"/>
      <c r="I880" s="181"/>
      <c r="J880" s="181"/>
      <c r="K880" s="179"/>
      <c r="L880" s="179"/>
      <c r="M880" s="179"/>
      <c r="N880" s="181"/>
      <c r="O880" s="179"/>
      <c r="P880" s="179"/>
      <c r="Q880" s="179"/>
      <c r="R880" s="179"/>
      <c r="S880" s="179"/>
      <c r="T880" s="179"/>
      <c r="U880" s="179"/>
      <c r="V880" s="182"/>
      <c r="W880" s="175"/>
      <c r="X880" s="176"/>
    </row>
    <row r="881" spans="1:24" ht="15.75" customHeight="1">
      <c r="A881" s="179"/>
      <c r="B881" s="180"/>
      <c r="C881" s="180"/>
      <c r="D881" s="179"/>
      <c r="E881" s="179"/>
      <c r="F881" s="179"/>
      <c r="G881" s="179"/>
      <c r="H881" s="181"/>
      <c r="I881" s="181"/>
      <c r="J881" s="181"/>
      <c r="K881" s="179"/>
      <c r="L881" s="179"/>
      <c r="M881" s="179"/>
      <c r="N881" s="181"/>
      <c r="O881" s="179"/>
      <c r="P881" s="179"/>
      <c r="Q881" s="179"/>
      <c r="R881" s="179"/>
      <c r="S881" s="179"/>
      <c r="T881" s="179"/>
      <c r="U881" s="179"/>
      <c r="V881" s="182"/>
      <c r="W881" s="175"/>
      <c r="X881" s="176"/>
    </row>
    <row r="882" spans="1:24" ht="15.75" customHeight="1">
      <c r="A882" s="179"/>
      <c r="B882" s="180"/>
      <c r="C882" s="180"/>
      <c r="D882" s="179"/>
      <c r="E882" s="179"/>
      <c r="F882" s="179"/>
      <c r="G882" s="179"/>
      <c r="H882" s="181"/>
      <c r="I882" s="181"/>
      <c r="J882" s="181"/>
      <c r="K882" s="179"/>
      <c r="L882" s="179"/>
      <c r="M882" s="179"/>
      <c r="N882" s="181"/>
      <c r="O882" s="179"/>
      <c r="P882" s="179"/>
      <c r="Q882" s="179"/>
      <c r="R882" s="179"/>
      <c r="S882" s="179"/>
      <c r="T882" s="179"/>
      <c r="U882" s="179"/>
      <c r="V882" s="182"/>
      <c r="W882" s="175"/>
      <c r="X882" s="176"/>
    </row>
    <row r="883" spans="1:24" ht="15.75" customHeight="1">
      <c r="A883" s="179"/>
      <c r="B883" s="180"/>
      <c r="C883" s="180"/>
      <c r="D883" s="179"/>
      <c r="E883" s="179"/>
      <c r="F883" s="179"/>
      <c r="G883" s="179"/>
      <c r="H883" s="181"/>
      <c r="I883" s="181"/>
      <c r="J883" s="181"/>
      <c r="K883" s="179"/>
      <c r="L883" s="179"/>
      <c r="M883" s="179"/>
      <c r="N883" s="181"/>
      <c r="O883" s="179"/>
      <c r="P883" s="179"/>
      <c r="Q883" s="179"/>
      <c r="R883" s="179"/>
      <c r="S883" s="179"/>
      <c r="T883" s="179"/>
      <c r="U883" s="179"/>
      <c r="V883" s="182"/>
      <c r="W883" s="175"/>
      <c r="X883" s="176"/>
    </row>
    <row r="884" spans="1:24" ht="15.75" customHeight="1">
      <c r="A884" s="179"/>
      <c r="B884" s="180"/>
      <c r="C884" s="180"/>
      <c r="D884" s="179"/>
      <c r="E884" s="179"/>
      <c r="F884" s="179"/>
      <c r="G884" s="179"/>
      <c r="H884" s="181"/>
      <c r="I884" s="181"/>
      <c r="J884" s="181"/>
      <c r="K884" s="179"/>
      <c r="L884" s="179"/>
      <c r="M884" s="179"/>
      <c r="N884" s="181"/>
      <c r="O884" s="179"/>
      <c r="P884" s="179"/>
      <c r="Q884" s="179"/>
      <c r="R884" s="179"/>
      <c r="S884" s="179"/>
      <c r="T884" s="179"/>
      <c r="U884" s="179"/>
      <c r="V884" s="182"/>
      <c r="W884" s="175"/>
      <c r="X884" s="176"/>
    </row>
    <row r="885" spans="1:24" ht="15.75" customHeight="1">
      <c r="A885" s="179"/>
      <c r="B885" s="180"/>
      <c r="C885" s="180"/>
      <c r="D885" s="179"/>
      <c r="E885" s="179"/>
      <c r="F885" s="179"/>
      <c r="G885" s="179"/>
      <c r="H885" s="181"/>
      <c r="I885" s="181"/>
      <c r="J885" s="181"/>
      <c r="K885" s="179"/>
      <c r="L885" s="179"/>
      <c r="M885" s="179"/>
      <c r="N885" s="181"/>
      <c r="O885" s="179"/>
      <c r="P885" s="179"/>
      <c r="Q885" s="179"/>
      <c r="R885" s="179"/>
      <c r="S885" s="179"/>
      <c r="T885" s="179"/>
      <c r="U885" s="179"/>
      <c r="V885" s="182"/>
      <c r="W885" s="175"/>
      <c r="X885" s="176"/>
    </row>
    <row r="886" spans="1:24" ht="15.75" customHeight="1">
      <c r="A886" s="179"/>
      <c r="B886" s="180"/>
      <c r="C886" s="180"/>
      <c r="D886" s="179"/>
      <c r="E886" s="179"/>
      <c r="F886" s="179"/>
      <c r="G886" s="179"/>
      <c r="H886" s="181"/>
      <c r="I886" s="181"/>
      <c r="J886" s="181"/>
      <c r="K886" s="179"/>
      <c r="L886" s="179"/>
      <c r="M886" s="179"/>
      <c r="N886" s="181"/>
      <c r="O886" s="179"/>
      <c r="P886" s="179"/>
      <c r="Q886" s="179"/>
      <c r="R886" s="179"/>
      <c r="S886" s="179"/>
      <c r="T886" s="179"/>
      <c r="U886" s="179"/>
      <c r="V886" s="182"/>
      <c r="W886" s="175"/>
      <c r="X886" s="176"/>
    </row>
    <row r="887" spans="1:24" ht="15.75" customHeight="1">
      <c r="A887" s="179"/>
      <c r="B887" s="180"/>
      <c r="C887" s="180"/>
      <c r="D887" s="179"/>
      <c r="E887" s="179"/>
      <c r="F887" s="179"/>
      <c r="G887" s="179"/>
      <c r="H887" s="181"/>
      <c r="I887" s="181"/>
      <c r="J887" s="181"/>
      <c r="K887" s="179"/>
      <c r="L887" s="179"/>
      <c r="M887" s="179"/>
      <c r="N887" s="181"/>
      <c r="O887" s="179"/>
      <c r="P887" s="179"/>
      <c r="Q887" s="179"/>
      <c r="R887" s="179"/>
      <c r="S887" s="179"/>
      <c r="T887" s="179"/>
      <c r="U887" s="179"/>
      <c r="V887" s="182"/>
      <c r="W887" s="175"/>
      <c r="X887" s="176"/>
    </row>
    <row r="888" spans="1:24" ht="15.75" customHeight="1">
      <c r="A888" s="179"/>
      <c r="B888" s="180"/>
      <c r="C888" s="180"/>
      <c r="D888" s="179"/>
      <c r="E888" s="179"/>
      <c r="F888" s="179"/>
      <c r="G888" s="179"/>
      <c r="H888" s="181"/>
      <c r="I888" s="181"/>
      <c r="J888" s="181"/>
      <c r="K888" s="179"/>
      <c r="L888" s="179"/>
      <c r="M888" s="179"/>
      <c r="N888" s="181"/>
      <c r="O888" s="179"/>
      <c r="P888" s="179"/>
      <c r="Q888" s="179"/>
      <c r="R888" s="179"/>
      <c r="S888" s="179"/>
      <c r="T888" s="179"/>
      <c r="U888" s="179"/>
      <c r="V888" s="182"/>
      <c r="W888" s="175"/>
      <c r="X888" s="176"/>
    </row>
    <row r="889" spans="1:24" ht="15.75" customHeight="1">
      <c r="A889" s="179"/>
      <c r="B889" s="180"/>
      <c r="C889" s="180"/>
      <c r="D889" s="179"/>
      <c r="E889" s="179"/>
      <c r="F889" s="179"/>
      <c r="G889" s="179"/>
      <c r="H889" s="181"/>
      <c r="I889" s="181"/>
      <c r="J889" s="181"/>
      <c r="K889" s="179"/>
      <c r="L889" s="179"/>
      <c r="M889" s="179"/>
      <c r="N889" s="181"/>
      <c r="O889" s="179"/>
      <c r="P889" s="179"/>
      <c r="Q889" s="179"/>
      <c r="R889" s="179"/>
      <c r="S889" s="179"/>
      <c r="T889" s="179"/>
      <c r="U889" s="179"/>
      <c r="V889" s="182"/>
      <c r="W889" s="175"/>
      <c r="X889" s="176"/>
    </row>
    <row r="890" spans="1:24" ht="15.75" customHeight="1">
      <c r="A890" s="179"/>
      <c r="B890" s="180"/>
      <c r="C890" s="180"/>
      <c r="D890" s="179"/>
      <c r="E890" s="179"/>
      <c r="F890" s="179"/>
      <c r="G890" s="179"/>
      <c r="H890" s="181"/>
      <c r="I890" s="181"/>
      <c r="J890" s="181"/>
      <c r="K890" s="179"/>
      <c r="L890" s="179"/>
      <c r="M890" s="179"/>
      <c r="N890" s="181"/>
      <c r="O890" s="179"/>
      <c r="P890" s="179"/>
      <c r="Q890" s="179"/>
      <c r="R890" s="179"/>
      <c r="S890" s="179"/>
      <c r="T890" s="179"/>
      <c r="U890" s="179"/>
      <c r="V890" s="182"/>
      <c r="W890" s="175"/>
      <c r="X890" s="176"/>
    </row>
    <row r="891" spans="1:24" ht="15.75" customHeight="1">
      <c r="A891" s="179"/>
      <c r="B891" s="180"/>
      <c r="C891" s="180"/>
      <c r="D891" s="179"/>
      <c r="E891" s="179"/>
      <c r="F891" s="179"/>
      <c r="G891" s="179"/>
      <c r="H891" s="181"/>
      <c r="I891" s="181"/>
      <c r="J891" s="181"/>
      <c r="K891" s="179"/>
      <c r="L891" s="179"/>
      <c r="M891" s="179"/>
      <c r="N891" s="181"/>
      <c r="O891" s="179"/>
      <c r="P891" s="179"/>
      <c r="Q891" s="179"/>
      <c r="R891" s="179"/>
      <c r="S891" s="179"/>
      <c r="T891" s="179"/>
      <c r="U891" s="179"/>
      <c r="V891" s="182"/>
      <c r="W891" s="175"/>
      <c r="X891" s="176"/>
    </row>
    <row r="892" spans="1:24" ht="15.75" customHeight="1">
      <c r="A892" s="179"/>
      <c r="B892" s="180"/>
      <c r="C892" s="180"/>
      <c r="D892" s="179"/>
      <c r="E892" s="179"/>
      <c r="F892" s="179"/>
      <c r="G892" s="179"/>
      <c r="H892" s="181"/>
      <c r="I892" s="181"/>
      <c r="J892" s="181"/>
      <c r="K892" s="179"/>
      <c r="L892" s="179"/>
      <c r="M892" s="179"/>
      <c r="N892" s="181"/>
      <c r="O892" s="179"/>
      <c r="P892" s="179"/>
      <c r="Q892" s="179"/>
      <c r="R892" s="179"/>
      <c r="S892" s="179"/>
      <c r="T892" s="179"/>
      <c r="U892" s="179"/>
      <c r="V892" s="182"/>
      <c r="W892" s="175"/>
      <c r="X892" s="176"/>
    </row>
    <row r="893" spans="1:24" ht="15.75" customHeight="1">
      <c r="A893" s="179"/>
      <c r="B893" s="180"/>
      <c r="C893" s="180"/>
      <c r="D893" s="179"/>
      <c r="E893" s="179"/>
      <c r="F893" s="179"/>
      <c r="G893" s="179"/>
      <c r="H893" s="181"/>
      <c r="I893" s="181"/>
      <c r="J893" s="181"/>
      <c r="K893" s="179"/>
      <c r="L893" s="179"/>
      <c r="M893" s="179"/>
      <c r="N893" s="181"/>
      <c r="O893" s="179"/>
      <c r="P893" s="179"/>
      <c r="Q893" s="179"/>
      <c r="R893" s="179"/>
      <c r="S893" s="179"/>
      <c r="T893" s="179"/>
      <c r="U893" s="179"/>
      <c r="V893" s="182"/>
      <c r="W893" s="175"/>
      <c r="X893" s="176"/>
    </row>
    <row r="894" spans="1:24" ht="15.75" customHeight="1">
      <c r="A894" s="179"/>
      <c r="B894" s="180"/>
      <c r="C894" s="180"/>
      <c r="D894" s="179"/>
      <c r="E894" s="179"/>
      <c r="F894" s="179"/>
      <c r="G894" s="179"/>
      <c r="H894" s="181"/>
      <c r="I894" s="181"/>
      <c r="J894" s="181"/>
      <c r="K894" s="179"/>
      <c r="L894" s="179"/>
      <c r="M894" s="179"/>
      <c r="N894" s="181"/>
      <c r="O894" s="179"/>
      <c r="P894" s="179"/>
      <c r="Q894" s="179"/>
      <c r="R894" s="179"/>
      <c r="S894" s="179"/>
      <c r="T894" s="179"/>
      <c r="U894" s="179"/>
      <c r="V894" s="182"/>
      <c r="W894" s="175"/>
      <c r="X894" s="176"/>
    </row>
    <row r="895" spans="1:24" ht="15.75" customHeight="1">
      <c r="A895" s="179"/>
      <c r="B895" s="180"/>
      <c r="C895" s="180"/>
      <c r="D895" s="179"/>
      <c r="E895" s="179"/>
      <c r="F895" s="179"/>
      <c r="G895" s="179"/>
      <c r="H895" s="181"/>
      <c r="I895" s="181"/>
      <c r="J895" s="181"/>
      <c r="K895" s="179"/>
      <c r="L895" s="179"/>
      <c r="M895" s="179"/>
      <c r="N895" s="181"/>
      <c r="O895" s="179"/>
      <c r="P895" s="179"/>
      <c r="Q895" s="179"/>
      <c r="R895" s="179"/>
      <c r="S895" s="179"/>
      <c r="T895" s="179"/>
      <c r="U895" s="179"/>
      <c r="V895" s="182"/>
      <c r="W895" s="175"/>
      <c r="X895" s="176"/>
    </row>
    <row r="896" spans="1:24" ht="15.75" customHeight="1">
      <c r="A896" s="179"/>
      <c r="B896" s="180"/>
      <c r="C896" s="180"/>
      <c r="D896" s="179"/>
      <c r="E896" s="179"/>
      <c r="F896" s="179"/>
      <c r="G896" s="179"/>
      <c r="H896" s="181"/>
      <c r="I896" s="181"/>
      <c r="J896" s="181"/>
      <c r="K896" s="179"/>
      <c r="L896" s="179"/>
      <c r="M896" s="179"/>
      <c r="N896" s="181"/>
      <c r="O896" s="179"/>
      <c r="P896" s="179"/>
      <c r="Q896" s="179"/>
      <c r="R896" s="179"/>
      <c r="S896" s="179"/>
      <c r="T896" s="179"/>
      <c r="U896" s="179"/>
      <c r="V896" s="182"/>
      <c r="W896" s="175"/>
      <c r="X896" s="176"/>
    </row>
    <row r="897" spans="1:24" ht="15.75" customHeight="1">
      <c r="A897" s="179"/>
      <c r="B897" s="180"/>
      <c r="C897" s="180"/>
      <c r="D897" s="179"/>
      <c r="E897" s="179"/>
      <c r="F897" s="179"/>
      <c r="G897" s="179"/>
      <c r="H897" s="181"/>
      <c r="I897" s="181"/>
      <c r="J897" s="181"/>
      <c r="K897" s="179"/>
      <c r="L897" s="179"/>
      <c r="M897" s="179"/>
      <c r="N897" s="181"/>
      <c r="O897" s="179"/>
      <c r="P897" s="179"/>
      <c r="Q897" s="179"/>
      <c r="R897" s="179"/>
      <c r="S897" s="179"/>
      <c r="T897" s="179"/>
      <c r="U897" s="179"/>
      <c r="V897" s="182"/>
      <c r="W897" s="175"/>
      <c r="X897" s="176"/>
    </row>
    <row r="898" spans="1:24" ht="15.75" customHeight="1">
      <c r="A898" s="179"/>
      <c r="B898" s="180"/>
      <c r="C898" s="180"/>
      <c r="D898" s="179"/>
      <c r="E898" s="179"/>
      <c r="F898" s="179"/>
      <c r="G898" s="179"/>
      <c r="H898" s="181"/>
      <c r="I898" s="181"/>
      <c r="J898" s="181"/>
      <c r="K898" s="179"/>
      <c r="L898" s="179"/>
      <c r="M898" s="179"/>
      <c r="N898" s="181"/>
      <c r="O898" s="179"/>
      <c r="P898" s="179"/>
      <c r="Q898" s="179"/>
      <c r="R898" s="179"/>
      <c r="S898" s="179"/>
      <c r="T898" s="179"/>
      <c r="U898" s="179"/>
      <c r="V898" s="182"/>
      <c r="W898" s="175"/>
      <c r="X898" s="176"/>
    </row>
    <row r="899" spans="1:24" ht="15.75" customHeight="1">
      <c r="A899" s="179"/>
      <c r="B899" s="180"/>
      <c r="C899" s="180"/>
      <c r="D899" s="179"/>
      <c r="E899" s="179"/>
      <c r="F899" s="179"/>
      <c r="G899" s="179"/>
      <c r="H899" s="181"/>
      <c r="I899" s="181"/>
      <c r="J899" s="181"/>
      <c r="K899" s="179"/>
      <c r="L899" s="179"/>
      <c r="M899" s="179"/>
      <c r="N899" s="181"/>
      <c r="O899" s="179"/>
      <c r="P899" s="179"/>
      <c r="Q899" s="179"/>
      <c r="R899" s="179"/>
      <c r="S899" s="179"/>
      <c r="T899" s="179"/>
      <c r="U899" s="179"/>
      <c r="V899" s="182"/>
      <c r="W899" s="175"/>
      <c r="X899" s="176"/>
    </row>
    <row r="900" spans="1:24" ht="15.75" customHeight="1">
      <c r="A900" s="179"/>
      <c r="B900" s="180"/>
      <c r="C900" s="180"/>
      <c r="D900" s="179"/>
      <c r="E900" s="179"/>
      <c r="F900" s="179"/>
      <c r="G900" s="179"/>
      <c r="H900" s="181"/>
      <c r="I900" s="181"/>
      <c r="J900" s="181"/>
      <c r="K900" s="179"/>
      <c r="L900" s="179"/>
      <c r="M900" s="179"/>
      <c r="N900" s="181"/>
      <c r="O900" s="179"/>
      <c r="P900" s="179"/>
      <c r="Q900" s="179"/>
      <c r="R900" s="179"/>
      <c r="S900" s="179"/>
      <c r="T900" s="179"/>
      <c r="U900" s="179"/>
      <c r="V900" s="182"/>
      <c r="W900" s="175"/>
      <c r="X900" s="176"/>
    </row>
    <row r="901" spans="1:24" ht="15.75" customHeight="1">
      <c r="A901" s="179"/>
      <c r="B901" s="180"/>
      <c r="C901" s="180"/>
      <c r="D901" s="179"/>
      <c r="E901" s="179"/>
      <c r="F901" s="179"/>
      <c r="G901" s="179"/>
      <c r="H901" s="181"/>
      <c r="I901" s="181"/>
      <c r="J901" s="181"/>
      <c r="K901" s="179"/>
      <c r="L901" s="179"/>
      <c r="M901" s="179"/>
      <c r="N901" s="181"/>
      <c r="O901" s="179"/>
      <c r="P901" s="179"/>
      <c r="Q901" s="179"/>
      <c r="R901" s="179"/>
      <c r="S901" s="179"/>
      <c r="T901" s="179"/>
      <c r="U901" s="179"/>
      <c r="V901" s="182"/>
      <c r="W901" s="175"/>
      <c r="X901" s="176"/>
    </row>
    <row r="902" spans="1:24" ht="15.75" customHeight="1">
      <c r="A902" s="179"/>
      <c r="B902" s="180"/>
      <c r="C902" s="180"/>
      <c r="D902" s="179"/>
      <c r="E902" s="179"/>
      <c r="F902" s="179"/>
      <c r="G902" s="179"/>
      <c r="H902" s="181"/>
      <c r="I902" s="181"/>
      <c r="J902" s="181"/>
      <c r="K902" s="179"/>
      <c r="L902" s="179"/>
      <c r="M902" s="179"/>
      <c r="N902" s="181"/>
      <c r="O902" s="179"/>
      <c r="P902" s="179"/>
      <c r="Q902" s="179"/>
      <c r="R902" s="179"/>
      <c r="S902" s="179"/>
      <c r="T902" s="179"/>
      <c r="U902" s="179"/>
      <c r="V902" s="182"/>
      <c r="W902" s="175"/>
      <c r="X902" s="176"/>
    </row>
    <row r="903" spans="1:24" ht="15.75" customHeight="1">
      <c r="A903" s="179"/>
      <c r="B903" s="180"/>
      <c r="C903" s="180"/>
      <c r="D903" s="179"/>
      <c r="E903" s="179"/>
      <c r="F903" s="179"/>
      <c r="G903" s="179"/>
      <c r="H903" s="181"/>
      <c r="I903" s="181"/>
      <c r="J903" s="181"/>
      <c r="K903" s="179"/>
      <c r="L903" s="179"/>
      <c r="M903" s="179"/>
      <c r="N903" s="181"/>
      <c r="O903" s="179"/>
      <c r="P903" s="179"/>
      <c r="Q903" s="179"/>
      <c r="R903" s="179"/>
      <c r="S903" s="179"/>
      <c r="T903" s="179"/>
      <c r="U903" s="179"/>
      <c r="V903" s="182"/>
      <c r="W903" s="175"/>
      <c r="X903" s="176"/>
    </row>
    <row r="904" spans="1:24" ht="15.75" customHeight="1">
      <c r="A904" s="179"/>
      <c r="B904" s="180"/>
      <c r="C904" s="180"/>
      <c r="D904" s="179"/>
      <c r="E904" s="179"/>
      <c r="F904" s="179"/>
      <c r="G904" s="179"/>
      <c r="H904" s="181"/>
      <c r="I904" s="181"/>
      <c r="J904" s="181"/>
      <c r="K904" s="179"/>
      <c r="L904" s="179"/>
      <c r="M904" s="179"/>
      <c r="N904" s="181"/>
      <c r="O904" s="179"/>
      <c r="P904" s="179"/>
      <c r="Q904" s="179"/>
      <c r="R904" s="179"/>
      <c r="S904" s="179"/>
      <c r="T904" s="179"/>
      <c r="U904" s="179"/>
      <c r="V904" s="182"/>
      <c r="W904" s="175"/>
      <c r="X904" s="176"/>
    </row>
    <row r="905" spans="1:24" ht="15.75" customHeight="1">
      <c r="A905" s="179"/>
      <c r="B905" s="180"/>
      <c r="C905" s="180"/>
      <c r="D905" s="179"/>
      <c r="E905" s="179"/>
      <c r="F905" s="179"/>
      <c r="G905" s="179"/>
      <c r="H905" s="181"/>
      <c r="I905" s="181"/>
      <c r="J905" s="181"/>
      <c r="K905" s="179"/>
      <c r="L905" s="179"/>
      <c r="M905" s="179"/>
      <c r="N905" s="181"/>
      <c r="O905" s="179"/>
      <c r="P905" s="179"/>
      <c r="Q905" s="179"/>
      <c r="R905" s="179"/>
      <c r="S905" s="179"/>
      <c r="T905" s="179"/>
      <c r="U905" s="179"/>
      <c r="V905" s="182"/>
      <c r="W905" s="175"/>
      <c r="X905" s="176"/>
    </row>
    <row r="906" spans="1:24" ht="15.75" customHeight="1">
      <c r="A906" s="179"/>
      <c r="B906" s="180"/>
      <c r="C906" s="180"/>
      <c r="D906" s="179"/>
      <c r="E906" s="179"/>
      <c r="F906" s="179"/>
      <c r="G906" s="179"/>
      <c r="H906" s="181"/>
      <c r="I906" s="181"/>
      <c r="J906" s="181"/>
      <c r="K906" s="179"/>
      <c r="L906" s="179"/>
      <c r="M906" s="179"/>
      <c r="N906" s="181"/>
      <c r="O906" s="179"/>
      <c r="P906" s="179"/>
      <c r="Q906" s="179"/>
      <c r="R906" s="179"/>
      <c r="S906" s="179"/>
      <c r="T906" s="179"/>
      <c r="U906" s="179"/>
      <c r="V906" s="182"/>
      <c r="W906" s="175"/>
      <c r="X906" s="176"/>
    </row>
    <row r="907" spans="1:24" ht="15.75" customHeight="1">
      <c r="A907" s="179"/>
      <c r="B907" s="180"/>
      <c r="C907" s="180"/>
      <c r="D907" s="179"/>
      <c r="E907" s="179"/>
      <c r="F907" s="179"/>
      <c r="G907" s="179"/>
      <c r="H907" s="181"/>
      <c r="I907" s="181"/>
      <c r="J907" s="181"/>
      <c r="K907" s="179"/>
      <c r="L907" s="179"/>
      <c r="M907" s="179"/>
      <c r="N907" s="181"/>
      <c r="O907" s="179"/>
      <c r="P907" s="179"/>
      <c r="Q907" s="179"/>
      <c r="R907" s="179"/>
      <c r="S907" s="179"/>
      <c r="T907" s="179"/>
      <c r="U907" s="179"/>
      <c r="V907" s="182"/>
      <c r="W907" s="175"/>
      <c r="X907" s="176"/>
    </row>
    <row r="908" spans="1:24" ht="15.75" customHeight="1">
      <c r="A908" s="179"/>
      <c r="B908" s="180"/>
      <c r="C908" s="180"/>
      <c r="D908" s="179"/>
      <c r="E908" s="179"/>
      <c r="F908" s="179"/>
      <c r="G908" s="179"/>
      <c r="H908" s="181"/>
      <c r="I908" s="181"/>
      <c r="J908" s="181"/>
      <c r="K908" s="179"/>
      <c r="L908" s="179"/>
      <c r="M908" s="179"/>
      <c r="N908" s="181"/>
      <c r="O908" s="179"/>
      <c r="P908" s="179"/>
      <c r="Q908" s="179"/>
      <c r="R908" s="179"/>
      <c r="S908" s="179"/>
      <c r="T908" s="179"/>
      <c r="U908" s="179"/>
      <c r="V908" s="182"/>
      <c r="W908" s="175"/>
      <c r="X908" s="176"/>
    </row>
    <row r="909" spans="1:24" ht="15.75" customHeight="1">
      <c r="A909" s="179"/>
      <c r="B909" s="180"/>
      <c r="C909" s="180"/>
      <c r="D909" s="179"/>
      <c r="E909" s="179"/>
      <c r="F909" s="179"/>
      <c r="G909" s="179"/>
      <c r="H909" s="181"/>
      <c r="I909" s="181"/>
      <c r="J909" s="181"/>
      <c r="K909" s="179"/>
      <c r="L909" s="179"/>
      <c r="M909" s="179"/>
      <c r="N909" s="181"/>
      <c r="O909" s="179"/>
      <c r="P909" s="179"/>
      <c r="Q909" s="179"/>
      <c r="R909" s="179"/>
      <c r="S909" s="179"/>
      <c r="T909" s="179"/>
      <c r="U909" s="179"/>
      <c r="V909" s="182"/>
      <c r="W909" s="175"/>
      <c r="X909" s="176"/>
    </row>
    <row r="910" spans="1:24" ht="15.75" customHeight="1">
      <c r="A910" s="179"/>
      <c r="B910" s="180"/>
      <c r="C910" s="180"/>
      <c r="D910" s="179"/>
      <c r="E910" s="179"/>
      <c r="F910" s="179"/>
      <c r="G910" s="179"/>
      <c r="H910" s="181"/>
      <c r="I910" s="181"/>
      <c r="J910" s="181"/>
      <c r="K910" s="179"/>
      <c r="L910" s="179"/>
      <c r="M910" s="179"/>
      <c r="N910" s="181"/>
      <c r="O910" s="179"/>
      <c r="P910" s="179"/>
      <c r="Q910" s="179"/>
      <c r="R910" s="179"/>
      <c r="S910" s="179"/>
      <c r="T910" s="179"/>
      <c r="U910" s="179"/>
      <c r="V910" s="182"/>
      <c r="W910" s="175"/>
      <c r="X910" s="176"/>
    </row>
    <row r="911" spans="1:24" ht="15.75" customHeight="1">
      <c r="A911" s="179"/>
      <c r="B911" s="180"/>
      <c r="C911" s="180"/>
      <c r="D911" s="179"/>
      <c r="E911" s="179"/>
      <c r="F911" s="179"/>
      <c r="G911" s="179"/>
      <c r="H911" s="181"/>
      <c r="I911" s="181"/>
      <c r="J911" s="181"/>
      <c r="K911" s="179"/>
      <c r="L911" s="179"/>
      <c r="M911" s="179"/>
      <c r="N911" s="181"/>
      <c r="O911" s="179"/>
      <c r="P911" s="179"/>
      <c r="Q911" s="179"/>
      <c r="R911" s="179"/>
      <c r="S911" s="179"/>
      <c r="T911" s="179"/>
      <c r="U911" s="179"/>
      <c r="V911" s="182"/>
      <c r="W911" s="175"/>
      <c r="X911" s="176"/>
    </row>
    <row r="912" spans="1:24" ht="15.75" customHeight="1">
      <c r="A912" s="179"/>
      <c r="B912" s="180"/>
      <c r="C912" s="180"/>
      <c r="D912" s="179"/>
      <c r="E912" s="179"/>
      <c r="F912" s="179"/>
      <c r="G912" s="179"/>
      <c r="H912" s="181"/>
      <c r="I912" s="181"/>
      <c r="J912" s="181"/>
      <c r="K912" s="179"/>
      <c r="L912" s="179"/>
      <c r="M912" s="179"/>
      <c r="N912" s="181"/>
      <c r="O912" s="179"/>
      <c r="P912" s="179"/>
      <c r="Q912" s="179"/>
      <c r="R912" s="179"/>
      <c r="S912" s="179"/>
      <c r="T912" s="179"/>
      <c r="U912" s="179"/>
      <c r="V912" s="182"/>
      <c r="W912" s="175"/>
      <c r="X912" s="176"/>
    </row>
    <row r="913" spans="1:24" ht="15.75" customHeight="1">
      <c r="A913" s="179"/>
      <c r="B913" s="180"/>
      <c r="C913" s="180"/>
      <c r="D913" s="179"/>
      <c r="E913" s="179"/>
      <c r="F913" s="179"/>
      <c r="G913" s="179"/>
      <c r="H913" s="181"/>
      <c r="I913" s="181"/>
      <c r="J913" s="181"/>
      <c r="K913" s="179"/>
      <c r="L913" s="179"/>
      <c r="M913" s="179"/>
      <c r="N913" s="181"/>
      <c r="O913" s="179"/>
      <c r="P913" s="179"/>
      <c r="Q913" s="179"/>
      <c r="R913" s="179"/>
      <c r="S913" s="179"/>
      <c r="T913" s="179"/>
      <c r="U913" s="179"/>
      <c r="V913" s="182"/>
      <c r="W913" s="175"/>
      <c r="X913" s="176"/>
    </row>
    <row r="914" spans="1:24" ht="15.75" customHeight="1">
      <c r="A914" s="179"/>
      <c r="B914" s="180"/>
      <c r="C914" s="180"/>
      <c r="D914" s="179"/>
      <c r="E914" s="179"/>
      <c r="F914" s="179"/>
      <c r="G914" s="179"/>
      <c r="H914" s="181"/>
      <c r="I914" s="181"/>
      <c r="J914" s="181"/>
      <c r="K914" s="179"/>
      <c r="L914" s="179"/>
      <c r="M914" s="179"/>
      <c r="N914" s="181"/>
      <c r="O914" s="179"/>
      <c r="P914" s="179"/>
      <c r="Q914" s="179"/>
      <c r="R914" s="179"/>
      <c r="S914" s="179"/>
      <c r="T914" s="179"/>
      <c r="U914" s="179"/>
      <c r="V914" s="182"/>
      <c r="W914" s="175"/>
      <c r="X914" s="176"/>
    </row>
    <row r="915" spans="1:24" ht="15.75" customHeight="1">
      <c r="A915" s="179"/>
      <c r="B915" s="180"/>
      <c r="C915" s="180"/>
      <c r="D915" s="179"/>
      <c r="E915" s="179"/>
      <c r="F915" s="179"/>
      <c r="G915" s="179"/>
      <c r="H915" s="181"/>
      <c r="I915" s="181"/>
      <c r="J915" s="181"/>
      <c r="K915" s="179"/>
      <c r="L915" s="179"/>
      <c r="M915" s="179"/>
      <c r="N915" s="181"/>
      <c r="O915" s="179"/>
      <c r="P915" s="179"/>
      <c r="Q915" s="179"/>
      <c r="R915" s="179"/>
      <c r="S915" s="179"/>
      <c r="T915" s="179"/>
      <c r="U915" s="179"/>
      <c r="V915" s="182"/>
      <c r="W915" s="175"/>
      <c r="X915" s="176"/>
    </row>
    <row r="916" spans="1:24" ht="15.75" customHeight="1">
      <c r="A916" s="179"/>
      <c r="B916" s="180"/>
      <c r="C916" s="180"/>
      <c r="D916" s="179"/>
      <c r="E916" s="179"/>
      <c r="F916" s="179"/>
      <c r="G916" s="179"/>
      <c r="H916" s="181"/>
      <c r="I916" s="181"/>
      <c r="J916" s="181"/>
      <c r="K916" s="179"/>
      <c r="L916" s="179"/>
      <c r="M916" s="179"/>
      <c r="N916" s="181"/>
      <c r="O916" s="179"/>
      <c r="P916" s="179"/>
      <c r="Q916" s="179"/>
      <c r="R916" s="179"/>
      <c r="S916" s="179"/>
      <c r="T916" s="179"/>
      <c r="U916" s="179"/>
      <c r="V916" s="182"/>
      <c r="W916" s="175"/>
      <c r="X916" s="176"/>
    </row>
    <row r="917" spans="1:24" ht="15.75" customHeight="1">
      <c r="A917" s="179"/>
      <c r="B917" s="180"/>
      <c r="C917" s="180"/>
      <c r="D917" s="179"/>
      <c r="E917" s="179"/>
      <c r="F917" s="179"/>
      <c r="G917" s="179"/>
      <c r="H917" s="181"/>
      <c r="I917" s="181"/>
      <c r="J917" s="181"/>
      <c r="K917" s="179"/>
      <c r="L917" s="179"/>
      <c r="M917" s="179"/>
      <c r="N917" s="181"/>
      <c r="O917" s="179"/>
      <c r="P917" s="179"/>
      <c r="Q917" s="179"/>
      <c r="R917" s="179"/>
      <c r="S917" s="179"/>
      <c r="T917" s="179"/>
      <c r="U917" s="179"/>
      <c r="V917" s="182"/>
      <c r="W917" s="175"/>
      <c r="X917" s="176"/>
    </row>
    <row r="918" spans="1:24" ht="15.75" customHeight="1">
      <c r="A918" s="179"/>
      <c r="B918" s="180"/>
      <c r="C918" s="180"/>
      <c r="D918" s="179"/>
      <c r="E918" s="179"/>
      <c r="F918" s="179"/>
      <c r="G918" s="179"/>
      <c r="H918" s="181"/>
      <c r="I918" s="181"/>
      <c r="J918" s="181"/>
      <c r="K918" s="179"/>
      <c r="L918" s="179"/>
      <c r="M918" s="179"/>
      <c r="N918" s="181"/>
      <c r="O918" s="179"/>
      <c r="P918" s="179"/>
      <c r="Q918" s="179"/>
      <c r="R918" s="179"/>
      <c r="S918" s="179"/>
      <c r="T918" s="179"/>
      <c r="U918" s="179"/>
      <c r="V918" s="182"/>
      <c r="W918" s="175"/>
      <c r="X918" s="176"/>
    </row>
    <row r="919" spans="1:24" ht="15.75" customHeight="1">
      <c r="A919" s="179"/>
      <c r="B919" s="180"/>
      <c r="C919" s="180"/>
      <c r="D919" s="179"/>
      <c r="E919" s="179"/>
      <c r="F919" s="179"/>
      <c r="G919" s="179"/>
      <c r="H919" s="181"/>
      <c r="I919" s="181"/>
      <c r="J919" s="181"/>
      <c r="K919" s="179"/>
      <c r="L919" s="179"/>
      <c r="M919" s="179"/>
      <c r="N919" s="181"/>
      <c r="O919" s="179"/>
      <c r="P919" s="179"/>
      <c r="Q919" s="179"/>
      <c r="R919" s="179"/>
      <c r="S919" s="179"/>
      <c r="T919" s="179"/>
      <c r="U919" s="179"/>
      <c r="V919" s="182"/>
      <c r="W919" s="175"/>
      <c r="X919" s="176"/>
    </row>
    <row r="920" spans="1:24" ht="15.75" customHeight="1">
      <c r="A920" s="179"/>
      <c r="B920" s="180"/>
      <c r="C920" s="180"/>
      <c r="D920" s="179"/>
      <c r="E920" s="179"/>
      <c r="F920" s="179"/>
      <c r="G920" s="179"/>
      <c r="H920" s="181"/>
      <c r="I920" s="181"/>
      <c r="J920" s="181"/>
      <c r="K920" s="179"/>
      <c r="L920" s="179"/>
      <c r="M920" s="179"/>
      <c r="N920" s="181"/>
      <c r="O920" s="179"/>
      <c r="P920" s="179"/>
      <c r="Q920" s="179"/>
      <c r="R920" s="179"/>
      <c r="S920" s="179"/>
      <c r="T920" s="179"/>
      <c r="U920" s="179"/>
      <c r="V920" s="182"/>
      <c r="W920" s="175"/>
      <c r="X920" s="176"/>
    </row>
    <row r="921" spans="1:24" ht="15.75" customHeight="1">
      <c r="A921" s="179"/>
      <c r="B921" s="180"/>
      <c r="C921" s="180"/>
      <c r="D921" s="179"/>
      <c r="E921" s="179"/>
      <c r="F921" s="179"/>
      <c r="G921" s="179"/>
      <c r="H921" s="181"/>
      <c r="I921" s="181"/>
      <c r="J921" s="181"/>
      <c r="K921" s="179"/>
      <c r="L921" s="179"/>
      <c r="M921" s="179"/>
      <c r="N921" s="181"/>
      <c r="O921" s="179"/>
      <c r="P921" s="179"/>
      <c r="Q921" s="179"/>
      <c r="R921" s="179"/>
      <c r="S921" s="179"/>
      <c r="T921" s="179"/>
      <c r="U921" s="179"/>
      <c r="V921" s="182"/>
      <c r="W921" s="175"/>
      <c r="X921" s="176"/>
    </row>
    <row r="922" spans="1:24" ht="15.75" customHeight="1">
      <c r="A922" s="179"/>
      <c r="B922" s="180"/>
      <c r="C922" s="180"/>
      <c r="D922" s="179"/>
      <c r="E922" s="179"/>
      <c r="F922" s="179"/>
      <c r="G922" s="179"/>
      <c r="H922" s="181"/>
      <c r="I922" s="181"/>
      <c r="J922" s="181"/>
      <c r="K922" s="179"/>
      <c r="L922" s="179"/>
      <c r="M922" s="179"/>
      <c r="N922" s="181"/>
      <c r="O922" s="179"/>
      <c r="P922" s="179"/>
      <c r="Q922" s="179"/>
      <c r="R922" s="179"/>
      <c r="S922" s="179"/>
      <c r="T922" s="179"/>
      <c r="U922" s="179"/>
      <c r="V922" s="182"/>
      <c r="W922" s="175"/>
      <c r="X922" s="176"/>
    </row>
    <row r="923" spans="1:24" ht="15.75" customHeight="1">
      <c r="A923" s="179"/>
      <c r="B923" s="180"/>
      <c r="C923" s="180"/>
      <c r="D923" s="179"/>
      <c r="E923" s="179"/>
      <c r="F923" s="179"/>
      <c r="G923" s="179"/>
      <c r="H923" s="181"/>
      <c r="I923" s="181"/>
      <c r="J923" s="181"/>
      <c r="K923" s="179"/>
      <c r="L923" s="179"/>
      <c r="M923" s="179"/>
      <c r="N923" s="181"/>
      <c r="O923" s="179"/>
      <c r="P923" s="179"/>
      <c r="Q923" s="179"/>
      <c r="R923" s="179"/>
      <c r="S923" s="179"/>
      <c r="T923" s="179"/>
      <c r="U923" s="179"/>
      <c r="V923" s="182"/>
      <c r="W923" s="175"/>
      <c r="X923" s="176"/>
    </row>
    <row r="924" spans="1:24" ht="15.75" customHeight="1">
      <c r="A924" s="179"/>
      <c r="B924" s="180"/>
      <c r="C924" s="180"/>
      <c r="D924" s="179"/>
      <c r="E924" s="179"/>
      <c r="F924" s="179"/>
      <c r="G924" s="179"/>
      <c r="H924" s="181"/>
      <c r="I924" s="181"/>
      <c r="J924" s="181"/>
      <c r="K924" s="179"/>
      <c r="L924" s="179"/>
      <c r="M924" s="179"/>
      <c r="N924" s="181"/>
      <c r="O924" s="179"/>
      <c r="P924" s="179"/>
      <c r="Q924" s="179"/>
      <c r="R924" s="179"/>
      <c r="S924" s="179"/>
      <c r="T924" s="179"/>
      <c r="U924" s="179"/>
      <c r="V924" s="182"/>
      <c r="W924" s="175"/>
      <c r="X924" s="176"/>
    </row>
    <row r="925" spans="1:24" ht="15.75" customHeight="1">
      <c r="A925" s="179"/>
      <c r="B925" s="180"/>
      <c r="C925" s="180"/>
      <c r="D925" s="179"/>
      <c r="E925" s="179"/>
      <c r="F925" s="179"/>
      <c r="G925" s="179"/>
      <c r="H925" s="181"/>
      <c r="I925" s="181"/>
      <c r="J925" s="181"/>
      <c r="K925" s="179"/>
      <c r="L925" s="179"/>
      <c r="M925" s="179"/>
      <c r="N925" s="181"/>
      <c r="O925" s="179"/>
      <c r="P925" s="179"/>
      <c r="Q925" s="179"/>
      <c r="R925" s="179"/>
      <c r="S925" s="179"/>
      <c r="T925" s="179"/>
      <c r="U925" s="179"/>
      <c r="V925" s="182"/>
      <c r="W925" s="175"/>
      <c r="X925" s="176"/>
    </row>
    <row r="926" spans="1:24" ht="15.75" customHeight="1">
      <c r="A926" s="179"/>
      <c r="B926" s="180"/>
      <c r="C926" s="180"/>
      <c r="D926" s="179"/>
      <c r="E926" s="179"/>
      <c r="F926" s="179"/>
      <c r="G926" s="179"/>
      <c r="H926" s="181"/>
      <c r="I926" s="181"/>
      <c r="J926" s="181"/>
      <c r="K926" s="179"/>
      <c r="L926" s="179"/>
      <c r="M926" s="179"/>
      <c r="N926" s="181"/>
      <c r="O926" s="179"/>
      <c r="P926" s="179"/>
      <c r="Q926" s="179"/>
      <c r="R926" s="179"/>
      <c r="S926" s="179"/>
      <c r="T926" s="179"/>
      <c r="U926" s="179"/>
      <c r="V926" s="182"/>
      <c r="W926" s="175"/>
      <c r="X926" s="176"/>
    </row>
    <row r="927" spans="1:24" ht="15.75" customHeight="1">
      <c r="A927" s="179"/>
      <c r="B927" s="180"/>
      <c r="C927" s="180"/>
      <c r="D927" s="179"/>
      <c r="E927" s="179"/>
      <c r="F927" s="179"/>
      <c r="G927" s="179"/>
      <c r="H927" s="181"/>
      <c r="I927" s="181"/>
      <c r="J927" s="181"/>
      <c r="K927" s="179"/>
      <c r="L927" s="179"/>
      <c r="M927" s="179"/>
      <c r="N927" s="181"/>
      <c r="O927" s="179"/>
      <c r="P927" s="179"/>
      <c r="Q927" s="179"/>
      <c r="R927" s="179"/>
      <c r="S927" s="179"/>
      <c r="T927" s="179"/>
      <c r="U927" s="179"/>
      <c r="V927" s="182"/>
      <c r="W927" s="175"/>
      <c r="X927" s="176"/>
    </row>
    <row r="928" spans="1:24" ht="15.75" customHeight="1">
      <c r="A928" s="179"/>
      <c r="B928" s="180"/>
      <c r="C928" s="180"/>
      <c r="D928" s="179"/>
      <c r="E928" s="179"/>
      <c r="F928" s="179"/>
      <c r="G928" s="179"/>
      <c r="H928" s="181"/>
      <c r="I928" s="181"/>
      <c r="J928" s="181"/>
      <c r="K928" s="179"/>
      <c r="L928" s="179"/>
      <c r="M928" s="179"/>
      <c r="N928" s="181"/>
      <c r="O928" s="179"/>
      <c r="P928" s="179"/>
      <c r="Q928" s="179"/>
      <c r="R928" s="179"/>
      <c r="S928" s="179"/>
      <c r="T928" s="179"/>
      <c r="U928" s="179"/>
      <c r="V928" s="182"/>
      <c r="W928" s="175"/>
      <c r="X928" s="176"/>
    </row>
    <row r="929" spans="1:24" ht="15.75" customHeight="1">
      <c r="A929" s="179"/>
      <c r="B929" s="180"/>
      <c r="C929" s="180"/>
      <c r="D929" s="179"/>
      <c r="E929" s="179"/>
      <c r="F929" s="179"/>
      <c r="G929" s="179"/>
      <c r="H929" s="181"/>
      <c r="I929" s="181"/>
      <c r="J929" s="181"/>
      <c r="K929" s="179"/>
      <c r="L929" s="179"/>
      <c r="M929" s="179"/>
      <c r="N929" s="181"/>
      <c r="O929" s="179"/>
      <c r="P929" s="179"/>
      <c r="Q929" s="179"/>
      <c r="R929" s="179"/>
      <c r="S929" s="179"/>
      <c r="T929" s="179"/>
      <c r="U929" s="179"/>
      <c r="V929" s="182"/>
      <c r="W929" s="175"/>
      <c r="X929" s="176"/>
    </row>
    <row r="930" spans="1:24" ht="15.75" customHeight="1">
      <c r="A930" s="179"/>
      <c r="B930" s="180"/>
      <c r="C930" s="180"/>
      <c r="D930" s="179"/>
      <c r="E930" s="179"/>
      <c r="F930" s="179"/>
      <c r="G930" s="179"/>
      <c r="H930" s="181"/>
      <c r="I930" s="181"/>
      <c r="J930" s="181"/>
      <c r="K930" s="179"/>
      <c r="L930" s="179"/>
      <c r="M930" s="179"/>
      <c r="N930" s="181"/>
      <c r="O930" s="179"/>
      <c r="P930" s="179"/>
      <c r="Q930" s="179"/>
      <c r="R930" s="179"/>
      <c r="S930" s="179"/>
      <c r="T930" s="179"/>
      <c r="U930" s="179"/>
      <c r="V930" s="182"/>
      <c r="W930" s="175"/>
      <c r="X930" s="176"/>
    </row>
    <row r="931" spans="1:24" ht="15.75" customHeight="1">
      <c r="A931" s="179"/>
      <c r="B931" s="180"/>
      <c r="C931" s="180"/>
      <c r="D931" s="179"/>
      <c r="E931" s="179"/>
      <c r="F931" s="179"/>
      <c r="G931" s="179"/>
      <c r="H931" s="181"/>
      <c r="I931" s="181"/>
      <c r="J931" s="181"/>
      <c r="K931" s="179"/>
      <c r="L931" s="179"/>
      <c r="M931" s="179"/>
      <c r="N931" s="181"/>
      <c r="O931" s="179"/>
      <c r="P931" s="179"/>
      <c r="Q931" s="179"/>
      <c r="R931" s="179"/>
      <c r="S931" s="179"/>
      <c r="T931" s="179"/>
      <c r="U931" s="179"/>
      <c r="V931" s="182"/>
      <c r="W931" s="175"/>
      <c r="X931" s="176"/>
    </row>
    <row r="932" spans="1:24" ht="15.75" customHeight="1">
      <c r="A932" s="179"/>
      <c r="B932" s="180"/>
      <c r="C932" s="180"/>
      <c r="D932" s="179"/>
      <c r="E932" s="179"/>
      <c r="F932" s="179"/>
      <c r="G932" s="179"/>
      <c r="H932" s="181"/>
      <c r="I932" s="181"/>
      <c r="J932" s="181"/>
      <c r="K932" s="179"/>
      <c r="L932" s="179"/>
      <c r="M932" s="179"/>
      <c r="N932" s="181"/>
      <c r="O932" s="179"/>
      <c r="P932" s="179"/>
      <c r="Q932" s="179"/>
      <c r="R932" s="179"/>
      <c r="S932" s="179"/>
      <c r="T932" s="179"/>
      <c r="U932" s="179"/>
      <c r="V932" s="182"/>
      <c r="W932" s="175"/>
      <c r="X932" s="176"/>
    </row>
    <row r="933" spans="1:24" ht="15.75" customHeight="1">
      <c r="A933" s="179"/>
      <c r="B933" s="180"/>
      <c r="C933" s="180"/>
      <c r="D933" s="179"/>
      <c r="E933" s="179"/>
      <c r="F933" s="179"/>
      <c r="G933" s="179"/>
      <c r="H933" s="181"/>
      <c r="I933" s="181"/>
      <c r="J933" s="181"/>
      <c r="K933" s="179"/>
      <c r="L933" s="179"/>
      <c r="M933" s="179"/>
      <c r="N933" s="181"/>
      <c r="O933" s="179"/>
      <c r="P933" s="179"/>
      <c r="Q933" s="179"/>
      <c r="R933" s="179"/>
      <c r="S933" s="179"/>
      <c r="T933" s="179"/>
      <c r="U933" s="179"/>
      <c r="V933" s="182"/>
      <c r="W933" s="175"/>
      <c r="X933" s="176"/>
    </row>
    <row r="934" spans="1:24" ht="15.75" customHeight="1">
      <c r="A934" s="179"/>
      <c r="B934" s="180"/>
      <c r="C934" s="180"/>
      <c r="D934" s="179"/>
      <c r="E934" s="179"/>
      <c r="F934" s="179"/>
      <c r="G934" s="179"/>
      <c r="H934" s="181"/>
      <c r="I934" s="181"/>
      <c r="J934" s="181"/>
      <c r="K934" s="179"/>
      <c r="L934" s="179"/>
      <c r="M934" s="179"/>
      <c r="N934" s="181"/>
      <c r="O934" s="179"/>
      <c r="P934" s="179"/>
      <c r="Q934" s="179"/>
      <c r="R934" s="179"/>
      <c r="S934" s="179"/>
      <c r="T934" s="179"/>
      <c r="U934" s="179"/>
      <c r="V934" s="182"/>
      <c r="W934" s="175"/>
      <c r="X934" s="176"/>
    </row>
    <row r="935" spans="1:24" ht="15.75" customHeight="1">
      <c r="A935" s="179"/>
      <c r="B935" s="180"/>
      <c r="C935" s="180"/>
      <c r="D935" s="179"/>
      <c r="E935" s="179"/>
      <c r="F935" s="179"/>
      <c r="G935" s="179"/>
      <c r="H935" s="181"/>
      <c r="I935" s="181"/>
      <c r="J935" s="181"/>
      <c r="K935" s="179"/>
      <c r="L935" s="179"/>
      <c r="M935" s="179"/>
      <c r="N935" s="181"/>
      <c r="O935" s="179"/>
      <c r="P935" s="179"/>
      <c r="Q935" s="179"/>
      <c r="R935" s="179"/>
      <c r="S935" s="179"/>
      <c r="T935" s="179"/>
      <c r="U935" s="179"/>
      <c r="V935" s="182"/>
      <c r="W935" s="175"/>
      <c r="X935" s="176"/>
    </row>
    <row r="936" spans="1:24" ht="15.75" customHeight="1">
      <c r="A936" s="179"/>
      <c r="B936" s="180"/>
      <c r="C936" s="180"/>
      <c r="D936" s="179"/>
      <c r="E936" s="179"/>
      <c r="F936" s="179"/>
      <c r="G936" s="179"/>
      <c r="H936" s="181"/>
      <c r="I936" s="181"/>
      <c r="J936" s="181"/>
      <c r="K936" s="179"/>
      <c r="L936" s="179"/>
      <c r="M936" s="179"/>
      <c r="N936" s="181"/>
      <c r="O936" s="179"/>
      <c r="P936" s="179"/>
      <c r="Q936" s="179"/>
      <c r="R936" s="179"/>
      <c r="S936" s="179"/>
      <c r="T936" s="179"/>
      <c r="U936" s="179"/>
      <c r="V936" s="182"/>
      <c r="W936" s="175"/>
      <c r="X936" s="176"/>
    </row>
    <row r="937" spans="1:24" ht="15.75" customHeight="1">
      <c r="A937" s="179"/>
      <c r="B937" s="180"/>
      <c r="C937" s="180"/>
      <c r="D937" s="179"/>
      <c r="E937" s="179"/>
      <c r="F937" s="179"/>
      <c r="G937" s="179"/>
      <c r="H937" s="181"/>
      <c r="I937" s="181"/>
      <c r="J937" s="181"/>
      <c r="K937" s="179"/>
      <c r="L937" s="179"/>
      <c r="M937" s="179"/>
      <c r="N937" s="181"/>
      <c r="O937" s="179"/>
      <c r="P937" s="179"/>
      <c r="Q937" s="179"/>
      <c r="R937" s="179"/>
      <c r="S937" s="179"/>
      <c r="T937" s="179"/>
      <c r="U937" s="179"/>
      <c r="V937" s="182"/>
      <c r="W937" s="175"/>
      <c r="X937" s="176"/>
    </row>
    <row r="938" spans="1:24" ht="15.75" customHeight="1">
      <c r="A938" s="179"/>
      <c r="B938" s="180"/>
      <c r="C938" s="180"/>
      <c r="D938" s="179"/>
      <c r="E938" s="179"/>
      <c r="F938" s="179"/>
      <c r="G938" s="179"/>
      <c r="H938" s="181"/>
      <c r="I938" s="181"/>
      <c r="J938" s="181"/>
      <c r="K938" s="179"/>
      <c r="L938" s="179"/>
      <c r="M938" s="179"/>
      <c r="N938" s="181"/>
      <c r="O938" s="179"/>
      <c r="P938" s="179"/>
      <c r="Q938" s="179"/>
      <c r="R938" s="179"/>
      <c r="S938" s="179"/>
      <c r="T938" s="179"/>
      <c r="U938" s="179"/>
      <c r="V938" s="182"/>
      <c r="W938" s="175"/>
      <c r="X938" s="176"/>
    </row>
    <row r="939" spans="1:24" ht="15.75" customHeight="1">
      <c r="A939" s="179"/>
      <c r="B939" s="180"/>
      <c r="C939" s="180"/>
      <c r="D939" s="179"/>
      <c r="E939" s="179"/>
      <c r="F939" s="179"/>
      <c r="G939" s="179"/>
      <c r="H939" s="181"/>
      <c r="I939" s="181"/>
      <c r="J939" s="181"/>
      <c r="K939" s="179"/>
      <c r="L939" s="179"/>
      <c r="M939" s="179"/>
      <c r="N939" s="181"/>
      <c r="O939" s="179"/>
      <c r="P939" s="179"/>
      <c r="Q939" s="179"/>
      <c r="R939" s="179"/>
      <c r="S939" s="179"/>
      <c r="T939" s="179"/>
      <c r="U939" s="179"/>
      <c r="V939" s="182"/>
      <c r="W939" s="175"/>
      <c r="X939" s="176"/>
    </row>
    <row r="940" spans="1:24" ht="15.75" customHeight="1">
      <c r="A940" s="179"/>
      <c r="B940" s="180"/>
      <c r="C940" s="180"/>
      <c r="D940" s="179"/>
      <c r="E940" s="179"/>
      <c r="F940" s="179"/>
      <c r="G940" s="179"/>
      <c r="H940" s="181"/>
      <c r="I940" s="181"/>
      <c r="J940" s="181"/>
      <c r="K940" s="179"/>
      <c r="L940" s="179"/>
      <c r="M940" s="179"/>
      <c r="N940" s="181"/>
      <c r="O940" s="179"/>
      <c r="P940" s="179"/>
      <c r="Q940" s="179"/>
      <c r="R940" s="179"/>
      <c r="S940" s="179"/>
      <c r="T940" s="179"/>
      <c r="U940" s="179"/>
      <c r="V940" s="182"/>
      <c r="W940" s="175"/>
      <c r="X940" s="176"/>
    </row>
    <row r="941" spans="1:24" ht="15.75" customHeight="1">
      <c r="A941" s="179"/>
      <c r="B941" s="180"/>
      <c r="C941" s="180"/>
      <c r="D941" s="179"/>
      <c r="E941" s="179"/>
      <c r="F941" s="179"/>
      <c r="G941" s="179"/>
      <c r="H941" s="181"/>
      <c r="I941" s="181"/>
      <c r="J941" s="181"/>
      <c r="K941" s="179"/>
      <c r="L941" s="179"/>
      <c r="M941" s="179"/>
      <c r="N941" s="181"/>
      <c r="O941" s="179"/>
      <c r="P941" s="179"/>
      <c r="Q941" s="179"/>
      <c r="R941" s="179"/>
      <c r="S941" s="179"/>
      <c r="T941" s="179"/>
      <c r="U941" s="179"/>
      <c r="V941" s="182"/>
      <c r="W941" s="175"/>
      <c r="X941" s="176"/>
    </row>
    <row r="942" spans="1:24" ht="15.75" customHeight="1">
      <c r="A942" s="179"/>
      <c r="B942" s="180"/>
      <c r="C942" s="180"/>
      <c r="D942" s="179"/>
      <c r="E942" s="179"/>
      <c r="F942" s="179"/>
      <c r="G942" s="179"/>
      <c r="H942" s="181"/>
      <c r="I942" s="181"/>
      <c r="J942" s="181"/>
      <c r="K942" s="179"/>
      <c r="L942" s="179"/>
      <c r="M942" s="179"/>
      <c r="N942" s="181"/>
      <c r="O942" s="179"/>
      <c r="P942" s="179"/>
      <c r="Q942" s="179"/>
      <c r="R942" s="179"/>
      <c r="S942" s="179"/>
      <c r="T942" s="179"/>
      <c r="U942" s="179"/>
      <c r="V942" s="182"/>
      <c r="W942" s="175"/>
      <c r="X942" s="176"/>
    </row>
    <row r="943" spans="1:24" ht="15.75" customHeight="1">
      <c r="A943" s="179"/>
      <c r="B943" s="180"/>
      <c r="C943" s="180"/>
      <c r="D943" s="179"/>
      <c r="E943" s="179"/>
      <c r="F943" s="179"/>
      <c r="G943" s="179"/>
      <c r="H943" s="181"/>
      <c r="I943" s="181"/>
      <c r="J943" s="181"/>
      <c r="K943" s="179"/>
      <c r="L943" s="179"/>
      <c r="M943" s="179"/>
      <c r="N943" s="181"/>
      <c r="O943" s="179"/>
      <c r="P943" s="179"/>
      <c r="Q943" s="179"/>
      <c r="R943" s="179"/>
      <c r="S943" s="179"/>
      <c r="T943" s="179"/>
      <c r="U943" s="179"/>
      <c r="V943" s="182"/>
      <c r="W943" s="175"/>
      <c r="X943" s="176"/>
    </row>
    <row r="944" spans="1:24" ht="15.75" customHeight="1">
      <c r="A944" s="179"/>
      <c r="B944" s="180"/>
      <c r="C944" s="180"/>
      <c r="D944" s="179"/>
      <c r="E944" s="179"/>
      <c r="F944" s="179"/>
      <c r="G944" s="179"/>
      <c r="H944" s="181"/>
      <c r="I944" s="181"/>
      <c r="J944" s="181"/>
      <c r="K944" s="179"/>
      <c r="L944" s="179"/>
      <c r="M944" s="179"/>
      <c r="N944" s="181"/>
      <c r="O944" s="179"/>
      <c r="P944" s="179"/>
      <c r="Q944" s="179"/>
      <c r="R944" s="179"/>
      <c r="S944" s="179"/>
      <c r="T944" s="179"/>
      <c r="U944" s="179"/>
      <c r="V944" s="182"/>
      <c r="W944" s="175"/>
      <c r="X944" s="176"/>
    </row>
    <row r="945" spans="1:24" ht="15.75" customHeight="1">
      <c r="A945" s="179"/>
      <c r="B945" s="180"/>
      <c r="C945" s="180"/>
      <c r="D945" s="179"/>
      <c r="E945" s="179"/>
      <c r="F945" s="179"/>
      <c r="G945" s="179"/>
      <c r="H945" s="181"/>
      <c r="I945" s="181"/>
      <c r="J945" s="181"/>
      <c r="K945" s="179"/>
      <c r="L945" s="179"/>
      <c r="M945" s="179"/>
      <c r="N945" s="181"/>
      <c r="O945" s="179"/>
      <c r="P945" s="179"/>
      <c r="Q945" s="179"/>
      <c r="R945" s="179"/>
      <c r="S945" s="179"/>
      <c r="T945" s="179"/>
      <c r="U945" s="179"/>
      <c r="V945" s="182"/>
      <c r="W945" s="175"/>
      <c r="X945" s="176"/>
    </row>
    <row r="946" spans="1:24" ht="15.75" customHeight="1">
      <c r="A946" s="179"/>
      <c r="B946" s="180"/>
      <c r="C946" s="180"/>
      <c r="D946" s="179"/>
      <c r="E946" s="179"/>
      <c r="F946" s="179"/>
      <c r="G946" s="179"/>
      <c r="H946" s="181"/>
      <c r="I946" s="181"/>
      <c r="J946" s="181"/>
      <c r="K946" s="179"/>
      <c r="L946" s="179"/>
      <c r="M946" s="179"/>
      <c r="N946" s="181"/>
      <c r="O946" s="179"/>
      <c r="P946" s="179"/>
      <c r="Q946" s="179"/>
      <c r="R946" s="179"/>
      <c r="S946" s="179"/>
      <c r="T946" s="179"/>
      <c r="U946" s="179"/>
      <c r="V946" s="182"/>
      <c r="W946" s="175"/>
      <c r="X946" s="176"/>
    </row>
    <row r="947" spans="1:24" ht="15.75" customHeight="1">
      <c r="A947" s="179"/>
      <c r="B947" s="180"/>
      <c r="C947" s="180"/>
      <c r="D947" s="179"/>
      <c r="E947" s="179"/>
      <c r="F947" s="179"/>
      <c r="G947" s="179"/>
      <c r="H947" s="181"/>
      <c r="I947" s="181"/>
      <c r="J947" s="181"/>
      <c r="K947" s="179"/>
      <c r="L947" s="179"/>
      <c r="M947" s="179"/>
      <c r="N947" s="181"/>
      <c r="O947" s="179"/>
      <c r="P947" s="179"/>
      <c r="Q947" s="179"/>
      <c r="R947" s="179"/>
      <c r="S947" s="179"/>
      <c r="T947" s="179"/>
      <c r="U947" s="179"/>
      <c r="V947" s="182"/>
      <c r="W947" s="175"/>
      <c r="X947" s="176"/>
    </row>
    <row r="948" spans="1:24" ht="15.75" customHeight="1">
      <c r="A948" s="179"/>
      <c r="B948" s="180"/>
      <c r="C948" s="180"/>
      <c r="D948" s="179"/>
      <c r="E948" s="179"/>
      <c r="F948" s="179"/>
      <c r="G948" s="179"/>
      <c r="H948" s="181"/>
      <c r="I948" s="181"/>
      <c r="J948" s="181"/>
      <c r="K948" s="179"/>
      <c r="L948" s="179"/>
      <c r="M948" s="179"/>
      <c r="N948" s="181"/>
      <c r="O948" s="179"/>
      <c r="P948" s="179"/>
      <c r="Q948" s="179"/>
      <c r="R948" s="179"/>
      <c r="S948" s="179"/>
      <c r="T948" s="179"/>
      <c r="U948" s="179"/>
      <c r="V948" s="182"/>
      <c r="W948" s="175"/>
      <c r="X948" s="176"/>
    </row>
    <row r="949" spans="1:24" ht="15.75" customHeight="1">
      <c r="A949" s="179"/>
      <c r="B949" s="180"/>
      <c r="C949" s="180"/>
      <c r="D949" s="179"/>
      <c r="E949" s="179"/>
      <c r="F949" s="179"/>
      <c r="G949" s="179"/>
      <c r="H949" s="181"/>
      <c r="I949" s="181"/>
      <c r="J949" s="181"/>
      <c r="K949" s="179"/>
      <c r="L949" s="179"/>
      <c r="M949" s="179"/>
      <c r="N949" s="181"/>
      <c r="O949" s="179"/>
      <c r="P949" s="179"/>
      <c r="Q949" s="179"/>
      <c r="R949" s="179"/>
      <c r="S949" s="179"/>
      <c r="T949" s="179"/>
      <c r="U949" s="179"/>
      <c r="V949" s="182"/>
      <c r="W949" s="175"/>
      <c r="X949" s="176"/>
    </row>
    <row r="950" spans="1:24" ht="15.75" customHeight="1">
      <c r="A950" s="179"/>
      <c r="B950" s="180"/>
      <c r="C950" s="180"/>
      <c r="D950" s="179"/>
      <c r="E950" s="179"/>
      <c r="F950" s="179"/>
      <c r="G950" s="179"/>
      <c r="H950" s="181"/>
      <c r="I950" s="181"/>
      <c r="J950" s="181"/>
      <c r="K950" s="179"/>
      <c r="L950" s="179"/>
      <c r="M950" s="179"/>
      <c r="N950" s="181"/>
      <c r="O950" s="179"/>
      <c r="P950" s="179"/>
      <c r="Q950" s="179"/>
      <c r="R950" s="179"/>
      <c r="S950" s="179"/>
      <c r="T950" s="179"/>
      <c r="U950" s="179"/>
      <c r="V950" s="182"/>
      <c r="W950" s="175"/>
      <c r="X950" s="176"/>
    </row>
    <row r="951" spans="1:24" ht="15.75" customHeight="1">
      <c r="A951" s="179"/>
      <c r="B951" s="180"/>
      <c r="C951" s="180"/>
      <c r="D951" s="179"/>
      <c r="E951" s="179"/>
      <c r="F951" s="179"/>
      <c r="G951" s="179"/>
      <c r="H951" s="181"/>
      <c r="I951" s="181"/>
      <c r="J951" s="181"/>
      <c r="K951" s="179"/>
      <c r="L951" s="179"/>
      <c r="M951" s="179"/>
      <c r="N951" s="181"/>
      <c r="O951" s="179"/>
      <c r="P951" s="179"/>
      <c r="Q951" s="179"/>
      <c r="R951" s="179"/>
      <c r="S951" s="179"/>
      <c r="T951" s="179"/>
      <c r="U951" s="179"/>
      <c r="V951" s="182"/>
      <c r="W951" s="175"/>
      <c r="X951" s="176"/>
    </row>
    <row r="952" spans="1:24" ht="15.75" customHeight="1">
      <c r="A952" s="179"/>
      <c r="B952" s="180"/>
      <c r="C952" s="180"/>
      <c r="D952" s="179"/>
      <c r="E952" s="179"/>
      <c r="F952" s="179"/>
      <c r="G952" s="179"/>
      <c r="H952" s="181"/>
      <c r="I952" s="181"/>
      <c r="J952" s="181"/>
      <c r="K952" s="179"/>
      <c r="L952" s="179"/>
      <c r="M952" s="179"/>
      <c r="N952" s="181"/>
      <c r="O952" s="179"/>
      <c r="P952" s="179"/>
      <c r="Q952" s="179"/>
      <c r="R952" s="179"/>
      <c r="S952" s="179"/>
      <c r="T952" s="179"/>
      <c r="U952" s="179"/>
      <c r="V952" s="182"/>
      <c r="W952" s="175"/>
      <c r="X952" s="176"/>
    </row>
    <row r="953" spans="1:24" ht="15.75" customHeight="1">
      <c r="A953" s="179"/>
      <c r="B953" s="180"/>
      <c r="C953" s="180"/>
      <c r="D953" s="179"/>
      <c r="E953" s="179"/>
      <c r="F953" s="179"/>
      <c r="G953" s="179"/>
      <c r="H953" s="181"/>
      <c r="I953" s="181"/>
      <c r="J953" s="181"/>
      <c r="K953" s="179"/>
      <c r="L953" s="179"/>
      <c r="M953" s="179"/>
      <c r="N953" s="181"/>
      <c r="O953" s="179"/>
      <c r="P953" s="179"/>
      <c r="Q953" s="179"/>
      <c r="R953" s="179"/>
      <c r="S953" s="179"/>
      <c r="T953" s="179"/>
      <c r="U953" s="179"/>
      <c r="V953" s="182"/>
      <c r="W953" s="175"/>
      <c r="X953" s="176"/>
    </row>
    <row r="954" spans="1:24" ht="15.75" customHeight="1">
      <c r="A954" s="179"/>
      <c r="B954" s="180"/>
      <c r="C954" s="180"/>
      <c r="D954" s="179"/>
      <c r="E954" s="179"/>
      <c r="F954" s="179"/>
      <c r="G954" s="179"/>
      <c r="H954" s="181"/>
      <c r="I954" s="181"/>
      <c r="J954" s="181"/>
      <c r="K954" s="179"/>
      <c r="L954" s="179"/>
      <c r="M954" s="179"/>
      <c r="N954" s="181"/>
      <c r="O954" s="179"/>
      <c r="P954" s="179"/>
      <c r="Q954" s="179"/>
      <c r="R954" s="179"/>
      <c r="S954" s="179"/>
      <c r="T954" s="179"/>
      <c r="U954" s="179"/>
      <c r="V954" s="182"/>
      <c r="W954" s="175"/>
      <c r="X954" s="176"/>
    </row>
    <row r="955" spans="1:24" ht="15.75" customHeight="1">
      <c r="A955" s="179"/>
      <c r="B955" s="180"/>
      <c r="C955" s="180"/>
      <c r="D955" s="179"/>
      <c r="E955" s="179"/>
      <c r="F955" s="179"/>
      <c r="G955" s="179"/>
      <c r="H955" s="181"/>
      <c r="I955" s="181"/>
      <c r="J955" s="181"/>
      <c r="K955" s="179"/>
      <c r="L955" s="179"/>
      <c r="M955" s="179"/>
      <c r="N955" s="181"/>
      <c r="O955" s="179"/>
      <c r="P955" s="179"/>
      <c r="Q955" s="179"/>
      <c r="R955" s="179"/>
      <c r="S955" s="179"/>
      <c r="T955" s="179"/>
      <c r="U955" s="179"/>
      <c r="V955" s="182"/>
      <c r="W955" s="175"/>
      <c r="X955" s="176"/>
    </row>
    <row r="956" spans="1:24" ht="15.75" customHeight="1">
      <c r="A956" s="179"/>
      <c r="B956" s="180"/>
      <c r="C956" s="180"/>
      <c r="D956" s="179"/>
      <c r="E956" s="179"/>
      <c r="F956" s="179"/>
      <c r="G956" s="179"/>
      <c r="H956" s="181"/>
      <c r="I956" s="181"/>
      <c r="J956" s="181"/>
      <c r="K956" s="179"/>
      <c r="L956" s="179"/>
      <c r="M956" s="179"/>
      <c r="N956" s="181"/>
      <c r="O956" s="179"/>
      <c r="P956" s="179"/>
      <c r="Q956" s="179"/>
      <c r="R956" s="179"/>
      <c r="S956" s="179"/>
      <c r="T956" s="179"/>
      <c r="U956" s="179"/>
      <c r="V956" s="182"/>
      <c r="W956" s="175"/>
      <c r="X956" s="176"/>
    </row>
    <row r="957" spans="1:24" ht="15.75" customHeight="1">
      <c r="A957" s="179"/>
      <c r="B957" s="180"/>
      <c r="C957" s="180"/>
      <c r="D957" s="179"/>
      <c r="E957" s="179"/>
      <c r="F957" s="179"/>
      <c r="G957" s="179"/>
      <c r="H957" s="181"/>
      <c r="I957" s="181"/>
      <c r="J957" s="181"/>
      <c r="K957" s="179"/>
      <c r="L957" s="179"/>
      <c r="M957" s="179"/>
      <c r="N957" s="181"/>
      <c r="O957" s="179"/>
      <c r="P957" s="179"/>
      <c r="Q957" s="179"/>
      <c r="R957" s="179"/>
      <c r="S957" s="179"/>
      <c r="T957" s="179"/>
      <c r="U957" s="179"/>
      <c r="V957" s="182"/>
      <c r="W957" s="175"/>
      <c r="X957" s="176"/>
    </row>
    <row r="958" spans="1:24" ht="15.75" customHeight="1">
      <c r="A958" s="179"/>
      <c r="B958" s="180"/>
      <c r="C958" s="180"/>
      <c r="D958" s="179"/>
      <c r="E958" s="179"/>
      <c r="F958" s="179"/>
      <c r="G958" s="179"/>
      <c r="H958" s="181"/>
      <c r="I958" s="181"/>
      <c r="J958" s="181"/>
      <c r="K958" s="179"/>
      <c r="L958" s="179"/>
      <c r="M958" s="179"/>
      <c r="N958" s="181"/>
      <c r="O958" s="179"/>
      <c r="P958" s="179"/>
      <c r="Q958" s="179"/>
      <c r="R958" s="179"/>
      <c r="S958" s="179"/>
      <c r="T958" s="179"/>
      <c r="U958" s="179"/>
      <c r="V958" s="182"/>
      <c r="W958" s="175"/>
      <c r="X958" s="176"/>
    </row>
    <row r="959" spans="1:24" ht="15.75" customHeight="1">
      <c r="A959" s="179"/>
      <c r="B959" s="180"/>
      <c r="C959" s="180"/>
      <c r="D959" s="179"/>
      <c r="E959" s="179"/>
      <c r="F959" s="179"/>
      <c r="G959" s="179"/>
      <c r="H959" s="181"/>
      <c r="I959" s="181"/>
      <c r="J959" s="181"/>
      <c r="K959" s="179"/>
      <c r="L959" s="179"/>
      <c r="M959" s="179"/>
      <c r="N959" s="181"/>
      <c r="O959" s="179"/>
      <c r="P959" s="179"/>
      <c r="Q959" s="179"/>
      <c r="R959" s="179"/>
      <c r="S959" s="179"/>
      <c r="T959" s="179"/>
      <c r="U959" s="179"/>
      <c r="V959" s="182"/>
      <c r="W959" s="175"/>
      <c r="X959" s="176"/>
    </row>
    <row r="960" spans="1:24" ht="15.75" customHeight="1">
      <c r="A960" s="179"/>
      <c r="B960" s="180"/>
      <c r="C960" s="180"/>
      <c r="D960" s="179"/>
      <c r="E960" s="179"/>
      <c r="F960" s="179"/>
      <c r="G960" s="179"/>
      <c r="H960" s="181"/>
      <c r="I960" s="181"/>
      <c r="J960" s="181"/>
      <c r="K960" s="179"/>
      <c r="L960" s="179"/>
      <c r="M960" s="179"/>
      <c r="N960" s="181"/>
      <c r="O960" s="179"/>
      <c r="P960" s="179"/>
      <c r="Q960" s="179"/>
      <c r="R960" s="179"/>
      <c r="S960" s="179"/>
      <c r="T960" s="179"/>
      <c r="U960" s="179"/>
      <c r="V960" s="182"/>
      <c r="W960" s="175"/>
      <c r="X960" s="176"/>
    </row>
    <row r="961" spans="1:24" ht="15.75" customHeight="1">
      <c r="A961" s="179"/>
      <c r="B961" s="180"/>
      <c r="C961" s="180"/>
      <c r="D961" s="179"/>
      <c r="E961" s="179"/>
      <c r="F961" s="179"/>
      <c r="G961" s="179"/>
      <c r="H961" s="181"/>
      <c r="I961" s="181"/>
      <c r="J961" s="181"/>
      <c r="K961" s="179"/>
      <c r="L961" s="179"/>
      <c r="M961" s="179"/>
      <c r="N961" s="181"/>
      <c r="O961" s="179"/>
      <c r="P961" s="179"/>
      <c r="Q961" s="179"/>
      <c r="R961" s="179"/>
      <c r="S961" s="179"/>
      <c r="T961" s="179"/>
      <c r="U961" s="179"/>
      <c r="V961" s="182"/>
      <c r="W961" s="175"/>
      <c r="X961" s="176"/>
    </row>
    <row r="962" spans="1:24" ht="15.75" customHeight="1">
      <c r="A962" s="179"/>
      <c r="B962" s="180"/>
      <c r="C962" s="180"/>
      <c r="D962" s="179"/>
      <c r="E962" s="179"/>
      <c r="F962" s="179"/>
      <c r="G962" s="179"/>
      <c r="H962" s="181"/>
      <c r="I962" s="181"/>
      <c r="J962" s="181"/>
      <c r="K962" s="179"/>
      <c r="L962" s="179"/>
      <c r="M962" s="179"/>
      <c r="N962" s="181"/>
      <c r="O962" s="179"/>
      <c r="P962" s="179"/>
      <c r="Q962" s="179"/>
      <c r="R962" s="179"/>
      <c r="S962" s="179"/>
      <c r="T962" s="179"/>
      <c r="U962" s="179"/>
      <c r="V962" s="182"/>
      <c r="W962" s="175"/>
      <c r="X962" s="176"/>
    </row>
    <row r="963" spans="1:24" ht="15.75" customHeight="1">
      <c r="A963" s="179"/>
      <c r="B963" s="180"/>
      <c r="C963" s="180"/>
      <c r="D963" s="179"/>
      <c r="E963" s="179"/>
      <c r="F963" s="179"/>
      <c r="G963" s="179"/>
      <c r="H963" s="181"/>
      <c r="I963" s="181"/>
      <c r="J963" s="181"/>
      <c r="K963" s="179"/>
      <c r="L963" s="179"/>
      <c r="M963" s="179"/>
      <c r="N963" s="181"/>
      <c r="O963" s="179"/>
      <c r="P963" s="179"/>
      <c r="Q963" s="179"/>
      <c r="R963" s="179"/>
      <c r="S963" s="179"/>
      <c r="T963" s="179"/>
      <c r="U963" s="179"/>
      <c r="V963" s="182"/>
      <c r="W963" s="175"/>
      <c r="X963" s="176"/>
    </row>
    <row r="964" spans="1:24" ht="15.75" customHeight="1">
      <c r="A964" s="179"/>
      <c r="B964" s="180"/>
      <c r="C964" s="180"/>
      <c r="D964" s="179"/>
      <c r="E964" s="179"/>
      <c r="F964" s="179"/>
      <c r="G964" s="179"/>
      <c r="H964" s="181"/>
      <c r="I964" s="181"/>
      <c r="J964" s="181"/>
      <c r="K964" s="179"/>
      <c r="L964" s="179"/>
      <c r="M964" s="179"/>
      <c r="N964" s="181"/>
      <c r="O964" s="179"/>
      <c r="P964" s="179"/>
      <c r="Q964" s="179"/>
      <c r="R964" s="179"/>
      <c r="S964" s="179"/>
      <c r="T964" s="179"/>
      <c r="U964" s="179"/>
      <c r="V964" s="182"/>
      <c r="W964" s="175"/>
      <c r="X964" s="176"/>
    </row>
    <row r="965" spans="1:24" ht="15.75" customHeight="1">
      <c r="A965" s="179"/>
      <c r="B965" s="180"/>
      <c r="C965" s="180"/>
      <c r="D965" s="179"/>
      <c r="E965" s="179"/>
      <c r="F965" s="179"/>
      <c r="G965" s="179"/>
      <c r="H965" s="181"/>
      <c r="I965" s="181"/>
      <c r="J965" s="181"/>
      <c r="K965" s="179"/>
      <c r="L965" s="179"/>
      <c r="M965" s="179"/>
      <c r="N965" s="181"/>
      <c r="O965" s="179"/>
      <c r="P965" s="179"/>
      <c r="Q965" s="179"/>
      <c r="R965" s="179"/>
      <c r="S965" s="179"/>
      <c r="T965" s="179"/>
      <c r="U965" s="179"/>
      <c r="V965" s="182"/>
      <c r="W965" s="175"/>
      <c r="X965" s="176"/>
    </row>
    <row r="966" spans="1:24" ht="15.75" customHeight="1">
      <c r="A966" s="179"/>
      <c r="B966" s="180"/>
      <c r="C966" s="180"/>
      <c r="D966" s="179"/>
      <c r="E966" s="179"/>
      <c r="F966" s="179"/>
      <c r="G966" s="179"/>
      <c r="H966" s="181"/>
      <c r="I966" s="181"/>
      <c r="J966" s="181"/>
      <c r="K966" s="179"/>
      <c r="L966" s="179"/>
      <c r="M966" s="179"/>
      <c r="N966" s="181"/>
      <c r="O966" s="179"/>
      <c r="P966" s="179"/>
      <c r="Q966" s="179"/>
      <c r="R966" s="179"/>
      <c r="S966" s="179"/>
      <c r="T966" s="179"/>
      <c r="U966" s="179"/>
      <c r="V966" s="182"/>
      <c r="W966" s="175"/>
      <c r="X966" s="176"/>
    </row>
    <row r="967" spans="1:24" ht="15.75" customHeight="1">
      <c r="A967" s="179"/>
      <c r="B967" s="180"/>
      <c r="C967" s="180"/>
      <c r="D967" s="179"/>
      <c r="E967" s="179"/>
      <c r="F967" s="179"/>
      <c r="G967" s="179"/>
      <c r="H967" s="181"/>
      <c r="I967" s="181"/>
      <c r="J967" s="181"/>
      <c r="K967" s="179"/>
      <c r="L967" s="179"/>
      <c r="M967" s="179"/>
      <c r="N967" s="181"/>
      <c r="O967" s="179"/>
      <c r="P967" s="179"/>
      <c r="Q967" s="179"/>
      <c r="R967" s="179"/>
      <c r="S967" s="179"/>
      <c r="T967" s="179"/>
      <c r="U967" s="179"/>
      <c r="V967" s="182"/>
      <c r="W967" s="175"/>
      <c r="X967" s="176"/>
    </row>
    <row r="968" spans="1:24" ht="15.75" customHeight="1">
      <c r="A968" s="179"/>
      <c r="B968" s="180"/>
      <c r="C968" s="180"/>
      <c r="D968" s="179"/>
      <c r="E968" s="179"/>
      <c r="F968" s="179"/>
      <c r="G968" s="179"/>
      <c r="H968" s="181"/>
      <c r="I968" s="181"/>
      <c r="J968" s="181"/>
      <c r="K968" s="179"/>
      <c r="L968" s="179"/>
      <c r="M968" s="179"/>
      <c r="N968" s="181"/>
      <c r="O968" s="179"/>
      <c r="P968" s="179"/>
      <c r="Q968" s="179"/>
      <c r="R968" s="179"/>
      <c r="S968" s="179"/>
      <c r="T968" s="179"/>
      <c r="U968" s="179"/>
      <c r="V968" s="182"/>
      <c r="W968" s="175"/>
      <c r="X968" s="176"/>
    </row>
    <row r="969" spans="1:24" ht="15.75" customHeight="1">
      <c r="A969" s="179"/>
      <c r="B969" s="180"/>
      <c r="C969" s="180"/>
      <c r="D969" s="179"/>
      <c r="E969" s="179"/>
      <c r="F969" s="179"/>
      <c r="G969" s="179"/>
      <c r="H969" s="181"/>
      <c r="I969" s="181"/>
      <c r="J969" s="181"/>
      <c r="K969" s="179"/>
      <c r="L969" s="179"/>
      <c r="M969" s="179"/>
      <c r="N969" s="181"/>
      <c r="O969" s="179"/>
      <c r="P969" s="179"/>
      <c r="Q969" s="179"/>
      <c r="R969" s="179"/>
      <c r="S969" s="179"/>
      <c r="T969" s="179"/>
      <c r="U969" s="179"/>
      <c r="V969" s="182"/>
      <c r="W969" s="175"/>
      <c r="X969" s="176"/>
    </row>
    <row r="970" spans="1:24" ht="15.75" customHeight="1">
      <c r="A970" s="179"/>
      <c r="B970" s="180"/>
      <c r="C970" s="180"/>
      <c r="D970" s="179"/>
      <c r="E970" s="179"/>
      <c r="F970" s="179"/>
      <c r="G970" s="179"/>
      <c r="H970" s="181"/>
      <c r="I970" s="181"/>
      <c r="J970" s="181"/>
      <c r="K970" s="179"/>
      <c r="L970" s="179"/>
      <c r="M970" s="179"/>
      <c r="N970" s="181"/>
      <c r="O970" s="179"/>
      <c r="P970" s="179"/>
      <c r="Q970" s="179"/>
      <c r="R970" s="179"/>
      <c r="S970" s="179"/>
      <c r="T970" s="179"/>
      <c r="U970" s="179"/>
      <c r="V970" s="182"/>
      <c r="W970" s="175"/>
      <c r="X970" s="176"/>
    </row>
    <row r="971" spans="1:24" ht="15.75" customHeight="1">
      <c r="A971" s="179"/>
      <c r="B971" s="180"/>
      <c r="C971" s="180"/>
      <c r="D971" s="179"/>
      <c r="E971" s="179"/>
      <c r="F971" s="179"/>
      <c r="G971" s="179"/>
      <c r="H971" s="181"/>
      <c r="I971" s="181"/>
      <c r="J971" s="181"/>
      <c r="K971" s="179"/>
      <c r="L971" s="179"/>
      <c r="M971" s="179"/>
      <c r="N971" s="181"/>
      <c r="O971" s="179"/>
      <c r="P971" s="179"/>
      <c r="Q971" s="179"/>
      <c r="R971" s="179"/>
      <c r="S971" s="179"/>
      <c r="T971" s="179"/>
      <c r="U971" s="179"/>
      <c r="V971" s="182"/>
      <c r="W971" s="175"/>
      <c r="X971" s="176"/>
    </row>
    <row r="972" spans="1:24" ht="15.75" customHeight="1">
      <c r="A972" s="179"/>
      <c r="B972" s="180"/>
      <c r="C972" s="180"/>
      <c r="D972" s="179"/>
      <c r="E972" s="179"/>
      <c r="F972" s="179"/>
      <c r="G972" s="179"/>
      <c r="H972" s="181"/>
      <c r="I972" s="181"/>
      <c r="J972" s="181"/>
      <c r="K972" s="179"/>
      <c r="L972" s="179"/>
      <c r="M972" s="179"/>
      <c r="N972" s="181"/>
      <c r="O972" s="179"/>
      <c r="P972" s="179"/>
      <c r="Q972" s="179"/>
      <c r="R972" s="179"/>
      <c r="S972" s="179"/>
      <c r="T972" s="179"/>
      <c r="U972" s="179"/>
      <c r="V972" s="182"/>
      <c r="W972" s="175"/>
      <c r="X972" s="176"/>
    </row>
    <row r="973" spans="1:24" ht="15.75" customHeight="1">
      <c r="A973" s="179"/>
      <c r="B973" s="180"/>
      <c r="C973" s="180"/>
      <c r="D973" s="179"/>
      <c r="E973" s="179"/>
      <c r="F973" s="179"/>
      <c r="G973" s="179"/>
      <c r="H973" s="181"/>
      <c r="I973" s="181"/>
      <c r="J973" s="181"/>
      <c r="K973" s="179"/>
      <c r="L973" s="179"/>
      <c r="M973" s="179"/>
      <c r="N973" s="181"/>
      <c r="O973" s="179"/>
      <c r="P973" s="179"/>
      <c r="Q973" s="179"/>
      <c r="R973" s="179"/>
      <c r="S973" s="179"/>
      <c r="T973" s="179"/>
      <c r="U973" s="179"/>
      <c r="V973" s="182"/>
      <c r="W973" s="175"/>
      <c r="X973" s="176"/>
    </row>
    <row r="974" spans="1:24" ht="15.75" customHeight="1">
      <c r="A974" s="179"/>
      <c r="B974" s="180"/>
      <c r="C974" s="180"/>
      <c r="D974" s="179"/>
      <c r="E974" s="179"/>
      <c r="F974" s="179"/>
      <c r="G974" s="179"/>
      <c r="H974" s="181"/>
      <c r="I974" s="181"/>
      <c r="J974" s="181"/>
      <c r="K974" s="179"/>
      <c r="L974" s="179"/>
      <c r="M974" s="179"/>
      <c r="N974" s="181"/>
      <c r="O974" s="179"/>
      <c r="P974" s="179"/>
      <c r="Q974" s="179"/>
      <c r="R974" s="179"/>
      <c r="S974" s="179"/>
      <c r="T974" s="179"/>
      <c r="U974" s="179"/>
      <c r="V974" s="182"/>
      <c r="W974" s="175"/>
      <c r="X974" s="176"/>
    </row>
    <row r="975" spans="1:24" ht="15.75" customHeight="1">
      <c r="A975" s="179"/>
      <c r="B975" s="180"/>
      <c r="C975" s="180"/>
      <c r="D975" s="179"/>
      <c r="E975" s="179"/>
      <c r="F975" s="179"/>
      <c r="G975" s="179"/>
      <c r="H975" s="181"/>
      <c r="I975" s="181"/>
      <c r="J975" s="181"/>
      <c r="K975" s="179"/>
      <c r="L975" s="179"/>
      <c r="M975" s="179"/>
      <c r="N975" s="181"/>
      <c r="O975" s="179"/>
      <c r="P975" s="179"/>
      <c r="Q975" s="179"/>
      <c r="R975" s="179"/>
      <c r="S975" s="179"/>
      <c r="T975" s="179"/>
      <c r="U975" s="179"/>
      <c r="V975" s="182"/>
      <c r="W975" s="175"/>
      <c r="X975" s="176"/>
    </row>
    <row r="976" spans="1:24" ht="15.75" customHeight="1">
      <c r="A976" s="179"/>
      <c r="B976" s="180"/>
      <c r="C976" s="180"/>
      <c r="D976" s="179"/>
      <c r="E976" s="179"/>
      <c r="F976" s="179"/>
      <c r="G976" s="179"/>
      <c r="H976" s="181"/>
      <c r="I976" s="181"/>
      <c r="J976" s="181"/>
      <c r="K976" s="179"/>
      <c r="L976" s="179"/>
      <c r="M976" s="179"/>
      <c r="N976" s="181"/>
      <c r="O976" s="179"/>
      <c r="P976" s="179"/>
      <c r="Q976" s="179"/>
      <c r="R976" s="179"/>
      <c r="S976" s="179"/>
      <c r="T976" s="179"/>
      <c r="U976" s="179"/>
      <c r="V976" s="182"/>
      <c r="W976" s="175"/>
      <c r="X976" s="176"/>
    </row>
    <row r="977" spans="1:24" ht="15.75" customHeight="1">
      <c r="A977" s="179"/>
      <c r="B977" s="180"/>
      <c r="C977" s="180"/>
      <c r="D977" s="179"/>
      <c r="E977" s="179"/>
      <c r="F977" s="179"/>
      <c r="G977" s="179"/>
      <c r="H977" s="181"/>
      <c r="I977" s="181"/>
      <c r="J977" s="181"/>
      <c r="K977" s="179"/>
      <c r="L977" s="179"/>
      <c r="M977" s="179"/>
      <c r="N977" s="181"/>
      <c r="O977" s="179"/>
      <c r="P977" s="179"/>
      <c r="Q977" s="179"/>
      <c r="R977" s="179"/>
      <c r="S977" s="179"/>
      <c r="T977" s="179"/>
      <c r="U977" s="179"/>
      <c r="V977" s="182"/>
      <c r="W977" s="175"/>
      <c r="X977" s="176"/>
    </row>
    <row r="978" spans="1:24" ht="15.75" customHeight="1">
      <c r="A978" s="179"/>
      <c r="B978" s="180"/>
      <c r="C978" s="180"/>
      <c r="D978" s="179"/>
      <c r="E978" s="179"/>
      <c r="F978" s="179"/>
      <c r="G978" s="179"/>
      <c r="H978" s="181"/>
      <c r="I978" s="181"/>
      <c r="J978" s="181"/>
      <c r="K978" s="179"/>
      <c r="L978" s="179"/>
      <c r="M978" s="179"/>
      <c r="N978" s="181"/>
      <c r="O978" s="179"/>
      <c r="P978" s="179"/>
      <c r="Q978" s="179"/>
      <c r="R978" s="179"/>
      <c r="S978" s="179"/>
      <c r="T978" s="179"/>
      <c r="U978" s="179"/>
      <c r="V978" s="182"/>
      <c r="W978" s="175"/>
      <c r="X978" s="176"/>
    </row>
    <row r="979" spans="1:24" ht="15.75" customHeight="1">
      <c r="A979" s="179"/>
      <c r="B979" s="180"/>
      <c r="C979" s="180"/>
      <c r="D979" s="179"/>
      <c r="E979" s="179"/>
      <c r="F979" s="179"/>
      <c r="G979" s="179"/>
      <c r="H979" s="181"/>
      <c r="I979" s="181"/>
      <c r="J979" s="181"/>
      <c r="K979" s="179"/>
      <c r="L979" s="179"/>
      <c r="M979" s="179"/>
      <c r="N979" s="181"/>
      <c r="O979" s="179"/>
      <c r="P979" s="179"/>
      <c r="Q979" s="179"/>
      <c r="R979" s="179"/>
      <c r="S979" s="179"/>
      <c r="T979" s="179"/>
      <c r="U979" s="179"/>
      <c r="V979" s="182"/>
      <c r="W979" s="175"/>
      <c r="X979" s="176"/>
    </row>
    <row r="980" spans="1:24" ht="15.75" customHeight="1">
      <c r="A980" s="179"/>
      <c r="B980" s="180"/>
      <c r="C980" s="180"/>
      <c r="D980" s="179"/>
      <c r="E980" s="179"/>
      <c r="F980" s="179"/>
      <c r="G980" s="179"/>
      <c r="H980" s="181"/>
      <c r="I980" s="181"/>
      <c r="J980" s="181"/>
      <c r="K980" s="179"/>
      <c r="L980" s="179"/>
      <c r="M980" s="179"/>
      <c r="N980" s="181"/>
      <c r="O980" s="179"/>
      <c r="P980" s="179"/>
      <c r="Q980" s="179"/>
      <c r="R980" s="179"/>
      <c r="S980" s="179"/>
      <c r="T980" s="179"/>
      <c r="U980" s="179"/>
      <c r="V980" s="182"/>
      <c r="W980" s="175"/>
      <c r="X980" s="176"/>
    </row>
    <row r="981" spans="1:24" ht="15.75" customHeight="1">
      <c r="A981" s="179"/>
      <c r="B981" s="180"/>
      <c r="C981" s="180"/>
      <c r="D981" s="179"/>
      <c r="E981" s="179"/>
      <c r="F981" s="179"/>
      <c r="G981" s="179"/>
      <c r="H981" s="181"/>
      <c r="I981" s="181"/>
      <c r="J981" s="181"/>
      <c r="K981" s="179"/>
      <c r="L981" s="179"/>
      <c r="M981" s="179"/>
      <c r="N981" s="181"/>
      <c r="O981" s="179"/>
      <c r="P981" s="179"/>
      <c r="Q981" s="179"/>
      <c r="R981" s="179"/>
      <c r="S981" s="179"/>
      <c r="T981" s="179"/>
      <c r="U981" s="179"/>
      <c r="V981" s="182"/>
      <c r="W981" s="175"/>
      <c r="X981" s="176"/>
    </row>
    <row r="982" spans="1:24" ht="15.75" customHeight="1">
      <c r="A982" s="179"/>
      <c r="B982" s="180"/>
      <c r="C982" s="180"/>
      <c r="D982" s="179"/>
      <c r="E982" s="179"/>
      <c r="F982" s="179"/>
      <c r="G982" s="179"/>
      <c r="H982" s="181"/>
      <c r="I982" s="181"/>
      <c r="J982" s="181"/>
      <c r="K982" s="179"/>
      <c r="L982" s="179"/>
      <c r="M982" s="179"/>
      <c r="N982" s="181"/>
      <c r="O982" s="179"/>
      <c r="P982" s="179"/>
      <c r="Q982" s="179"/>
      <c r="R982" s="179"/>
      <c r="S982" s="179"/>
      <c r="T982" s="179"/>
      <c r="U982" s="179"/>
      <c r="V982" s="182"/>
      <c r="W982" s="175"/>
      <c r="X982" s="176"/>
    </row>
    <row r="983" spans="1:24" ht="15.75" customHeight="1">
      <c r="A983" s="179"/>
      <c r="B983" s="180"/>
      <c r="C983" s="180"/>
      <c r="D983" s="179"/>
      <c r="E983" s="179"/>
      <c r="F983" s="179"/>
      <c r="G983" s="179"/>
      <c r="H983" s="181"/>
      <c r="I983" s="181"/>
      <c r="J983" s="181"/>
      <c r="K983" s="179"/>
      <c r="L983" s="179"/>
      <c r="M983" s="179"/>
      <c r="N983" s="181"/>
      <c r="O983" s="179"/>
      <c r="P983" s="179"/>
      <c r="Q983" s="179"/>
      <c r="R983" s="179"/>
      <c r="S983" s="179"/>
      <c r="T983" s="179"/>
      <c r="U983" s="179"/>
      <c r="V983" s="182"/>
      <c r="W983" s="175"/>
      <c r="X983" s="176"/>
    </row>
    <row r="984" spans="1:24" ht="15.75" customHeight="1">
      <c r="A984" s="179"/>
      <c r="B984" s="180"/>
      <c r="C984" s="180"/>
      <c r="D984" s="179"/>
      <c r="E984" s="179"/>
      <c r="F984" s="179"/>
      <c r="G984" s="179"/>
      <c r="H984" s="181"/>
      <c r="I984" s="181"/>
      <c r="J984" s="181"/>
      <c r="K984" s="179"/>
      <c r="L984" s="179"/>
      <c r="M984" s="179"/>
      <c r="N984" s="181"/>
      <c r="O984" s="179"/>
      <c r="P984" s="179"/>
      <c r="Q984" s="179"/>
      <c r="R984" s="179"/>
      <c r="S984" s="179"/>
      <c r="T984" s="179"/>
      <c r="U984" s="179"/>
      <c r="V984" s="182"/>
      <c r="W984" s="175"/>
      <c r="X984" s="176"/>
    </row>
    <row r="985" spans="1:24" ht="15.75" customHeight="1">
      <c r="A985" s="179"/>
      <c r="B985" s="180"/>
      <c r="C985" s="180"/>
      <c r="D985" s="179"/>
      <c r="E985" s="179"/>
      <c r="F985" s="179"/>
      <c r="G985" s="179"/>
      <c r="H985" s="181"/>
      <c r="I985" s="181"/>
      <c r="J985" s="181"/>
      <c r="K985" s="179"/>
      <c r="L985" s="179"/>
      <c r="M985" s="179"/>
      <c r="N985" s="181"/>
      <c r="O985" s="179"/>
      <c r="P985" s="179"/>
      <c r="Q985" s="179"/>
      <c r="R985" s="179"/>
      <c r="S985" s="179"/>
      <c r="T985" s="179"/>
      <c r="U985" s="179"/>
      <c r="V985" s="182"/>
      <c r="W985" s="175"/>
      <c r="X985" s="176"/>
    </row>
    <row r="986" spans="1:24" ht="15.75" customHeight="1">
      <c r="A986" s="179"/>
      <c r="B986" s="180"/>
      <c r="C986" s="180"/>
      <c r="D986" s="179"/>
      <c r="E986" s="179"/>
      <c r="F986" s="179"/>
      <c r="G986" s="179"/>
      <c r="H986" s="181"/>
      <c r="I986" s="181"/>
      <c r="J986" s="181"/>
      <c r="K986" s="179"/>
      <c r="L986" s="179"/>
      <c r="M986" s="179"/>
      <c r="N986" s="181"/>
      <c r="O986" s="179"/>
      <c r="P986" s="179"/>
      <c r="Q986" s="179"/>
      <c r="R986" s="179"/>
      <c r="S986" s="179"/>
      <c r="T986" s="179"/>
      <c r="U986" s="179"/>
      <c r="V986" s="182"/>
      <c r="W986" s="175"/>
      <c r="X986" s="176"/>
    </row>
    <row r="987" spans="1:24" ht="15.75" customHeight="1">
      <c r="A987" s="179"/>
      <c r="B987" s="180"/>
      <c r="C987" s="180"/>
      <c r="D987" s="179"/>
      <c r="E987" s="179"/>
      <c r="F987" s="179"/>
      <c r="G987" s="179"/>
      <c r="H987" s="181"/>
      <c r="I987" s="181"/>
      <c r="J987" s="181"/>
      <c r="K987" s="179"/>
      <c r="L987" s="179"/>
      <c r="M987" s="179"/>
      <c r="N987" s="181"/>
      <c r="O987" s="179"/>
      <c r="P987" s="179"/>
      <c r="Q987" s="179"/>
      <c r="R987" s="179"/>
      <c r="S987" s="179"/>
      <c r="T987" s="179"/>
      <c r="U987" s="179"/>
      <c r="V987" s="182"/>
      <c r="W987" s="175"/>
      <c r="X987" s="176"/>
    </row>
    <row r="988" spans="1:24" ht="15.75" customHeight="1">
      <c r="A988" s="179"/>
      <c r="B988" s="180"/>
      <c r="C988" s="180"/>
      <c r="D988" s="179"/>
      <c r="E988" s="179"/>
      <c r="F988" s="179"/>
      <c r="G988" s="179"/>
      <c r="H988" s="181"/>
      <c r="I988" s="181"/>
      <c r="J988" s="181"/>
      <c r="K988" s="179"/>
      <c r="L988" s="179"/>
      <c r="M988" s="179"/>
      <c r="N988" s="181"/>
      <c r="O988" s="179"/>
      <c r="P988" s="179"/>
      <c r="Q988" s="179"/>
      <c r="R988" s="179"/>
      <c r="S988" s="179"/>
      <c r="T988" s="179"/>
      <c r="U988" s="179"/>
      <c r="V988" s="182"/>
      <c r="W988" s="175"/>
      <c r="X988" s="176"/>
    </row>
    <row r="989" spans="1:24" ht="15.75" customHeight="1">
      <c r="A989" s="179"/>
      <c r="B989" s="180"/>
      <c r="C989" s="180"/>
      <c r="D989" s="179"/>
      <c r="E989" s="179"/>
      <c r="F989" s="179"/>
      <c r="G989" s="179"/>
      <c r="H989" s="181"/>
      <c r="I989" s="181"/>
      <c r="J989" s="181"/>
      <c r="K989" s="179"/>
      <c r="L989" s="179"/>
      <c r="M989" s="179"/>
      <c r="N989" s="181"/>
      <c r="O989" s="179"/>
      <c r="P989" s="179"/>
      <c r="Q989" s="179"/>
      <c r="R989" s="179"/>
      <c r="S989" s="179"/>
      <c r="T989" s="179"/>
      <c r="U989" s="179"/>
      <c r="V989" s="182"/>
      <c r="W989" s="175"/>
      <c r="X989" s="176"/>
    </row>
    <row r="990" spans="1:24" ht="15.75" customHeight="1">
      <c r="A990" s="179"/>
      <c r="B990" s="180"/>
      <c r="C990" s="180"/>
      <c r="D990" s="179"/>
      <c r="E990" s="179"/>
      <c r="F990" s="179"/>
      <c r="G990" s="179"/>
      <c r="H990" s="181"/>
      <c r="I990" s="181"/>
      <c r="J990" s="181"/>
      <c r="K990" s="179"/>
      <c r="L990" s="179"/>
      <c r="M990" s="179"/>
      <c r="N990" s="181"/>
      <c r="O990" s="179"/>
      <c r="P990" s="179"/>
      <c r="Q990" s="179"/>
      <c r="R990" s="179"/>
      <c r="S990" s="179"/>
      <c r="T990" s="179"/>
      <c r="U990" s="179"/>
      <c r="V990" s="182"/>
      <c r="W990" s="175"/>
      <c r="X990" s="176"/>
    </row>
    <row r="991" spans="1:24" ht="15.75" customHeight="1">
      <c r="A991" s="179"/>
      <c r="B991" s="180"/>
      <c r="C991" s="180"/>
      <c r="D991" s="179"/>
      <c r="E991" s="179"/>
      <c r="F991" s="179"/>
      <c r="G991" s="179"/>
      <c r="H991" s="181"/>
      <c r="I991" s="181"/>
      <c r="J991" s="181"/>
      <c r="K991" s="179"/>
      <c r="L991" s="179"/>
      <c r="M991" s="179"/>
      <c r="N991" s="181"/>
      <c r="O991" s="179"/>
      <c r="P991" s="179"/>
      <c r="Q991" s="179"/>
      <c r="R991" s="179"/>
      <c r="S991" s="179"/>
      <c r="T991" s="179"/>
      <c r="U991" s="179"/>
      <c r="V991" s="182"/>
      <c r="W991" s="175"/>
      <c r="X991" s="176"/>
    </row>
    <row r="992" spans="1:24" ht="15.75" customHeight="1">
      <c r="A992" s="179"/>
      <c r="B992" s="180"/>
      <c r="C992" s="180"/>
      <c r="D992" s="179"/>
      <c r="E992" s="179"/>
      <c r="F992" s="179"/>
      <c r="G992" s="179"/>
      <c r="H992" s="181"/>
      <c r="I992" s="181"/>
      <c r="J992" s="181"/>
      <c r="K992" s="179"/>
      <c r="L992" s="179"/>
      <c r="M992" s="179"/>
      <c r="N992" s="181"/>
      <c r="O992" s="179"/>
      <c r="P992" s="179"/>
      <c r="Q992" s="179"/>
      <c r="R992" s="179"/>
      <c r="S992" s="179"/>
      <c r="T992" s="179"/>
      <c r="U992" s="179"/>
      <c r="V992" s="182"/>
      <c r="W992" s="175"/>
      <c r="X992" s="176"/>
    </row>
    <row r="993" spans="1:24" ht="15.75" customHeight="1">
      <c r="A993" s="179"/>
      <c r="B993" s="180"/>
      <c r="C993" s="180"/>
      <c r="D993" s="179"/>
      <c r="E993" s="179"/>
      <c r="F993" s="179"/>
      <c r="G993" s="179"/>
      <c r="H993" s="181"/>
      <c r="I993" s="181"/>
      <c r="J993" s="181"/>
      <c r="K993" s="179"/>
      <c r="L993" s="179"/>
      <c r="M993" s="179"/>
      <c r="N993" s="181"/>
      <c r="O993" s="179"/>
      <c r="P993" s="179"/>
      <c r="Q993" s="179"/>
      <c r="R993" s="179"/>
      <c r="S993" s="179"/>
      <c r="T993" s="179"/>
      <c r="U993" s="179"/>
      <c r="V993" s="182"/>
      <c r="W993" s="175"/>
      <c r="X993" s="176"/>
    </row>
    <row r="994" spans="1:24" ht="15.75" customHeight="1">
      <c r="A994" s="179"/>
      <c r="B994" s="180"/>
      <c r="C994" s="180"/>
      <c r="D994" s="179"/>
      <c r="E994" s="179"/>
      <c r="F994" s="179"/>
      <c r="G994" s="179"/>
      <c r="H994" s="181"/>
      <c r="I994" s="181"/>
      <c r="J994" s="181"/>
      <c r="K994" s="179"/>
      <c r="L994" s="179"/>
      <c r="M994" s="179"/>
      <c r="N994" s="181"/>
      <c r="O994" s="179"/>
      <c r="P994" s="179"/>
      <c r="Q994" s="179"/>
      <c r="R994" s="179"/>
      <c r="S994" s="179"/>
      <c r="T994" s="179"/>
      <c r="U994" s="179"/>
      <c r="V994" s="182"/>
      <c r="W994" s="175"/>
      <c r="X994" s="176"/>
    </row>
    <row r="995" spans="1:24" ht="15.75" customHeight="1">
      <c r="A995" s="179"/>
      <c r="B995" s="180"/>
      <c r="C995" s="180"/>
      <c r="D995" s="179"/>
      <c r="E995" s="179"/>
      <c r="F995" s="179"/>
      <c r="G995" s="179"/>
      <c r="H995" s="181"/>
      <c r="I995" s="181"/>
      <c r="J995" s="181"/>
      <c r="K995" s="179"/>
      <c r="L995" s="179"/>
      <c r="M995" s="179"/>
      <c r="N995" s="181"/>
      <c r="O995" s="179"/>
      <c r="P995" s="179"/>
      <c r="Q995" s="179"/>
      <c r="R995" s="179"/>
      <c r="S995" s="179"/>
      <c r="T995" s="179"/>
      <c r="U995" s="179"/>
      <c r="V995" s="182"/>
      <c r="W995" s="175"/>
      <c r="X995" s="176"/>
    </row>
    <row r="996" spans="1:24" ht="15.75" customHeight="1">
      <c r="A996" s="179"/>
      <c r="B996" s="180"/>
      <c r="C996" s="180"/>
      <c r="D996" s="179"/>
      <c r="E996" s="179"/>
      <c r="F996" s="179"/>
      <c r="G996" s="179"/>
      <c r="H996" s="181"/>
      <c r="I996" s="181"/>
      <c r="J996" s="181"/>
      <c r="K996" s="179"/>
      <c r="L996" s="179"/>
      <c r="M996" s="179"/>
      <c r="N996" s="181"/>
      <c r="O996" s="179"/>
      <c r="P996" s="179"/>
      <c r="Q996" s="179"/>
      <c r="R996" s="179"/>
      <c r="S996" s="179"/>
      <c r="T996" s="179"/>
      <c r="U996" s="179"/>
      <c r="V996" s="182"/>
      <c r="W996" s="175"/>
      <c r="X996" s="176"/>
    </row>
    <row r="997" spans="1:24" ht="15.75" customHeight="1">
      <c r="A997" s="179"/>
      <c r="B997" s="180"/>
      <c r="C997" s="180"/>
      <c r="D997" s="179"/>
      <c r="E997" s="179"/>
      <c r="F997" s="179"/>
      <c r="G997" s="179"/>
      <c r="H997" s="181"/>
      <c r="I997" s="181"/>
      <c r="J997" s="181"/>
      <c r="K997" s="179"/>
      <c r="L997" s="179"/>
      <c r="M997" s="179"/>
      <c r="N997" s="181"/>
      <c r="O997" s="179"/>
      <c r="P997" s="179"/>
      <c r="Q997" s="179"/>
      <c r="R997" s="179"/>
      <c r="S997" s="179"/>
      <c r="T997" s="179"/>
      <c r="U997" s="179"/>
      <c r="V997" s="182"/>
      <c r="W997" s="175"/>
      <c r="X997" s="176"/>
    </row>
    <row r="998" spans="1:24" ht="15.75" customHeight="1">
      <c r="A998" s="179"/>
      <c r="B998" s="180"/>
      <c r="C998" s="180"/>
      <c r="D998" s="179"/>
      <c r="E998" s="179"/>
      <c r="F998" s="179"/>
      <c r="G998" s="179"/>
      <c r="H998" s="181"/>
      <c r="I998" s="181"/>
      <c r="J998" s="181"/>
      <c r="K998" s="179"/>
      <c r="L998" s="179"/>
      <c r="M998" s="179"/>
      <c r="N998" s="181"/>
      <c r="O998" s="179"/>
      <c r="P998" s="179"/>
      <c r="Q998" s="179"/>
      <c r="R998" s="179"/>
      <c r="S998" s="179"/>
      <c r="T998" s="179"/>
      <c r="U998" s="179"/>
      <c r="V998" s="182"/>
      <c r="W998" s="175"/>
      <c r="X998" s="176"/>
    </row>
    <row r="999" spans="1:24" ht="15.75" customHeight="1">
      <c r="A999" s="179"/>
      <c r="B999" s="180"/>
      <c r="C999" s="180"/>
      <c r="D999" s="179"/>
      <c r="E999" s="179"/>
      <c r="F999" s="179"/>
      <c r="G999" s="179"/>
      <c r="H999" s="181"/>
      <c r="I999" s="181"/>
      <c r="J999" s="181"/>
      <c r="K999" s="179"/>
      <c r="L999" s="179"/>
      <c r="M999" s="179"/>
      <c r="N999" s="181"/>
      <c r="O999" s="179"/>
      <c r="P999" s="179"/>
      <c r="Q999" s="179"/>
      <c r="R999" s="179"/>
      <c r="S999" s="179"/>
      <c r="T999" s="179"/>
      <c r="U999" s="179"/>
      <c r="V999" s="182"/>
      <c r="W999" s="175"/>
      <c r="X999" s="176"/>
    </row>
    <row r="1000" spans="1:24" ht="15.75" customHeight="1">
      <c r="A1000" s="179"/>
      <c r="B1000" s="180"/>
      <c r="C1000" s="180"/>
      <c r="D1000" s="179"/>
      <c r="E1000" s="179"/>
      <c r="F1000" s="179"/>
      <c r="G1000" s="179"/>
      <c r="H1000" s="181"/>
      <c r="I1000" s="181"/>
      <c r="J1000" s="181"/>
      <c r="K1000" s="179"/>
      <c r="L1000" s="179"/>
      <c r="M1000" s="179"/>
      <c r="N1000" s="181"/>
      <c r="O1000" s="179"/>
      <c r="P1000" s="179"/>
      <c r="Q1000" s="179"/>
      <c r="R1000" s="179"/>
      <c r="S1000" s="179"/>
      <c r="T1000" s="179"/>
      <c r="U1000" s="179"/>
      <c r="V1000" s="182"/>
      <c r="W1000" s="175"/>
      <c r="X1000" s="176"/>
    </row>
    <row r="1001" spans="1:24" ht="15.75" customHeight="1">
      <c r="A1001" s="179"/>
      <c r="B1001" s="180"/>
      <c r="C1001" s="180"/>
      <c r="D1001" s="179"/>
      <c r="E1001" s="179"/>
      <c r="F1001" s="179"/>
      <c r="G1001" s="179"/>
      <c r="H1001" s="181"/>
      <c r="I1001" s="181"/>
      <c r="J1001" s="181"/>
      <c r="K1001" s="179"/>
      <c r="L1001" s="179"/>
      <c r="M1001" s="179"/>
      <c r="N1001" s="181"/>
      <c r="O1001" s="179"/>
      <c r="P1001" s="179"/>
      <c r="Q1001" s="179"/>
      <c r="R1001" s="179"/>
      <c r="S1001" s="179"/>
      <c r="T1001" s="179"/>
      <c r="U1001" s="179"/>
      <c r="V1001" s="182"/>
      <c r="W1001" s="175"/>
      <c r="X1001" s="176"/>
    </row>
    <row r="1002" spans="1:24" ht="15.75" customHeight="1">
      <c r="A1002" s="179"/>
      <c r="B1002" s="180"/>
      <c r="C1002" s="180"/>
      <c r="D1002" s="179"/>
      <c r="E1002" s="179"/>
      <c r="F1002" s="179"/>
      <c r="G1002" s="179"/>
      <c r="H1002" s="181"/>
      <c r="I1002" s="181"/>
      <c r="J1002" s="181"/>
      <c r="K1002" s="179"/>
      <c r="L1002" s="179"/>
      <c r="M1002" s="179"/>
      <c r="N1002" s="181"/>
      <c r="O1002" s="179"/>
      <c r="P1002" s="179"/>
      <c r="Q1002" s="179"/>
      <c r="R1002" s="179"/>
      <c r="S1002" s="179"/>
      <c r="T1002" s="179"/>
      <c r="U1002" s="179"/>
      <c r="V1002" s="182"/>
      <c r="W1002" s="175"/>
      <c r="X1002" s="176"/>
    </row>
    <row r="1003" spans="1:24" ht="15.75" customHeight="1">
      <c r="A1003" s="179"/>
      <c r="B1003" s="180"/>
      <c r="C1003" s="180"/>
      <c r="D1003" s="179"/>
      <c r="E1003" s="179"/>
      <c r="F1003" s="179"/>
      <c r="G1003" s="179"/>
      <c r="H1003" s="181"/>
      <c r="I1003" s="181"/>
      <c r="J1003" s="181"/>
      <c r="K1003" s="179"/>
      <c r="L1003" s="179"/>
      <c r="M1003" s="179"/>
      <c r="N1003" s="181"/>
      <c r="O1003" s="179"/>
      <c r="P1003" s="179"/>
      <c r="Q1003" s="179"/>
      <c r="R1003" s="179"/>
      <c r="S1003" s="179"/>
      <c r="T1003" s="179"/>
      <c r="U1003" s="179"/>
      <c r="V1003" s="182"/>
      <c r="W1003" s="175"/>
      <c r="X1003" s="176"/>
    </row>
    <row r="1004" spans="1:24" ht="15.75" customHeight="1">
      <c r="A1004" s="179"/>
      <c r="B1004" s="180"/>
      <c r="C1004" s="180"/>
      <c r="D1004" s="179"/>
      <c r="E1004" s="179"/>
      <c r="F1004" s="179"/>
      <c r="G1004" s="179"/>
      <c r="H1004" s="181"/>
      <c r="I1004" s="181"/>
      <c r="J1004" s="181"/>
      <c r="K1004" s="179"/>
      <c r="L1004" s="179"/>
      <c r="M1004" s="179"/>
      <c r="N1004" s="181"/>
      <c r="O1004" s="179"/>
      <c r="P1004" s="179"/>
      <c r="Q1004" s="179"/>
      <c r="R1004" s="179"/>
      <c r="S1004" s="179"/>
      <c r="T1004" s="179"/>
      <c r="U1004" s="179"/>
      <c r="V1004" s="182"/>
      <c r="W1004" s="175"/>
      <c r="X1004" s="176"/>
    </row>
    <row r="1005" spans="1:24" ht="15.75" customHeight="1">
      <c r="A1005" s="179"/>
      <c r="B1005" s="180"/>
      <c r="C1005" s="180"/>
      <c r="D1005" s="179"/>
      <c r="E1005" s="179"/>
      <c r="F1005" s="179"/>
      <c r="G1005" s="179"/>
      <c r="H1005" s="181"/>
      <c r="I1005" s="181"/>
      <c r="J1005" s="181"/>
      <c r="K1005" s="179"/>
      <c r="L1005" s="179"/>
      <c r="M1005" s="179"/>
      <c r="N1005" s="181"/>
      <c r="O1005" s="179"/>
      <c r="P1005" s="179"/>
      <c r="Q1005" s="179"/>
      <c r="R1005" s="179"/>
      <c r="S1005" s="179"/>
      <c r="T1005" s="179"/>
      <c r="U1005" s="179"/>
      <c r="V1005" s="182"/>
      <c r="W1005" s="175"/>
      <c r="X1005" s="176"/>
    </row>
    <row r="1006" spans="1:24" ht="15.75" customHeight="1">
      <c r="A1006" s="179"/>
      <c r="B1006" s="180"/>
      <c r="C1006" s="180"/>
      <c r="D1006" s="179"/>
      <c r="E1006" s="179"/>
      <c r="F1006" s="179"/>
      <c r="G1006" s="179"/>
      <c r="H1006" s="181"/>
      <c r="I1006" s="181"/>
      <c r="J1006" s="181"/>
      <c r="K1006" s="179"/>
      <c r="L1006" s="179"/>
      <c r="M1006" s="179"/>
      <c r="N1006" s="181"/>
      <c r="O1006" s="179"/>
      <c r="P1006" s="179"/>
      <c r="Q1006" s="179"/>
      <c r="R1006" s="179"/>
      <c r="S1006" s="179"/>
      <c r="T1006" s="179"/>
      <c r="U1006" s="179"/>
      <c r="V1006" s="182"/>
      <c r="W1006" s="175"/>
      <c r="X1006" s="176"/>
    </row>
    <row r="1007" spans="1:24" ht="15.75" customHeight="1">
      <c r="A1007" s="179"/>
      <c r="B1007" s="180"/>
      <c r="C1007" s="180"/>
      <c r="D1007" s="179"/>
      <c r="E1007" s="179"/>
      <c r="F1007" s="179"/>
      <c r="G1007" s="179"/>
      <c r="H1007" s="181"/>
      <c r="I1007" s="181"/>
      <c r="J1007" s="181"/>
      <c r="K1007" s="179"/>
      <c r="L1007" s="179"/>
      <c r="M1007" s="179"/>
      <c r="N1007" s="181"/>
      <c r="O1007" s="179"/>
      <c r="P1007" s="179"/>
      <c r="Q1007" s="179"/>
      <c r="R1007" s="179"/>
      <c r="S1007" s="179"/>
      <c r="T1007" s="179"/>
      <c r="U1007" s="179"/>
      <c r="V1007" s="182"/>
      <c r="W1007" s="175"/>
      <c r="X1007" s="176"/>
    </row>
    <row r="1008" spans="1:24" ht="15.75" customHeight="1">
      <c r="A1008" s="179"/>
      <c r="B1008" s="180"/>
      <c r="C1008" s="180"/>
      <c r="D1008" s="179"/>
      <c r="E1008" s="179"/>
      <c r="F1008" s="179"/>
      <c r="G1008" s="179"/>
      <c r="H1008" s="181"/>
      <c r="I1008" s="181"/>
      <c r="J1008" s="181"/>
      <c r="K1008" s="179"/>
      <c r="L1008" s="179"/>
      <c r="M1008" s="179"/>
      <c r="N1008" s="181"/>
      <c r="O1008" s="179"/>
      <c r="P1008" s="179"/>
      <c r="Q1008" s="179"/>
      <c r="R1008" s="179"/>
      <c r="S1008" s="179"/>
      <c r="T1008" s="179"/>
      <c r="U1008" s="179"/>
      <c r="V1008" s="182"/>
      <c r="W1008" s="175"/>
      <c r="X1008" s="176"/>
    </row>
    <row r="1009" spans="1:24" ht="15.75" customHeight="1">
      <c r="A1009" s="179"/>
      <c r="B1009" s="180"/>
      <c r="C1009" s="180"/>
      <c r="D1009" s="179"/>
      <c r="E1009" s="179"/>
      <c r="F1009" s="179"/>
      <c r="G1009" s="179"/>
      <c r="H1009" s="181"/>
      <c r="I1009" s="181"/>
      <c r="J1009" s="181"/>
      <c r="K1009" s="179"/>
      <c r="L1009" s="179"/>
      <c r="M1009" s="179"/>
      <c r="N1009" s="181"/>
      <c r="O1009" s="179"/>
      <c r="P1009" s="179"/>
      <c r="Q1009" s="179"/>
      <c r="R1009" s="179"/>
      <c r="S1009" s="179"/>
      <c r="T1009" s="179"/>
      <c r="U1009" s="179"/>
      <c r="V1009" s="182"/>
      <c r="W1009" s="175"/>
      <c r="X1009" s="176"/>
    </row>
    <row r="1010" spans="1:24" ht="15.75" customHeight="1">
      <c r="A1010" s="179"/>
      <c r="B1010" s="180"/>
      <c r="C1010" s="180"/>
      <c r="D1010" s="179"/>
      <c r="E1010" s="179"/>
      <c r="F1010" s="179"/>
      <c r="G1010" s="179"/>
      <c r="H1010" s="181"/>
      <c r="I1010" s="181"/>
      <c r="J1010" s="181"/>
      <c r="K1010" s="179"/>
      <c r="L1010" s="179"/>
      <c r="M1010" s="179"/>
      <c r="N1010" s="181"/>
      <c r="O1010" s="179"/>
      <c r="P1010" s="179"/>
      <c r="Q1010" s="179"/>
      <c r="R1010" s="179"/>
      <c r="S1010" s="179"/>
      <c r="T1010" s="179"/>
      <c r="U1010" s="179"/>
      <c r="V1010" s="182"/>
      <c r="W1010" s="175"/>
      <c r="X1010" s="176"/>
    </row>
    <row r="1011" spans="1:24" ht="15.75" customHeight="1">
      <c r="A1011" s="179"/>
      <c r="B1011" s="180"/>
      <c r="C1011" s="180"/>
      <c r="D1011" s="179"/>
      <c r="E1011" s="179"/>
      <c r="F1011" s="179"/>
      <c r="G1011" s="179"/>
      <c r="H1011" s="181"/>
      <c r="I1011" s="181"/>
      <c r="J1011" s="181"/>
      <c r="K1011" s="179"/>
      <c r="L1011" s="179"/>
      <c r="M1011" s="179"/>
      <c r="N1011" s="181"/>
      <c r="O1011" s="179"/>
      <c r="P1011" s="179"/>
      <c r="Q1011" s="179"/>
      <c r="R1011" s="179"/>
      <c r="S1011" s="179"/>
      <c r="T1011" s="179"/>
      <c r="U1011" s="179"/>
      <c r="V1011" s="182"/>
      <c r="W1011" s="175"/>
      <c r="X1011" s="176"/>
    </row>
    <row r="1012" spans="1:24" ht="15.75" customHeight="1">
      <c r="A1012" s="179"/>
      <c r="B1012" s="180"/>
      <c r="C1012" s="180"/>
      <c r="D1012" s="179"/>
      <c r="E1012" s="179"/>
      <c r="F1012" s="179"/>
      <c r="G1012" s="179"/>
      <c r="H1012" s="181"/>
      <c r="I1012" s="181"/>
      <c r="J1012" s="181"/>
      <c r="K1012" s="179"/>
      <c r="L1012" s="179"/>
      <c r="M1012" s="179"/>
      <c r="N1012" s="181"/>
      <c r="O1012" s="179"/>
      <c r="P1012" s="179"/>
      <c r="Q1012" s="179"/>
      <c r="R1012" s="179"/>
      <c r="S1012" s="179"/>
      <c r="T1012" s="179"/>
      <c r="U1012" s="179"/>
      <c r="V1012" s="182"/>
      <c r="W1012" s="175"/>
      <c r="X1012" s="176"/>
    </row>
    <row r="1013" spans="1:24" ht="15.75" customHeight="1">
      <c r="A1013" s="179"/>
      <c r="B1013" s="180"/>
      <c r="C1013" s="180"/>
      <c r="D1013" s="179"/>
      <c r="E1013" s="179"/>
      <c r="F1013" s="179"/>
      <c r="G1013" s="179"/>
      <c r="H1013" s="181"/>
      <c r="I1013" s="181"/>
      <c r="J1013" s="181"/>
      <c r="K1013" s="179"/>
      <c r="L1013" s="179"/>
      <c r="M1013" s="179"/>
      <c r="N1013" s="181"/>
      <c r="O1013" s="179"/>
      <c r="P1013" s="179"/>
      <c r="Q1013" s="179"/>
      <c r="R1013" s="179"/>
      <c r="S1013" s="179"/>
      <c r="T1013" s="179"/>
      <c r="U1013" s="179"/>
      <c r="V1013" s="182"/>
      <c r="W1013" s="175"/>
      <c r="X1013" s="176"/>
    </row>
    <row r="1014" spans="1:24" ht="15.75" customHeight="1">
      <c r="A1014" s="179"/>
      <c r="B1014" s="180"/>
      <c r="C1014" s="180"/>
      <c r="D1014" s="179"/>
      <c r="E1014" s="179"/>
      <c r="F1014" s="179"/>
      <c r="G1014" s="179"/>
      <c r="H1014" s="181"/>
      <c r="I1014" s="181"/>
      <c r="J1014" s="181"/>
      <c r="K1014" s="179"/>
      <c r="L1014" s="179"/>
      <c r="M1014" s="179"/>
      <c r="N1014" s="181"/>
      <c r="O1014" s="179"/>
      <c r="P1014" s="179"/>
      <c r="Q1014" s="179"/>
      <c r="R1014" s="179"/>
      <c r="S1014" s="179"/>
      <c r="T1014" s="179"/>
      <c r="U1014" s="179"/>
      <c r="V1014" s="182"/>
      <c r="W1014" s="175"/>
      <c r="X1014" s="176"/>
    </row>
    <row r="1015" spans="1:24" ht="15.75" customHeight="1">
      <c r="A1015" s="179"/>
      <c r="B1015" s="180"/>
      <c r="C1015" s="180"/>
      <c r="D1015" s="179"/>
      <c r="E1015" s="179"/>
      <c r="F1015" s="179"/>
      <c r="G1015" s="179"/>
      <c r="H1015" s="181"/>
      <c r="I1015" s="181"/>
      <c r="J1015" s="181"/>
      <c r="K1015" s="179"/>
      <c r="L1015" s="179"/>
      <c r="M1015" s="179"/>
      <c r="N1015" s="181"/>
      <c r="O1015" s="179"/>
      <c r="P1015" s="179"/>
      <c r="Q1015" s="179"/>
      <c r="R1015" s="179"/>
      <c r="S1015" s="179"/>
      <c r="T1015" s="179"/>
      <c r="U1015" s="179"/>
      <c r="V1015" s="182"/>
      <c r="W1015" s="175"/>
      <c r="X1015" s="176"/>
    </row>
    <row r="1016" spans="1:24" ht="15.75" customHeight="1">
      <c r="A1016" s="179"/>
      <c r="B1016" s="180"/>
      <c r="C1016" s="180"/>
      <c r="D1016" s="179"/>
      <c r="E1016" s="179"/>
      <c r="F1016" s="179"/>
      <c r="G1016" s="179"/>
      <c r="H1016" s="181"/>
      <c r="I1016" s="181"/>
      <c r="J1016" s="181"/>
      <c r="K1016" s="179"/>
      <c r="L1016" s="179"/>
      <c r="M1016" s="179"/>
      <c r="N1016" s="181"/>
      <c r="O1016" s="179"/>
      <c r="P1016" s="179"/>
      <c r="Q1016" s="179"/>
      <c r="R1016" s="179"/>
      <c r="S1016" s="179"/>
      <c r="T1016" s="179"/>
      <c r="U1016" s="179"/>
      <c r="V1016" s="182"/>
      <c r="W1016" s="175"/>
      <c r="X1016" s="176"/>
    </row>
    <row r="1017" spans="1:24" ht="15.75" customHeight="1">
      <c r="A1017" s="179"/>
      <c r="B1017" s="180"/>
      <c r="C1017" s="180"/>
      <c r="D1017" s="179"/>
      <c r="E1017" s="179"/>
      <c r="F1017" s="179"/>
      <c r="G1017" s="179"/>
      <c r="H1017" s="181"/>
      <c r="I1017" s="181"/>
      <c r="J1017" s="181"/>
      <c r="K1017" s="179"/>
      <c r="L1017" s="179"/>
      <c r="M1017" s="179"/>
      <c r="N1017" s="181"/>
      <c r="O1017" s="179"/>
      <c r="P1017" s="179"/>
      <c r="Q1017" s="179"/>
      <c r="R1017" s="179"/>
      <c r="S1017" s="179"/>
      <c r="T1017" s="179"/>
      <c r="U1017" s="179"/>
      <c r="V1017" s="182"/>
      <c r="W1017" s="175"/>
      <c r="X1017" s="176"/>
    </row>
    <row r="1018" spans="1:24" ht="15.75" customHeight="1">
      <c r="A1018" s="179"/>
      <c r="B1018" s="180"/>
      <c r="C1018" s="180"/>
      <c r="D1018" s="179"/>
      <c r="E1018" s="179"/>
      <c r="F1018" s="179"/>
      <c r="G1018" s="179"/>
      <c r="H1018" s="181"/>
      <c r="I1018" s="181"/>
      <c r="J1018" s="181"/>
      <c r="K1018" s="179"/>
      <c r="L1018" s="179"/>
      <c r="M1018" s="179"/>
      <c r="N1018" s="181"/>
      <c r="O1018" s="179"/>
      <c r="P1018" s="179"/>
      <c r="Q1018" s="179"/>
      <c r="R1018" s="179"/>
      <c r="S1018" s="179"/>
      <c r="T1018" s="179"/>
      <c r="U1018" s="179"/>
      <c r="V1018" s="182"/>
      <c r="W1018" s="175"/>
      <c r="X1018" s="176"/>
    </row>
    <row r="1019" spans="1:24" ht="15.75" customHeight="1">
      <c r="A1019" s="179"/>
      <c r="B1019" s="180"/>
      <c r="C1019" s="180"/>
      <c r="D1019" s="179"/>
      <c r="E1019" s="179"/>
      <c r="F1019" s="179"/>
      <c r="G1019" s="179"/>
      <c r="H1019" s="181"/>
      <c r="I1019" s="181"/>
      <c r="J1019" s="181"/>
      <c r="K1019" s="179"/>
      <c r="L1019" s="179"/>
      <c r="M1019" s="179"/>
      <c r="N1019" s="181"/>
      <c r="O1019" s="179"/>
      <c r="P1019" s="179"/>
      <c r="Q1019" s="179"/>
      <c r="R1019" s="179"/>
      <c r="S1019" s="179"/>
      <c r="T1019" s="179"/>
      <c r="U1019" s="179"/>
      <c r="V1019" s="182"/>
      <c r="W1019" s="175"/>
      <c r="X1019" s="176"/>
    </row>
    <row r="1020" spans="1:24" ht="15.75" customHeight="1">
      <c r="A1020" s="179"/>
      <c r="B1020" s="180"/>
      <c r="C1020" s="180"/>
      <c r="D1020" s="179"/>
      <c r="E1020" s="179"/>
      <c r="F1020" s="179"/>
      <c r="G1020" s="179"/>
      <c r="H1020" s="181"/>
      <c r="I1020" s="181"/>
      <c r="J1020" s="181"/>
      <c r="K1020" s="179"/>
      <c r="L1020" s="179"/>
      <c r="M1020" s="179"/>
      <c r="N1020" s="181"/>
      <c r="O1020" s="179"/>
      <c r="P1020" s="179"/>
      <c r="Q1020" s="179"/>
      <c r="R1020" s="179"/>
      <c r="S1020" s="179"/>
      <c r="T1020" s="179"/>
      <c r="U1020" s="179"/>
      <c r="V1020" s="182"/>
      <c r="W1020" s="175"/>
      <c r="X1020" s="176"/>
    </row>
    <row r="1021" spans="1:24" ht="15.75" customHeight="1">
      <c r="A1021" s="179"/>
      <c r="B1021" s="180"/>
      <c r="C1021" s="180"/>
      <c r="D1021" s="179"/>
      <c r="E1021" s="179"/>
      <c r="F1021" s="179"/>
      <c r="G1021" s="179"/>
      <c r="H1021" s="181"/>
      <c r="I1021" s="181"/>
      <c r="J1021" s="181"/>
      <c r="K1021" s="179"/>
      <c r="L1021" s="179"/>
      <c r="M1021" s="179"/>
      <c r="N1021" s="181"/>
      <c r="O1021" s="179"/>
      <c r="P1021" s="179"/>
      <c r="Q1021" s="179"/>
      <c r="R1021" s="179"/>
      <c r="S1021" s="179"/>
      <c r="T1021" s="179"/>
      <c r="U1021" s="179"/>
      <c r="V1021" s="182"/>
      <c r="W1021" s="175"/>
      <c r="X1021" s="176"/>
    </row>
    <row r="1022" spans="1:24" ht="15.75" customHeight="1">
      <c r="A1022" s="179"/>
      <c r="B1022" s="180"/>
      <c r="C1022" s="180"/>
      <c r="D1022" s="179"/>
      <c r="E1022" s="179"/>
      <c r="F1022" s="179"/>
      <c r="G1022" s="179"/>
      <c r="H1022" s="181"/>
      <c r="I1022" s="181"/>
      <c r="J1022" s="181"/>
      <c r="K1022" s="179"/>
      <c r="L1022" s="179"/>
      <c r="M1022" s="179"/>
      <c r="N1022" s="181"/>
      <c r="O1022" s="179"/>
      <c r="P1022" s="179"/>
      <c r="Q1022" s="179"/>
      <c r="R1022" s="179"/>
      <c r="S1022" s="179"/>
      <c r="T1022" s="179"/>
      <c r="U1022" s="179"/>
      <c r="V1022" s="182"/>
      <c r="W1022" s="175"/>
      <c r="X1022" s="176"/>
    </row>
    <row r="1023" spans="1:24" ht="15.75" customHeight="1">
      <c r="A1023" s="179"/>
      <c r="B1023" s="180"/>
      <c r="C1023" s="180"/>
      <c r="D1023" s="179"/>
      <c r="E1023" s="179"/>
      <c r="F1023" s="179"/>
      <c r="G1023" s="179"/>
      <c r="H1023" s="181"/>
      <c r="I1023" s="181"/>
      <c r="J1023" s="181"/>
      <c r="K1023" s="179"/>
      <c r="L1023" s="179"/>
      <c r="M1023" s="179"/>
      <c r="N1023" s="181"/>
      <c r="O1023" s="179"/>
      <c r="P1023" s="179"/>
      <c r="Q1023" s="179"/>
      <c r="R1023" s="179"/>
      <c r="S1023" s="179"/>
      <c r="T1023" s="179"/>
      <c r="U1023" s="179"/>
      <c r="V1023" s="182"/>
      <c r="W1023" s="175"/>
      <c r="X1023" s="176"/>
    </row>
    <row r="1024" spans="1:24" ht="15.75" customHeight="1">
      <c r="A1024" s="179"/>
      <c r="B1024" s="180"/>
      <c r="C1024" s="180"/>
      <c r="D1024" s="179"/>
      <c r="E1024" s="179"/>
      <c r="F1024" s="179"/>
      <c r="G1024" s="179"/>
      <c r="H1024" s="181"/>
      <c r="I1024" s="181"/>
      <c r="J1024" s="181"/>
      <c r="K1024" s="179"/>
      <c r="L1024" s="179"/>
      <c r="M1024" s="179"/>
      <c r="N1024" s="181"/>
      <c r="O1024" s="179"/>
      <c r="P1024" s="179"/>
      <c r="Q1024" s="179"/>
      <c r="R1024" s="179"/>
      <c r="S1024" s="179"/>
      <c r="T1024" s="179"/>
      <c r="U1024" s="179"/>
      <c r="V1024" s="182"/>
      <c r="W1024" s="175"/>
      <c r="X1024" s="176"/>
    </row>
    <row r="1025" spans="1:24" ht="15.75" customHeight="1">
      <c r="A1025" s="179"/>
      <c r="B1025" s="180"/>
      <c r="C1025" s="180"/>
      <c r="D1025" s="179"/>
      <c r="E1025" s="179"/>
      <c r="F1025" s="179"/>
      <c r="G1025" s="179"/>
      <c r="H1025" s="181"/>
      <c r="I1025" s="181"/>
      <c r="J1025" s="181"/>
      <c r="K1025" s="179"/>
      <c r="L1025" s="179"/>
      <c r="M1025" s="179"/>
      <c r="N1025" s="181"/>
      <c r="O1025" s="179"/>
      <c r="P1025" s="179"/>
      <c r="Q1025" s="179"/>
      <c r="R1025" s="179"/>
      <c r="S1025" s="179"/>
      <c r="T1025" s="179"/>
      <c r="U1025" s="179"/>
      <c r="V1025" s="182"/>
      <c r="W1025" s="175"/>
      <c r="X1025" s="176"/>
    </row>
    <row r="1026" spans="1:24" ht="15.75" customHeight="1">
      <c r="A1026" s="179"/>
      <c r="B1026" s="180"/>
      <c r="C1026" s="180"/>
      <c r="D1026" s="179"/>
      <c r="E1026" s="179"/>
      <c r="F1026" s="179"/>
      <c r="G1026" s="179"/>
      <c r="H1026" s="181"/>
      <c r="I1026" s="181"/>
      <c r="J1026" s="181"/>
      <c r="K1026" s="179"/>
      <c r="L1026" s="179"/>
      <c r="M1026" s="179"/>
      <c r="N1026" s="181"/>
      <c r="O1026" s="179"/>
      <c r="P1026" s="179"/>
      <c r="Q1026" s="179"/>
      <c r="R1026" s="179"/>
      <c r="S1026" s="179"/>
      <c r="T1026" s="179"/>
      <c r="U1026" s="179"/>
      <c r="V1026" s="182"/>
      <c r="W1026" s="175"/>
      <c r="X1026" s="176"/>
    </row>
    <row r="1027" spans="1:24" ht="15.75" customHeight="1">
      <c r="A1027" s="179"/>
      <c r="B1027" s="180"/>
      <c r="C1027" s="180"/>
      <c r="D1027" s="179"/>
      <c r="E1027" s="179"/>
      <c r="F1027" s="179"/>
      <c r="G1027" s="179"/>
      <c r="H1027" s="181"/>
      <c r="I1027" s="181"/>
      <c r="J1027" s="181"/>
      <c r="K1027" s="179"/>
      <c r="L1027" s="179"/>
      <c r="M1027" s="179"/>
      <c r="N1027" s="181"/>
      <c r="O1027" s="179"/>
      <c r="P1027" s="179"/>
      <c r="Q1027" s="179"/>
      <c r="R1027" s="179"/>
      <c r="S1027" s="179"/>
      <c r="T1027" s="179"/>
      <c r="U1027" s="179"/>
      <c r="V1027" s="182"/>
      <c r="W1027" s="175"/>
      <c r="X1027" s="176"/>
    </row>
    <row r="1028" spans="1:24" ht="15.75" customHeight="1">
      <c r="A1028" s="179"/>
      <c r="B1028" s="180"/>
      <c r="C1028" s="180"/>
      <c r="D1028" s="179"/>
      <c r="E1028" s="179"/>
      <c r="F1028" s="179"/>
      <c r="G1028" s="179"/>
      <c r="H1028" s="181"/>
      <c r="I1028" s="181"/>
      <c r="J1028" s="181"/>
      <c r="K1028" s="179"/>
      <c r="L1028" s="179"/>
      <c r="M1028" s="179"/>
      <c r="N1028" s="181"/>
      <c r="O1028" s="179"/>
      <c r="P1028" s="179"/>
      <c r="Q1028" s="179"/>
      <c r="R1028" s="179"/>
      <c r="S1028" s="179"/>
      <c r="T1028" s="179"/>
      <c r="U1028" s="179"/>
      <c r="V1028" s="182"/>
      <c r="W1028" s="175"/>
      <c r="X1028" s="176"/>
    </row>
    <row r="1029" spans="1:24" ht="15.75" customHeight="1">
      <c r="A1029" s="179"/>
      <c r="B1029" s="180"/>
      <c r="C1029" s="180"/>
      <c r="D1029" s="179"/>
      <c r="E1029" s="179"/>
      <c r="F1029" s="179"/>
      <c r="G1029" s="179"/>
      <c r="H1029" s="181"/>
      <c r="I1029" s="181"/>
      <c r="J1029" s="181"/>
      <c r="K1029" s="179"/>
      <c r="L1029" s="179"/>
      <c r="M1029" s="179"/>
      <c r="N1029" s="181"/>
      <c r="O1029" s="179"/>
      <c r="P1029" s="179"/>
      <c r="Q1029" s="179"/>
      <c r="R1029" s="179"/>
      <c r="S1029" s="179"/>
      <c r="T1029" s="179"/>
      <c r="U1029" s="179"/>
      <c r="V1029" s="182"/>
      <c r="W1029" s="175"/>
      <c r="X1029" s="176"/>
    </row>
    <row r="1030" spans="1:24" ht="15.75" customHeight="1">
      <c r="A1030" s="179"/>
      <c r="B1030" s="180"/>
      <c r="C1030" s="180"/>
      <c r="D1030" s="179"/>
      <c r="E1030" s="179"/>
      <c r="F1030" s="179"/>
      <c r="G1030" s="179"/>
      <c r="H1030" s="181"/>
      <c r="I1030" s="181"/>
      <c r="J1030" s="181"/>
      <c r="K1030" s="179"/>
      <c r="L1030" s="179"/>
      <c r="M1030" s="179"/>
      <c r="N1030" s="181"/>
      <c r="O1030" s="179"/>
      <c r="P1030" s="179"/>
      <c r="Q1030" s="179"/>
      <c r="R1030" s="179"/>
      <c r="S1030" s="179"/>
      <c r="T1030" s="179"/>
      <c r="U1030" s="179"/>
      <c r="V1030" s="182"/>
      <c r="W1030" s="175"/>
      <c r="X1030" s="176"/>
    </row>
    <row r="1031" spans="1:24" ht="15.75" customHeight="1">
      <c r="A1031" s="179"/>
      <c r="B1031" s="180"/>
      <c r="C1031" s="180"/>
      <c r="D1031" s="179"/>
      <c r="E1031" s="179"/>
      <c r="F1031" s="179"/>
      <c r="G1031" s="179"/>
      <c r="H1031" s="181"/>
      <c r="I1031" s="181"/>
      <c r="J1031" s="181"/>
      <c r="K1031" s="179"/>
      <c r="L1031" s="179"/>
      <c r="M1031" s="179"/>
      <c r="N1031" s="181"/>
      <c r="O1031" s="179"/>
      <c r="P1031" s="179"/>
      <c r="Q1031" s="179"/>
      <c r="R1031" s="179"/>
      <c r="S1031" s="179"/>
      <c r="T1031" s="179"/>
      <c r="U1031" s="179"/>
      <c r="V1031" s="182"/>
      <c r="W1031" s="175"/>
      <c r="X1031" s="176"/>
    </row>
    <row r="1032" spans="1:24" ht="15.75" customHeight="1">
      <c r="A1032" s="179"/>
      <c r="B1032" s="180"/>
      <c r="C1032" s="180"/>
      <c r="D1032" s="179"/>
      <c r="E1032" s="179"/>
      <c r="F1032" s="179"/>
      <c r="G1032" s="179"/>
      <c r="H1032" s="181"/>
      <c r="I1032" s="181"/>
      <c r="J1032" s="181"/>
      <c r="K1032" s="179"/>
      <c r="L1032" s="179"/>
      <c r="M1032" s="179"/>
      <c r="N1032" s="181"/>
      <c r="O1032" s="179"/>
      <c r="P1032" s="179"/>
      <c r="Q1032" s="179"/>
      <c r="R1032" s="179"/>
      <c r="S1032" s="179"/>
      <c r="T1032" s="179"/>
      <c r="U1032" s="179"/>
      <c r="V1032" s="182"/>
      <c r="W1032" s="175"/>
      <c r="X1032" s="176"/>
    </row>
    <row r="1033" spans="1:24" ht="15.75" customHeight="1">
      <c r="A1033" s="179"/>
      <c r="B1033" s="180"/>
      <c r="C1033" s="180"/>
      <c r="D1033" s="179"/>
      <c r="E1033" s="179"/>
      <c r="F1033" s="179"/>
      <c r="G1033" s="179"/>
      <c r="H1033" s="181"/>
      <c r="I1033" s="181"/>
      <c r="J1033" s="181"/>
      <c r="K1033" s="179"/>
      <c r="L1033" s="179"/>
      <c r="M1033" s="179"/>
      <c r="N1033" s="181"/>
      <c r="O1033" s="179"/>
      <c r="P1033" s="179"/>
      <c r="Q1033" s="179"/>
      <c r="R1033" s="179"/>
      <c r="S1033" s="179"/>
      <c r="T1033" s="179"/>
      <c r="U1033" s="179"/>
      <c r="V1033" s="182"/>
      <c r="W1033" s="175"/>
      <c r="X1033" s="176"/>
    </row>
    <row r="1034" spans="1:24" ht="15.75" customHeight="1">
      <c r="A1034" s="179"/>
      <c r="B1034" s="180"/>
      <c r="C1034" s="180"/>
      <c r="D1034" s="179"/>
      <c r="E1034" s="179"/>
      <c r="F1034" s="179"/>
      <c r="G1034" s="179"/>
      <c r="H1034" s="181"/>
      <c r="I1034" s="181"/>
      <c r="J1034" s="181"/>
      <c r="K1034" s="179"/>
      <c r="L1034" s="179"/>
      <c r="M1034" s="179"/>
      <c r="N1034" s="181"/>
      <c r="O1034" s="179"/>
      <c r="P1034" s="179"/>
      <c r="Q1034" s="179"/>
      <c r="R1034" s="179"/>
      <c r="S1034" s="179"/>
      <c r="T1034" s="179"/>
      <c r="U1034" s="179"/>
      <c r="V1034" s="182"/>
      <c r="W1034" s="175"/>
      <c r="X1034" s="176"/>
    </row>
    <row r="1035" spans="1:24" ht="15.75" customHeight="1">
      <c r="A1035" s="179"/>
      <c r="B1035" s="180"/>
      <c r="C1035" s="180"/>
      <c r="D1035" s="179"/>
      <c r="E1035" s="179"/>
      <c r="F1035" s="179"/>
      <c r="G1035" s="179"/>
      <c r="H1035" s="181"/>
      <c r="I1035" s="181"/>
      <c r="J1035" s="181"/>
      <c r="K1035" s="179"/>
      <c r="L1035" s="179"/>
      <c r="M1035" s="179"/>
      <c r="N1035" s="181"/>
      <c r="O1035" s="179"/>
      <c r="P1035" s="179"/>
      <c r="Q1035" s="179"/>
      <c r="R1035" s="179"/>
      <c r="S1035" s="179"/>
      <c r="T1035" s="179"/>
      <c r="U1035" s="179"/>
      <c r="V1035" s="182"/>
      <c r="W1035" s="175"/>
      <c r="X1035" s="176"/>
    </row>
    <row r="1036" spans="1:24" ht="15.75" customHeight="1">
      <c r="A1036" s="179"/>
      <c r="B1036" s="180"/>
      <c r="C1036" s="180"/>
      <c r="D1036" s="179"/>
      <c r="E1036" s="179"/>
      <c r="F1036" s="179"/>
      <c r="G1036" s="179"/>
      <c r="H1036" s="181"/>
      <c r="I1036" s="181"/>
      <c r="J1036" s="181"/>
      <c r="K1036" s="179"/>
      <c r="L1036" s="179"/>
      <c r="M1036" s="179"/>
      <c r="N1036" s="181"/>
      <c r="O1036" s="179"/>
      <c r="P1036" s="179"/>
      <c r="Q1036" s="179"/>
      <c r="R1036" s="179"/>
      <c r="S1036" s="179"/>
      <c r="T1036" s="179"/>
      <c r="U1036" s="179"/>
      <c r="V1036" s="182"/>
      <c r="W1036" s="175"/>
      <c r="X1036" s="176"/>
    </row>
    <row r="1037" spans="1:24" ht="15.75" customHeight="1">
      <c r="A1037" s="179"/>
      <c r="B1037" s="180"/>
      <c r="C1037" s="180"/>
      <c r="D1037" s="179"/>
      <c r="E1037" s="179"/>
      <c r="F1037" s="179"/>
      <c r="G1037" s="179"/>
      <c r="H1037" s="181"/>
      <c r="I1037" s="181"/>
      <c r="J1037" s="181"/>
      <c r="K1037" s="179"/>
      <c r="L1037" s="179"/>
      <c r="M1037" s="179"/>
      <c r="N1037" s="181"/>
      <c r="O1037" s="179"/>
      <c r="P1037" s="179"/>
      <c r="Q1037" s="179"/>
      <c r="R1037" s="179"/>
      <c r="S1037" s="179"/>
      <c r="T1037" s="179"/>
      <c r="U1037" s="179"/>
      <c r="V1037" s="182"/>
      <c r="W1037" s="175"/>
      <c r="X1037" s="176"/>
    </row>
    <row r="1038" spans="1:24" ht="15.75" customHeight="1">
      <c r="A1038" s="179"/>
      <c r="B1038" s="180"/>
      <c r="C1038" s="180"/>
      <c r="D1038" s="179"/>
      <c r="E1038" s="179"/>
      <c r="F1038" s="179"/>
      <c r="G1038" s="179"/>
      <c r="H1038" s="181"/>
      <c r="I1038" s="181"/>
      <c r="J1038" s="181"/>
      <c r="K1038" s="179"/>
      <c r="L1038" s="179"/>
      <c r="M1038" s="179"/>
      <c r="N1038" s="181"/>
      <c r="O1038" s="179"/>
      <c r="P1038" s="179"/>
      <c r="Q1038" s="179"/>
      <c r="R1038" s="179"/>
      <c r="S1038" s="179"/>
      <c r="T1038" s="179"/>
      <c r="U1038" s="179"/>
      <c r="V1038" s="182"/>
      <c r="W1038" s="175"/>
      <c r="X1038" s="176"/>
    </row>
    <row r="1039" spans="1:24" ht="15.75" customHeight="1">
      <c r="A1039" s="179"/>
      <c r="B1039" s="180"/>
      <c r="C1039" s="180"/>
      <c r="D1039" s="179"/>
      <c r="E1039" s="179"/>
      <c r="F1039" s="179"/>
      <c r="G1039" s="179"/>
      <c r="H1039" s="181"/>
      <c r="I1039" s="181"/>
      <c r="J1039" s="181"/>
      <c r="K1039" s="179"/>
      <c r="L1039" s="179"/>
      <c r="M1039" s="179"/>
      <c r="N1039" s="181"/>
      <c r="O1039" s="179"/>
      <c r="P1039" s="179"/>
      <c r="Q1039" s="179"/>
      <c r="R1039" s="179"/>
      <c r="S1039" s="179"/>
      <c r="T1039" s="179"/>
      <c r="U1039" s="179"/>
      <c r="V1039" s="182"/>
      <c r="W1039" s="175"/>
      <c r="X1039" s="176"/>
    </row>
    <row r="1040" spans="1:24" ht="15.75" customHeight="1">
      <c r="A1040" s="179"/>
      <c r="B1040" s="180"/>
      <c r="C1040" s="180"/>
      <c r="D1040" s="179"/>
      <c r="E1040" s="179"/>
      <c r="F1040" s="179"/>
      <c r="G1040" s="179"/>
      <c r="H1040" s="181"/>
      <c r="I1040" s="181"/>
      <c r="J1040" s="181"/>
      <c r="K1040" s="179"/>
      <c r="L1040" s="179"/>
      <c r="M1040" s="179"/>
      <c r="N1040" s="181"/>
      <c r="O1040" s="179"/>
      <c r="P1040" s="179"/>
      <c r="Q1040" s="179"/>
      <c r="R1040" s="179"/>
      <c r="S1040" s="179"/>
      <c r="T1040" s="179"/>
      <c r="U1040" s="179"/>
      <c r="V1040" s="182"/>
      <c r="W1040" s="175"/>
      <c r="X1040" s="176"/>
    </row>
    <row r="1041" spans="1:24" ht="15.75" customHeight="1">
      <c r="A1041" s="179"/>
      <c r="B1041" s="180"/>
      <c r="C1041" s="180"/>
      <c r="D1041" s="179"/>
      <c r="E1041" s="179"/>
      <c r="F1041" s="179"/>
      <c r="G1041" s="179"/>
      <c r="H1041" s="181"/>
      <c r="I1041" s="181"/>
      <c r="J1041" s="181"/>
      <c r="K1041" s="179"/>
      <c r="L1041" s="179"/>
      <c r="M1041" s="179"/>
      <c r="N1041" s="181"/>
      <c r="O1041" s="179"/>
      <c r="P1041" s="179"/>
      <c r="Q1041" s="179"/>
      <c r="R1041" s="179"/>
      <c r="S1041" s="179"/>
      <c r="T1041" s="179"/>
      <c r="U1041" s="179"/>
      <c r="V1041" s="182"/>
      <c r="W1041" s="175"/>
      <c r="X1041" s="176"/>
    </row>
    <row r="1042" spans="1:24" ht="15.75" customHeight="1">
      <c r="A1042" s="179"/>
      <c r="B1042" s="180"/>
      <c r="C1042" s="180"/>
      <c r="D1042" s="179"/>
      <c r="E1042" s="179"/>
      <c r="F1042" s="179"/>
      <c r="G1042" s="179"/>
      <c r="H1042" s="181"/>
      <c r="I1042" s="181"/>
      <c r="J1042" s="181"/>
      <c r="K1042" s="179"/>
      <c r="L1042" s="179"/>
      <c r="M1042" s="179"/>
      <c r="N1042" s="181"/>
      <c r="O1042" s="179"/>
      <c r="P1042" s="179"/>
      <c r="Q1042" s="179"/>
      <c r="R1042" s="179"/>
      <c r="S1042" s="179"/>
      <c r="T1042" s="179"/>
      <c r="U1042" s="179"/>
      <c r="V1042" s="182"/>
      <c r="W1042" s="175"/>
      <c r="X1042" s="176"/>
    </row>
    <row r="1043" spans="1:24" ht="15.75" customHeight="1">
      <c r="A1043" s="179"/>
      <c r="B1043" s="180"/>
      <c r="C1043" s="180"/>
      <c r="D1043" s="179"/>
      <c r="E1043" s="179"/>
      <c r="F1043" s="179"/>
      <c r="G1043" s="179"/>
      <c r="H1043" s="181"/>
      <c r="I1043" s="181"/>
      <c r="J1043" s="181"/>
      <c r="K1043" s="179"/>
      <c r="L1043" s="179"/>
      <c r="M1043" s="179"/>
      <c r="N1043" s="181"/>
      <c r="O1043" s="179"/>
      <c r="P1043" s="179"/>
      <c r="Q1043" s="179"/>
      <c r="R1043" s="179"/>
      <c r="S1043" s="179"/>
      <c r="T1043" s="179"/>
      <c r="U1043" s="179"/>
      <c r="V1043" s="182"/>
      <c r="W1043" s="175"/>
      <c r="X1043" s="176"/>
    </row>
    <row r="1044" spans="1:24" ht="15.75" customHeight="1">
      <c r="A1044" s="179"/>
      <c r="B1044" s="180"/>
      <c r="C1044" s="180"/>
      <c r="D1044" s="179"/>
      <c r="E1044" s="179"/>
      <c r="F1044" s="179"/>
      <c r="G1044" s="179"/>
      <c r="H1044" s="181"/>
      <c r="I1044" s="181"/>
      <c r="J1044" s="181"/>
      <c r="K1044" s="179"/>
      <c r="L1044" s="179"/>
      <c r="M1044" s="179"/>
      <c r="N1044" s="181"/>
      <c r="O1044" s="179"/>
      <c r="P1044" s="179"/>
      <c r="Q1044" s="179"/>
      <c r="R1044" s="179"/>
      <c r="S1044" s="179"/>
      <c r="T1044" s="179"/>
      <c r="U1044" s="179"/>
      <c r="V1044" s="182"/>
      <c r="W1044" s="175"/>
      <c r="X1044" s="176"/>
    </row>
    <row r="1045" spans="1:24" ht="15.75" customHeight="1">
      <c r="A1045" s="179"/>
      <c r="B1045" s="180"/>
      <c r="C1045" s="180"/>
      <c r="D1045" s="179"/>
      <c r="E1045" s="179"/>
      <c r="F1045" s="179"/>
      <c r="G1045" s="179"/>
      <c r="H1045" s="181"/>
      <c r="I1045" s="181"/>
      <c r="J1045" s="181"/>
      <c r="K1045" s="179"/>
      <c r="L1045" s="179"/>
      <c r="M1045" s="179"/>
      <c r="N1045" s="181"/>
      <c r="O1045" s="179"/>
      <c r="P1045" s="179"/>
      <c r="Q1045" s="179"/>
      <c r="R1045" s="179"/>
      <c r="S1045" s="179"/>
      <c r="T1045" s="179"/>
      <c r="U1045" s="179"/>
      <c r="V1045" s="182"/>
      <c r="W1045" s="175"/>
      <c r="X1045" s="176"/>
    </row>
    <row r="1046" spans="1:24" ht="15.75" customHeight="1">
      <c r="A1046" s="179"/>
      <c r="B1046" s="180"/>
      <c r="C1046" s="180"/>
      <c r="D1046" s="179"/>
      <c r="E1046" s="179"/>
      <c r="F1046" s="179"/>
      <c r="G1046" s="179"/>
      <c r="H1046" s="181"/>
      <c r="I1046" s="181"/>
      <c r="J1046" s="181"/>
      <c r="K1046" s="179"/>
      <c r="L1046" s="179"/>
      <c r="M1046" s="179"/>
      <c r="N1046" s="181"/>
      <c r="O1046" s="179"/>
      <c r="P1046" s="179"/>
      <c r="Q1046" s="179"/>
      <c r="R1046" s="179"/>
      <c r="S1046" s="179"/>
      <c r="T1046" s="179"/>
      <c r="U1046" s="179"/>
      <c r="V1046" s="182"/>
      <c r="W1046" s="175"/>
      <c r="X1046" s="176"/>
    </row>
    <row r="1047" spans="1:24" ht="15.75" customHeight="1">
      <c r="A1047" s="179"/>
      <c r="B1047" s="180"/>
      <c r="C1047" s="180"/>
      <c r="D1047" s="179"/>
      <c r="E1047" s="179"/>
      <c r="F1047" s="179"/>
      <c r="G1047" s="179"/>
      <c r="H1047" s="181"/>
      <c r="I1047" s="181"/>
      <c r="J1047" s="181"/>
      <c r="K1047" s="179"/>
      <c r="L1047" s="179"/>
      <c r="M1047" s="179"/>
      <c r="N1047" s="181"/>
      <c r="O1047" s="179"/>
      <c r="P1047" s="179"/>
      <c r="Q1047" s="179"/>
      <c r="R1047" s="179"/>
      <c r="S1047" s="179"/>
      <c r="T1047" s="179"/>
      <c r="U1047" s="179"/>
      <c r="V1047" s="182"/>
      <c r="W1047" s="175"/>
      <c r="X1047" s="176"/>
    </row>
    <row r="1048" spans="1:24" ht="15.75" customHeight="1">
      <c r="A1048" s="179"/>
      <c r="B1048" s="180"/>
      <c r="C1048" s="180"/>
      <c r="D1048" s="179"/>
      <c r="E1048" s="179"/>
      <c r="F1048" s="179"/>
      <c r="G1048" s="179"/>
      <c r="H1048" s="181"/>
      <c r="I1048" s="181"/>
      <c r="J1048" s="181"/>
      <c r="K1048" s="179"/>
      <c r="L1048" s="179"/>
      <c r="M1048" s="179"/>
      <c r="N1048" s="181"/>
      <c r="O1048" s="179"/>
      <c r="P1048" s="179"/>
      <c r="Q1048" s="179"/>
      <c r="R1048" s="179"/>
      <c r="S1048" s="179"/>
      <c r="T1048" s="179"/>
      <c r="U1048" s="179"/>
      <c r="V1048" s="182"/>
      <c r="W1048" s="175"/>
      <c r="X1048" s="176"/>
    </row>
    <row r="1049" spans="1:24" ht="15.75" customHeight="1">
      <c r="A1049" s="179"/>
      <c r="B1049" s="180"/>
      <c r="C1049" s="180"/>
      <c r="D1049" s="179"/>
      <c r="E1049" s="179"/>
      <c r="F1049" s="179"/>
      <c r="G1049" s="179"/>
      <c r="H1049" s="181"/>
      <c r="I1049" s="181"/>
      <c r="J1049" s="181"/>
      <c r="K1049" s="179"/>
      <c r="L1049" s="179"/>
      <c r="M1049" s="179"/>
      <c r="N1049" s="181"/>
      <c r="O1049" s="179"/>
      <c r="P1049" s="179"/>
      <c r="Q1049" s="179"/>
      <c r="R1049" s="179"/>
      <c r="S1049" s="179"/>
      <c r="T1049" s="179"/>
      <c r="U1049" s="179"/>
      <c r="V1049" s="182"/>
      <c r="W1049" s="175"/>
      <c r="X1049" s="176"/>
    </row>
    <row r="1050" spans="1:24" ht="15.75" customHeight="1">
      <c r="A1050" s="179"/>
      <c r="B1050" s="180"/>
      <c r="C1050" s="180"/>
      <c r="D1050" s="179"/>
      <c r="E1050" s="179"/>
      <c r="F1050" s="179"/>
      <c r="G1050" s="179"/>
      <c r="H1050" s="181"/>
      <c r="I1050" s="181"/>
      <c r="J1050" s="181"/>
      <c r="K1050" s="179"/>
      <c r="L1050" s="179"/>
      <c r="M1050" s="179"/>
      <c r="N1050" s="181"/>
      <c r="O1050" s="179"/>
      <c r="P1050" s="179"/>
      <c r="Q1050" s="179"/>
      <c r="R1050" s="179"/>
      <c r="S1050" s="179"/>
      <c r="T1050" s="179"/>
      <c r="U1050" s="179"/>
      <c r="V1050" s="182"/>
      <c r="W1050" s="175"/>
      <c r="X1050" s="176"/>
    </row>
    <row r="1051" spans="1:24" ht="15.75" customHeight="1">
      <c r="A1051" s="179"/>
      <c r="B1051" s="180"/>
      <c r="C1051" s="180"/>
      <c r="D1051" s="179"/>
      <c r="E1051" s="179"/>
      <c r="F1051" s="179"/>
      <c r="G1051" s="179"/>
      <c r="H1051" s="181"/>
      <c r="I1051" s="181"/>
      <c r="J1051" s="181"/>
      <c r="K1051" s="179"/>
      <c r="L1051" s="179"/>
      <c r="M1051" s="179"/>
      <c r="N1051" s="181"/>
      <c r="O1051" s="179"/>
      <c r="P1051" s="179"/>
      <c r="Q1051" s="179"/>
      <c r="R1051" s="179"/>
      <c r="S1051" s="179"/>
      <c r="T1051" s="179"/>
      <c r="U1051" s="179"/>
      <c r="V1051" s="182"/>
      <c r="W1051" s="175"/>
      <c r="X1051" s="176"/>
    </row>
    <row r="1052" spans="1:24" ht="15.75" customHeight="1">
      <c r="A1052" s="179"/>
      <c r="B1052" s="180"/>
      <c r="C1052" s="180"/>
      <c r="D1052" s="179"/>
      <c r="E1052" s="179"/>
      <c r="F1052" s="179"/>
      <c r="G1052" s="179"/>
      <c r="H1052" s="181"/>
      <c r="I1052" s="181"/>
      <c r="J1052" s="181"/>
      <c r="K1052" s="179"/>
      <c r="L1052" s="179"/>
      <c r="M1052" s="179"/>
      <c r="N1052" s="181"/>
      <c r="O1052" s="179"/>
      <c r="P1052" s="179"/>
      <c r="Q1052" s="179"/>
      <c r="R1052" s="179"/>
      <c r="S1052" s="179"/>
      <c r="T1052" s="179"/>
      <c r="U1052" s="179"/>
      <c r="V1052" s="182"/>
      <c r="W1052" s="175"/>
      <c r="X1052" s="176"/>
    </row>
    <row r="1053" spans="1:24" ht="15.75" customHeight="1">
      <c r="A1053" s="179"/>
      <c r="B1053" s="180"/>
      <c r="C1053" s="180"/>
      <c r="D1053" s="179"/>
      <c r="E1053" s="179"/>
      <c r="F1053" s="179"/>
      <c r="G1053" s="179"/>
      <c r="H1053" s="181"/>
      <c r="I1053" s="181"/>
      <c r="J1053" s="181"/>
      <c r="K1053" s="179"/>
      <c r="L1053" s="179"/>
      <c r="M1053" s="179"/>
      <c r="N1053" s="181"/>
      <c r="O1053" s="179"/>
      <c r="P1053" s="179"/>
      <c r="Q1053" s="179"/>
      <c r="R1053" s="179"/>
      <c r="S1053" s="179"/>
      <c r="T1053" s="179"/>
      <c r="U1053" s="179"/>
      <c r="V1053" s="182"/>
      <c r="W1053" s="175"/>
      <c r="X1053" s="176"/>
    </row>
    <row r="1054" spans="1:24" ht="15.75" customHeight="1">
      <c r="A1054" s="179"/>
      <c r="B1054" s="180"/>
      <c r="C1054" s="180"/>
      <c r="D1054" s="179"/>
      <c r="E1054" s="179"/>
      <c r="F1054" s="179"/>
      <c r="G1054" s="179"/>
      <c r="H1054" s="181"/>
      <c r="I1054" s="181"/>
      <c r="J1054" s="181"/>
      <c r="K1054" s="179"/>
      <c r="L1054" s="179"/>
      <c r="M1054" s="179"/>
      <c r="N1054" s="181"/>
      <c r="O1054" s="179"/>
      <c r="P1054" s="179"/>
      <c r="Q1054" s="179"/>
      <c r="R1054" s="179"/>
      <c r="S1054" s="179"/>
      <c r="T1054" s="179"/>
      <c r="U1054" s="179"/>
      <c r="V1054" s="182"/>
      <c r="W1054" s="175"/>
      <c r="X1054" s="176"/>
    </row>
    <row r="1055" spans="1:24" ht="15.75" customHeight="1">
      <c r="A1055" s="179"/>
      <c r="B1055" s="180"/>
      <c r="C1055" s="180"/>
      <c r="D1055" s="179"/>
      <c r="E1055" s="179"/>
      <c r="F1055" s="179"/>
      <c r="G1055" s="179"/>
      <c r="H1055" s="181"/>
      <c r="I1055" s="181"/>
      <c r="J1055" s="181"/>
      <c r="K1055" s="179"/>
      <c r="L1055" s="179"/>
      <c r="M1055" s="179"/>
      <c r="N1055" s="181"/>
      <c r="O1055" s="179"/>
      <c r="P1055" s="179"/>
      <c r="Q1055" s="179"/>
      <c r="R1055" s="179"/>
      <c r="S1055" s="179"/>
      <c r="T1055" s="179"/>
      <c r="U1055" s="179"/>
      <c r="V1055" s="182"/>
      <c r="W1055" s="175"/>
      <c r="X1055" s="176"/>
    </row>
    <row r="1056" spans="1:24" ht="15.75" customHeight="1">
      <c r="A1056" s="179"/>
      <c r="B1056" s="180"/>
      <c r="C1056" s="180"/>
      <c r="D1056" s="179"/>
      <c r="E1056" s="179"/>
      <c r="F1056" s="179"/>
      <c r="G1056" s="179"/>
      <c r="H1056" s="181"/>
      <c r="I1056" s="181"/>
      <c r="J1056" s="181"/>
      <c r="K1056" s="179"/>
      <c r="L1056" s="179"/>
      <c r="M1056" s="179"/>
      <c r="N1056" s="181"/>
      <c r="O1056" s="179"/>
      <c r="P1056" s="179"/>
      <c r="Q1056" s="179"/>
      <c r="R1056" s="179"/>
      <c r="S1056" s="179"/>
      <c r="T1056" s="179"/>
      <c r="U1056" s="179"/>
      <c r="V1056" s="182"/>
      <c r="W1056" s="175"/>
      <c r="X1056" s="176"/>
    </row>
    <row r="1057" spans="1:24" ht="15.75" customHeight="1">
      <c r="A1057" s="179"/>
      <c r="B1057" s="180"/>
      <c r="C1057" s="180"/>
      <c r="D1057" s="179"/>
      <c r="E1057" s="179"/>
      <c r="F1057" s="179"/>
      <c r="G1057" s="179"/>
      <c r="H1057" s="181"/>
      <c r="I1057" s="181"/>
      <c r="J1057" s="181"/>
      <c r="K1057" s="179"/>
      <c r="L1057" s="179"/>
      <c r="M1057" s="179"/>
      <c r="N1057" s="181"/>
      <c r="O1057" s="179"/>
      <c r="P1057" s="179"/>
      <c r="Q1057" s="179"/>
      <c r="R1057" s="179"/>
      <c r="S1057" s="179"/>
      <c r="T1057" s="179"/>
      <c r="U1057" s="179"/>
      <c r="V1057" s="182"/>
      <c r="W1057" s="175"/>
      <c r="X1057" s="176"/>
    </row>
    <row r="1058" spans="1:24" ht="15.75" customHeight="1">
      <c r="A1058" s="179"/>
      <c r="B1058" s="180"/>
      <c r="C1058" s="180"/>
      <c r="D1058" s="179"/>
      <c r="E1058" s="179"/>
      <c r="F1058" s="179"/>
      <c r="G1058" s="179"/>
      <c r="H1058" s="181"/>
      <c r="I1058" s="181"/>
      <c r="J1058" s="181"/>
      <c r="K1058" s="179"/>
      <c r="L1058" s="179"/>
      <c r="M1058" s="179"/>
      <c r="N1058" s="181"/>
      <c r="O1058" s="179"/>
      <c r="P1058" s="179"/>
      <c r="Q1058" s="179"/>
      <c r="R1058" s="179"/>
      <c r="S1058" s="179"/>
      <c r="T1058" s="179"/>
      <c r="U1058" s="179"/>
      <c r="V1058" s="182"/>
      <c r="W1058" s="175"/>
      <c r="X1058" s="176"/>
    </row>
    <row r="1059" spans="1:24" ht="15.75" customHeight="1">
      <c r="A1059" s="179"/>
      <c r="B1059" s="180"/>
      <c r="C1059" s="180"/>
      <c r="D1059" s="179"/>
      <c r="E1059" s="179"/>
      <c r="F1059" s="179"/>
      <c r="G1059" s="179"/>
      <c r="H1059" s="181"/>
      <c r="I1059" s="181"/>
      <c r="J1059" s="181"/>
      <c r="K1059" s="179"/>
      <c r="L1059" s="179"/>
      <c r="M1059" s="179"/>
      <c r="N1059" s="181"/>
      <c r="O1059" s="179"/>
      <c r="P1059" s="179"/>
      <c r="Q1059" s="179"/>
      <c r="R1059" s="179"/>
      <c r="S1059" s="179"/>
      <c r="T1059" s="179"/>
      <c r="U1059" s="179"/>
      <c r="V1059" s="182"/>
      <c r="W1059" s="175"/>
      <c r="X1059" s="176"/>
    </row>
    <row r="1060" spans="1:24" ht="15.75" customHeight="1">
      <c r="A1060" s="179"/>
      <c r="B1060" s="180"/>
      <c r="C1060" s="180"/>
      <c r="D1060" s="179"/>
      <c r="E1060" s="179"/>
      <c r="F1060" s="179"/>
      <c r="G1060" s="179"/>
      <c r="H1060" s="181"/>
      <c r="I1060" s="181"/>
      <c r="J1060" s="181"/>
      <c r="K1060" s="179"/>
      <c r="L1060" s="179"/>
      <c r="M1060" s="179"/>
      <c r="N1060" s="181"/>
      <c r="O1060" s="179"/>
      <c r="P1060" s="179"/>
      <c r="Q1060" s="179"/>
      <c r="R1060" s="179"/>
      <c r="S1060" s="179"/>
      <c r="T1060" s="179"/>
      <c r="U1060" s="179"/>
      <c r="V1060" s="182"/>
      <c r="W1060" s="175"/>
      <c r="X1060" s="176"/>
    </row>
    <row r="1061" spans="1:24" ht="15.75" customHeight="1">
      <c r="A1061" s="179"/>
      <c r="B1061" s="180"/>
      <c r="C1061" s="180"/>
      <c r="D1061" s="179"/>
      <c r="E1061" s="179"/>
      <c r="F1061" s="179"/>
      <c r="G1061" s="179"/>
      <c r="H1061" s="181"/>
      <c r="I1061" s="181"/>
      <c r="J1061" s="181"/>
      <c r="K1061" s="179"/>
      <c r="L1061" s="179"/>
      <c r="M1061" s="179"/>
      <c r="N1061" s="181"/>
      <c r="O1061" s="179"/>
      <c r="P1061" s="179"/>
      <c r="Q1061" s="179"/>
      <c r="R1061" s="179"/>
      <c r="S1061" s="179"/>
      <c r="T1061" s="179"/>
      <c r="U1061" s="179"/>
      <c r="V1061" s="182"/>
      <c r="W1061" s="175"/>
      <c r="X1061" s="176"/>
    </row>
    <row r="1062" spans="1:24" ht="15.75" customHeight="1">
      <c r="A1062" s="179"/>
      <c r="B1062" s="180"/>
      <c r="C1062" s="180"/>
      <c r="D1062" s="179"/>
      <c r="E1062" s="179"/>
      <c r="F1062" s="179"/>
      <c r="G1062" s="179"/>
      <c r="H1062" s="181"/>
      <c r="I1062" s="181"/>
      <c r="J1062" s="181"/>
      <c r="K1062" s="179"/>
      <c r="L1062" s="179"/>
      <c r="M1062" s="179"/>
      <c r="N1062" s="181"/>
      <c r="O1062" s="179"/>
      <c r="P1062" s="179"/>
      <c r="Q1062" s="179"/>
      <c r="R1062" s="179"/>
      <c r="S1062" s="179"/>
      <c r="T1062" s="179"/>
      <c r="U1062" s="179"/>
      <c r="V1062" s="182"/>
      <c r="W1062" s="175"/>
      <c r="X1062" s="176"/>
    </row>
    <row r="1063" spans="1:24" ht="15.75" customHeight="1">
      <c r="A1063" s="179"/>
      <c r="B1063" s="180"/>
      <c r="C1063" s="180"/>
      <c r="D1063" s="179"/>
      <c r="E1063" s="179"/>
      <c r="F1063" s="179"/>
      <c r="G1063" s="179"/>
      <c r="H1063" s="181"/>
      <c r="I1063" s="181"/>
      <c r="J1063" s="181"/>
      <c r="K1063" s="179"/>
      <c r="L1063" s="179"/>
      <c r="M1063" s="179"/>
      <c r="N1063" s="181"/>
      <c r="O1063" s="179"/>
      <c r="P1063" s="179"/>
      <c r="Q1063" s="179"/>
      <c r="R1063" s="179"/>
      <c r="S1063" s="179"/>
      <c r="T1063" s="179"/>
      <c r="U1063" s="179"/>
      <c r="V1063" s="182"/>
      <c r="W1063" s="175"/>
      <c r="X1063" s="176"/>
    </row>
    <row r="1064" spans="1:24" ht="15.75" customHeight="1">
      <c r="A1064" s="179"/>
      <c r="B1064" s="180"/>
      <c r="C1064" s="180"/>
      <c r="D1064" s="179"/>
      <c r="E1064" s="179"/>
      <c r="F1064" s="179"/>
      <c r="G1064" s="179"/>
      <c r="H1064" s="181"/>
      <c r="I1064" s="181"/>
      <c r="J1064" s="181"/>
      <c r="K1064" s="179"/>
      <c r="L1064" s="179"/>
      <c r="M1064" s="179"/>
      <c r="N1064" s="181"/>
      <c r="O1064" s="179"/>
      <c r="P1064" s="179"/>
      <c r="Q1064" s="179"/>
      <c r="R1064" s="179"/>
      <c r="S1064" s="179"/>
      <c r="T1064" s="179"/>
      <c r="U1064" s="179"/>
      <c r="V1064" s="182"/>
      <c r="W1064" s="175"/>
      <c r="X1064" s="176"/>
    </row>
    <row r="1065" spans="1:24" ht="15.75" customHeight="1">
      <c r="A1065" s="179"/>
      <c r="B1065" s="180"/>
      <c r="C1065" s="180"/>
      <c r="D1065" s="179"/>
      <c r="E1065" s="179"/>
      <c r="F1065" s="179"/>
      <c r="G1065" s="179"/>
      <c r="H1065" s="181"/>
      <c r="I1065" s="181"/>
      <c r="J1065" s="181"/>
      <c r="K1065" s="179"/>
      <c r="L1065" s="179"/>
      <c r="M1065" s="179"/>
      <c r="N1065" s="181"/>
      <c r="O1065" s="179"/>
      <c r="P1065" s="179"/>
      <c r="Q1065" s="179"/>
      <c r="R1065" s="179"/>
      <c r="S1065" s="179"/>
      <c r="T1065" s="179"/>
      <c r="U1065" s="179"/>
      <c r="V1065" s="182"/>
      <c r="W1065" s="175"/>
      <c r="X1065" s="176"/>
    </row>
    <row r="1066" spans="1:24" ht="15.75" customHeight="1">
      <c r="A1066" s="179"/>
      <c r="B1066" s="180"/>
      <c r="C1066" s="180"/>
      <c r="D1066" s="179"/>
      <c r="E1066" s="179"/>
      <c r="F1066" s="179"/>
      <c r="G1066" s="179"/>
      <c r="H1066" s="181"/>
      <c r="I1066" s="181"/>
      <c r="J1066" s="181"/>
      <c r="K1066" s="179"/>
      <c r="L1066" s="179"/>
      <c r="M1066" s="179"/>
      <c r="N1066" s="181"/>
      <c r="O1066" s="179"/>
      <c r="P1066" s="179"/>
      <c r="Q1066" s="179"/>
      <c r="R1066" s="179"/>
      <c r="S1066" s="179"/>
      <c r="T1066" s="179"/>
      <c r="U1066" s="179"/>
      <c r="V1066" s="182"/>
      <c r="W1066" s="175"/>
      <c r="X1066" s="176"/>
    </row>
    <row r="1067" spans="1:24" ht="15.75" customHeight="1">
      <c r="A1067" s="179"/>
      <c r="B1067" s="180"/>
      <c r="C1067" s="180"/>
      <c r="D1067" s="179"/>
      <c r="E1067" s="179"/>
      <c r="F1067" s="179"/>
      <c r="G1067" s="179"/>
      <c r="H1067" s="181"/>
      <c r="I1067" s="181"/>
      <c r="J1067" s="181"/>
      <c r="K1067" s="179"/>
      <c r="L1067" s="179"/>
      <c r="M1067" s="179"/>
      <c r="N1067" s="181"/>
      <c r="O1067" s="179"/>
      <c r="P1067" s="179"/>
      <c r="Q1067" s="179"/>
      <c r="R1067" s="179"/>
      <c r="S1067" s="179"/>
      <c r="T1067" s="179"/>
      <c r="U1067" s="179"/>
      <c r="V1067" s="182"/>
      <c r="W1067" s="175"/>
      <c r="X1067" s="176"/>
    </row>
    <row r="1068" spans="1:24" ht="15.75" customHeight="1">
      <c r="A1068" s="179"/>
      <c r="B1068" s="180"/>
      <c r="C1068" s="180"/>
      <c r="D1068" s="179"/>
      <c r="E1068" s="179"/>
      <c r="F1068" s="179"/>
      <c r="G1068" s="179"/>
      <c r="H1068" s="181"/>
      <c r="I1068" s="181"/>
      <c r="J1068" s="181"/>
      <c r="K1068" s="179"/>
      <c r="L1068" s="179"/>
      <c r="M1068" s="179"/>
      <c r="N1068" s="181"/>
      <c r="O1068" s="179"/>
      <c r="P1068" s="179"/>
      <c r="Q1068" s="179"/>
      <c r="R1068" s="179"/>
      <c r="S1068" s="179"/>
      <c r="T1068" s="179"/>
      <c r="U1068" s="179"/>
      <c r="V1068" s="182"/>
      <c r="W1068" s="175"/>
      <c r="X1068" s="176"/>
    </row>
    <row r="1069" spans="1:24" ht="15.75" customHeight="1">
      <c r="A1069" s="179"/>
      <c r="B1069" s="180"/>
      <c r="C1069" s="180"/>
      <c r="D1069" s="179"/>
      <c r="E1069" s="179"/>
      <c r="F1069" s="179"/>
      <c r="G1069" s="179"/>
      <c r="H1069" s="181"/>
      <c r="I1069" s="181"/>
      <c r="J1069" s="181"/>
      <c r="K1069" s="179"/>
      <c r="L1069" s="179"/>
      <c r="M1069" s="179"/>
      <c r="N1069" s="181"/>
      <c r="O1069" s="179"/>
      <c r="P1069" s="179"/>
      <c r="Q1069" s="179"/>
      <c r="R1069" s="179"/>
      <c r="S1069" s="179"/>
      <c r="T1069" s="179"/>
      <c r="U1069" s="179"/>
      <c r="V1069" s="182"/>
      <c r="W1069" s="175"/>
      <c r="X1069" s="176"/>
    </row>
    <row r="1070" spans="1:24" ht="15.75" customHeight="1">
      <c r="A1070" s="179"/>
      <c r="B1070" s="180"/>
      <c r="C1070" s="180"/>
      <c r="D1070" s="179"/>
      <c r="E1070" s="179"/>
      <c r="F1070" s="179"/>
      <c r="G1070" s="179"/>
      <c r="H1070" s="181"/>
      <c r="I1070" s="181"/>
      <c r="J1070" s="181"/>
      <c r="K1070" s="179"/>
      <c r="L1070" s="179"/>
      <c r="M1070" s="179"/>
      <c r="N1070" s="181"/>
      <c r="O1070" s="179"/>
      <c r="P1070" s="179"/>
      <c r="Q1070" s="179"/>
      <c r="R1070" s="179"/>
      <c r="S1070" s="179"/>
      <c r="T1070" s="179"/>
      <c r="U1070" s="179"/>
      <c r="V1070" s="182"/>
      <c r="W1070" s="175"/>
      <c r="X1070" s="176"/>
    </row>
    <row r="1071" spans="1:24" ht="15.75" customHeight="1">
      <c r="A1071" s="179"/>
      <c r="B1071" s="180"/>
      <c r="C1071" s="180"/>
      <c r="D1071" s="179"/>
      <c r="E1071" s="179"/>
      <c r="F1071" s="179"/>
      <c r="G1071" s="179"/>
      <c r="H1071" s="181"/>
      <c r="I1071" s="181"/>
      <c r="J1071" s="181"/>
      <c r="K1071" s="179"/>
      <c r="L1071" s="179"/>
      <c r="M1071" s="179"/>
      <c r="N1071" s="181"/>
      <c r="O1071" s="179"/>
      <c r="P1071" s="179"/>
      <c r="Q1071" s="179"/>
      <c r="R1071" s="179"/>
      <c r="S1071" s="179"/>
      <c r="T1071" s="179"/>
      <c r="U1071" s="179"/>
      <c r="V1071" s="182"/>
      <c r="W1071" s="175"/>
      <c r="X1071" s="176"/>
    </row>
    <row r="1072" spans="1:24" ht="15.75" customHeight="1">
      <c r="A1072" s="179"/>
      <c r="B1072" s="180"/>
      <c r="C1072" s="180"/>
      <c r="D1072" s="179"/>
      <c r="E1072" s="179"/>
      <c r="F1072" s="179"/>
      <c r="G1072" s="179"/>
      <c r="H1072" s="181"/>
      <c r="I1072" s="181"/>
      <c r="J1072" s="181"/>
      <c r="K1072" s="179"/>
      <c r="L1072" s="179"/>
      <c r="M1072" s="179"/>
      <c r="N1072" s="181"/>
      <c r="O1072" s="179"/>
      <c r="P1072" s="179"/>
      <c r="Q1072" s="179"/>
      <c r="R1072" s="179"/>
      <c r="S1072" s="179"/>
      <c r="T1072" s="179"/>
      <c r="U1072" s="179"/>
      <c r="V1072" s="182"/>
      <c r="W1072" s="175"/>
      <c r="X1072" s="176"/>
    </row>
    <row r="1073" spans="1:24" ht="15.75" customHeight="1">
      <c r="A1073" s="179"/>
      <c r="B1073" s="180"/>
      <c r="C1073" s="180"/>
      <c r="D1073" s="179"/>
      <c r="E1073" s="179"/>
      <c r="F1073" s="179"/>
      <c r="G1073" s="179"/>
      <c r="H1073" s="181"/>
      <c r="I1073" s="181"/>
      <c r="J1073" s="181"/>
      <c r="K1073" s="179"/>
      <c r="L1073" s="179"/>
      <c r="M1073" s="179"/>
      <c r="N1073" s="181"/>
      <c r="O1073" s="179"/>
      <c r="P1073" s="179"/>
      <c r="Q1073" s="179"/>
      <c r="R1073" s="179"/>
      <c r="S1073" s="179"/>
      <c r="T1073" s="179"/>
      <c r="U1073" s="179"/>
      <c r="V1073" s="182"/>
      <c r="W1073" s="175"/>
      <c r="X1073" s="176"/>
    </row>
    <row r="1074" spans="1:24" ht="15.75" customHeight="1">
      <c r="A1074" s="179"/>
      <c r="B1074" s="180"/>
      <c r="C1074" s="180"/>
      <c r="D1074" s="179"/>
      <c r="E1074" s="179"/>
      <c r="F1074" s="179"/>
      <c r="G1074" s="179"/>
      <c r="H1074" s="181"/>
      <c r="I1074" s="181"/>
      <c r="J1074" s="181"/>
      <c r="K1074" s="179"/>
      <c r="L1074" s="179"/>
      <c r="M1074" s="179"/>
      <c r="N1074" s="181"/>
      <c r="O1074" s="179"/>
      <c r="P1074" s="179"/>
      <c r="Q1074" s="179"/>
      <c r="R1074" s="179"/>
      <c r="S1074" s="179"/>
      <c r="T1074" s="179"/>
      <c r="U1074" s="179"/>
      <c r="V1074" s="182"/>
      <c r="W1074" s="175"/>
      <c r="X1074" s="176"/>
    </row>
    <row r="1075" spans="1:24" ht="15.75" customHeight="1">
      <c r="A1075" s="179"/>
      <c r="B1075" s="180"/>
      <c r="C1075" s="180"/>
      <c r="D1075" s="179"/>
      <c r="E1075" s="179"/>
      <c r="F1075" s="179"/>
      <c r="G1075" s="179"/>
      <c r="H1075" s="181"/>
      <c r="I1075" s="181"/>
      <c r="J1075" s="181"/>
      <c r="K1075" s="179"/>
      <c r="L1075" s="179"/>
      <c r="M1075" s="179"/>
      <c r="N1075" s="181"/>
      <c r="O1075" s="179"/>
      <c r="P1075" s="179"/>
      <c r="Q1075" s="179"/>
      <c r="R1075" s="179"/>
      <c r="S1075" s="179"/>
      <c r="T1075" s="179"/>
      <c r="U1075" s="179"/>
      <c r="V1075" s="182"/>
      <c r="W1075" s="175"/>
      <c r="X1075" s="176"/>
    </row>
    <row r="1076" spans="1:24" ht="15.75" customHeight="1">
      <c r="A1076" s="179"/>
      <c r="B1076" s="180"/>
      <c r="C1076" s="180"/>
      <c r="D1076" s="179"/>
      <c r="E1076" s="179"/>
      <c r="F1076" s="179"/>
      <c r="G1076" s="179"/>
      <c r="H1076" s="181"/>
      <c r="I1076" s="181"/>
      <c r="J1076" s="181"/>
      <c r="K1076" s="179"/>
      <c r="L1076" s="179"/>
      <c r="M1076" s="179"/>
      <c r="N1076" s="181"/>
      <c r="O1076" s="179"/>
      <c r="P1076" s="179"/>
      <c r="Q1076" s="179"/>
      <c r="R1076" s="179"/>
      <c r="S1076" s="179"/>
      <c r="T1076" s="179"/>
      <c r="U1076" s="179"/>
      <c r="V1076" s="182"/>
      <c r="W1076" s="175"/>
      <c r="X1076" s="176"/>
    </row>
    <row r="1077" spans="1:24" ht="15.75" customHeight="1">
      <c r="A1077" s="179"/>
      <c r="B1077" s="180"/>
      <c r="C1077" s="180"/>
      <c r="D1077" s="179"/>
      <c r="E1077" s="179"/>
      <c r="F1077" s="179"/>
      <c r="G1077" s="179"/>
      <c r="H1077" s="181"/>
      <c r="I1077" s="181"/>
      <c r="J1077" s="181"/>
      <c r="K1077" s="179"/>
      <c r="L1077" s="179"/>
      <c r="M1077" s="179"/>
      <c r="N1077" s="181"/>
      <c r="O1077" s="179"/>
      <c r="P1077" s="179"/>
      <c r="Q1077" s="179"/>
      <c r="R1077" s="179"/>
      <c r="S1077" s="179"/>
      <c r="T1077" s="179"/>
      <c r="U1077" s="179"/>
      <c r="V1077" s="182"/>
      <c r="W1077" s="175"/>
      <c r="X1077" s="176"/>
    </row>
    <row r="1078" spans="1:24" ht="15.75" customHeight="1">
      <c r="A1078" s="179"/>
      <c r="B1078" s="180"/>
      <c r="C1078" s="180"/>
      <c r="D1078" s="179"/>
      <c r="E1078" s="179"/>
      <c r="F1078" s="179"/>
      <c r="G1078" s="179"/>
      <c r="H1078" s="181"/>
      <c r="I1078" s="181"/>
      <c r="J1078" s="181"/>
      <c r="K1078" s="179"/>
      <c r="L1078" s="179"/>
      <c r="M1078" s="179"/>
      <c r="N1078" s="181"/>
      <c r="O1078" s="179"/>
      <c r="P1078" s="179"/>
      <c r="Q1078" s="179"/>
      <c r="R1078" s="179"/>
      <c r="S1078" s="179"/>
      <c r="T1078" s="179"/>
      <c r="U1078" s="179"/>
      <c r="V1078" s="182"/>
      <c r="W1078" s="175"/>
      <c r="X1078" s="176"/>
    </row>
    <row r="1079" spans="1:24" ht="15.75" customHeight="1">
      <c r="A1079" s="179"/>
      <c r="B1079" s="180"/>
      <c r="C1079" s="180"/>
      <c r="D1079" s="179"/>
      <c r="E1079" s="179"/>
      <c r="F1079" s="179"/>
      <c r="G1079" s="179"/>
      <c r="H1079" s="181"/>
      <c r="I1079" s="181"/>
      <c r="J1079" s="181"/>
      <c r="K1079" s="179"/>
      <c r="L1079" s="179"/>
      <c r="M1079" s="179"/>
      <c r="N1079" s="181"/>
      <c r="O1079" s="179"/>
      <c r="P1079" s="179"/>
      <c r="Q1079" s="179"/>
      <c r="R1079" s="179"/>
      <c r="S1079" s="179"/>
      <c r="T1079" s="179"/>
      <c r="U1079" s="179"/>
      <c r="V1079" s="182"/>
      <c r="W1079" s="175"/>
      <c r="X1079" s="176"/>
    </row>
    <row r="1080" spans="1:24" ht="15.75" customHeight="1">
      <c r="A1080" s="179"/>
      <c r="B1080" s="180"/>
      <c r="C1080" s="180"/>
      <c r="D1080" s="179"/>
      <c r="E1080" s="179"/>
      <c r="F1080" s="179"/>
      <c r="G1080" s="179"/>
      <c r="H1080" s="181"/>
      <c r="I1080" s="181"/>
      <c r="J1080" s="181"/>
      <c r="K1080" s="179"/>
      <c r="L1080" s="179"/>
      <c r="M1080" s="179"/>
      <c r="N1080" s="181"/>
      <c r="O1080" s="179"/>
      <c r="P1080" s="179"/>
      <c r="Q1080" s="179"/>
      <c r="R1080" s="179"/>
      <c r="S1080" s="179"/>
      <c r="T1080" s="179"/>
      <c r="U1080" s="179"/>
      <c r="V1080" s="182"/>
      <c r="W1080" s="175"/>
      <c r="X1080" s="176"/>
    </row>
    <row r="1081" spans="1:24" ht="15.75" customHeight="1">
      <c r="A1081" s="179"/>
      <c r="B1081" s="180"/>
      <c r="C1081" s="180"/>
      <c r="D1081" s="179"/>
      <c r="E1081" s="179"/>
      <c r="F1081" s="179"/>
      <c r="G1081" s="179"/>
      <c r="H1081" s="181"/>
      <c r="I1081" s="181"/>
      <c r="J1081" s="181"/>
      <c r="K1081" s="179"/>
      <c r="L1081" s="179"/>
      <c r="M1081" s="179"/>
      <c r="N1081" s="181"/>
      <c r="O1081" s="179"/>
      <c r="P1081" s="179"/>
      <c r="Q1081" s="179"/>
      <c r="R1081" s="179"/>
      <c r="S1081" s="179"/>
      <c r="T1081" s="179"/>
      <c r="U1081" s="179"/>
      <c r="V1081" s="182"/>
      <c r="W1081" s="175"/>
      <c r="X1081" s="176"/>
    </row>
    <row r="1082" spans="1:24" ht="15.75" customHeight="1">
      <c r="A1082" s="179"/>
      <c r="B1082" s="180"/>
      <c r="C1082" s="180"/>
      <c r="D1082" s="179"/>
      <c r="E1082" s="179"/>
      <c r="F1082" s="179"/>
      <c r="G1082" s="179"/>
      <c r="H1082" s="181"/>
      <c r="I1082" s="181"/>
      <c r="J1082" s="181"/>
      <c r="K1082" s="179"/>
      <c r="L1082" s="179"/>
      <c r="M1082" s="179"/>
      <c r="N1082" s="181"/>
      <c r="O1082" s="179"/>
      <c r="P1082" s="179"/>
      <c r="Q1082" s="179"/>
      <c r="R1082" s="179"/>
      <c r="S1082" s="179"/>
      <c r="T1082" s="179"/>
      <c r="U1082" s="179"/>
      <c r="V1082" s="182"/>
      <c r="W1082" s="175"/>
      <c r="X1082" s="176"/>
    </row>
    <row r="1083" spans="1:24" ht="15.75" customHeight="1">
      <c r="A1083" s="179"/>
      <c r="B1083" s="180"/>
      <c r="C1083" s="180"/>
      <c r="D1083" s="179"/>
      <c r="E1083" s="179"/>
      <c r="F1083" s="179"/>
      <c r="G1083" s="179"/>
      <c r="H1083" s="181"/>
      <c r="I1083" s="181"/>
      <c r="J1083" s="181"/>
      <c r="K1083" s="179"/>
      <c r="L1083" s="179"/>
      <c r="M1083" s="179"/>
      <c r="N1083" s="181"/>
      <c r="O1083" s="179"/>
      <c r="P1083" s="179"/>
      <c r="Q1083" s="179"/>
      <c r="R1083" s="179"/>
      <c r="S1083" s="179"/>
      <c r="T1083" s="179"/>
      <c r="U1083" s="179"/>
      <c r="V1083" s="182"/>
      <c r="W1083" s="175"/>
      <c r="X1083" s="176"/>
    </row>
    <row r="1084" spans="1:24" ht="15.75" customHeight="1">
      <c r="A1084" s="179"/>
      <c r="B1084" s="180"/>
      <c r="C1084" s="180"/>
      <c r="D1084" s="179"/>
      <c r="E1084" s="179"/>
      <c r="F1084" s="179"/>
      <c r="G1084" s="179"/>
      <c r="H1084" s="181"/>
      <c r="I1084" s="181"/>
      <c r="J1084" s="181"/>
      <c r="K1084" s="179"/>
      <c r="L1084" s="179"/>
      <c r="M1084" s="179"/>
      <c r="N1084" s="181"/>
      <c r="O1084" s="179"/>
      <c r="P1084" s="179"/>
      <c r="Q1084" s="179"/>
      <c r="R1084" s="179"/>
      <c r="S1084" s="179"/>
      <c r="T1084" s="179"/>
      <c r="U1084" s="179"/>
      <c r="V1084" s="182"/>
      <c r="W1084" s="175"/>
      <c r="X1084" s="176"/>
    </row>
    <row r="1085" spans="1:24" ht="15.75" customHeight="1">
      <c r="A1085" s="179"/>
      <c r="B1085" s="180"/>
      <c r="C1085" s="180"/>
      <c r="D1085" s="179"/>
      <c r="E1085" s="179"/>
      <c r="F1085" s="179"/>
      <c r="G1085" s="179"/>
      <c r="H1085" s="181"/>
      <c r="I1085" s="181"/>
      <c r="J1085" s="181"/>
      <c r="K1085" s="179"/>
      <c r="L1085" s="179"/>
      <c r="M1085" s="179"/>
      <c r="N1085" s="181"/>
      <c r="O1085" s="179"/>
      <c r="P1085" s="179"/>
      <c r="Q1085" s="179"/>
      <c r="R1085" s="179"/>
      <c r="S1085" s="179"/>
      <c r="T1085" s="179"/>
      <c r="U1085" s="179"/>
      <c r="V1085" s="182"/>
      <c r="W1085" s="175"/>
      <c r="X1085" s="176"/>
    </row>
    <row r="1086" spans="1:24" ht="15.75" customHeight="1">
      <c r="A1086" s="179"/>
      <c r="B1086" s="180"/>
      <c r="C1086" s="180"/>
      <c r="D1086" s="179"/>
      <c r="E1086" s="179"/>
      <c r="F1086" s="179"/>
      <c r="G1086" s="179"/>
      <c r="H1086" s="181"/>
      <c r="I1086" s="181"/>
      <c r="J1086" s="181"/>
      <c r="K1086" s="179"/>
      <c r="L1086" s="179"/>
      <c r="M1086" s="179"/>
      <c r="N1086" s="181"/>
      <c r="O1086" s="179"/>
      <c r="P1086" s="179"/>
      <c r="Q1086" s="179"/>
      <c r="R1086" s="179"/>
      <c r="S1086" s="179"/>
      <c r="T1086" s="179"/>
      <c r="U1086" s="179"/>
      <c r="V1086" s="182"/>
      <c r="W1086" s="175"/>
      <c r="X1086" s="176"/>
    </row>
    <row r="1087" spans="1:24" ht="15.75" customHeight="1">
      <c r="A1087" s="179"/>
      <c r="B1087" s="180"/>
      <c r="C1087" s="180"/>
      <c r="D1087" s="179"/>
      <c r="E1087" s="179"/>
      <c r="F1087" s="179"/>
      <c r="G1087" s="179"/>
      <c r="H1087" s="181"/>
      <c r="I1087" s="181"/>
      <c r="J1087" s="181"/>
      <c r="K1087" s="179"/>
      <c r="L1087" s="179"/>
      <c r="M1087" s="179"/>
      <c r="N1087" s="181"/>
      <c r="O1087" s="179"/>
      <c r="P1087" s="179"/>
      <c r="Q1087" s="179"/>
      <c r="R1087" s="179"/>
      <c r="S1087" s="179"/>
      <c r="T1087" s="179"/>
      <c r="U1087" s="179"/>
      <c r="V1087" s="182"/>
      <c r="W1087" s="175"/>
      <c r="X1087" s="176"/>
    </row>
    <row r="1088" spans="1:24" ht="15.75" customHeight="1">
      <c r="A1088" s="179"/>
      <c r="B1088" s="180"/>
      <c r="C1088" s="180"/>
      <c r="D1088" s="179"/>
      <c r="E1088" s="179"/>
      <c r="F1088" s="179"/>
      <c r="G1088" s="179"/>
      <c r="H1088" s="181"/>
      <c r="I1088" s="181"/>
      <c r="J1088" s="181"/>
      <c r="K1088" s="179"/>
      <c r="L1088" s="179"/>
      <c r="M1088" s="179"/>
      <c r="N1088" s="181"/>
      <c r="O1088" s="179"/>
      <c r="P1088" s="179"/>
      <c r="Q1088" s="179"/>
      <c r="R1088" s="179"/>
      <c r="S1088" s="179"/>
      <c r="T1088" s="179"/>
      <c r="U1088" s="179"/>
      <c r="V1088" s="182"/>
      <c r="W1088" s="175"/>
      <c r="X1088" s="176"/>
    </row>
    <row r="1089" spans="1:24" ht="15.75" customHeight="1">
      <c r="A1089" s="179"/>
      <c r="B1089" s="180"/>
      <c r="C1089" s="180"/>
      <c r="D1089" s="179"/>
      <c r="E1089" s="179"/>
      <c r="F1089" s="179"/>
      <c r="G1089" s="179"/>
      <c r="H1089" s="181"/>
      <c r="I1089" s="181"/>
      <c r="J1089" s="181"/>
      <c r="K1089" s="179"/>
      <c r="L1089" s="179"/>
      <c r="M1089" s="179"/>
      <c r="N1089" s="181"/>
      <c r="O1089" s="179"/>
      <c r="P1089" s="179"/>
      <c r="Q1089" s="179"/>
      <c r="R1089" s="179"/>
      <c r="S1089" s="179"/>
      <c r="T1089" s="179"/>
      <c r="U1089" s="179"/>
      <c r="V1089" s="182"/>
      <c r="W1089" s="175"/>
      <c r="X1089" s="176"/>
    </row>
    <row r="1090" spans="1:24" ht="15.75" customHeight="1">
      <c r="A1090" s="179"/>
      <c r="B1090" s="180"/>
      <c r="C1090" s="180"/>
      <c r="D1090" s="179"/>
      <c r="E1090" s="179"/>
      <c r="F1090" s="179"/>
      <c r="G1090" s="179"/>
      <c r="H1090" s="181"/>
      <c r="I1090" s="181"/>
      <c r="J1090" s="181"/>
      <c r="K1090" s="179"/>
      <c r="L1090" s="179"/>
      <c r="M1090" s="179"/>
      <c r="N1090" s="181"/>
      <c r="O1090" s="179"/>
      <c r="P1090" s="179"/>
      <c r="Q1090" s="179"/>
      <c r="R1090" s="179"/>
      <c r="S1090" s="179"/>
      <c r="T1090" s="179"/>
      <c r="U1090" s="179"/>
      <c r="V1090" s="182"/>
      <c r="W1090" s="175"/>
      <c r="X1090" s="176"/>
    </row>
    <row r="1091" spans="1:24" ht="15.75" customHeight="1">
      <c r="A1091" s="179"/>
      <c r="B1091" s="180"/>
      <c r="C1091" s="180"/>
      <c r="D1091" s="179"/>
      <c r="E1091" s="179"/>
      <c r="F1091" s="179"/>
      <c r="G1091" s="179"/>
      <c r="H1091" s="181"/>
      <c r="I1091" s="181"/>
      <c r="J1091" s="181"/>
      <c r="K1091" s="179"/>
      <c r="L1091" s="179"/>
      <c r="M1091" s="179"/>
      <c r="N1091" s="181"/>
      <c r="O1091" s="179"/>
      <c r="P1091" s="179"/>
      <c r="Q1091" s="179"/>
      <c r="R1091" s="179"/>
      <c r="S1091" s="179"/>
      <c r="T1091" s="179"/>
      <c r="U1091" s="179"/>
      <c r="V1091" s="182"/>
      <c r="W1091" s="175"/>
      <c r="X1091" s="176"/>
    </row>
    <row r="1092" spans="1:24" ht="15.75" customHeight="1">
      <c r="A1092" s="179"/>
      <c r="B1092" s="180"/>
      <c r="C1092" s="180"/>
      <c r="D1092" s="179"/>
      <c r="E1092" s="179"/>
      <c r="F1092" s="179"/>
      <c r="G1092" s="179"/>
      <c r="H1092" s="181"/>
      <c r="I1092" s="181"/>
      <c r="J1092" s="181"/>
      <c r="K1092" s="179"/>
      <c r="L1092" s="179"/>
      <c r="M1092" s="179"/>
      <c r="N1092" s="181"/>
      <c r="O1092" s="179"/>
      <c r="P1092" s="179"/>
      <c r="Q1092" s="179"/>
      <c r="R1092" s="179"/>
      <c r="S1092" s="179"/>
      <c r="T1092" s="179"/>
      <c r="U1092" s="179"/>
      <c r="V1092" s="182"/>
      <c r="W1092" s="175"/>
      <c r="X1092" s="176"/>
    </row>
    <row r="1093" spans="1:24" ht="15.75" customHeight="1">
      <c r="A1093" s="179"/>
      <c r="B1093" s="180"/>
      <c r="C1093" s="180"/>
      <c r="D1093" s="179"/>
      <c r="E1093" s="179"/>
      <c r="F1093" s="179"/>
      <c r="G1093" s="179"/>
      <c r="H1093" s="181"/>
      <c r="I1093" s="181"/>
      <c r="J1093" s="181"/>
      <c r="K1093" s="179"/>
      <c r="L1093" s="179"/>
      <c r="M1093" s="179"/>
      <c r="N1093" s="181"/>
      <c r="O1093" s="179"/>
      <c r="P1093" s="179"/>
      <c r="Q1093" s="179"/>
      <c r="R1093" s="179"/>
      <c r="S1093" s="179"/>
      <c r="T1093" s="179"/>
      <c r="U1093" s="179"/>
      <c r="V1093" s="182"/>
      <c r="W1093" s="175"/>
      <c r="X1093" s="176"/>
    </row>
    <row r="1094" spans="1:24" ht="15.75" customHeight="1">
      <c r="A1094" s="179"/>
      <c r="B1094" s="180"/>
      <c r="C1094" s="180"/>
      <c r="D1094" s="179"/>
      <c r="E1094" s="179"/>
      <c r="F1094" s="179"/>
      <c r="G1094" s="179"/>
      <c r="H1094" s="181"/>
      <c r="I1094" s="181"/>
      <c r="J1094" s="181"/>
      <c r="K1094" s="179"/>
      <c r="L1094" s="179"/>
      <c r="M1094" s="179"/>
      <c r="N1094" s="181"/>
      <c r="O1094" s="179"/>
      <c r="P1094" s="179"/>
      <c r="Q1094" s="179"/>
      <c r="R1094" s="179"/>
      <c r="S1094" s="179"/>
      <c r="T1094" s="179"/>
      <c r="U1094" s="179"/>
      <c r="V1094" s="182"/>
      <c r="W1094" s="175"/>
      <c r="X1094" s="176"/>
    </row>
    <row r="1095" spans="1:24" ht="15.75" customHeight="1">
      <c r="A1095" s="179"/>
      <c r="B1095" s="180"/>
      <c r="C1095" s="180"/>
      <c r="D1095" s="179"/>
      <c r="E1095" s="179"/>
      <c r="F1095" s="179"/>
      <c r="G1095" s="179"/>
      <c r="H1095" s="181"/>
      <c r="I1095" s="181"/>
      <c r="J1095" s="181"/>
      <c r="K1095" s="179"/>
      <c r="L1095" s="179"/>
      <c r="M1095" s="179"/>
      <c r="N1095" s="181"/>
      <c r="O1095" s="179"/>
      <c r="P1095" s="179"/>
      <c r="Q1095" s="179"/>
      <c r="R1095" s="179"/>
      <c r="S1095" s="179"/>
      <c r="T1095" s="179"/>
      <c r="U1095" s="179"/>
      <c r="V1095" s="182"/>
      <c r="W1095" s="175"/>
      <c r="X1095" s="176"/>
    </row>
    <row r="1096" spans="1:24" ht="15.75" customHeight="1">
      <c r="A1096" s="179"/>
      <c r="B1096" s="180"/>
      <c r="C1096" s="180"/>
      <c r="D1096" s="179"/>
      <c r="E1096" s="179"/>
      <c r="F1096" s="179"/>
      <c r="G1096" s="179"/>
      <c r="H1096" s="181"/>
      <c r="I1096" s="181"/>
      <c r="J1096" s="181"/>
      <c r="K1096" s="179"/>
      <c r="L1096" s="179"/>
      <c r="M1096" s="179"/>
      <c r="N1096" s="181"/>
      <c r="O1096" s="179"/>
      <c r="P1096" s="179"/>
      <c r="Q1096" s="179"/>
      <c r="R1096" s="179"/>
      <c r="S1096" s="179"/>
      <c r="T1096" s="179"/>
      <c r="U1096" s="179"/>
      <c r="V1096" s="182"/>
      <c r="W1096" s="175"/>
      <c r="X1096" s="176"/>
    </row>
    <row r="1097" spans="1:24" ht="15.75" customHeight="1">
      <c r="A1097" s="179"/>
      <c r="B1097" s="180"/>
      <c r="C1097" s="180"/>
      <c r="D1097" s="179"/>
      <c r="E1097" s="179"/>
      <c r="F1097" s="179"/>
      <c r="G1097" s="179"/>
      <c r="H1097" s="181"/>
      <c r="I1097" s="181"/>
      <c r="J1097" s="181"/>
      <c r="K1097" s="179"/>
      <c r="L1097" s="179"/>
      <c r="M1097" s="179"/>
      <c r="N1097" s="181"/>
      <c r="O1097" s="179"/>
      <c r="P1097" s="179"/>
      <c r="Q1097" s="179"/>
      <c r="R1097" s="179"/>
      <c r="S1097" s="179"/>
      <c r="T1097" s="179"/>
      <c r="U1097" s="179"/>
      <c r="V1097" s="182"/>
      <c r="W1097" s="175"/>
      <c r="X1097" s="176"/>
    </row>
    <row r="1098" spans="1:24" ht="15.75" customHeight="1">
      <c r="A1098" s="179"/>
      <c r="B1098" s="180"/>
      <c r="C1098" s="180"/>
      <c r="D1098" s="179"/>
      <c r="E1098" s="179"/>
      <c r="F1098" s="179"/>
      <c r="G1098" s="179"/>
      <c r="H1098" s="181"/>
      <c r="I1098" s="181"/>
      <c r="J1098" s="181"/>
      <c r="K1098" s="179"/>
      <c r="L1098" s="179"/>
      <c r="M1098" s="179"/>
      <c r="N1098" s="181"/>
      <c r="O1098" s="179"/>
      <c r="P1098" s="179"/>
      <c r="Q1098" s="179"/>
      <c r="R1098" s="179"/>
      <c r="S1098" s="179"/>
      <c r="T1098" s="179"/>
      <c r="U1098" s="179"/>
      <c r="V1098" s="182"/>
      <c r="W1098" s="175"/>
      <c r="X1098" s="176"/>
    </row>
    <row r="1099" spans="1:24" ht="15.75" customHeight="1">
      <c r="A1099" s="179"/>
      <c r="B1099" s="180"/>
      <c r="C1099" s="180"/>
      <c r="D1099" s="179"/>
      <c r="E1099" s="179"/>
      <c r="F1099" s="179"/>
      <c r="G1099" s="179"/>
      <c r="H1099" s="181"/>
      <c r="I1099" s="181"/>
      <c r="J1099" s="181"/>
      <c r="K1099" s="179"/>
      <c r="L1099" s="179"/>
      <c r="M1099" s="179"/>
      <c r="N1099" s="181"/>
      <c r="O1099" s="179"/>
      <c r="P1099" s="179"/>
      <c r="Q1099" s="179"/>
      <c r="R1099" s="179"/>
      <c r="S1099" s="179"/>
      <c r="T1099" s="179"/>
      <c r="U1099" s="179"/>
      <c r="V1099" s="182"/>
      <c r="W1099" s="175"/>
      <c r="X1099" s="176"/>
    </row>
    <row r="1100" spans="1:24" ht="15.75" customHeight="1">
      <c r="A1100" s="179"/>
      <c r="B1100" s="180"/>
      <c r="C1100" s="180"/>
      <c r="D1100" s="179"/>
      <c r="E1100" s="179"/>
      <c r="F1100" s="179"/>
      <c r="G1100" s="179"/>
      <c r="H1100" s="181"/>
      <c r="I1100" s="181"/>
      <c r="J1100" s="181"/>
      <c r="K1100" s="179"/>
      <c r="L1100" s="179"/>
      <c r="M1100" s="179"/>
      <c r="N1100" s="181"/>
      <c r="O1100" s="179"/>
      <c r="P1100" s="179"/>
      <c r="Q1100" s="179"/>
      <c r="R1100" s="179"/>
      <c r="S1100" s="179"/>
      <c r="T1100" s="179"/>
      <c r="U1100" s="179"/>
      <c r="V1100" s="182"/>
      <c r="W1100" s="175"/>
      <c r="X1100" s="176"/>
    </row>
    <row r="1101" spans="1:24" ht="15.75" customHeight="1">
      <c r="A1101" s="179"/>
      <c r="B1101" s="180"/>
      <c r="C1101" s="180"/>
      <c r="D1101" s="179"/>
      <c r="E1101" s="179"/>
      <c r="F1101" s="179"/>
      <c r="G1101" s="179"/>
      <c r="H1101" s="181"/>
      <c r="I1101" s="181"/>
      <c r="J1101" s="181"/>
      <c r="K1101" s="179"/>
      <c r="L1101" s="179"/>
      <c r="M1101" s="179"/>
      <c r="N1101" s="181"/>
      <c r="O1101" s="179"/>
      <c r="P1101" s="179"/>
      <c r="Q1101" s="179"/>
      <c r="R1101" s="179"/>
      <c r="S1101" s="179"/>
      <c r="T1101" s="179"/>
      <c r="U1101" s="179"/>
      <c r="V1101" s="182"/>
      <c r="W1101" s="175"/>
      <c r="X1101" s="176"/>
    </row>
    <row r="1102" spans="1:24" ht="15.75" customHeight="1">
      <c r="A1102" s="179"/>
      <c r="B1102" s="180"/>
      <c r="C1102" s="180"/>
      <c r="D1102" s="179"/>
      <c r="E1102" s="179"/>
      <c r="F1102" s="179"/>
      <c r="G1102" s="179"/>
      <c r="H1102" s="181"/>
      <c r="I1102" s="181"/>
      <c r="J1102" s="181"/>
      <c r="K1102" s="179"/>
      <c r="L1102" s="179"/>
      <c r="M1102" s="179"/>
      <c r="N1102" s="181"/>
      <c r="O1102" s="179"/>
      <c r="P1102" s="179"/>
      <c r="Q1102" s="179"/>
      <c r="R1102" s="179"/>
      <c r="S1102" s="179"/>
      <c r="T1102" s="179"/>
      <c r="U1102" s="179"/>
      <c r="V1102" s="182"/>
      <c r="W1102" s="175"/>
      <c r="X1102" s="176"/>
    </row>
    <row r="1103" spans="1:24" ht="15.75" customHeight="1">
      <c r="A1103" s="179"/>
      <c r="B1103" s="180"/>
      <c r="C1103" s="180"/>
      <c r="D1103" s="179"/>
      <c r="E1103" s="179"/>
      <c r="F1103" s="179"/>
      <c r="G1103" s="179"/>
      <c r="H1103" s="181"/>
      <c r="I1103" s="181"/>
      <c r="J1103" s="181"/>
      <c r="K1103" s="179"/>
      <c r="L1103" s="179"/>
      <c r="M1103" s="179"/>
      <c r="N1103" s="181"/>
      <c r="O1103" s="179"/>
      <c r="P1103" s="179"/>
      <c r="Q1103" s="179"/>
      <c r="R1103" s="179"/>
      <c r="S1103" s="179"/>
      <c r="T1103" s="179"/>
      <c r="U1103" s="179"/>
      <c r="V1103" s="182"/>
      <c r="W1103" s="175"/>
      <c r="X1103" s="176"/>
    </row>
    <row r="1104" spans="1:24" ht="15.75" customHeight="1">
      <c r="A1104" s="179"/>
      <c r="B1104" s="180"/>
      <c r="C1104" s="180"/>
      <c r="D1104" s="179"/>
      <c r="E1104" s="179"/>
      <c r="F1104" s="179"/>
      <c r="G1104" s="179"/>
      <c r="H1104" s="181"/>
      <c r="I1104" s="181"/>
      <c r="J1104" s="181"/>
      <c r="K1104" s="179"/>
      <c r="L1104" s="179"/>
      <c r="M1104" s="179"/>
      <c r="N1104" s="181"/>
      <c r="O1104" s="179"/>
      <c r="P1104" s="179"/>
      <c r="Q1104" s="179"/>
      <c r="R1104" s="179"/>
      <c r="S1104" s="179"/>
      <c r="T1104" s="179"/>
      <c r="U1104" s="179"/>
      <c r="V1104" s="182"/>
      <c r="W1104" s="175"/>
      <c r="X1104" s="176"/>
    </row>
    <row r="1105" spans="1:24" ht="15.75" customHeight="1">
      <c r="A1105" s="179"/>
      <c r="B1105" s="180"/>
      <c r="C1105" s="180"/>
      <c r="D1105" s="179"/>
      <c r="E1105" s="179"/>
      <c r="F1105" s="179"/>
      <c r="G1105" s="179"/>
      <c r="H1105" s="181"/>
      <c r="I1105" s="181"/>
      <c r="J1105" s="181"/>
      <c r="K1105" s="179"/>
      <c r="L1105" s="179"/>
      <c r="M1105" s="179"/>
      <c r="N1105" s="181"/>
      <c r="O1105" s="179"/>
      <c r="P1105" s="179"/>
      <c r="Q1105" s="179"/>
      <c r="R1105" s="179"/>
      <c r="S1105" s="179"/>
      <c r="T1105" s="179"/>
      <c r="U1105" s="179"/>
      <c r="V1105" s="182"/>
      <c r="W1105" s="175"/>
      <c r="X1105" s="176"/>
    </row>
    <row r="1106" spans="1:24" ht="15.75" customHeight="1">
      <c r="A1106" s="179"/>
      <c r="B1106" s="180"/>
      <c r="C1106" s="180"/>
      <c r="D1106" s="179"/>
      <c r="E1106" s="179"/>
      <c r="F1106" s="179"/>
      <c r="G1106" s="179"/>
      <c r="H1106" s="181"/>
      <c r="I1106" s="181"/>
      <c r="J1106" s="181"/>
      <c r="K1106" s="179"/>
      <c r="L1106" s="179"/>
      <c r="M1106" s="179"/>
      <c r="N1106" s="181"/>
      <c r="O1106" s="179"/>
      <c r="P1106" s="179"/>
      <c r="Q1106" s="179"/>
      <c r="R1106" s="179"/>
      <c r="S1106" s="179"/>
      <c r="T1106" s="179"/>
      <c r="U1106" s="179"/>
      <c r="V1106" s="182"/>
      <c r="W1106" s="175"/>
      <c r="X1106" s="176"/>
    </row>
    <row r="1107" spans="1:24" ht="15.75" customHeight="1">
      <c r="A1107" s="179"/>
      <c r="B1107" s="180"/>
      <c r="C1107" s="180"/>
      <c r="D1107" s="179"/>
      <c r="E1107" s="179"/>
      <c r="F1107" s="179"/>
      <c r="G1107" s="179"/>
      <c r="H1107" s="181"/>
      <c r="I1107" s="181"/>
      <c r="J1107" s="181"/>
      <c r="K1107" s="179"/>
      <c r="L1107" s="179"/>
      <c r="M1107" s="179"/>
      <c r="N1107" s="181"/>
      <c r="O1107" s="179"/>
      <c r="P1107" s="179"/>
      <c r="Q1107" s="179"/>
      <c r="R1107" s="179"/>
      <c r="S1107" s="179"/>
      <c r="T1107" s="179"/>
      <c r="U1107" s="179"/>
      <c r="V1107" s="182"/>
      <c r="W1107" s="175"/>
      <c r="X1107" s="176"/>
    </row>
    <row r="1108" spans="1:24" ht="15.75" customHeight="1">
      <c r="A1108" s="179"/>
      <c r="B1108" s="180"/>
      <c r="C1108" s="180"/>
      <c r="D1108" s="179"/>
      <c r="E1108" s="179"/>
      <c r="F1108" s="179"/>
      <c r="G1108" s="179"/>
      <c r="H1108" s="181"/>
      <c r="I1108" s="181"/>
      <c r="J1108" s="181"/>
      <c r="K1108" s="179"/>
      <c r="L1108" s="179"/>
      <c r="M1108" s="179"/>
      <c r="N1108" s="181"/>
      <c r="O1108" s="179"/>
      <c r="P1108" s="179"/>
      <c r="Q1108" s="179"/>
      <c r="R1108" s="179"/>
      <c r="S1108" s="179"/>
      <c r="T1108" s="179"/>
      <c r="U1108" s="179"/>
      <c r="V1108" s="182"/>
      <c r="W1108" s="175"/>
      <c r="X1108" s="176"/>
    </row>
    <row r="1109" spans="1:24" ht="15.75" customHeight="1">
      <c r="A1109" s="179"/>
      <c r="B1109" s="180"/>
      <c r="C1109" s="180"/>
      <c r="D1109" s="179"/>
      <c r="E1109" s="179"/>
      <c r="F1109" s="179"/>
      <c r="G1109" s="179"/>
      <c r="H1109" s="181"/>
      <c r="I1109" s="181"/>
      <c r="J1109" s="181"/>
      <c r="K1109" s="179"/>
      <c r="L1109" s="179"/>
      <c r="M1109" s="179"/>
      <c r="N1109" s="181"/>
      <c r="O1109" s="179"/>
      <c r="P1109" s="179"/>
      <c r="Q1109" s="179"/>
      <c r="R1109" s="179"/>
      <c r="S1109" s="179"/>
      <c r="T1109" s="179"/>
      <c r="U1109" s="179"/>
      <c r="V1109" s="182"/>
      <c r="W1109" s="175"/>
      <c r="X1109" s="176"/>
    </row>
    <row r="1110" spans="1:24" ht="15.75" customHeight="1">
      <c r="A1110" s="179"/>
      <c r="B1110" s="180"/>
      <c r="C1110" s="180"/>
      <c r="D1110" s="179"/>
      <c r="E1110" s="179"/>
      <c r="F1110" s="179"/>
      <c r="G1110" s="179"/>
      <c r="H1110" s="181"/>
      <c r="I1110" s="181"/>
      <c r="J1110" s="181"/>
      <c r="K1110" s="179"/>
      <c r="L1110" s="179"/>
      <c r="M1110" s="179"/>
      <c r="N1110" s="181"/>
      <c r="O1110" s="179"/>
      <c r="P1110" s="179"/>
      <c r="Q1110" s="179"/>
      <c r="R1110" s="179"/>
      <c r="S1110" s="179"/>
      <c r="T1110" s="179"/>
      <c r="U1110" s="179"/>
      <c r="V1110" s="182"/>
      <c r="W1110" s="175"/>
      <c r="X1110" s="176"/>
    </row>
    <row r="1111" spans="1:24" ht="15.75" customHeight="1">
      <c r="A1111" s="179"/>
      <c r="B1111" s="180"/>
      <c r="C1111" s="180"/>
      <c r="D1111" s="179"/>
      <c r="E1111" s="179"/>
      <c r="F1111" s="179"/>
      <c r="G1111" s="179"/>
      <c r="H1111" s="181"/>
      <c r="I1111" s="181"/>
      <c r="J1111" s="181"/>
      <c r="K1111" s="179"/>
      <c r="L1111" s="179"/>
      <c r="M1111" s="179"/>
      <c r="N1111" s="181"/>
      <c r="O1111" s="179"/>
      <c r="P1111" s="179"/>
      <c r="Q1111" s="179"/>
      <c r="R1111" s="179"/>
      <c r="S1111" s="179"/>
      <c r="T1111" s="179"/>
      <c r="U1111" s="179"/>
      <c r="V1111" s="182"/>
      <c r="W1111" s="175"/>
      <c r="X1111" s="176"/>
    </row>
    <row r="1112" spans="1:24" ht="15.75" customHeight="1">
      <c r="A1112" s="179"/>
      <c r="B1112" s="180"/>
      <c r="C1112" s="180"/>
      <c r="D1112" s="179"/>
      <c r="E1112" s="179"/>
      <c r="F1112" s="179"/>
      <c r="G1112" s="179"/>
      <c r="H1112" s="181"/>
      <c r="I1112" s="181"/>
      <c r="J1112" s="181"/>
      <c r="K1112" s="179"/>
      <c r="L1112" s="179"/>
      <c r="M1112" s="179"/>
      <c r="N1112" s="181"/>
      <c r="O1112" s="179"/>
      <c r="P1112" s="179"/>
      <c r="Q1112" s="179"/>
      <c r="R1112" s="179"/>
      <c r="S1112" s="179"/>
      <c r="T1112" s="179"/>
      <c r="U1112" s="179"/>
      <c r="V1112" s="182"/>
      <c r="W1112" s="175"/>
      <c r="X1112" s="176"/>
    </row>
    <row r="1113" spans="1:24" ht="15.75" customHeight="1">
      <c r="A1113" s="179"/>
      <c r="B1113" s="180"/>
      <c r="C1113" s="180"/>
      <c r="D1113" s="179"/>
      <c r="E1113" s="179"/>
      <c r="F1113" s="179"/>
      <c r="G1113" s="179"/>
      <c r="H1113" s="181"/>
      <c r="I1113" s="181"/>
      <c r="J1113" s="181"/>
      <c r="K1113" s="179"/>
      <c r="L1113" s="179"/>
      <c r="M1113" s="179"/>
      <c r="N1113" s="181"/>
      <c r="O1113" s="179"/>
      <c r="P1113" s="179"/>
      <c r="Q1113" s="179"/>
      <c r="R1113" s="179"/>
      <c r="S1113" s="179"/>
      <c r="T1113" s="179"/>
      <c r="U1113" s="179"/>
      <c r="V1113" s="182"/>
      <c r="W1113" s="175"/>
      <c r="X1113" s="176"/>
    </row>
    <row r="1114" spans="1:24" ht="15.75" customHeight="1">
      <c r="A1114" s="179"/>
      <c r="B1114" s="180"/>
      <c r="C1114" s="180"/>
      <c r="D1114" s="179"/>
      <c r="E1114" s="179"/>
      <c r="F1114" s="179"/>
      <c r="G1114" s="179"/>
      <c r="H1114" s="181"/>
      <c r="I1114" s="181"/>
      <c r="J1114" s="181"/>
      <c r="K1114" s="179"/>
      <c r="L1114" s="179"/>
      <c r="M1114" s="179"/>
      <c r="N1114" s="181"/>
      <c r="O1114" s="179"/>
      <c r="P1114" s="179"/>
      <c r="Q1114" s="179"/>
      <c r="R1114" s="179"/>
      <c r="S1114" s="179"/>
      <c r="T1114" s="179"/>
      <c r="U1114" s="179"/>
      <c r="V1114" s="182"/>
      <c r="W1114" s="175"/>
      <c r="X1114" s="176"/>
    </row>
    <row r="1115" spans="1:24" ht="15.75" customHeight="1">
      <c r="A1115" s="179"/>
      <c r="B1115" s="180"/>
      <c r="C1115" s="180"/>
      <c r="D1115" s="179"/>
      <c r="E1115" s="179"/>
      <c r="F1115" s="179"/>
      <c r="G1115" s="179"/>
      <c r="H1115" s="181"/>
      <c r="I1115" s="181"/>
      <c r="J1115" s="181"/>
      <c r="K1115" s="179"/>
      <c r="L1115" s="179"/>
      <c r="M1115" s="179"/>
      <c r="N1115" s="181"/>
      <c r="O1115" s="179"/>
      <c r="P1115" s="179"/>
      <c r="Q1115" s="179"/>
      <c r="R1115" s="179"/>
      <c r="S1115" s="179"/>
      <c r="T1115" s="179"/>
      <c r="U1115" s="179"/>
      <c r="V1115" s="182"/>
      <c r="W1115" s="175"/>
      <c r="X1115" s="176"/>
    </row>
    <row r="1116" spans="1:24" ht="15.75" customHeight="1">
      <c r="A1116" s="179"/>
      <c r="B1116" s="180"/>
      <c r="C1116" s="180"/>
      <c r="D1116" s="179"/>
      <c r="E1116" s="179"/>
      <c r="F1116" s="179"/>
      <c r="G1116" s="179"/>
      <c r="H1116" s="181"/>
      <c r="I1116" s="181"/>
      <c r="J1116" s="181"/>
      <c r="K1116" s="179"/>
      <c r="L1116" s="179"/>
      <c r="M1116" s="179"/>
      <c r="N1116" s="181"/>
      <c r="O1116" s="179"/>
      <c r="P1116" s="179"/>
      <c r="Q1116" s="179"/>
      <c r="R1116" s="179"/>
      <c r="S1116" s="179"/>
      <c r="T1116" s="179"/>
      <c r="U1116" s="179"/>
      <c r="V1116" s="182"/>
      <c r="W1116" s="175"/>
      <c r="X1116" s="176"/>
    </row>
    <row r="1117" spans="1:24" ht="15.75" customHeight="1">
      <c r="A1117" s="179"/>
      <c r="B1117" s="180"/>
      <c r="C1117" s="180"/>
      <c r="D1117" s="179"/>
      <c r="E1117" s="179"/>
      <c r="F1117" s="179"/>
      <c r="G1117" s="179"/>
      <c r="H1117" s="181"/>
      <c r="I1117" s="181"/>
      <c r="J1117" s="181"/>
      <c r="K1117" s="179"/>
      <c r="L1117" s="179"/>
      <c r="M1117" s="179"/>
      <c r="N1117" s="181"/>
      <c r="O1117" s="179"/>
      <c r="P1117" s="179"/>
      <c r="Q1117" s="179"/>
      <c r="R1117" s="179"/>
      <c r="S1117" s="179"/>
      <c r="T1117" s="179"/>
      <c r="U1117" s="179"/>
      <c r="V1117" s="182"/>
      <c r="W1117" s="175"/>
      <c r="X1117" s="176"/>
    </row>
    <row r="1118" spans="1:24" ht="15.75" customHeight="1">
      <c r="A1118" s="179"/>
      <c r="B1118" s="180"/>
      <c r="C1118" s="180"/>
      <c r="D1118" s="179"/>
      <c r="E1118" s="179"/>
      <c r="F1118" s="179"/>
      <c r="G1118" s="179"/>
      <c r="H1118" s="181"/>
      <c r="I1118" s="181"/>
      <c r="J1118" s="181"/>
      <c r="K1118" s="179"/>
      <c r="L1118" s="179"/>
      <c r="M1118" s="179"/>
      <c r="N1118" s="181"/>
      <c r="O1118" s="179"/>
      <c r="P1118" s="179"/>
      <c r="Q1118" s="179"/>
      <c r="R1118" s="179"/>
      <c r="S1118" s="179"/>
      <c r="T1118" s="179"/>
      <c r="U1118" s="179"/>
      <c r="V1118" s="182"/>
      <c r="W1118" s="175"/>
      <c r="X1118" s="176"/>
    </row>
    <row r="1119" spans="1:24" ht="15.75" customHeight="1">
      <c r="A1119" s="179"/>
      <c r="B1119" s="180"/>
      <c r="C1119" s="180"/>
      <c r="D1119" s="179"/>
      <c r="E1119" s="179"/>
      <c r="F1119" s="179"/>
      <c r="G1119" s="179"/>
      <c r="H1119" s="181"/>
      <c r="I1119" s="181"/>
      <c r="J1119" s="181"/>
      <c r="K1119" s="179"/>
      <c r="L1119" s="179"/>
      <c r="M1119" s="179"/>
      <c r="N1119" s="181"/>
      <c r="O1119" s="179"/>
      <c r="P1119" s="179"/>
      <c r="Q1119" s="179"/>
      <c r="R1119" s="179"/>
      <c r="S1119" s="179"/>
      <c r="T1119" s="179"/>
      <c r="U1119" s="179"/>
      <c r="V1119" s="182"/>
      <c r="W1119" s="175"/>
      <c r="X1119" s="176"/>
    </row>
    <row r="1120" spans="1:24" ht="15.75" customHeight="1">
      <c r="A1120" s="179"/>
      <c r="B1120" s="180"/>
      <c r="C1120" s="180"/>
      <c r="D1120" s="179"/>
      <c r="E1120" s="179"/>
      <c r="F1120" s="179"/>
      <c r="G1120" s="179"/>
      <c r="H1120" s="181"/>
      <c r="I1120" s="181"/>
      <c r="J1120" s="181"/>
      <c r="K1120" s="179"/>
      <c r="L1120" s="179"/>
      <c r="M1120" s="179"/>
      <c r="N1120" s="181"/>
      <c r="O1120" s="179"/>
      <c r="P1120" s="179"/>
      <c r="Q1120" s="179"/>
      <c r="R1120" s="179"/>
      <c r="S1120" s="179"/>
      <c r="T1120" s="179"/>
      <c r="U1120" s="179"/>
      <c r="V1120" s="182"/>
      <c r="W1120" s="175"/>
      <c r="X1120" s="176"/>
    </row>
    <row r="1121" spans="1:24" ht="15.75" customHeight="1">
      <c r="A1121" s="179"/>
      <c r="B1121" s="180"/>
      <c r="C1121" s="180"/>
      <c r="D1121" s="179"/>
      <c r="E1121" s="179"/>
      <c r="F1121" s="179"/>
      <c r="G1121" s="179"/>
      <c r="H1121" s="181"/>
      <c r="I1121" s="181"/>
      <c r="J1121" s="181"/>
      <c r="K1121" s="179"/>
      <c r="L1121" s="179"/>
      <c r="M1121" s="179"/>
      <c r="N1121" s="181"/>
      <c r="O1121" s="179"/>
      <c r="P1121" s="179"/>
      <c r="Q1121" s="179"/>
      <c r="R1121" s="179"/>
      <c r="S1121" s="179"/>
      <c r="T1121" s="179"/>
      <c r="U1121" s="179"/>
      <c r="V1121" s="182"/>
      <c r="W1121" s="175"/>
      <c r="X1121" s="176"/>
    </row>
    <row r="1122" spans="1:24" ht="15.75" customHeight="1">
      <c r="A1122" s="179"/>
      <c r="B1122" s="180"/>
      <c r="C1122" s="180"/>
      <c r="D1122" s="179"/>
      <c r="E1122" s="179"/>
      <c r="F1122" s="179"/>
      <c r="G1122" s="179"/>
      <c r="H1122" s="181"/>
      <c r="I1122" s="181"/>
      <c r="J1122" s="181"/>
      <c r="K1122" s="179"/>
      <c r="L1122" s="179"/>
      <c r="M1122" s="179"/>
      <c r="N1122" s="181"/>
      <c r="O1122" s="179"/>
      <c r="P1122" s="179"/>
      <c r="Q1122" s="179"/>
      <c r="R1122" s="179"/>
      <c r="S1122" s="179"/>
      <c r="T1122" s="179"/>
      <c r="U1122" s="179"/>
      <c r="V1122" s="182"/>
      <c r="W1122" s="175"/>
      <c r="X1122" s="176"/>
    </row>
    <row r="1123" spans="1:24" ht="15.75" customHeight="1">
      <c r="A1123" s="179"/>
      <c r="B1123" s="180"/>
      <c r="C1123" s="180"/>
      <c r="D1123" s="179"/>
      <c r="E1123" s="179"/>
      <c r="F1123" s="179"/>
      <c r="G1123" s="179"/>
      <c r="H1123" s="181"/>
      <c r="I1123" s="181"/>
      <c r="J1123" s="181"/>
      <c r="K1123" s="179"/>
      <c r="L1123" s="179"/>
      <c r="M1123" s="179"/>
      <c r="N1123" s="181"/>
      <c r="O1123" s="179"/>
      <c r="P1123" s="179"/>
      <c r="Q1123" s="179"/>
      <c r="R1123" s="179"/>
      <c r="S1123" s="179"/>
      <c r="T1123" s="179"/>
      <c r="U1123" s="179"/>
      <c r="V1123" s="182"/>
      <c r="W1123" s="175"/>
      <c r="X1123" s="176"/>
    </row>
    <row r="1124" spans="1:24" ht="15.75" customHeight="1">
      <c r="A1124" s="179"/>
      <c r="B1124" s="180"/>
      <c r="C1124" s="180"/>
      <c r="D1124" s="179"/>
      <c r="E1124" s="179"/>
      <c r="F1124" s="179"/>
      <c r="G1124" s="179"/>
      <c r="H1124" s="181"/>
      <c r="I1124" s="181"/>
      <c r="J1124" s="181"/>
      <c r="K1124" s="179"/>
      <c r="L1124" s="179"/>
      <c r="M1124" s="179"/>
      <c r="N1124" s="181"/>
      <c r="O1124" s="179"/>
      <c r="P1124" s="179"/>
      <c r="Q1124" s="179"/>
      <c r="R1124" s="179"/>
      <c r="S1124" s="179"/>
      <c r="T1124" s="179"/>
      <c r="U1124" s="179"/>
      <c r="V1124" s="182"/>
      <c r="W1124" s="175"/>
      <c r="X1124" s="176"/>
    </row>
    <row r="1125" spans="1:24" ht="15.75" customHeight="1">
      <c r="A1125" s="179"/>
      <c r="B1125" s="180"/>
      <c r="C1125" s="180"/>
      <c r="D1125" s="179"/>
      <c r="E1125" s="179"/>
      <c r="F1125" s="179"/>
      <c r="G1125" s="179"/>
      <c r="H1125" s="181"/>
      <c r="I1125" s="181"/>
      <c r="J1125" s="181"/>
      <c r="K1125" s="179"/>
      <c r="L1125" s="179"/>
      <c r="M1125" s="179"/>
      <c r="N1125" s="181"/>
      <c r="O1125" s="179"/>
      <c r="P1125" s="179"/>
      <c r="Q1125" s="179"/>
      <c r="R1125" s="179"/>
      <c r="S1125" s="179"/>
      <c r="T1125" s="179"/>
      <c r="U1125" s="179"/>
      <c r="V1125" s="182"/>
      <c r="W1125" s="175"/>
      <c r="X1125" s="176"/>
    </row>
    <row r="1126" spans="1:24" ht="15.75" customHeight="1">
      <c r="A1126" s="179"/>
      <c r="B1126" s="180"/>
      <c r="C1126" s="180"/>
      <c r="D1126" s="179"/>
      <c r="E1126" s="179"/>
      <c r="F1126" s="179"/>
      <c r="G1126" s="179"/>
      <c r="H1126" s="181"/>
      <c r="I1126" s="181"/>
      <c r="J1126" s="181"/>
      <c r="K1126" s="179"/>
      <c r="L1126" s="179"/>
      <c r="M1126" s="179"/>
      <c r="N1126" s="181"/>
      <c r="O1126" s="179"/>
      <c r="P1126" s="179"/>
      <c r="Q1126" s="179"/>
      <c r="R1126" s="179"/>
      <c r="S1126" s="179"/>
      <c r="T1126" s="179"/>
      <c r="U1126" s="179"/>
      <c r="V1126" s="182"/>
      <c r="W1126" s="175"/>
      <c r="X1126" s="176"/>
    </row>
    <row r="1127" spans="1:24" ht="15.75" customHeight="1">
      <c r="A1127" s="179"/>
      <c r="B1127" s="180"/>
      <c r="C1127" s="180"/>
      <c r="D1127" s="179"/>
      <c r="E1127" s="179"/>
      <c r="F1127" s="179"/>
      <c r="G1127" s="179"/>
      <c r="H1127" s="181"/>
      <c r="I1127" s="181"/>
      <c r="J1127" s="181"/>
      <c r="K1127" s="179"/>
      <c r="L1127" s="179"/>
      <c r="M1127" s="179"/>
      <c r="N1127" s="181"/>
      <c r="O1127" s="179"/>
      <c r="P1127" s="179"/>
      <c r="Q1127" s="179"/>
      <c r="R1127" s="179"/>
      <c r="S1127" s="179"/>
      <c r="T1127" s="179"/>
      <c r="U1127" s="179"/>
      <c r="V1127" s="182"/>
      <c r="W1127" s="175"/>
      <c r="X1127" s="176"/>
    </row>
    <row r="1128" spans="1:24" ht="15.75" customHeight="1">
      <c r="A1128" s="179"/>
      <c r="B1128" s="180"/>
      <c r="C1128" s="180"/>
      <c r="D1128" s="179"/>
      <c r="E1128" s="179"/>
      <c r="F1128" s="179"/>
      <c r="G1128" s="179"/>
      <c r="H1128" s="181"/>
      <c r="I1128" s="181"/>
      <c r="J1128" s="181"/>
      <c r="K1128" s="179"/>
      <c r="L1128" s="179"/>
      <c r="M1128" s="179"/>
      <c r="N1128" s="181"/>
      <c r="O1128" s="179"/>
      <c r="P1128" s="179"/>
      <c r="Q1128" s="179"/>
      <c r="R1128" s="179"/>
      <c r="S1128" s="179"/>
      <c r="T1128" s="179"/>
      <c r="U1128" s="179"/>
      <c r="V1128" s="182"/>
      <c r="W1128" s="175"/>
      <c r="X1128" s="176"/>
    </row>
    <row r="1129" spans="1:24" ht="15.75" customHeight="1">
      <c r="A1129" s="179"/>
      <c r="B1129" s="180"/>
      <c r="C1129" s="180"/>
      <c r="D1129" s="179"/>
      <c r="E1129" s="179"/>
      <c r="F1129" s="179"/>
      <c r="G1129" s="179"/>
      <c r="H1129" s="181"/>
      <c r="I1129" s="181"/>
      <c r="J1129" s="181"/>
      <c r="K1129" s="179"/>
      <c r="L1129" s="179"/>
      <c r="M1129" s="179"/>
      <c r="N1129" s="181"/>
      <c r="O1129" s="179"/>
      <c r="P1129" s="179"/>
      <c r="Q1129" s="179"/>
      <c r="R1129" s="179"/>
      <c r="S1129" s="179"/>
      <c r="T1129" s="179"/>
      <c r="U1129" s="179"/>
      <c r="V1129" s="182"/>
      <c r="W1129" s="175"/>
      <c r="X1129" s="176"/>
    </row>
    <row r="1130" spans="1:24" ht="15.75" customHeight="1">
      <c r="A1130" s="179"/>
      <c r="B1130" s="180"/>
      <c r="C1130" s="180"/>
      <c r="D1130" s="179"/>
      <c r="E1130" s="179"/>
      <c r="F1130" s="179"/>
      <c r="G1130" s="179"/>
      <c r="H1130" s="181"/>
      <c r="I1130" s="181"/>
      <c r="J1130" s="181"/>
      <c r="K1130" s="179"/>
      <c r="L1130" s="179"/>
      <c r="M1130" s="179"/>
      <c r="N1130" s="181"/>
      <c r="O1130" s="179"/>
      <c r="P1130" s="179"/>
      <c r="Q1130" s="179"/>
      <c r="R1130" s="179"/>
      <c r="S1130" s="179"/>
      <c r="T1130" s="179"/>
      <c r="U1130" s="179"/>
      <c r="V1130" s="182"/>
      <c r="W1130" s="175"/>
      <c r="X1130" s="176"/>
    </row>
    <row r="1131" spans="1:24" ht="15.75" customHeight="1">
      <c r="A1131" s="179"/>
      <c r="B1131" s="180"/>
      <c r="C1131" s="180"/>
      <c r="D1131" s="179"/>
      <c r="E1131" s="179"/>
      <c r="F1131" s="179"/>
      <c r="G1131" s="179"/>
      <c r="H1131" s="181"/>
      <c r="I1131" s="181"/>
      <c r="J1131" s="181"/>
      <c r="K1131" s="179"/>
      <c r="L1131" s="179"/>
      <c r="M1131" s="179"/>
      <c r="N1131" s="181"/>
      <c r="O1131" s="179"/>
      <c r="P1131" s="179"/>
      <c r="Q1131" s="179"/>
      <c r="R1131" s="179"/>
      <c r="S1131" s="179"/>
      <c r="T1131" s="179"/>
      <c r="U1131" s="179"/>
      <c r="V1131" s="182"/>
      <c r="W1131" s="175"/>
      <c r="X1131" s="176"/>
    </row>
    <row r="1132" spans="1:24" ht="15.75" customHeight="1">
      <c r="A1132" s="179"/>
      <c r="B1132" s="180"/>
      <c r="C1132" s="180"/>
      <c r="D1132" s="179"/>
      <c r="E1132" s="179"/>
      <c r="F1132" s="179"/>
      <c r="G1132" s="179"/>
      <c r="H1132" s="181"/>
      <c r="I1132" s="181"/>
      <c r="J1132" s="181"/>
      <c r="K1132" s="179"/>
      <c r="L1132" s="179"/>
      <c r="M1132" s="179"/>
      <c r="N1132" s="181"/>
      <c r="O1132" s="179"/>
      <c r="P1132" s="179"/>
      <c r="Q1132" s="179"/>
      <c r="R1132" s="179"/>
      <c r="S1132" s="179"/>
      <c r="T1132" s="179"/>
      <c r="U1132" s="179"/>
      <c r="V1132" s="182"/>
      <c r="W1132" s="175"/>
      <c r="X1132" s="176"/>
    </row>
    <row r="1133" spans="1:24" ht="15.75" customHeight="1">
      <c r="A1133" s="179"/>
      <c r="B1133" s="180"/>
      <c r="C1133" s="180"/>
      <c r="D1133" s="179"/>
      <c r="E1133" s="179"/>
      <c r="F1133" s="179"/>
      <c r="G1133" s="179"/>
      <c r="H1133" s="181"/>
      <c r="I1133" s="181"/>
      <c r="J1133" s="181"/>
      <c r="K1133" s="179"/>
      <c r="L1133" s="179"/>
      <c r="M1133" s="179"/>
      <c r="N1133" s="181"/>
      <c r="O1133" s="179"/>
      <c r="P1133" s="179"/>
      <c r="Q1133" s="179"/>
      <c r="R1133" s="179"/>
      <c r="S1133" s="179"/>
      <c r="T1133" s="179"/>
      <c r="U1133" s="179"/>
      <c r="V1133" s="182"/>
      <c r="W1133" s="175"/>
      <c r="X1133" s="176"/>
    </row>
    <row r="1134" spans="1:24" ht="15.75" customHeight="1">
      <c r="A1134" s="179"/>
      <c r="B1134" s="180"/>
      <c r="C1134" s="180"/>
      <c r="D1134" s="179"/>
      <c r="E1134" s="179"/>
      <c r="F1134" s="179"/>
      <c r="G1134" s="179"/>
      <c r="H1134" s="181"/>
      <c r="I1134" s="181"/>
      <c r="J1134" s="181"/>
      <c r="K1134" s="179"/>
      <c r="L1134" s="179"/>
      <c r="M1134" s="179"/>
      <c r="N1134" s="181"/>
      <c r="O1134" s="179"/>
      <c r="P1134" s="179"/>
      <c r="Q1134" s="179"/>
      <c r="R1134" s="179"/>
      <c r="S1134" s="179"/>
      <c r="T1134" s="179"/>
      <c r="U1134" s="179"/>
      <c r="V1134" s="182"/>
      <c r="W1134" s="175"/>
      <c r="X1134" s="176"/>
    </row>
    <row r="1135" spans="1:24" ht="15.75" customHeight="1">
      <c r="A1135" s="179"/>
      <c r="B1135" s="180"/>
      <c r="C1135" s="180"/>
      <c r="D1135" s="179"/>
      <c r="E1135" s="179"/>
      <c r="F1135" s="179"/>
      <c r="G1135" s="179"/>
      <c r="H1135" s="181"/>
      <c r="I1135" s="181"/>
      <c r="J1135" s="181"/>
      <c r="K1135" s="179"/>
      <c r="L1135" s="179"/>
      <c r="M1135" s="179"/>
      <c r="N1135" s="181"/>
      <c r="O1135" s="179"/>
      <c r="P1135" s="179"/>
      <c r="Q1135" s="179"/>
      <c r="R1135" s="179"/>
      <c r="S1135" s="179"/>
      <c r="T1135" s="179"/>
      <c r="U1135" s="179"/>
      <c r="V1135" s="182"/>
      <c r="W1135" s="175"/>
      <c r="X1135" s="176"/>
    </row>
    <row r="1136" spans="1:24" ht="15.75" customHeight="1">
      <c r="A1136" s="179"/>
      <c r="B1136" s="180"/>
      <c r="C1136" s="180"/>
      <c r="D1136" s="179"/>
      <c r="E1136" s="179"/>
      <c r="F1136" s="179"/>
      <c r="G1136" s="179"/>
      <c r="H1136" s="181"/>
      <c r="I1136" s="181"/>
      <c r="J1136" s="181"/>
      <c r="K1136" s="179"/>
      <c r="L1136" s="179"/>
      <c r="M1136" s="179"/>
      <c r="N1136" s="181"/>
      <c r="O1136" s="179"/>
      <c r="P1136" s="179"/>
      <c r="Q1136" s="179"/>
      <c r="R1136" s="179"/>
      <c r="S1136" s="179"/>
      <c r="T1136" s="179"/>
      <c r="U1136" s="179"/>
      <c r="V1136" s="182"/>
      <c r="W1136" s="175"/>
      <c r="X1136" s="176"/>
    </row>
    <row r="1137" spans="1:24" ht="15.75" customHeight="1">
      <c r="A1137" s="179"/>
      <c r="B1137" s="180"/>
      <c r="C1137" s="180"/>
      <c r="D1137" s="179"/>
      <c r="E1137" s="179"/>
      <c r="F1137" s="179"/>
      <c r="G1137" s="179"/>
      <c r="H1137" s="181"/>
      <c r="I1137" s="181"/>
      <c r="J1137" s="181"/>
      <c r="K1137" s="179"/>
      <c r="L1137" s="179"/>
      <c r="M1137" s="179"/>
      <c r="N1137" s="181"/>
      <c r="O1137" s="179"/>
      <c r="P1137" s="179"/>
      <c r="Q1137" s="179"/>
      <c r="R1137" s="179"/>
      <c r="S1137" s="179"/>
      <c r="T1137" s="179"/>
      <c r="U1137" s="179"/>
      <c r="V1137" s="182"/>
      <c r="W1137" s="175"/>
      <c r="X1137" s="176"/>
    </row>
    <row r="1138" spans="1:24" ht="15.75" customHeight="1">
      <c r="A1138" s="179"/>
      <c r="B1138" s="180"/>
      <c r="C1138" s="180"/>
      <c r="D1138" s="179"/>
      <c r="E1138" s="179"/>
      <c r="F1138" s="179"/>
      <c r="G1138" s="179"/>
      <c r="H1138" s="181"/>
      <c r="I1138" s="181"/>
      <c r="J1138" s="181"/>
      <c r="K1138" s="179"/>
      <c r="L1138" s="179"/>
      <c r="M1138" s="179"/>
      <c r="N1138" s="181"/>
      <c r="O1138" s="179"/>
      <c r="P1138" s="179"/>
      <c r="Q1138" s="179"/>
      <c r="R1138" s="179"/>
      <c r="S1138" s="179"/>
      <c r="T1138" s="179"/>
      <c r="U1138" s="179"/>
      <c r="V1138" s="182"/>
      <c r="W1138" s="175"/>
      <c r="X1138" s="176"/>
    </row>
    <row r="1139" spans="1:24" ht="15.75" customHeight="1">
      <c r="A1139" s="179"/>
      <c r="B1139" s="180"/>
      <c r="C1139" s="180"/>
      <c r="D1139" s="179"/>
      <c r="E1139" s="179"/>
      <c r="F1139" s="179"/>
      <c r="G1139" s="179"/>
      <c r="H1139" s="181"/>
      <c r="I1139" s="181"/>
      <c r="J1139" s="181"/>
      <c r="K1139" s="179"/>
      <c r="L1139" s="179"/>
      <c r="M1139" s="179"/>
      <c r="N1139" s="181"/>
      <c r="O1139" s="179"/>
      <c r="P1139" s="179"/>
      <c r="Q1139" s="179"/>
      <c r="R1139" s="179"/>
      <c r="S1139" s="179"/>
      <c r="T1139" s="179"/>
      <c r="U1139" s="179"/>
      <c r="V1139" s="182"/>
      <c r="W1139" s="175"/>
      <c r="X1139" s="176"/>
    </row>
    <row r="1140" spans="1:24" ht="15.75" customHeight="1">
      <c r="A1140" s="179"/>
      <c r="B1140" s="180"/>
      <c r="C1140" s="180"/>
      <c r="D1140" s="179"/>
      <c r="E1140" s="179"/>
      <c r="F1140" s="179"/>
      <c r="G1140" s="179"/>
      <c r="H1140" s="181"/>
      <c r="I1140" s="181"/>
      <c r="J1140" s="181"/>
      <c r="K1140" s="179"/>
      <c r="L1140" s="179"/>
      <c r="M1140" s="179"/>
      <c r="N1140" s="181"/>
      <c r="O1140" s="179"/>
      <c r="P1140" s="179"/>
      <c r="Q1140" s="179"/>
      <c r="R1140" s="179"/>
      <c r="S1140" s="179"/>
      <c r="T1140" s="179"/>
      <c r="U1140" s="179"/>
      <c r="V1140" s="182"/>
      <c r="W1140" s="175"/>
      <c r="X1140" s="176"/>
    </row>
    <row r="1141" spans="1:24" ht="15.75" customHeight="1">
      <c r="A1141" s="179"/>
      <c r="B1141" s="180"/>
      <c r="C1141" s="180"/>
      <c r="D1141" s="179"/>
      <c r="E1141" s="179"/>
      <c r="F1141" s="179"/>
      <c r="G1141" s="179"/>
      <c r="H1141" s="181"/>
      <c r="I1141" s="181"/>
      <c r="J1141" s="181"/>
      <c r="K1141" s="179"/>
      <c r="L1141" s="179"/>
      <c r="M1141" s="179"/>
      <c r="N1141" s="181"/>
      <c r="O1141" s="179"/>
      <c r="P1141" s="179"/>
      <c r="Q1141" s="179"/>
      <c r="R1141" s="179"/>
      <c r="S1141" s="179"/>
      <c r="T1141" s="179"/>
      <c r="U1141" s="179"/>
      <c r="V1141" s="182"/>
      <c r="W1141" s="175"/>
      <c r="X1141" s="176"/>
    </row>
    <row r="1142" spans="1:24" ht="15.75" customHeight="1">
      <c r="A1142" s="179"/>
      <c r="B1142" s="180"/>
      <c r="C1142" s="180"/>
      <c r="D1142" s="179"/>
      <c r="E1142" s="179"/>
      <c r="F1142" s="179"/>
      <c r="G1142" s="179"/>
      <c r="H1142" s="181"/>
      <c r="I1142" s="181"/>
      <c r="J1142" s="181"/>
      <c r="K1142" s="179"/>
      <c r="L1142" s="179"/>
      <c r="M1142" s="179"/>
      <c r="N1142" s="181"/>
      <c r="O1142" s="179"/>
      <c r="P1142" s="179"/>
      <c r="Q1142" s="179"/>
      <c r="R1142" s="179"/>
      <c r="S1142" s="179"/>
      <c r="T1142" s="179"/>
      <c r="U1142" s="179"/>
      <c r="V1142" s="182"/>
      <c r="W1142" s="175"/>
      <c r="X1142" s="176"/>
    </row>
    <row r="1143" spans="1:24" ht="15.75" customHeight="1">
      <c r="A1143" s="179"/>
      <c r="B1143" s="180"/>
      <c r="C1143" s="180"/>
      <c r="D1143" s="179"/>
      <c r="E1143" s="179"/>
      <c r="F1143" s="179"/>
      <c r="G1143" s="179"/>
      <c r="H1143" s="181"/>
      <c r="I1143" s="181"/>
      <c r="J1143" s="181"/>
      <c r="K1143" s="179"/>
      <c r="L1143" s="179"/>
      <c r="M1143" s="179"/>
      <c r="N1143" s="181"/>
      <c r="O1143" s="179"/>
      <c r="P1143" s="179"/>
      <c r="Q1143" s="179"/>
      <c r="R1143" s="179"/>
      <c r="S1143" s="179"/>
      <c r="T1143" s="179"/>
      <c r="U1143" s="179"/>
      <c r="V1143" s="182"/>
      <c r="W1143" s="175"/>
      <c r="X1143" s="176"/>
    </row>
    <row r="1144" spans="1:24" ht="15.75" customHeight="1">
      <c r="A1144" s="179"/>
      <c r="B1144" s="180"/>
      <c r="C1144" s="180"/>
      <c r="D1144" s="179"/>
      <c r="E1144" s="179"/>
      <c r="F1144" s="179"/>
      <c r="G1144" s="179"/>
      <c r="H1144" s="181"/>
      <c r="I1144" s="181"/>
      <c r="J1144" s="181"/>
      <c r="K1144" s="179"/>
      <c r="L1144" s="179"/>
      <c r="M1144" s="179"/>
      <c r="N1144" s="181"/>
      <c r="O1144" s="179"/>
      <c r="P1144" s="179"/>
      <c r="Q1144" s="179"/>
      <c r="R1144" s="179"/>
      <c r="S1144" s="179"/>
      <c r="T1144" s="179"/>
      <c r="U1144" s="179"/>
      <c r="V1144" s="182"/>
      <c r="W1144" s="175"/>
      <c r="X1144" s="176"/>
    </row>
    <row r="1145" spans="1:24" ht="15.75" customHeight="1">
      <c r="A1145" s="179"/>
      <c r="B1145" s="180"/>
      <c r="C1145" s="180"/>
      <c r="D1145" s="179"/>
      <c r="E1145" s="179"/>
      <c r="F1145" s="179"/>
      <c r="G1145" s="179"/>
      <c r="H1145" s="181"/>
      <c r="I1145" s="181"/>
      <c r="J1145" s="181"/>
      <c r="K1145" s="179"/>
      <c r="L1145" s="179"/>
      <c r="M1145" s="179"/>
      <c r="N1145" s="181"/>
      <c r="O1145" s="179"/>
      <c r="P1145" s="179"/>
      <c r="Q1145" s="179"/>
      <c r="R1145" s="179"/>
      <c r="S1145" s="179"/>
      <c r="T1145" s="179"/>
      <c r="U1145" s="179"/>
      <c r="V1145" s="182"/>
      <c r="W1145" s="175"/>
      <c r="X1145" s="176"/>
    </row>
    <row r="1146" spans="1:24" ht="15.75" customHeight="1">
      <c r="A1146" s="179"/>
      <c r="B1146" s="180"/>
      <c r="C1146" s="180"/>
      <c r="D1146" s="179"/>
      <c r="E1146" s="179"/>
      <c r="F1146" s="179"/>
      <c r="G1146" s="179"/>
      <c r="H1146" s="181"/>
      <c r="I1146" s="181"/>
      <c r="J1146" s="181"/>
      <c r="K1146" s="179"/>
      <c r="L1146" s="179"/>
      <c r="M1146" s="179"/>
      <c r="N1146" s="181"/>
      <c r="O1146" s="179"/>
      <c r="P1146" s="179"/>
      <c r="Q1146" s="179"/>
      <c r="R1146" s="179"/>
      <c r="S1146" s="179"/>
      <c r="T1146" s="179"/>
      <c r="U1146" s="179"/>
      <c r="V1146" s="182"/>
      <c r="W1146" s="175"/>
      <c r="X1146" s="176"/>
    </row>
    <row r="1147" spans="1:24" ht="15.75" customHeight="1">
      <c r="A1147" s="179"/>
      <c r="B1147" s="180"/>
      <c r="C1147" s="180"/>
      <c r="D1147" s="179"/>
      <c r="E1147" s="179"/>
      <c r="F1147" s="179"/>
      <c r="G1147" s="179"/>
      <c r="H1147" s="181"/>
      <c r="I1147" s="181"/>
      <c r="J1147" s="181"/>
      <c r="K1147" s="179"/>
      <c r="L1147" s="179"/>
      <c r="M1147" s="179"/>
      <c r="N1147" s="181"/>
      <c r="O1147" s="179"/>
      <c r="P1147" s="179"/>
      <c r="Q1147" s="179"/>
      <c r="R1147" s="179"/>
      <c r="S1147" s="179"/>
      <c r="T1147" s="179"/>
      <c r="U1147" s="179"/>
      <c r="V1147" s="182"/>
      <c r="W1147" s="175"/>
      <c r="X1147" s="176"/>
    </row>
    <row r="1148" spans="1:24" ht="15.75" customHeight="1">
      <c r="A1148" s="179"/>
      <c r="B1148" s="180"/>
      <c r="C1148" s="180"/>
      <c r="D1148" s="179"/>
      <c r="E1148" s="179"/>
      <c r="F1148" s="179"/>
      <c r="G1148" s="179"/>
      <c r="H1148" s="181"/>
      <c r="I1148" s="181"/>
      <c r="J1148" s="181"/>
      <c r="K1148" s="179"/>
      <c r="L1148" s="179"/>
      <c r="M1148" s="179"/>
      <c r="N1148" s="181"/>
      <c r="O1148" s="179"/>
      <c r="P1148" s="179"/>
      <c r="Q1148" s="179"/>
      <c r="R1148" s="179"/>
      <c r="S1148" s="179"/>
      <c r="T1148" s="179"/>
      <c r="U1148" s="179"/>
      <c r="V1148" s="182"/>
      <c r="W1148" s="175"/>
      <c r="X1148" s="176"/>
    </row>
    <row r="1149" spans="1:24" ht="15.75" customHeight="1">
      <c r="A1149" s="179"/>
      <c r="B1149" s="180"/>
      <c r="C1149" s="180"/>
      <c r="D1149" s="179"/>
      <c r="E1149" s="179"/>
      <c r="F1149" s="179"/>
      <c r="G1149" s="179"/>
      <c r="H1149" s="181"/>
      <c r="I1149" s="181"/>
      <c r="J1149" s="181"/>
      <c r="K1149" s="179"/>
      <c r="L1149" s="179"/>
      <c r="M1149" s="179"/>
      <c r="N1149" s="181"/>
      <c r="O1149" s="179"/>
      <c r="P1149" s="179"/>
      <c r="Q1149" s="179"/>
      <c r="R1149" s="179"/>
      <c r="S1149" s="179"/>
      <c r="T1149" s="179"/>
      <c r="U1149" s="179"/>
      <c r="V1149" s="182"/>
      <c r="W1149" s="175"/>
      <c r="X1149" s="176"/>
    </row>
    <row r="1150" spans="1:24" ht="15.75" customHeight="1">
      <c r="A1150" s="179"/>
      <c r="B1150" s="180"/>
      <c r="C1150" s="180"/>
      <c r="D1150" s="179"/>
      <c r="E1150" s="179"/>
      <c r="F1150" s="179"/>
      <c r="G1150" s="179"/>
      <c r="H1150" s="181"/>
      <c r="I1150" s="181"/>
      <c r="J1150" s="181"/>
      <c r="K1150" s="179"/>
      <c r="L1150" s="179"/>
      <c r="M1150" s="179"/>
      <c r="N1150" s="181"/>
      <c r="O1150" s="179"/>
      <c r="P1150" s="179"/>
      <c r="Q1150" s="179"/>
      <c r="R1150" s="179"/>
      <c r="S1150" s="179"/>
      <c r="T1150" s="179"/>
      <c r="U1150" s="179"/>
      <c r="V1150" s="182"/>
      <c r="W1150" s="175"/>
      <c r="X1150" s="176"/>
    </row>
    <row r="1151" spans="1:24" ht="15.75" customHeight="1">
      <c r="A1151" s="179"/>
      <c r="B1151" s="180"/>
      <c r="C1151" s="180"/>
      <c r="D1151" s="179"/>
      <c r="E1151" s="179"/>
      <c r="F1151" s="179"/>
      <c r="G1151" s="179"/>
      <c r="H1151" s="181"/>
      <c r="I1151" s="181"/>
      <c r="J1151" s="181"/>
      <c r="K1151" s="179"/>
      <c r="L1151" s="179"/>
      <c r="M1151" s="179"/>
      <c r="N1151" s="181"/>
      <c r="O1151" s="179"/>
      <c r="P1151" s="179"/>
      <c r="Q1151" s="179"/>
      <c r="R1151" s="179"/>
      <c r="S1151" s="179"/>
      <c r="T1151" s="179"/>
      <c r="U1151" s="179"/>
      <c r="V1151" s="182"/>
      <c r="W1151" s="175"/>
      <c r="X1151" s="176"/>
    </row>
    <row r="1152" spans="1:24" ht="15.75" customHeight="1">
      <c r="A1152" s="179"/>
      <c r="B1152" s="180"/>
      <c r="C1152" s="180"/>
      <c r="D1152" s="179"/>
      <c r="E1152" s="179"/>
      <c r="F1152" s="179"/>
      <c r="G1152" s="179"/>
      <c r="H1152" s="181"/>
      <c r="I1152" s="181"/>
      <c r="J1152" s="181"/>
      <c r="K1152" s="179"/>
      <c r="L1152" s="179"/>
      <c r="M1152" s="179"/>
      <c r="N1152" s="181"/>
      <c r="O1152" s="179"/>
      <c r="P1152" s="179"/>
      <c r="Q1152" s="179"/>
      <c r="R1152" s="179"/>
      <c r="S1152" s="179"/>
      <c r="T1152" s="179"/>
      <c r="U1152" s="179"/>
      <c r="V1152" s="182"/>
      <c r="W1152" s="175"/>
      <c r="X1152" s="176"/>
    </row>
    <row r="1153" spans="1:24" ht="15.75" customHeight="1">
      <c r="A1153" s="179"/>
      <c r="B1153" s="180"/>
      <c r="C1153" s="180"/>
      <c r="D1153" s="179"/>
      <c r="E1153" s="179"/>
      <c r="F1153" s="179"/>
      <c r="G1153" s="179"/>
      <c r="H1153" s="181"/>
      <c r="I1153" s="181"/>
      <c r="J1153" s="181"/>
      <c r="K1153" s="179"/>
      <c r="L1153" s="179"/>
      <c r="M1153" s="179"/>
      <c r="N1153" s="181"/>
      <c r="O1153" s="179"/>
      <c r="P1153" s="179"/>
      <c r="Q1153" s="179"/>
      <c r="R1153" s="179"/>
      <c r="S1153" s="179"/>
      <c r="T1153" s="179"/>
      <c r="U1153" s="179"/>
      <c r="V1153" s="182"/>
      <c r="W1153" s="175"/>
      <c r="X1153" s="176"/>
    </row>
  </sheetData>
  <hyperlinks>
    <hyperlink ref="B6" r:id="rId1" xr:uid="{00000000-0004-0000-2700-000000000000}"/>
    <hyperlink ref="C6" r:id="rId2" xr:uid="{00000000-0004-0000-2700-000001000000}"/>
    <hyperlink ref="B7" r:id="rId3" xr:uid="{00000000-0004-0000-2700-000002000000}"/>
    <hyperlink ref="C7" r:id="rId4" xr:uid="{00000000-0004-0000-2700-000003000000}"/>
    <hyperlink ref="B8" r:id="rId5" xr:uid="{00000000-0004-0000-2700-000004000000}"/>
    <hyperlink ref="C8" r:id="rId6" xr:uid="{00000000-0004-0000-2700-000005000000}"/>
    <hyperlink ref="B9" r:id="rId7" xr:uid="{00000000-0004-0000-2700-000006000000}"/>
    <hyperlink ref="C9" r:id="rId8" xr:uid="{00000000-0004-0000-2700-000007000000}"/>
    <hyperlink ref="B10" r:id="rId9" xr:uid="{00000000-0004-0000-2700-000008000000}"/>
    <hyperlink ref="C10" r:id="rId10" xr:uid="{00000000-0004-0000-2700-000009000000}"/>
    <hyperlink ref="B11" r:id="rId11" xr:uid="{00000000-0004-0000-2700-00000A000000}"/>
    <hyperlink ref="C11" r:id="rId12" xr:uid="{00000000-0004-0000-2700-00000B000000}"/>
    <hyperlink ref="B12" r:id="rId13" xr:uid="{00000000-0004-0000-2700-00000C000000}"/>
    <hyperlink ref="C12" r:id="rId14" xr:uid="{00000000-0004-0000-2700-00000D000000}"/>
    <hyperlink ref="B13" r:id="rId15" xr:uid="{00000000-0004-0000-2700-00000E000000}"/>
    <hyperlink ref="C13" r:id="rId16" xr:uid="{00000000-0004-0000-2700-00000F000000}"/>
    <hyperlink ref="B14" r:id="rId17" xr:uid="{00000000-0004-0000-2700-000010000000}"/>
    <hyperlink ref="C14" r:id="rId18" xr:uid="{00000000-0004-0000-2700-000011000000}"/>
    <hyperlink ref="B15" r:id="rId19" xr:uid="{00000000-0004-0000-2700-000012000000}"/>
    <hyperlink ref="C15" r:id="rId20" xr:uid="{00000000-0004-0000-2700-000013000000}"/>
    <hyperlink ref="B16" r:id="rId21" xr:uid="{00000000-0004-0000-2700-000014000000}"/>
    <hyperlink ref="C16" r:id="rId22" xr:uid="{00000000-0004-0000-2700-000015000000}"/>
    <hyperlink ref="B17" r:id="rId23" xr:uid="{00000000-0004-0000-2700-000016000000}"/>
    <hyperlink ref="C17" r:id="rId24" xr:uid="{00000000-0004-0000-2700-000017000000}"/>
    <hyperlink ref="B18" r:id="rId25" xr:uid="{00000000-0004-0000-2700-000018000000}"/>
    <hyperlink ref="C18" r:id="rId26" xr:uid="{00000000-0004-0000-2700-000019000000}"/>
    <hyperlink ref="B19" r:id="rId27" xr:uid="{00000000-0004-0000-2700-00001A000000}"/>
    <hyperlink ref="C19" r:id="rId28" xr:uid="{00000000-0004-0000-2700-00001B000000}"/>
    <hyperlink ref="B20" r:id="rId29" xr:uid="{00000000-0004-0000-2700-00001C000000}"/>
    <hyperlink ref="C20" r:id="rId30" xr:uid="{00000000-0004-0000-2700-00001D000000}"/>
    <hyperlink ref="B21" r:id="rId31" xr:uid="{00000000-0004-0000-2700-00001E000000}"/>
    <hyperlink ref="C21" r:id="rId32" xr:uid="{00000000-0004-0000-2700-00001F000000}"/>
    <hyperlink ref="B22" r:id="rId33" xr:uid="{00000000-0004-0000-2700-000020000000}"/>
    <hyperlink ref="C22" r:id="rId34" xr:uid="{00000000-0004-0000-2700-000021000000}"/>
    <hyperlink ref="B23" r:id="rId35" xr:uid="{00000000-0004-0000-2700-000022000000}"/>
    <hyperlink ref="C23" r:id="rId36" xr:uid="{00000000-0004-0000-2700-000023000000}"/>
    <hyperlink ref="B24" r:id="rId37" xr:uid="{00000000-0004-0000-2700-000024000000}"/>
    <hyperlink ref="C24" r:id="rId38" xr:uid="{00000000-0004-0000-2700-000025000000}"/>
    <hyperlink ref="B25" r:id="rId39" xr:uid="{00000000-0004-0000-2700-000026000000}"/>
    <hyperlink ref="C25" r:id="rId40" xr:uid="{00000000-0004-0000-2700-000027000000}"/>
    <hyperlink ref="B26" r:id="rId41" xr:uid="{00000000-0004-0000-2700-000028000000}"/>
    <hyperlink ref="C26" r:id="rId42" xr:uid="{00000000-0004-0000-2700-000029000000}"/>
    <hyperlink ref="B27" r:id="rId43" xr:uid="{00000000-0004-0000-2700-00002A000000}"/>
    <hyperlink ref="C27" r:id="rId44" xr:uid="{00000000-0004-0000-2700-00002B000000}"/>
    <hyperlink ref="B28" r:id="rId45" xr:uid="{00000000-0004-0000-2700-00002C000000}"/>
    <hyperlink ref="C28" r:id="rId46" xr:uid="{00000000-0004-0000-2700-00002D000000}"/>
    <hyperlink ref="B29" r:id="rId47" xr:uid="{00000000-0004-0000-2700-00002E000000}"/>
    <hyperlink ref="C29" r:id="rId48" xr:uid="{00000000-0004-0000-2700-00002F000000}"/>
    <hyperlink ref="B30" r:id="rId49" xr:uid="{00000000-0004-0000-2700-000030000000}"/>
    <hyperlink ref="C30" r:id="rId50" xr:uid="{00000000-0004-0000-2700-000031000000}"/>
    <hyperlink ref="B31" r:id="rId51" xr:uid="{00000000-0004-0000-2700-000032000000}"/>
    <hyperlink ref="C31" r:id="rId52" xr:uid="{00000000-0004-0000-2700-000033000000}"/>
    <hyperlink ref="B32" r:id="rId53" xr:uid="{00000000-0004-0000-2700-000034000000}"/>
    <hyperlink ref="C32" r:id="rId54" xr:uid="{00000000-0004-0000-2700-000035000000}"/>
    <hyperlink ref="B33" r:id="rId55" xr:uid="{00000000-0004-0000-2700-000036000000}"/>
    <hyperlink ref="C33" r:id="rId56" xr:uid="{00000000-0004-0000-2700-000037000000}"/>
    <hyperlink ref="B34" r:id="rId57" xr:uid="{00000000-0004-0000-2700-000038000000}"/>
    <hyperlink ref="C34" r:id="rId58" xr:uid="{00000000-0004-0000-2700-000039000000}"/>
    <hyperlink ref="B35" r:id="rId59" xr:uid="{00000000-0004-0000-2700-00003A000000}"/>
    <hyperlink ref="C35" r:id="rId60" xr:uid="{00000000-0004-0000-2700-00003B000000}"/>
    <hyperlink ref="B36" r:id="rId61" xr:uid="{00000000-0004-0000-2700-00003C000000}"/>
    <hyperlink ref="C36" r:id="rId62" xr:uid="{00000000-0004-0000-2700-00003D000000}"/>
    <hyperlink ref="B37" r:id="rId63" xr:uid="{00000000-0004-0000-2700-00003E000000}"/>
    <hyperlink ref="C37" r:id="rId64" xr:uid="{00000000-0004-0000-2700-00003F000000}"/>
    <hyperlink ref="B38" r:id="rId65" xr:uid="{00000000-0004-0000-2700-000040000000}"/>
    <hyperlink ref="C38" r:id="rId66" xr:uid="{00000000-0004-0000-2700-000041000000}"/>
    <hyperlink ref="B39" r:id="rId67" xr:uid="{00000000-0004-0000-2700-000042000000}"/>
    <hyperlink ref="C39" r:id="rId68" xr:uid="{00000000-0004-0000-2700-000043000000}"/>
    <hyperlink ref="B40" r:id="rId69" xr:uid="{00000000-0004-0000-2700-000044000000}"/>
    <hyperlink ref="C40" r:id="rId70" xr:uid="{00000000-0004-0000-2700-000045000000}"/>
    <hyperlink ref="B41" r:id="rId71" xr:uid="{00000000-0004-0000-2700-000046000000}"/>
    <hyperlink ref="C41" r:id="rId72" xr:uid="{00000000-0004-0000-2700-000047000000}"/>
    <hyperlink ref="B42" r:id="rId73" xr:uid="{00000000-0004-0000-2700-000048000000}"/>
    <hyperlink ref="C42" r:id="rId74" xr:uid="{00000000-0004-0000-2700-000049000000}"/>
    <hyperlink ref="B43" r:id="rId75" xr:uid="{00000000-0004-0000-2700-00004A000000}"/>
    <hyperlink ref="C43" r:id="rId76" xr:uid="{00000000-0004-0000-2700-00004B000000}"/>
    <hyperlink ref="B44" r:id="rId77" xr:uid="{00000000-0004-0000-2700-00004C000000}"/>
    <hyperlink ref="C44" r:id="rId78" xr:uid="{00000000-0004-0000-2700-00004D000000}"/>
    <hyperlink ref="B45" r:id="rId79" xr:uid="{00000000-0004-0000-2700-00004E000000}"/>
    <hyperlink ref="C45" r:id="rId80" xr:uid="{00000000-0004-0000-2700-00004F000000}"/>
    <hyperlink ref="B46" r:id="rId81" xr:uid="{00000000-0004-0000-2700-000050000000}"/>
    <hyperlink ref="C46" r:id="rId82" xr:uid="{00000000-0004-0000-2700-000051000000}"/>
    <hyperlink ref="B47" r:id="rId83" xr:uid="{00000000-0004-0000-2700-000052000000}"/>
    <hyperlink ref="C47" r:id="rId84" xr:uid="{00000000-0004-0000-2700-000053000000}"/>
    <hyperlink ref="B48" r:id="rId85" xr:uid="{00000000-0004-0000-2700-000054000000}"/>
    <hyperlink ref="C48" r:id="rId86" xr:uid="{00000000-0004-0000-2700-000055000000}"/>
    <hyperlink ref="B49" r:id="rId87" xr:uid="{00000000-0004-0000-2700-000056000000}"/>
    <hyperlink ref="C49" r:id="rId88" xr:uid="{00000000-0004-0000-2700-000057000000}"/>
    <hyperlink ref="B50" r:id="rId89" xr:uid="{00000000-0004-0000-2700-000058000000}"/>
    <hyperlink ref="C50" r:id="rId90" xr:uid="{00000000-0004-0000-2700-000059000000}"/>
    <hyperlink ref="B51" r:id="rId91" xr:uid="{00000000-0004-0000-2700-00005A000000}"/>
    <hyperlink ref="C51" r:id="rId92" xr:uid="{00000000-0004-0000-2700-00005B000000}"/>
    <hyperlink ref="B52" r:id="rId93" xr:uid="{00000000-0004-0000-2700-00005C000000}"/>
    <hyperlink ref="C52" r:id="rId94" xr:uid="{00000000-0004-0000-2700-00005D000000}"/>
    <hyperlink ref="B53" r:id="rId95" xr:uid="{00000000-0004-0000-2700-00005E000000}"/>
    <hyperlink ref="C53" r:id="rId96" xr:uid="{00000000-0004-0000-2700-00005F000000}"/>
    <hyperlink ref="B54" r:id="rId97" xr:uid="{00000000-0004-0000-2700-000060000000}"/>
    <hyperlink ref="C54" r:id="rId98" xr:uid="{00000000-0004-0000-2700-000061000000}"/>
    <hyperlink ref="B55" r:id="rId99" xr:uid="{00000000-0004-0000-2700-000062000000}"/>
    <hyperlink ref="C55" r:id="rId100" xr:uid="{00000000-0004-0000-2700-000063000000}"/>
    <hyperlink ref="B56" r:id="rId101" xr:uid="{00000000-0004-0000-2700-000064000000}"/>
    <hyperlink ref="C56" r:id="rId102" xr:uid="{00000000-0004-0000-2700-000065000000}"/>
    <hyperlink ref="B57" r:id="rId103" xr:uid="{00000000-0004-0000-2700-000066000000}"/>
    <hyperlink ref="C57" r:id="rId104" xr:uid="{00000000-0004-0000-2700-000067000000}"/>
    <hyperlink ref="B58" r:id="rId105" xr:uid="{00000000-0004-0000-2700-000068000000}"/>
    <hyperlink ref="C58" r:id="rId106" xr:uid="{00000000-0004-0000-2700-000069000000}"/>
    <hyperlink ref="B59" r:id="rId107" xr:uid="{00000000-0004-0000-2700-00006A000000}"/>
    <hyperlink ref="C59" r:id="rId108" xr:uid="{00000000-0004-0000-2700-00006B000000}"/>
    <hyperlink ref="B60" r:id="rId109" xr:uid="{00000000-0004-0000-2700-00006C000000}"/>
    <hyperlink ref="C60" r:id="rId110" xr:uid="{00000000-0004-0000-2700-00006D000000}"/>
    <hyperlink ref="B61" r:id="rId111" xr:uid="{00000000-0004-0000-2700-00006E000000}"/>
    <hyperlink ref="C61" r:id="rId112" xr:uid="{00000000-0004-0000-2700-00006F000000}"/>
    <hyperlink ref="B62" r:id="rId113" xr:uid="{00000000-0004-0000-2700-000070000000}"/>
    <hyperlink ref="C62" r:id="rId114" xr:uid="{00000000-0004-0000-2700-000071000000}"/>
    <hyperlink ref="B63" r:id="rId115" xr:uid="{00000000-0004-0000-2700-000072000000}"/>
    <hyperlink ref="C63" r:id="rId116" xr:uid="{00000000-0004-0000-2700-000073000000}"/>
    <hyperlink ref="B64" r:id="rId117" xr:uid="{00000000-0004-0000-2700-000074000000}"/>
    <hyperlink ref="C64" r:id="rId118" xr:uid="{00000000-0004-0000-2700-000075000000}"/>
    <hyperlink ref="B65" r:id="rId119" xr:uid="{00000000-0004-0000-2700-000076000000}"/>
    <hyperlink ref="C65" r:id="rId120" xr:uid="{00000000-0004-0000-2700-000077000000}"/>
    <hyperlink ref="B66" r:id="rId121" xr:uid="{00000000-0004-0000-2700-000078000000}"/>
    <hyperlink ref="C66" r:id="rId122" xr:uid="{00000000-0004-0000-2700-000079000000}"/>
    <hyperlink ref="B67" r:id="rId123" xr:uid="{00000000-0004-0000-2700-00007A000000}"/>
    <hyperlink ref="C67" r:id="rId124" xr:uid="{00000000-0004-0000-2700-00007B000000}"/>
    <hyperlink ref="B68" r:id="rId125" xr:uid="{00000000-0004-0000-2700-00007C000000}"/>
    <hyperlink ref="C68" r:id="rId126" xr:uid="{00000000-0004-0000-2700-00007D000000}"/>
    <hyperlink ref="B69" r:id="rId127" xr:uid="{00000000-0004-0000-2700-00007E000000}"/>
    <hyperlink ref="C69" r:id="rId128" xr:uid="{00000000-0004-0000-2700-00007F000000}"/>
    <hyperlink ref="B70" r:id="rId129" xr:uid="{00000000-0004-0000-2700-000080000000}"/>
    <hyperlink ref="C70" r:id="rId130" xr:uid="{00000000-0004-0000-2700-000081000000}"/>
    <hyperlink ref="B71" r:id="rId131" xr:uid="{00000000-0004-0000-2700-000082000000}"/>
    <hyperlink ref="C71" r:id="rId132" xr:uid="{00000000-0004-0000-2700-000083000000}"/>
    <hyperlink ref="B72" r:id="rId133" xr:uid="{00000000-0004-0000-2700-000084000000}"/>
    <hyperlink ref="C72" r:id="rId134" xr:uid="{00000000-0004-0000-2700-000085000000}"/>
    <hyperlink ref="B73" r:id="rId135" xr:uid="{00000000-0004-0000-2700-000086000000}"/>
    <hyperlink ref="C73" r:id="rId136" xr:uid="{00000000-0004-0000-2700-000087000000}"/>
    <hyperlink ref="B74" r:id="rId137" xr:uid="{00000000-0004-0000-2700-000088000000}"/>
    <hyperlink ref="C74" r:id="rId138" xr:uid="{00000000-0004-0000-2700-000089000000}"/>
    <hyperlink ref="B75" r:id="rId139" xr:uid="{00000000-0004-0000-2700-00008A000000}"/>
    <hyperlink ref="C75" r:id="rId140" xr:uid="{00000000-0004-0000-2700-00008B000000}"/>
    <hyperlink ref="B76" r:id="rId141" xr:uid="{00000000-0004-0000-2700-00008C000000}"/>
    <hyperlink ref="C76" r:id="rId142" xr:uid="{00000000-0004-0000-2700-00008D000000}"/>
    <hyperlink ref="B77" r:id="rId143" xr:uid="{00000000-0004-0000-2700-00008E000000}"/>
    <hyperlink ref="C77" r:id="rId144" xr:uid="{00000000-0004-0000-2700-00008F000000}"/>
    <hyperlink ref="B78" r:id="rId145" xr:uid="{00000000-0004-0000-2700-000090000000}"/>
    <hyperlink ref="C78" r:id="rId146" xr:uid="{00000000-0004-0000-2700-000091000000}"/>
    <hyperlink ref="B79" r:id="rId147" xr:uid="{00000000-0004-0000-2700-000092000000}"/>
    <hyperlink ref="C79" r:id="rId148" xr:uid="{00000000-0004-0000-2700-000093000000}"/>
    <hyperlink ref="B80" r:id="rId149" xr:uid="{00000000-0004-0000-2700-000094000000}"/>
    <hyperlink ref="C80" r:id="rId150" xr:uid="{00000000-0004-0000-2700-000095000000}"/>
    <hyperlink ref="B81" r:id="rId151" xr:uid="{00000000-0004-0000-2700-000096000000}"/>
    <hyperlink ref="C81" r:id="rId152" xr:uid="{00000000-0004-0000-2700-000097000000}"/>
    <hyperlink ref="B82" r:id="rId153" xr:uid="{00000000-0004-0000-2700-000098000000}"/>
    <hyperlink ref="C82" r:id="rId154" xr:uid="{00000000-0004-0000-2700-000099000000}"/>
    <hyperlink ref="B83" r:id="rId155" xr:uid="{00000000-0004-0000-2700-00009A000000}"/>
    <hyperlink ref="C83" r:id="rId156" xr:uid="{00000000-0004-0000-2700-00009B000000}"/>
    <hyperlink ref="B84" r:id="rId157" xr:uid="{00000000-0004-0000-2700-00009C000000}"/>
    <hyperlink ref="C84" r:id="rId158" xr:uid="{00000000-0004-0000-2700-00009D000000}"/>
    <hyperlink ref="B85" r:id="rId159" xr:uid="{00000000-0004-0000-2700-00009E000000}"/>
    <hyperlink ref="C85" r:id="rId160" xr:uid="{00000000-0004-0000-2700-00009F000000}"/>
    <hyperlink ref="B86" r:id="rId161" xr:uid="{00000000-0004-0000-2700-0000A0000000}"/>
    <hyperlink ref="C86" r:id="rId162" xr:uid="{00000000-0004-0000-2700-0000A1000000}"/>
    <hyperlink ref="B87" r:id="rId163" xr:uid="{00000000-0004-0000-2700-0000A2000000}"/>
    <hyperlink ref="C87" r:id="rId164" xr:uid="{00000000-0004-0000-2700-0000A3000000}"/>
    <hyperlink ref="B88" r:id="rId165" xr:uid="{00000000-0004-0000-2700-0000A4000000}"/>
    <hyperlink ref="C88" r:id="rId166" xr:uid="{00000000-0004-0000-2700-0000A5000000}"/>
    <hyperlink ref="B89" r:id="rId167" xr:uid="{00000000-0004-0000-2700-0000A6000000}"/>
    <hyperlink ref="C89" r:id="rId168" xr:uid="{00000000-0004-0000-2700-0000A7000000}"/>
    <hyperlink ref="B90" r:id="rId169" xr:uid="{00000000-0004-0000-2700-0000A8000000}"/>
    <hyperlink ref="C90" r:id="rId170" xr:uid="{00000000-0004-0000-2700-0000A9000000}"/>
    <hyperlink ref="B91" r:id="rId171" xr:uid="{00000000-0004-0000-2700-0000AA000000}"/>
    <hyperlink ref="C91" r:id="rId172" xr:uid="{00000000-0004-0000-2700-0000AB000000}"/>
    <hyperlink ref="B92" r:id="rId173" xr:uid="{00000000-0004-0000-2700-0000AC000000}"/>
    <hyperlink ref="C92" r:id="rId174" xr:uid="{00000000-0004-0000-2700-0000AD000000}"/>
    <hyperlink ref="B93" r:id="rId175" xr:uid="{00000000-0004-0000-2700-0000AE000000}"/>
    <hyperlink ref="C93" r:id="rId176" xr:uid="{00000000-0004-0000-2700-0000AF000000}"/>
    <hyperlink ref="B94" r:id="rId177" xr:uid="{00000000-0004-0000-2700-0000B0000000}"/>
    <hyperlink ref="C94" r:id="rId178" xr:uid="{00000000-0004-0000-2700-0000B1000000}"/>
    <hyperlink ref="B95" r:id="rId179" xr:uid="{00000000-0004-0000-2700-0000B2000000}"/>
    <hyperlink ref="C95" r:id="rId180" xr:uid="{00000000-0004-0000-2700-0000B3000000}"/>
    <hyperlink ref="B96" r:id="rId181" xr:uid="{00000000-0004-0000-2700-0000B4000000}"/>
    <hyperlink ref="C96" r:id="rId182" xr:uid="{00000000-0004-0000-2700-0000B5000000}"/>
    <hyperlink ref="B97" r:id="rId183" xr:uid="{00000000-0004-0000-2700-0000B6000000}"/>
    <hyperlink ref="C97" r:id="rId184" xr:uid="{00000000-0004-0000-2700-0000B7000000}"/>
    <hyperlink ref="B98" r:id="rId185" xr:uid="{00000000-0004-0000-2700-0000B8000000}"/>
    <hyperlink ref="C98" r:id="rId186" xr:uid="{00000000-0004-0000-2700-0000B9000000}"/>
    <hyperlink ref="B99" r:id="rId187" xr:uid="{00000000-0004-0000-2700-0000BA000000}"/>
    <hyperlink ref="C99" r:id="rId188" xr:uid="{00000000-0004-0000-2700-0000BB000000}"/>
    <hyperlink ref="B100" r:id="rId189" xr:uid="{00000000-0004-0000-2700-0000BC000000}"/>
    <hyperlink ref="C100" r:id="rId190" xr:uid="{00000000-0004-0000-2700-0000BD000000}"/>
    <hyperlink ref="B101" r:id="rId191" xr:uid="{00000000-0004-0000-2700-0000BE000000}"/>
    <hyperlink ref="C101" r:id="rId192" xr:uid="{00000000-0004-0000-2700-0000BF000000}"/>
    <hyperlink ref="B102" r:id="rId193" xr:uid="{00000000-0004-0000-2700-0000C0000000}"/>
    <hyperlink ref="C102" r:id="rId194" xr:uid="{00000000-0004-0000-2700-0000C1000000}"/>
    <hyperlink ref="B103" r:id="rId195" xr:uid="{00000000-0004-0000-2700-0000C2000000}"/>
    <hyperlink ref="C103" r:id="rId196" xr:uid="{00000000-0004-0000-2700-0000C3000000}"/>
    <hyperlink ref="B104" r:id="rId197" xr:uid="{00000000-0004-0000-2700-0000C4000000}"/>
    <hyperlink ref="C104" r:id="rId198" xr:uid="{00000000-0004-0000-2700-0000C5000000}"/>
    <hyperlink ref="B105" r:id="rId199" xr:uid="{00000000-0004-0000-2700-0000C6000000}"/>
    <hyperlink ref="C105" r:id="rId200" xr:uid="{00000000-0004-0000-2700-0000C7000000}"/>
    <hyperlink ref="B106" r:id="rId201" xr:uid="{00000000-0004-0000-2700-0000C8000000}"/>
    <hyperlink ref="C106" r:id="rId202" xr:uid="{00000000-0004-0000-2700-0000C9000000}"/>
    <hyperlink ref="B107" r:id="rId203" xr:uid="{00000000-0004-0000-2700-0000CA000000}"/>
    <hyperlink ref="C107" r:id="rId204" xr:uid="{00000000-0004-0000-2700-0000CB000000}"/>
    <hyperlink ref="B108" r:id="rId205" xr:uid="{00000000-0004-0000-2700-0000CC000000}"/>
    <hyperlink ref="C108" r:id="rId206" xr:uid="{00000000-0004-0000-2700-0000CD000000}"/>
    <hyperlink ref="B109" r:id="rId207" xr:uid="{00000000-0004-0000-2700-0000CE000000}"/>
    <hyperlink ref="C109" r:id="rId208" xr:uid="{00000000-0004-0000-2700-0000CF000000}"/>
    <hyperlink ref="B110" r:id="rId209" xr:uid="{00000000-0004-0000-2700-0000D0000000}"/>
    <hyperlink ref="C110" r:id="rId210" xr:uid="{00000000-0004-0000-2700-0000D1000000}"/>
    <hyperlink ref="B111" r:id="rId211" xr:uid="{00000000-0004-0000-2700-0000D2000000}"/>
    <hyperlink ref="C111" r:id="rId212" xr:uid="{00000000-0004-0000-2700-0000D3000000}"/>
    <hyperlink ref="B112" r:id="rId213" xr:uid="{00000000-0004-0000-2700-0000D4000000}"/>
    <hyperlink ref="C112" r:id="rId214" xr:uid="{00000000-0004-0000-2700-0000D5000000}"/>
    <hyperlink ref="B113" r:id="rId215" xr:uid="{00000000-0004-0000-2700-0000D6000000}"/>
    <hyperlink ref="C113" r:id="rId216" xr:uid="{00000000-0004-0000-2700-0000D7000000}"/>
    <hyperlink ref="B114" r:id="rId217" xr:uid="{00000000-0004-0000-2700-0000D8000000}"/>
    <hyperlink ref="C114" r:id="rId218" xr:uid="{00000000-0004-0000-2700-0000D9000000}"/>
    <hyperlink ref="B115" r:id="rId219" xr:uid="{00000000-0004-0000-2700-0000DA000000}"/>
    <hyperlink ref="C115" r:id="rId220" xr:uid="{00000000-0004-0000-2700-0000DB000000}"/>
    <hyperlink ref="B116" r:id="rId221" xr:uid="{00000000-0004-0000-2700-0000DC000000}"/>
    <hyperlink ref="C116" r:id="rId222" xr:uid="{00000000-0004-0000-2700-0000DD000000}"/>
    <hyperlink ref="B117" r:id="rId223" xr:uid="{00000000-0004-0000-2700-0000DE000000}"/>
    <hyperlink ref="C117" r:id="rId224" xr:uid="{00000000-0004-0000-2700-0000DF000000}"/>
    <hyperlink ref="B118" r:id="rId225" xr:uid="{00000000-0004-0000-2700-0000E0000000}"/>
    <hyperlink ref="C118" r:id="rId226" xr:uid="{00000000-0004-0000-2700-0000E1000000}"/>
    <hyperlink ref="B119" r:id="rId227" xr:uid="{00000000-0004-0000-2700-0000E2000000}"/>
    <hyperlink ref="C119" r:id="rId228" xr:uid="{00000000-0004-0000-2700-0000E3000000}"/>
    <hyperlink ref="B120" r:id="rId229" xr:uid="{00000000-0004-0000-2700-0000E4000000}"/>
    <hyperlink ref="C120" r:id="rId230" xr:uid="{00000000-0004-0000-2700-0000E5000000}"/>
    <hyperlink ref="B121" r:id="rId231" xr:uid="{00000000-0004-0000-2700-0000E6000000}"/>
    <hyperlink ref="C121" r:id="rId232" xr:uid="{00000000-0004-0000-2700-0000E7000000}"/>
    <hyperlink ref="B122" r:id="rId233" xr:uid="{00000000-0004-0000-2700-0000E8000000}"/>
    <hyperlink ref="C122" r:id="rId234" xr:uid="{00000000-0004-0000-2700-0000E9000000}"/>
    <hyperlink ref="B123" r:id="rId235" xr:uid="{00000000-0004-0000-2700-0000EA000000}"/>
    <hyperlink ref="B124" r:id="rId236" xr:uid="{00000000-0004-0000-2700-0000EB000000}"/>
    <hyperlink ref="C124" r:id="rId237" xr:uid="{00000000-0004-0000-2700-0000EC000000}"/>
    <hyperlink ref="B125" r:id="rId238" xr:uid="{00000000-0004-0000-2700-0000ED000000}"/>
    <hyperlink ref="C125" r:id="rId239" xr:uid="{00000000-0004-0000-2700-0000EE000000}"/>
    <hyperlink ref="B126" r:id="rId240" xr:uid="{00000000-0004-0000-2700-0000EF000000}"/>
    <hyperlink ref="C126" r:id="rId241" xr:uid="{00000000-0004-0000-2700-0000F0000000}"/>
    <hyperlink ref="B127" r:id="rId242" xr:uid="{00000000-0004-0000-2700-0000F1000000}"/>
    <hyperlink ref="C127" r:id="rId243" xr:uid="{00000000-0004-0000-2700-0000F2000000}"/>
    <hyperlink ref="B128" r:id="rId244" xr:uid="{00000000-0004-0000-2700-0000F3000000}"/>
    <hyperlink ref="C128" r:id="rId245" xr:uid="{00000000-0004-0000-2700-0000F4000000}"/>
    <hyperlink ref="B129" r:id="rId246" xr:uid="{00000000-0004-0000-2700-0000F5000000}"/>
    <hyperlink ref="C129" r:id="rId247" xr:uid="{00000000-0004-0000-2700-0000F6000000}"/>
    <hyperlink ref="B130" r:id="rId248" xr:uid="{00000000-0004-0000-2700-0000F7000000}"/>
    <hyperlink ref="C130" r:id="rId249" xr:uid="{00000000-0004-0000-2700-0000F8000000}"/>
    <hyperlink ref="B131" r:id="rId250" xr:uid="{00000000-0004-0000-2700-0000F9000000}"/>
    <hyperlink ref="C131" r:id="rId251" xr:uid="{00000000-0004-0000-2700-0000FA000000}"/>
    <hyperlink ref="B132" r:id="rId252" xr:uid="{00000000-0004-0000-2700-0000FB000000}"/>
    <hyperlink ref="C132" r:id="rId253" xr:uid="{00000000-0004-0000-2700-0000FC000000}"/>
    <hyperlink ref="B133" r:id="rId254" xr:uid="{00000000-0004-0000-2700-0000FD000000}"/>
    <hyperlink ref="C133" r:id="rId255" xr:uid="{00000000-0004-0000-2700-0000FE000000}"/>
    <hyperlink ref="B134" r:id="rId256" xr:uid="{00000000-0004-0000-2700-0000FF000000}"/>
    <hyperlink ref="C134" r:id="rId257" xr:uid="{00000000-0004-0000-2700-000000010000}"/>
    <hyperlink ref="B135" r:id="rId258" xr:uid="{00000000-0004-0000-2700-000001010000}"/>
    <hyperlink ref="C135" r:id="rId259" xr:uid="{00000000-0004-0000-2700-000002010000}"/>
    <hyperlink ref="B136" r:id="rId260" xr:uid="{00000000-0004-0000-2700-000003010000}"/>
    <hyperlink ref="C136" r:id="rId261" xr:uid="{00000000-0004-0000-2700-000004010000}"/>
    <hyperlink ref="B137" r:id="rId262" xr:uid="{00000000-0004-0000-2700-000005010000}"/>
    <hyperlink ref="C137" r:id="rId263" xr:uid="{00000000-0004-0000-2700-000006010000}"/>
    <hyperlink ref="B138" r:id="rId264" xr:uid="{00000000-0004-0000-2700-000007010000}"/>
    <hyperlink ref="C138" r:id="rId265" xr:uid="{00000000-0004-0000-2700-000008010000}"/>
    <hyperlink ref="B139" r:id="rId266" xr:uid="{00000000-0004-0000-2700-000009010000}"/>
    <hyperlink ref="C139" r:id="rId267" xr:uid="{00000000-0004-0000-2700-00000A010000}"/>
    <hyperlink ref="B140" r:id="rId268" xr:uid="{00000000-0004-0000-2700-00000B010000}"/>
    <hyperlink ref="C140" r:id="rId269" xr:uid="{00000000-0004-0000-2700-00000C010000}"/>
    <hyperlink ref="B141" r:id="rId270" xr:uid="{00000000-0004-0000-2700-00000D010000}"/>
    <hyperlink ref="C141" r:id="rId271" xr:uid="{00000000-0004-0000-2700-00000E010000}"/>
    <hyperlink ref="B142" r:id="rId272" xr:uid="{00000000-0004-0000-2700-00000F010000}"/>
    <hyperlink ref="C142" r:id="rId273" xr:uid="{00000000-0004-0000-2700-000010010000}"/>
    <hyperlink ref="B143" r:id="rId274" xr:uid="{00000000-0004-0000-2700-000011010000}"/>
    <hyperlink ref="C143" r:id="rId275" xr:uid="{00000000-0004-0000-2700-000012010000}"/>
    <hyperlink ref="B144" r:id="rId276" xr:uid="{00000000-0004-0000-2700-000013010000}"/>
    <hyperlink ref="C144" r:id="rId277" xr:uid="{00000000-0004-0000-2700-000014010000}"/>
    <hyperlink ref="B145" r:id="rId278" xr:uid="{00000000-0004-0000-2700-000015010000}"/>
    <hyperlink ref="C145" r:id="rId279" xr:uid="{00000000-0004-0000-2700-000016010000}"/>
    <hyperlink ref="B146" r:id="rId280" xr:uid="{00000000-0004-0000-2700-000017010000}"/>
    <hyperlink ref="C146" r:id="rId281" xr:uid="{00000000-0004-0000-2700-000018010000}"/>
    <hyperlink ref="B147" r:id="rId282" xr:uid="{00000000-0004-0000-2700-000019010000}"/>
    <hyperlink ref="C147" r:id="rId283" xr:uid="{00000000-0004-0000-2700-00001A010000}"/>
    <hyperlink ref="B148" r:id="rId284" xr:uid="{00000000-0004-0000-2700-00001B010000}"/>
    <hyperlink ref="C148" r:id="rId285" xr:uid="{00000000-0004-0000-2700-00001C010000}"/>
    <hyperlink ref="B149" r:id="rId286" xr:uid="{00000000-0004-0000-2700-00001D010000}"/>
    <hyperlink ref="C149" r:id="rId287" xr:uid="{00000000-0004-0000-2700-00001E010000}"/>
    <hyperlink ref="B150" r:id="rId288" xr:uid="{00000000-0004-0000-2700-00001F010000}"/>
    <hyperlink ref="C150" r:id="rId289" xr:uid="{00000000-0004-0000-2700-000020010000}"/>
    <hyperlink ref="B151" r:id="rId290" xr:uid="{00000000-0004-0000-2700-000021010000}"/>
    <hyperlink ref="C151" r:id="rId291" xr:uid="{00000000-0004-0000-2700-000022010000}"/>
    <hyperlink ref="B152" r:id="rId292" xr:uid="{00000000-0004-0000-2700-000023010000}"/>
    <hyperlink ref="C152" r:id="rId293" xr:uid="{00000000-0004-0000-2700-000024010000}"/>
    <hyperlink ref="B153" r:id="rId294" xr:uid="{00000000-0004-0000-2700-000025010000}"/>
    <hyperlink ref="C153" r:id="rId295" xr:uid="{00000000-0004-0000-2700-00002601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FFFF"/>
    <outlinePr summaryBelow="0" summaryRight="0"/>
  </sheetPr>
  <dimension ref="A1:AH1225"/>
  <sheetViews>
    <sheetView topLeftCell="B1" zoomScaleNormal="100" workbookViewId="0">
      <pane ySplit="5" topLeftCell="A29" activePane="bottomLeft" state="frozen"/>
      <selection pane="bottomLeft" activeCell="AF34" sqref="AF34"/>
    </sheetView>
  </sheetViews>
  <sheetFormatPr defaultColWidth="12.5703125" defaultRowHeight="15" customHeight="1"/>
  <cols>
    <col min="1" max="1" width="9.42578125" bestFit="1" customWidth="1"/>
    <col min="2" max="2" width="24" bestFit="1" customWidth="1"/>
    <col min="3" max="3" width="12.5703125" bestFit="1" customWidth="1"/>
    <col min="4" max="4" width="6" bestFit="1" customWidth="1"/>
    <col min="5" max="5" width="5" bestFit="1" customWidth="1"/>
    <col min="6" max="7" width="5.140625" bestFit="1" customWidth="1"/>
    <col min="8" max="9" width="7" bestFit="1" customWidth="1"/>
    <col min="10" max="10" width="12.5703125" bestFit="1" customWidth="1"/>
    <col min="11" max="11" width="6" bestFit="1" customWidth="1"/>
    <col min="12" max="12" width="12" bestFit="1" customWidth="1"/>
    <col min="13" max="13" width="6" bestFit="1" customWidth="1"/>
    <col min="14" max="14" width="7" bestFit="1" customWidth="1"/>
    <col min="15" max="15" width="4.85546875" bestFit="1" customWidth="1"/>
    <col min="16" max="16" width="4" bestFit="1" customWidth="1"/>
    <col min="17" max="17" width="4.42578125" bestFit="1" customWidth="1"/>
    <col min="18" max="18" width="5" bestFit="1" customWidth="1"/>
    <col min="19" max="19" width="12" bestFit="1" customWidth="1"/>
    <col min="20" max="20" width="5.5703125" bestFit="1" customWidth="1"/>
    <col min="21" max="21" width="5" bestFit="1" customWidth="1"/>
    <col min="22" max="22" width="5.7109375" bestFit="1" customWidth="1"/>
    <col min="23" max="23" width="26" bestFit="1" customWidth="1"/>
    <col min="24" max="24" width="10.140625" bestFit="1" customWidth="1"/>
    <col min="25" max="25" width="11.140625" bestFit="1" customWidth="1"/>
    <col min="26" max="26" width="12" bestFit="1" customWidth="1"/>
    <col min="27" max="27" width="10.42578125" bestFit="1" customWidth="1"/>
    <col min="28" max="28" width="8.85546875" bestFit="1" customWidth="1"/>
    <col min="29" max="29" width="10.28515625" bestFit="1" customWidth="1"/>
    <col min="30" max="34" width="5.5703125" customWidth="1"/>
  </cols>
  <sheetData>
    <row r="1" spans="1:34" ht="15.75" customHeight="1">
      <c r="A1" s="184"/>
    </row>
    <row r="2" spans="1:34" ht="15.75" customHeight="1">
      <c r="E2" s="161"/>
      <c r="F2" s="185"/>
      <c r="G2" s="186"/>
      <c r="H2" s="185"/>
      <c r="I2" s="185"/>
      <c r="J2" s="185" t="s">
        <v>0</v>
      </c>
      <c r="K2" s="161"/>
      <c r="L2" s="185" t="s">
        <v>1</v>
      </c>
      <c r="M2" s="161"/>
      <c r="N2" s="185"/>
      <c r="O2" s="185"/>
      <c r="P2" s="185"/>
      <c r="Q2" s="185"/>
      <c r="R2" s="185"/>
      <c r="S2" s="161" t="s">
        <v>2</v>
      </c>
      <c r="T2" s="185"/>
      <c r="U2" s="185"/>
      <c r="V2" s="161"/>
      <c r="W2" s="161"/>
      <c r="X2" s="161" t="s">
        <v>3</v>
      </c>
    </row>
    <row r="3" spans="1:34" ht="15.75" customHeight="1">
      <c r="C3" s="162" t="s">
        <v>4</v>
      </c>
      <c r="E3" s="163"/>
      <c r="F3" s="185"/>
      <c r="G3" s="185"/>
      <c r="H3" s="185"/>
      <c r="I3" s="185"/>
      <c r="J3" s="1">
        <v>8.2904691819052196</v>
      </c>
      <c r="K3" s="163"/>
      <c r="L3" s="1">
        <v>5.1904425427256058</v>
      </c>
      <c r="M3" s="163"/>
      <c r="N3" s="185"/>
      <c r="O3" s="185"/>
      <c r="P3" s="185"/>
      <c r="Q3" s="185"/>
      <c r="R3" s="185"/>
      <c r="S3" s="187">
        <v>0.70206603245652843</v>
      </c>
      <c r="T3" s="185"/>
      <c r="U3" s="185"/>
      <c r="V3" s="163"/>
      <c r="W3" s="163"/>
      <c r="X3" s="188">
        <v>-6.2382526467152104</v>
      </c>
    </row>
    <row r="4" spans="1:34" ht="17.25" customHeight="1">
      <c r="A4" s="189" t="s">
        <v>5</v>
      </c>
      <c r="B4" s="158" t="s">
        <v>6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" t="s">
        <v>6</v>
      </c>
      <c r="X4" s="91">
        <f>AVERAGE(X6:X1225)</f>
        <v>4.6102565983438133</v>
      </c>
      <c r="Y4" s="91">
        <f>AVERAGE(Y6:Y1225)</f>
        <v>1.0000000000000009</v>
      </c>
      <c r="Z4" s="1">
        <f>AVERAGE(Z6:Z1225)</f>
        <v>84.5</v>
      </c>
      <c r="AA4">
        <f t="shared" ref="AA4:AB4" si="0">AVERAGE(AA6:AA1000)</f>
        <v>2.7003249999999999</v>
      </c>
      <c r="AB4">
        <f t="shared" si="0"/>
        <v>7.1607142857142856</v>
      </c>
      <c r="AC4">
        <f>AVERAGE(AC6:AC1000)</f>
        <v>2.4389535714285713</v>
      </c>
      <c r="AD4">
        <f>AVERAGE(AD6:AD1000)</f>
        <v>0.99571447087718334</v>
      </c>
    </row>
    <row r="5" spans="1:34" ht="15.75" customHeight="1" thickBot="1">
      <c r="A5" s="353" t="s">
        <v>7</v>
      </c>
      <c r="B5" s="354" t="s">
        <v>8</v>
      </c>
      <c r="C5" s="354" t="s">
        <v>9</v>
      </c>
      <c r="D5" s="355" t="s">
        <v>10</v>
      </c>
      <c r="E5" s="355" t="s">
        <v>11</v>
      </c>
      <c r="F5" s="355" t="s">
        <v>12</v>
      </c>
      <c r="G5" s="355" t="s">
        <v>13</v>
      </c>
      <c r="H5" s="356" t="s">
        <v>14</v>
      </c>
      <c r="I5" s="355" t="s">
        <v>15</v>
      </c>
      <c r="J5" s="355" t="s">
        <v>0</v>
      </c>
      <c r="K5" s="356" t="s">
        <v>16</v>
      </c>
      <c r="L5" s="355" t="s">
        <v>1</v>
      </c>
      <c r="M5" s="355" t="s">
        <v>17</v>
      </c>
      <c r="N5" s="355" t="s">
        <v>18</v>
      </c>
      <c r="O5" s="356" t="s">
        <v>19</v>
      </c>
      <c r="P5" s="355" t="s">
        <v>20</v>
      </c>
      <c r="Q5" s="355" t="s">
        <v>21</v>
      </c>
      <c r="R5" s="356" t="s">
        <v>22</v>
      </c>
      <c r="S5" s="355" t="s">
        <v>2</v>
      </c>
      <c r="T5" s="355" t="s">
        <v>23</v>
      </c>
      <c r="U5" s="356" t="s">
        <v>24</v>
      </c>
      <c r="V5" s="355" t="s">
        <v>25</v>
      </c>
      <c r="W5" s="168" t="s">
        <v>26</v>
      </c>
      <c r="X5" s="168" t="s">
        <v>27</v>
      </c>
      <c r="Y5" s="168" t="s">
        <v>28</v>
      </c>
      <c r="Z5" s="158" t="s">
        <v>29</v>
      </c>
      <c r="AA5" s="158" t="s">
        <v>30</v>
      </c>
      <c r="AB5" s="158" t="s">
        <v>31</v>
      </c>
      <c r="AC5" s="158" t="s">
        <v>32</v>
      </c>
      <c r="AD5" s="376" t="s">
        <v>1214</v>
      </c>
      <c r="AE5" s="158"/>
      <c r="AF5" s="158"/>
      <c r="AG5" s="158"/>
      <c r="AH5" s="158"/>
    </row>
    <row r="6" spans="1:34" ht="15.75" customHeight="1" thickBot="1">
      <c r="A6" s="357">
        <v>1</v>
      </c>
      <c r="B6" s="375" t="s">
        <v>33</v>
      </c>
      <c r="C6" s="358" t="s">
        <v>34</v>
      </c>
      <c r="D6" s="360">
        <v>3.6</v>
      </c>
      <c r="E6" s="360">
        <v>4.05</v>
      </c>
      <c r="F6" s="360">
        <v>0.89</v>
      </c>
      <c r="G6" s="360">
        <v>4.05</v>
      </c>
      <c r="H6" s="361">
        <v>7.6999999999999999E-2</v>
      </c>
      <c r="I6" s="362">
        <v>8.6999999999999994E-2</v>
      </c>
      <c r="J6" s="362">
        <v>-0.01</v>
      </c>
      <c r="K6" s="363">
        <v>0.36199999999999999</v>
      </c>
      <c r="L6" s="360">
        <v>2.15</v>
      </c>
      <c r="M6" s="360">
        <v>0.32500000000000001</v>
      </c>
      <c r="N6" s="362">
        <v>0.54100000000000004</v>
      </c>
      <c r="O6" s="363">
        <v>286</v>
      </c>
      <c r="P6" s="360">
        <v>234</v>
      </c>
      <c r="Q6" s="360">
        <v>171</v>
      </c>
      <c r="R6" s="363">
        <v>12.15</v>
      </c>
      <c r="S6" s="360">
        <v>9.69</v>
      </c>
      <c r="T6" s="360">
        <v>2.46</v>
      </c>
      <c r="U6" s="363">
        <v>7.15</v>
      </c>
      <c r="V6" s="360">
        <v>6.71</v>
      </c>
      <c r="W6" s="191" t="str">
        <f t="shared" ref="W6:W37" si="1">B6</f>
        <v>Cal Quantrill</v>
      </c>
      <c r="X6" s="192">
        <f>($X$3 + ($J$3*J6) + (L6*$L$3) + (S6*$S$3))</f>
        <v>11.64131398282955</v>
      </c>
      <c r="Y6" s="192">
        <f t="shared" ref="Y6:Y37" si="2">X6/$X$4</f>
        <v>2.525090249209029</v>
      </c>
      <c r="Z6" s="158">
        <f>RANK(X6,$X$6:$X1225,1)</f>
        <v>168</v>
      </c>
      <c r="AA6" s="158">
        <v>2</v>
      </c>
      <c r="AB6" s="158">
        <v>8</v>
      </c>
      <c r="AC6" s="158">
        <v>5.5</v>
      </c>
      <c r="AD6" s="190">
        <f>IF(AB6&gt;=5, AA6/$AA$4, 1)</f>
        <v>0.74065158823474952</v>
      </c>
      <c r="AE6" s="158"/>
      <c r="AF6" s="158"/>
      <c r="AG6" s="158"/>
      <c r="AH6" s="158"/>
    </row>
    <row r="7" spans="1:34" ht="15.75" customHeight="1" thickBot="1">
      <c r="A7" s="357">
        <v>2</v>
      </c>
      <c r="B7" s="375" t="s">
        <v>35</v>
      </c>
      <c r="C7" s="375" t="s">
        <v>36</v>
      </c>
      <c r="D7" s="360">
        <v>3.86</v>
      </c>
      <c r="E7" s="360">
        <v>5.61</v>
      </c>
      <c r="F7" s="360">
        <v>0.69</v>
      </c>
      <c r="G7" s="360">
        <v>3.86</v>
      </c>
      <c r="H7" s="361">
        <v>8.5999999999999993E-2</v>
      </c>
      <c r="I7" s="362">
        <v>0.125</v>
      </c>
      <c r="J7" s="362">
        <v>-3.9E-2</v>
      </c>
      <c r="K7" s="363">
        <v>0.34200000000000003</v>
      </c>
      <c r="L7" s="360">
        <v>2.1</v>
      </c>
      <c r="M7" s="360">
        <v>0.30299999999999999</v>
      </c>
      <c r="N7" s="362">
        <v>0.505</v>
      </c>
      <c r="O7" s="363">
        <v>256</v>
      </c>
      <c r="P7" s="360">
        <v>223</v>
      </c>
      <c r="Q7" s="360">
        <v>160</v>
      </c>
      <c r="R7" s="363">
        <v>12.27</v>
      </c>
      <c r="S7" s="360">
        <v>9.84</v>
      </c>
      <c r="T7" s="360">
        <v>2.44</v>
      </c>
      <c r="U7" s="363">
        <v>6.67</v>
      </c>
      <c r="V7" s="360">
        <v>6.59</v>
      </c>
      <c r="W7" s="191" t="str">
        <f t="shared" si="1"/>
        <v>Bradley Blalock</v>
      </c>
      <c r="X7" s="192">
        <f t="shared" ref="X7:X70" si="3">($X$3 + ($J$3*J7) + (L7*$L$3) + (S7*$S$3))</f>
        <v>11.246678154286499</v>
      </c>
      <c r="Y7" s="192">
        <f t="shared" si="2"/>
        <v>2.4394907125834928</v>
      </c>
      <c r="Z7" s="158">
        <f>RANK(X7,$X$6:$X1226,1)</f>
        <v>167</v>
      </c>
      <c r="AA7" s="158">
        <v>6.625</v>
      </c>
      <c r="AB7" s="158">
        <v>8</v>
      </c>
      <c r="AC7" s="158">
        <v>5.5852000000000004</v>
      </c>
      <c r="AD7" s="190">
        <f t="shared" ref="AD7:AD70" si="4">IF(AB7&gt;=5, AA7/$AA$4, 1)</f>
        <v>2.4534083860276077</v>
      </c>
      <c r="AE7" s="158"/>
      <c r="AF7" s="158"/>
      <c r="AG7" s="158"/>
      <c r="AH7" s="158"/>
    </row>
    <row r="8" spans="1:34" ht="15.75" customHeight="1" thickBot="1">
      <c r="A8" s="357">
        <v>3</v>
      </c>
      <c r="B8" s="375" t="s">
        <v>37</v>
      </c>
      <c r="C8" s="375" t="s">
        <v>36</v>
      </c>
      <c r="D8" s="360">
        <v>3.21</v>
      </c>
      <c r="E8" s="360">
        <v>4.18</v>
      </c>
      <c r="F8" s="360">
        <v>0.77</v>
      </c>
      <c r="G8" s="360">
        <v>3.21</v>
      </c>
      <c r="H8" s="361">
        <v>7.2999999999999995E-2</v>
      </c>
      <c r="I8" s="362">
        <v>9.5000000000000001E-2</v>
      </c>
      <c r="J8" s="362">
        <v>-2.1999999999999999E-2</v>
      </c>
      <c r="K8" s="363">
        <v>0.34100000000000003</v>
      </c>
      <c r="L8" s="360">
        <v>1.96</v>
      </c>
      <c r="M8" s="360">
        <v>0.311</v>
      </c>
      <c r="N8" s="362">
        <v>0.57099999999999995</v>
      </c>
      <c r="O8" s="363">
        <v>215</v>
      </c>
      <c r="P8" s="360">
        <v>195</v>
      </c>
      <c r="Q8" s="360">
        <v>165</v>
      </c>
      <c r="R8" s="363">
        <v>10.29</v>
      </c>
      <c r="S8" s="360">
        <v>8.56</v>
      </c>
      <c r="T8" s="360">
        <v>1.72</v>
      </c>
      <c r="U8" s="363">
        <v>6.89</v>
      </c>
      <c r="V8" s="360">
        <v>6.56</v>
      </c>
      <c r="W8" s="191" t="str">
        <f t="shared" si="1"/>
        <v>Germán Márquez</v>
      </c>
      <c r="X8" s="192">
        <f t="shared" si="3"/>
        <v>9.7623096528529452</v>
      </c>
      <c r="Y8" s="192">
        <f t="shared" si="2"/>
        <v>2.1175198049409989</v>
      </c>
      <c r="Z8" s="158">
        <f>RANK(X8,$X$6:$X1227,1)</f>
        <v>165</v>
      </c>
      <c r="AA8" s="158">
        <v>3.75</v>
      </c>
      <c r="AB8" s="158">
        <v>8</v>
      </c>
      <c r="AC8" s="158">
        <v>4.8586999999999998</v>
      </c>
      <c r="AD8" s="190">
        <f t="shared" si="4"/>
        <v>1.3887217279401554</v>
      </c>
      <c r="AE8" s="158"/>
      <c r="AF8" s="158"/>
      <c r="AG8" s="158"/>
      <c r="AH8" s="158"/>
    </row>
    <row r="9" spans="1:34" ht="15.75" customHeight="1" thickBot="1">
      <c r="A9" s="357">
        <v>4</v>
      </c>
      <c r="B9" s="375" t="s">
        <v>38</v>
      </c>
      <c r="C9" s="358" t="s">
        <v>34</v>
      </c>
      <c r="D9" s="360">
        <v>4.75</v>
      </c>
      <c r="E9" s="360">
        <v>5.04</v>
      </c>
      <c r="F9" s="360">
        <v>0.94</v>
      </c>
      <c r="G9" s="360">
        <v>0.89</v>
      </c>
      <c r="H9" s="361">
        <v>0.11799999999999999</v>
      </c>
      <c r="I9" s="362">
        <v>0.125</v>
      </c>
      <c r="J9" s="362">
        <v>-7.0000000000000001E-3</v>
      </c>
      <c r="K9" s="363">
        <v>0.25</v>
      </c>
      <c r="L9" s="360">
        <v>1.52</v>
      </c>
      <c r="M9" s="360">
        <v>0.26800000000000002</v>
      </c>
      <c r="N9" s="362">
        <v>0.871</v>
      </c>
      <c r="O9" s="363">
        <v>70</v>
      </c>
      <c r="P9" s="360">
        <v>128</v>
      </c>
      <c r="Q9" s="360">
        <v>142</v>
      </c>
      <c r="R9" s="363">
        <v>2.97</v>
      </c>
      <c r="S9" s="360">
        <v>5.34</v>
      </c>
      <c r="T9" s="360">
        <v>-2.38</v>
      </c>
      <c r="U9" s="363">
        <v>5.89</v>
      </c>
      <c r="V9" s="360">
        <v>6.1</v>
      </c>
      <c r="W9" s="191" t="str">
        <f t="shared" si="1"/>
        <v>Walker Buehler</v>
      </c>
      <c r="X9" s="192">
        <f t="shared" si="3"/>
        <v>5.3422193472722359</v>
      </c>
      <c r="Y9" s="192">
        <f t="shared" si="2"/>
        <v>1.1587683317217903</v>
      </c>
      <c r="Z9" s="158">
        <f>RANK(X9,$X$6:$X1228,1)</f>
        <v>118</v>
      </c>
      <c r="AA9" s="158">
        <v>2.125</v>
      </c>
      <c r="AB9" s="158">
        <v>8</v>
      </c>
      <c r="AC9" s="158">
        <v>3.0310000000000001</v>
      </c>
      <c r="AD9" s="190">
        <f t="shared" si="4"/>
        <v>0.78694231249942137</v>
      </c>
      <c r="AE9" s="158"/>
      <c r="AF9" s="158"/>
      <c r="AG9" s="158"/>
      <c r="AH9" s="158"/>
    </row>
    <row r="10" spans="1:34" ht="15.75" customHeight="1" thickBot="1">
      <c r="A10" s="357">
        <v>5</v>
      </c>
      <c r="B10" s="375" t="s">
        <v>39</v>
      </c>
      <c r="C10" s="375" t="s">
        <v>40</v>
      </c>
      <c r="D10" s="360">
        <v>6.38</v>
      </c>
      <c r="E10" s="360">
        <v>4.88</v>
      </c>
      <c r="F10" s="360">
        <v>1.31</v>
      </c>
      <c r="G10" s="360">
        <v>3</v>
      </c>
      <c r="H10" s="361">
        <v>0.16200000000000001</v>
      </c>
      <c r="I10" s="362">
        <v>0.124</v>
      </c>
      <c r="J10" s="362">
        <v>3.7999999999999999E-2</v>
      </c>
      <c r="K10" s="363">
        <v>0.22800000000000001</v>
      </c>
      <c r="L10" s="360">
        <v>1.42</v>
      </c>
      <c r="M10" s="360">
        <v>0.19400000000000001</v>
      </c>
      <c r="N10" s="362">
        <v>0.877</v>
      </c>
      <c r="O10" s="363">
        <v>127</v>
      </c>
      <c r="P10" s="360">
        <v>183</v>
      </c>
      <c r="Q10" s="360">
        <v>142</v>
      </c>
      <c r="R10" s="363">
        <v>5.25</v>
      </c>
      <c r="S10" s="360">
        <v>7.68</v>
      </c>
      <c r="T10" s="360">
        <v>-2.4300000000000002</v>
      </c>
      <c r="U10" s="363">
        <v>5.91</v>
      </c>
      <c r="V10" s="360">
        <v>5.94</v>
      </c>
      <c r="W10" s="191" t="str">
        <f t="shared" si="1"/>
        <v>Tyler Anderson</v>
      </c>
      <c r="X10" s="192">
        <f t="shared" si="3"/>
        <v>6.8390807221336853</v>
      </c>
      <c r="Y10" s="192">
        <f t="shared" si="2"/>
        <v>1.4834490393854767</v>
      </c>
      <c r="Z10" s="158">
        <f>RANK(X10,$X$6:$X1229,1)</f>
        <v>152</v>
      </c>
      <c r="AA10" s="158">
        <v>2.25</v>
      </c>
      <c r="AB10" s="158">
        <v>8</v>
      </c>
      <c r="AC10" s="158">
        <v>4.3592000000000004</v>
      </c>
      <c r="AD10" s="190">
        <f t="shared" si="4"/>
        <v>0.83323303676409322</v>
      </c>
      <c r="AE10" s="158"/>
      <c r="AF10" s="158"/>
      <c r="AG10" s="158"/>
      <c r="AH10" s="158"/>
    </row>
    <row r="11" spans="1:34" ht="15.75" customHeight="1" thickBot="1">
      <c r="A11" s="357">
        <v>6</v>
      </c>
      <c r="B11" s="375" t="s">
        <v>41</v>
      </c>
      <c r="C11" s="375" t="s">
        <v>42</v>
      </c>
      <c r="D11" s="360">
        <v>6.47</v>
      </c>
      <c r="E11" s="360">
        <v>5.21</v>
      </c>
      <c r="F11" s="360">
        <v>1.24</v>
      </c>
      <c r="G11" s="360">
        <v>0.79</v>
      </c>
      <c r="H11" s="361">
        <v>0.16800000000000001</v>
      </c>
      <c r="I11" s="362">
        <v>0.13500000000000001</v>
      </c>
      <c r="J11" s="362">
        <v>3.3000000000000002E-2</v>
      </c>
      <c r="K11" s="363">
        <v>0.224</v>
      </c>
      <c r="L11" s="360">
        <v>1.4</v>
      </c>
      <c r="M11" s="360">
        <v>0.25600000000000001</v>
      </c>
      <c r="N11" s="362">
        <v>0.78400000000000003</v>
      </c>
      <c r="O11" s="363">
        <v>82</v>
      </c>
      <c r="P11" s="360">
        <v>109</v>
      </c>
      <c r="Q11" s="360">
        <v>136</v>
      </c>
      <c r="R11" s="363">
        <v>3.32</v>
      </c>
      <c r="S11" s="360">
        <v>4.63</v>
      </c>
      <c r="T11" s="360">
        <v>-1.31</v>
      </c>
      <c r="U11" s="363">
        <v>5.65</v>
      </c>
      <c r="V11" s="360">
        <v>5.74</v>
      </c>
      <c r="W11" s="191" t="str">
        <f t="shared" si="1"/>
        <v>Luis Gil</v>
      </c>
      <c r="X11" s="192">
        <f t="shared" si="3"/>
        <v>4.5525181263772359</v>
      </c>
      <c r="Y11" s="192">
        <f t="shared" si="2"/>
        <v>0.98747608278738341</v>
      </c>
      <c r="Z11" s="158">
        <f>RANK(X11,$X$6:$X1230,1)</f>
        <v>99</v>
      </c>
      <c r="AA11" s="158">
        <v>1.2</v>
      </c>
      <c r="AB11" s="158">
        <v>5</v>
      </c>
      <c r="AC11" s="158">
        <v>2.6280000000000001</v>
      </c>
      <c r="AD11" s="190">
        <f t="shared" si="4"/>
        <v>0.44439095294084974</v>
      </c>
      <c r="AE11" s="158"/>
      <c r="AF11" s="158"/>
      <c r="AG11" s="158"/>
      <c r="AH11" s="158"/>
    </row>
    <row r="12" spans="1:34" ht="15.75" customHeight="1" thickBot="1">
      <c r="A12" s="357">
        <v>7</v>
      </c>
      <c r="B12" s="375" t="s">
        <v>43</v>
      </c>
      <c r="C12" s="375" t="s">
        <v>44</v>
      </c>
      <c r="D12" s="360">
        <v>4.45</v>
      </c>
      <c r="E12" s="360">
        <v>2.86</v>
      </c>
      <c r="F12" s="360">
        <v>1.56</v>
      </c>
      <c r="G12" s="360">
        <v>3.18</v>
      </c>
      <c r="H12" s="361">
        <v>0.112</v>
      </c>
      <c r="I12" s="362">
        <v>7.1999999999999995E-2</v>
      </c>
      <c r="J12" s="362">
        <v>0.04</v>
      </c>
      <c r="K12" s="363">
        <v>0.30199999999999999</v>
      </c>
      <c r="L12" s="360">
        <v>1.55</v>
      </c>
      <c r="M12" s="360">
        <v>0.27200000000000002</v>
      </c>
      <c r="N12" s="362">
        <v>0.76700000000000002</v>
      </c>
      <c r="O12" s="363">
        <v>162</v>
      </c>
      <c r="P12" s="360">
        <v>186</v>
      </c>
      <c r="Q12" s="360">
        <v>135</v>
      </c>
      <c r="R12" s="363">
        <v>6.67</v>
      </c>
      <c r="S12" s="360">
        <v>7.69</v>
      </c>
      <c r="T12" s="360">
        <v>-1.02</v>
      </c>
      <c r="U12" s="363">
        <v>5.6</v>
      </c>
      <c r="V12" s="360">
        <v>5.74</v>
      </c>
      <c r="W12" s="191" t="str">
        <f t="shared" si="1"/>
        <v>Chris Paddack</v>
      </c>
      <c r="X12" s="192">
        <f t="shared" si="3"/>
        <v>7.5374398513763916</v>
      </c>
      <c r="Y12" s="192">
        <f t="shared" si="2"/>
        <v>1.6349284883804815</v>
      </c>
      <c r="Z12" s="158">
        <f>RANK(X12,$X$6:$X1231,1)</f>
        <v>160</v>
      </c>
      <c r="AA12" s="158">
        <v>3</v>
      </c>
      <c r="AB12" s="158">
        <v>8</v>
      </c>
      <c r="AC12" s="158">
        <v>4.3647999999999998</v>
      </c>
      <c r="AD12" s="190">
        <f t="shared" si="4"/>
        <v>1.1109773823521243</v>
      </c>
      <c r="AE12" s="158"/>
      <c r="AF12" s="158"/>
      <c r="AG12" s="158"/>
      <c r="AH12" s="158"/>
    </row>
    <row r="13" spans="1:34" ht="15.75" customHeight="1" thickBot="1">
      <c r="A13" s="357">
        <v>8</v>
      </c>
      <c r="B13" s="375" t="s">
        <v>45</v>
      </c>
      <c r="C13" s="375" t="s">
        <v>46</v>
      </c>
      <c r="D13" s="360">
        <v>7.09</v>
      </c>
      <c r="E13" s="360">
        <v>6.08</v>
      </c>
      <c r="F13" s="360">
        <v>1.17</v>
      </c>
      <c r="G13" s="360">
        <v>2.7</v>
      </c>
      <c r="H13" s="361">
        <v>0.158</v>
      </c>
      <c r="I13" s="362">
        <v>0.13500000000000001</v>
      </c>
      <c r="J13" s="362">
        <v>2.3E-2</v>
      </c>
      <c r="K13" s="363">
        <v>0.31900000000000001</v>
      </c>
      <c r="L13" s="360">
        <v>2.0299999999999998</v>
      </c>
      <c r="M13" s="360">
        <v>0.33300000000000002</v>
      </c>
      <c r="N13" s="362">
        <v>0.625</v>
      </c>
      <c r="O13" s="363">
        <v>216</v>
      </c>
      <c r="P13" s="360">
        <v>187</v>
      </c>
      <c r="Q13" s="360">
        <v>140</v>
      </c>
      <c r="R13" s="363">
        <v>9.11</v>
      </c>
      <c r="S13" s="360">
        <v>7.71</v>
      </c>
      <c r="T13" s="360">
        <v>1.4</v>
      </c>
      <c r="U13" s="363">
        <v>5.83</v>
      </c>
      <c r="V13" s="360">
        <v>5.73</v>
      </c>
      <c r="W13" s="191" t="str">
        <f t="shared" si="1"/>
        <v>Seth Lugo</v>
      </c>
      <c r="X13" s="192">
        <f t="shared" si="3"/>
        <v>9.9019556164414233</v>
      </c>
      <c r="Y13" s="192">
        <f t="shared" si="2"/>
        <v>2.1478100850175235</v>
      </c>
      <c r="Z13" s="158">
        <f>RANK(X13,$X$6:$X1232,1)</f>
        <v>166</v>
      </c>
      <c r="AA13" s="158">
        <v>3</v>
      </c>
      <c r="AB13" s="158">
        <v>8</v>
      </c>
      <c r="AC13" s="158">
        <v>4.3761999999999999</v>
      </c>
      <c r="AD13" s="190">
        <f t="shared" si="4"/>
        <v>1.1109773823521243</v>
      </c>
      <c r="AE13" s="158"/>
      <c r="AF13" s="158"/>
      <c r="AG13" s="158"/>
      <c r="AH13" s="158"/>
    </row>
    <row r="14" spans="1:34" ht="15.75" customHeight="1" thickBot="1">
      <c r="A14" s="357">
        <v>9</v>
      </c>
      <c r="B14" s="375" t="s">
        <v>47</v>
      </c>
      <c r="C14" s="375" t="s">
        <v>36</v>
      </c>
      <c r="D14" s="360">
        <v>8.06</v>
      </c>
      <c r="E14" s="360">
        <v>5.96</v>
      </c>
      <c r="F14" s="360">
        <v>1.35</v>
      </c>
      <c r="G14" s="360">
        <v>2.1</v>
      </c>
      <c r="H14" s="361">
        <v>0.183</v>
      </c>
      <c r="I14" s="362">
        <v>0.13500000000000001</v>
      </c>
      <c r="J14" s="362">
        <v>4.8000000000000001E-2</v>
      </c>
      <c r="K14" s="363">
        <v>0.28799999999999998</v>
      </c>
      <c r="L14" s="360">
        <v>1.83</v>
      </c>
      <c r="M14" s="360">
        <v>0.32</v>
      </c>
      <c r="N14" s="362">
        <v>0.71099999999999997</v>
      </c>
      <c r="O14" s="363">
        <v>154</v>
      </c>
      <c r="P14" s="360">
        <v>158</v>
      </c>
      <c r="Q14" s="360">
        <v>147</v>
      </c>
      <c r="R14" s="363">
        <v>7.36</v>
      </c>
      <c r="S14" s="360">
        <v>6.95</v>
      </c>
      <c r="T14" s="360">
        <v>0.41</v>
      </c>
      <c r="U14" s="363">
        <v>6.14</v>
      </c>
      <c r="V14" s="360">
        <v>5.48</v>
      </c>
      <c r="W14" s="191" t="str">
        <f t="shared" si="1"/>
        <v>McCade Brown</v>
      </c>
      <c r="X14" s="192">
        <f t="shared" si="3"/>
        <v>8.5375586527769709</v>
      </c>
      <c r="Y14" s="192">
        <f t="shared" si="2"/>
        <v>1.8518619236603879</v>
      </c>
      <c r="Z14" s="158">
        <f>RANK(X14,$X$6:$X1233,1)</f>
        <v>164</v>
      </c>
      <c r="AA14" s="158">
        <v>2.6</v>
      </c>
      <c r="AB14" s="158">
        <v>5</v>
      </c>
      <c r="AC14" s="158">
        <v>3.9447999999999999</v>
      </c>
      <c r="AD14" s="190">
        <f t="shared" si="4"/>
        <v>0.96284706470517445</v>
      </c>
      <c r="AE14" s="158"/>
      <c r="AF14" s="158"/>
      <c r="AG14" s="158"/>
      <c r="AH14" s="158"/>
    </row>
    <row r="15" spans="1:34" ht="15.75" customHeight="1" thickBot="1">
      <c r="A15" s="357">
        <v>10</v>
      </c>
      <c r="B15" s="375" t="s">
        <v>48</v>
      </c>
      <c r="C15" s="375" t="s">
        <v>49</v>
      </c>
      <c r="D15" s="360">
        <v>7.15</v>
      </c>
      <c r="E15" s="360">
        <v>5.16</v>
      </c>
      <c r="F15" s="360">
        <v>1.38</v>
      </c>
      <c r="G15" s="360">
        <v>2.38</v>
      </c>
      <c r="H15" s="361">
        <v>0.17499999999999999</v>
      </c>
      <c r="I15" s="362">
        <v>0.126</v>
      </c>
      <c r="J15" s="362">
        <v>4.9000000000000002E-2</v>
      </c>
      <c r="K15" s="363">
        <v>0.26400000000000001</v>
      </c>
      <c r="L15" s="360">
        <v>1.59</v>
      </c>
      <c r="M15" s="360">
        <v>0.27</v>
      </c>
      <c r="N15" s="362">
        <v>0.85</v>
      </c>
      <c r="O15" s="363">
        <v>118</v>
      </c>
      <c r="P15" s="360">
        <v>172</v>
      </c>
      <c r="Q15" s="360">
        <v>134</v>
      </c>
      <c r="R15" s="363">
        <v>4.76</v>
      </c>
      <c r="S15" s="360">
        <v>7.07</v>
      </c>
      <c r="T15" s="360">
        <v>-2.31</v>
      </c>
      <c r="U15" s="363">
        <v>5.57</v>
      </c>
      <c r="V15" s="360">
        <v>5.3</v>
      </c>
      <c r="W15" s="191" t="str">
        <f t="shared" si="1"/>
        <v>Michael King</v>
      </c>
      <c r="X15" s="192">
        <f t="shared" si="3"/>
        <v>7.3843908355995156</v>
      </c>
      <c r="Y15" s="192">
        <f t="shared" si="2"/>
        <v>1.6017309835318669</v>
      </c>
      <c r="Z15" s="158">
        <f>RANK(X15,$X$6:$X1234,1)</f>
        <v>158</v>
      </c>
      <c r="AA15" s="158">
        <v>2.25</v>
      </c>
      <c r="AB15" s="158">
        <v>8</v>
      </c>
      <c r="AC15" s="158">
        <v>4.0129000000000001</v>
      </c>
      <c r="AD15" s="190">
        <f t="shared" si="4"/>
        <v>0.83323303676409322</v>
      </c>
      <c r="AE15" s="158"/>
      <c r="AF15" s="158"/>
      <c r="AG15" s="158"/>
      <c r="AH15" s="158"/>
    </row>
    <row r="16" spans="1:34" ht="15.75" customHeight="1" thickBot="1">
      <c r="A16" s="357">
        <v>11</v>
      </c>
      <c r="B16" s="375" t="s">
        <v>50</v>
      </c>
      <c r="C16" s="375" t="s">
        <v>51</v>
      </c>
      <c r="D16" s="360">
        <v>6.91</v>
      </c>
      <c r="E16" s="360">
        <v>4.71</v>
      </c>
      <c r="F16" s="360">
        <v>1.47</v>
      </c>
      <c r="G16" s="360">
        <v>0.63</v>
      </c>
      <c r="H16" s="361">
        <v>0.17699999999999999</v>
      </c>
      <c r="I16" s="362">
        <v>0.12</v>
      </c>
      <c r="J16" s="362">
        <v>5.6000000000000001E-2</v>
      </c>
      <c r="K16" s="363">
        <v>0.215</v>
      </c>
      <c r="L16" s="360">
        <v>1.34</v>
      </c>
      <c r="M16" s="360">
        <v>0.251</v>
      </c>
      <c r="N16" s="362">
        <v>0.78400000000000003</v>
      </c>
      <c r="O16" s="363">
        <v>66</v>
      </c>
      <c r="P16" s="360">
        <v>97</v>
      </c>
      <c r="Q16" s="360">
        <v>124</v>
      </c>
      <c r="R16" s="363">
        <v>2.83</v>
      </c>
      <c r="S16" s="360">
        <v>4.08</v>
      </c>
      <c r="T16" s="360">
        <v>-1.25</v>
      </c>
      <c r="U16" s="363">
        <v>5.16</v>
      </c>
      <c r="V16" s="360">
        <v>5.27</v>
      </c>
      <c r="W16" s="191" t="str">
        <f t="shared" si="1"/>
        <v>Lucas Giolito</v>
      </c>
      <c r="X16" s="192">
        <f t="shared" si="3"/>
        <v>4.0456360471464299</v>
      </c>
      <c r="Y16" s="192">
        <f t="shared" si="2"/>
        <v>0.87752947386915137</v>
      </c>
      <c r="Z16" s="158">
        <f>RANK(X16,$X$6:$X1235,1)</f>
        <v>71</v>
      </c>
      <c r="AA16" s="158">
        <v>2.375</v>
      </c>
      <c r="AB16" s="158">
        <v>8</v>
      </c>
      <c r="AC16" s="158">
        <v>2.3157999999999999</v>
      </c>
      <c r="AD16" s="190">
        <f t="shared" si="4"/>
        <v>0.87952376102876506</v>
      </c>
      <c r="AE16" s="158"/>
      <c r="AF16" s="158"/>
      <c r="AG16" s="158"/>
      <c r="AH16" s="158"/>
    </row>
    <row r="17" spans="1:34" ht="15.75" customHeight="1" thickBot="1">
      <c r="A17" s="357">
        <v>12</v>
      </c>
      <c r="B17" s="375" t="s">
        <v>52</v>
      </c>
      <c r="C17" s="375" t="s">
        <v>53</v>
      </c>
      <c r="D17" s="360">
        <v>4.66</v>
      </c>
      <c r="E17" s="360">
        <v>2.61</v>
      </c>
      <c r="F17" s="360">
        <v>1.79</v>
      </c>
      <c r="G17" s="360">
        <v>2.0499999999999998</v>
      </c>
      <c r="H17" s="361">
        <v>0.11899999999999999</v>
      </c>
      <c r="I17" s="362">
        <v>6.7000000000000004E-2</v>
      </c>
      <c r="J17" s="362">
        <v>5.1999999999999998E-2</v>
      </c>
      <c r="K17" s="363">
        <v>0.27700000000000002</v>
      </c>
      <c r="L17" s="360">
        <v>1.41</v>
      </c>
      <c r="M17" s="360">
        <v>0.27</v>
      </c>
      <c r="N17" s="362">
        <v>0.78400000000000003</v>
      </c>
      <c r="O17" s="363">
        <v>118</v>
      </c>
      <c r="P17" s="360">
        <v>147</v>
      </c>
      <c r="Q17" s="360">
        <v>123</v>
      </c>
      <c r="R17" s="363">
        <v>4.84</v>
      </c>
      <c r="S17" s="360">
        <v>5.99</v>
      </c>
      <c r="T17" s="360">
        <v>-1.1499999999999999</v>
      </c>
      <c r="U17" s="363">
        <v>5.1100000000000003</v>
      </c>
      <c r="V17" s="360">
        <v>5.24</v>
      </c>
      <c r="W17" s="191" t="str">
        <f t="shared" si="1"/>
        <v>Miles Mikolas</v>
      </c>
      <c r="X17" s="192">
        <f t="shared" si="3"/>
        <v>5.7167512704015699</v>
      </c>
      <c r="Y17" s="192">
        <f t="shared" si="2"/>
        <v>1.2400071771396095</v>
      </c>
      <c r="Z17" s="158">
        <f>RANK(X17,$X$6:$X1236,1)</f>
        <v>132</v>
      </c>
      <c r="AA17" s="158">
        <v>1.5</v>
      </c>
      <c r="AB17" s="158">
        <v>8</v>
      </c>
      <c r="AC17" s="158">
        <v>3.3999000000000001</v>
      </c>
      <c r="AD17" s="190">
        <f t="shared" si="4"/>
        <v>0.55548869117606214</v>
      </c>
      <c r="AE17" s="158"/>
      <c r="AF17" s="158"/>
      <c r="AG17" s="158"/>
      <c r="AH17" s="158"/>
    </row>
    <row r="18" spans="1:34" ht="15.75" customHeight="1" thickBot="1">
      <c r="A18" s="357">
        <v>13</v>
      </c>
      <c r="B18" s="375" t="s">
        <v>54</v>
      </c>
      <c r="C18" s="375" t="s">
        <v>49</v>
      </c>
      <c r="D18" s="360">
        <v>7.18</v>
      </c>
      <c r="E18" s="360">
        <v>4.4400000000000004</v>
      </c>
      <c r="F18" s="360">
        <v>1.62</v>
      </c>
      <c r="G18" s="360">
        <v>2.73</v>
      </c>
      <c r="H18" s="361">
        <v>0.17599999999999999</v>
      </c>
      <c r="I18" s="362">
        <v>0.109</v>
      </c>
      <c r="J18" s="362">
        <v>6.7000000000000004E-2</v>
      </c>
      <c r="K18" s="363">
        <v>0.27900000000000003</v>
      </c>
      <c r="L18" s="360">
        <v>1.59</v>
      </c>
      <c r="M18" s="360">
        <v>0.28000000000000003</v>
      </c>
      <c r="N18" s="362">
        <v>0.85399999999999998</v>
      </c>
      <c r="O18" s="363">
        <v>135</v>
      </c>
      <c r="P18" s="360">
        <v>174</v>
      </c>
      <c r="Q18" s="360">
        <v>133</v>
      </c>
      <c r="R18" s="363">
        <v>5.47</v>
      </c>
      <c r="S18" s="360">
        <v>7.2</v>
      </c>
      <c r="T18" s="360">
        <v>-1.73</v>
      </c>
      <c r="U18" s="363">
        <v>5.53</v>
      </c>
      <c r="V18" s="360">
        <v>5.24</v>
      </c>
      <c r="W18" s="191" t="str">
        <f t="shared" si="1"/>
        <v>Nestor Cortes</v>
      </c>
      <c r="X18" s="192">
        <f t="shared" si="3"/>
        <v>7.6248878650931573</v>
      </c>
      <c r="Y18" s="192">
        <f t="shared" si="2"/>
        <v>1.6538966329623213</v>
      </c>
      <c r="Z18" s="158">
        <f>RANK(X18,$X$6:$X1237,1)</f>
        <v>161</v>
      </c>
      <c r="AA18" s="158">
        <v>3.8332999999999999</v>
      </c>
      <c r="AB18" s="158">
        <v>6</v>
      </c>
      <c r="AC18" s="158">
        <v>4.0867000000000004</v>
      </c>
      <c r="AD18" s="190">
        <f t="shared" si="4"/>
        <v>1.4195698665901326</v>
      </c>
      <c r="AE18" s="158"/>
      <c r="AF18" s="158"/>
      <c r="AG18" s="158"/>
      <c r="AH18" s="158"/>
    </row>
    <row r="19" spans="1:34" ht="15.75" customHeight="1" thickBot="1">
      <c r="A19" s="357">
        <v>14</v>
      </c>
      <c r="B19" s="375" t="s">
        <v>55</v>
      </c>
      <c r="C19" s="375" t="s">
        <v>56</v>
      </c>
      <c r="D19" s="360">
        <v>5.18</v>
      </c>
      <c r="E19" s="360">
        <v>2.96</v>
      </c>
      <c r="F19" s="360">
        <v>1.75</v>
      </c>
      <c r="G19" s="360">
        <v>1.1100000000000001</v>
      </c>
      <c r="H19" s="361">
        <v>0.125</v>
      </c>
      <c r="I19" s="362">
        <v>7.0999999999999994E-2</v>
      </c>
      <c r="J19" s="362">
        <v>5.3999999999999999E-2</v>
      </c>
      <c r="K19" s="363">
        <v>0.27200000000000002</v>
      </c>
      <c r="L19" s="360">
        <v>1.48</v>
      </c>
      <c r="M19" s="360">
        <v>0.29099999999999998</v>
      </c>
      <c r="N19" s="362">
        <v>0.61</v>
      </c>
      <c r="O19" s="363">
        <v>104</v>
      </c>
      <c r="P19" s="360">
        <v>113</v>
      </c>
      <c r="Q19" s="360">
        <v>123</v>
      </c>
      <c r="R19" s="363">
        <v>4.4400000000000004</v>
      </c>
      <c r="S19" s="360">
        <v>4.7</v>
      </c>
      <c r="T19" s="360">
        <v>-0.26</v>
      </c>
      <c r="U19" s="363">
        <v>5.12</v>
      </c>
      <c r="V19" s="360">
        <v>5.23</v>
      </c>
      <c r="W19" s="191" t="str">
        <f t="shared" si="1"/>
        <v>Adam Mazur</v>
      </c>
      <c r="X19" s="192">
        <f t="shared" si="3"/>
        <v>5.1909980048872519</v>
      </c>
      <c r="Y19" s="192">
        <f t="shared" si="2"/>
        <v>1.1259672632434525</v>
      </c>
      <c r="Z19" s="158">
        <f>RANK(X19,$X$6:$X1238,1)</f>
        <v>116</v>
      </c>
      <c r="AA19" s="158">
        <v>3.5</v>
      </c>
      <c r="AB19" s="158">
        <v>4</v>
      </c>
      <c r="AC19" s="158">
        <v>2.6677</v>
      </c>
      <c r="AD19" s="190">
        <f t="shared" si="4"/>
        <v>1</v>
      </c>
      <c r="AE19" s="158"/>
      <c r="AF19" s="158"/>
      <c r="AG19" s="158"/>
      <c r="AH19" s="158"/>
    </row>
    <row r="20" spans="1:34" ht="15.75" customHeight="1" thickBot="1">
      <c r="A20" s="357">
        <v>15</v>
      </c>
      <c r="B20" s="375" t="s">
        <v>57</v>
      </c>
      <c r="C20" s="375" t="s">
        <v>58</v>
      </c>
      <c r="D20" s="360">
        <v>5.44</v>
      </c>
      <c r="E20" s="360">
        <v>3.02</v>
      </c>
      <c r="F20" s="360">
        <v>1.8</v>
      </c>
      <c r="G20" s="360">
        <v>2.42</v>
      </c>
      <c r="H20" s="361">
        <v>0.13200000000000001</v>
      </c>
      <c r="I20" s="362">
        <v>7.3999999999999996E-2</v>
      </c>
      <c r="J20" s="362">
        <v>5.8999999999999997E-2</v>
      </c>
      <c r="K20" s="363">
        <v>0.30299999999999999</v>
      </c>
      <c r="L20" s="360">
        <v>1.61</v>
      </c>
      <c r="M20" s="360">
        <v>0.30199999999999999</v>
      </c>
      <c r="N20" s="362">
        <v>0.51600000000000001</v>
      </c>
      <c r="O20" s="363">
        <v>196</v>
      </c>
      <c r="P20" s="360">
        <v>155</v>
      </c>
      <c r="Q20" s="360">
        <v>119</v>
      </c>
      <c r="R20" s="363">
        <v>8.26</v>
      </c>
      <c r="S20" s="360">
        <v>6.49</v>
      </c>
      <c r="T20" s="360">
        <v>1.77</v>
      </c>
      <c r="U20" s="363">
        <v>4.93</v>
      </c>
      <c r="V20" s="360">
        <v>5.22</v>
      </c>
      <c r="W20" s="191" t="str">
        <f t="shared" si="1"/>
        <v>Mitchell Parker</v>
      </c>
      <c r="X20" s="192">
        <f t="shared" si="3"/>
        <v>7.1639060794482932</v>
      </c>
      <c r="Y20" s="192">
        <f t="shared" si="2"/>
        <v>1.5539061496103821</v>
      </c>
      <c r="Z20" s="158">
        <f>RANK(X20,$X$6:$X1239,1)</f>
        <v>156</v>
      </c>
      <c r="AA20" s="158">
        <v>3</v>
      </c>
      <c r="AB20" s="158">
        <v>8</v>
      </c>
      <c r="AC20" s="158">
        <v>3.6837</v>
      </c>
      <c r="AD20" s="190">
        <f t="shared" si="4"/>
        <v>1.1109773823521243</v>
      </c>
      <c r="AE20" s="158"/>
      <c r="AF20" s="158"/>
      <c r="AG20" s="158"/>
      <c r="AH20" s="158"/>
    </row>
    <row r="21" spans="1:34" ht="15.75" customHeight="1" thickBot="1">
      <c r="A21" s="357">
        <v>16</v>
      </c>
      <c r="B21" s="375" t="s">
        <v>59</v>
      </c>
      <c r="C21" s="375" t="s">
        <v>60</v>
      </c>
      <c r="D21" s="360">
        <v>7.25</v>
      </c>
      <c r="E21" s="360">
        <v>4.43</v>
      </c>
      <c r="F21" s="360">
        <v>1.64</v>
      </c>
      <c r="G21" s="360">
        <v>1.21</v>
      </c>
      <c r="H21" s="361">
        <v>0.17299999999999999</v>
      </c>
      <c r="I21" s="362">
        <v>0.106</v>
      </c>
      <c r="J21" s="362">
        <v>6.7000000000000004E-2</v>
      </c>
      <c r="K21" s="363">
        <v>0.28299999999999997</v>
      </c>
      <c r="L21" s="360">
        <v>1.66</v>
      </c>
      <c r="M21" s="360">
        <v>0.32400000000000001</v>
      </c>
      <c r="N21" s="362">
        <v>0.59199999999999997</v>
      </c>
      <c r="O21" s="363">
        <v>163</v>
      </c>
      <c r="P21" s="360">
        <v>115</v>
      </c>
      <c r="Q21" s="360">
        <v>128</v>
      </c>
      <c r="R21" s="363">
        <v>6.85</v>
      </c>
      <c r="S21" s="360">
        <v>4.88</v>
      </c>
      <c r="T21" s="360">
        <v>1.97</v>
      </c>
      <c r="U21" s="363">
        <v>5.34</v>
      </c>
      <c r="V21" s="360">
        <v>5.18</v>
      </c>
      <c r="W21" s="191" t="str">
        <f t="shared" si="1"/>
        <v>Mason Barnett</v>
      </c>
      <c r="X21" s="192">
        <f t="shared" si="3"/>
        <v>6.3594256477848035</v>
      </c>
      <c r="Y21" s="192">
        <f t="shared" si="2"/>
        <v>1.3794081765577562</v>
      </c>
      <c r="Z21" s="158">
        <f>RANK(X21,$X$6:$X1240,1)</f>
        <v>145</v>
      </c>
      <c r="AA21" s="158">
        <v>4.5</v>
      </c>
      <c r="AB21" s="158">
        <v>2</v>
      </c>
      <c r="AC21" s="158">
        <v>2.7698999999999998</v>
      </c>
      <c r="AD21" s="190">
        <f t="shared" si="4"/>
        <v>1</v>
      </c>
      <c r="AE21" s="158"/>
      <c r="AF21" s="158"/>
      <c r="AG21" s="158"/>
      <c r="AH21" s="158"/>
    </row>
    <row r="22" spans="1:34" ht="15.75" customHeight="1" thickBot="1">
      <c r="A22" s="357">
        <v>17</v>
      </c>
      <c r="B22" s="375" t="s">
        <v>61</v>
      </c>
      <c r="C22" s="375" t="s">
        <v>58</v>
      </c>
      <c r="D22" s="360">
        <v>6.41</v>
      </c>
      <c r="E22" s="360">
        <v>3.54</v>
      </c>
      <c r="F22" s="360">
        <v>1.81</v>
      </c>
      <c r="G22" s="360">
        <v>2.5299999999999998</v>
      </c>
      <c r="H22" s="361">
        <v>0.153</v>
      </c>
      <c r="I22" s="362">
        <v>8.5000000000000006E-2</v>
      </c>
      <c r="J22" s="362">
        <v>6.9000000000000006E-2</v>
      </c>
      <c r="K22" s="363">
        <v>0.32</v>
      </c>
      <c r="L22" s="360">
        <v>1.74</v>
      </c>
      <c r="M22" s="360">
        <v>0.33100000000000002</v>
      </c>
      <c r="N22" s="362">
        <v>0.60799999999999998</v>
      </c>
      <c r="O22" s="363">
        <v>193</v>
      </c>
      <c r="P22" s="360">
        <v>159</v>
      </c>
      <c r="Q22" s="360">
        <v>120</v>
      </c>
      <c r="R22" s="363">
        <v>8.1</v>
      </c>
      <c r="S22" s="360">
        <v>6.66</v>
      </c>
      <c r="T22" s="360">
        <v>1.44</v>
      </c>
      <c r="U22" s="363">
        <v>4.97</v>
      </c>
      <c r="V22" s="360">
        <v>5.08</v>
      </c>
      <c r="W22" s="191" t="str">
        <f t="shared" si="1"/>
        <v>Jake Irvin</v>
      </c>
      <c r="X22" s="192">
        <f t="shared" si="3"/>
        <v>8.0409195273392822</v>
      </c>
      <c r="Y22" s="192">
        <f t="shared" si="2"/>
        <v>1.7441370899459043</v>
      </c>
      <c r="Z22" s="158">
        <f>RANK(X22,$X$6:$X1241,1)</f>
        <v>162</v>
      </c>
      <c r="AA22" s="158">
        <v>2.25</v>
      </c>
      <c r="AB22" s="158">
        <v>8</v>
      </c>
      <c r="AC22" s="158">
        <v>3.7801999999999998</v>
      </c>
      <c r="AD22" s="190">
        <f t="shared" si="4"/>
        <v>0.83323303676409322</v>
      </c>
      <c r="AE22" s="158"/>
      <c r="AF22" s="158"/>
      <c r="AG22" s="158"/>
      <c r="AH22" s="158"/>
    </row>
    <row r="23" spans="1:34" ht="15.75" customHeight="1" thickBot="1">
      <c r="A23" s="357">
        <v>18</v>
      </c>
      <c r="B23" s="375" t="s">
        <v>62</v>
      </c>
      <c r="C23" s="375" t="s">
        <v>53</v>
      </c>
      <c r="D23" s="360">
        <v>6.9</v>
      </c>
      <c r="E23" s="360">
        <v>4.93</v>
      </c>
      <c r="F23" s="360">
        <v>1.4</v>
      </c>
      <c r="G23" s="360">
        <v>1.38</v>
      </c>
      <c r="H23" s="361">
        <v>0.161</v>
      </c>
      <c r="I23" s="362">
        <v>0.115</v>
      </c>
      <c r="J23" s="362">
        <v>4.5999999999999999E-2</v>
      </c>
      <c r="K23" s="363">
        <v>0.30199999999999999</v>
      </c>
      <c r="L23" s="360">
        <v>1.8</v>
      </c>
      <c r="M23" s="360">
        <v>0.34</v>
      </c>
      <c r="N23" s="362">
        <v>0.52500000000000002</v>
      </c>
      <c r="O23" s="363">
        <v>172</v>
      </c>
      <c r="P23" s="360">
        <v>135</v>
      </c>
      <c r="Q23" s="360">
        <v>119</v>
      </c>
      <c r="R23" s="363">
        <v>7.09</v>
      </c>
      <c r="S23" s="360">
        <v>5.5</v>
      </c>
      <c r="T23" s="360">
        <v>1.59</v>
      </c>
      <c r="U23" s="363">
        <v>4.93</v>
      </c>
      <c r="V23" s="360">
        <v>5.07</v>
      </c>
      <c r="W23" s="191" t="str">
        <f t="shared" si="1"/>
        <v>Andre Pallante</v>
      </c>
      <c r="X23" s="192">
        <f t="shared" si="3"/>
        <v>7.3472686910694271</v>
      </c>
      <c r="Y23" s="192">
        <f t="shared" si="2"/>
        <v>1.5936789057921108</v>
      </c>
      <c r="Z23" s="158">
        <f>RANK(X23,$X$6:$X1242,1)</f>
        <v>157</v>
      </c>
      <c r="AA23" s="158">
        <v>3.625</v>
      </c>
      <c r="AB23" s="158">
        <v>8</v>
      </c>
      <c r="AC23" s="158">
        <v>3.1217999999999999</v>
      </c>
      <c r="AD23" s="190">
        <f t="shared" si="4"/>
        <v>1.3424310036754836</v>
      </c>
      <c r="AE23" s="158"/>
      <c r="AF23" s="158"/>
      <c r="AG23" s="158"/>
      <c r="AH23" s="158"/>
    </row>
    <row r="24" spans="1:34" ht="15.75" customHeight="1" thickBot="1">
      <c r="A24" s="357">
        <v>19</v>
      </c>
      <c r="B24" s="375" t="s">
        <v>63</v>
      </c>
      <c r="C24" s="375" t="s">
        <v>64</v>
      </c>
      <c r="D24" s="360">
        <v>8.06</v>
      </c>
      <c r="E24" s="360">
        <v>5.26</v>
      </c>
      <c r="F24" s="360">
        <v>1.53</v>
      </c>
      <c r="G24" s="360">
        <v>1.75</v>
      </c>
      <c r="H24" s="361">
        <v>0.19700000000000001</v>
      </c>
      <c r="I24" s="362">
        <v>0.128</v>
      </c>
      <c r="J24" s="362">
        <v>6.8000000000000005E-2</v>
      </c>
      <c r="K24" s="363">
        <v>0.26</v>
      </c>
      <c r="L24" s="360">
        <v>1.6</v>
      </c>
      <c r="M24" s="360">
        <v>0.29199999999999998</v>
      </c>
      <c r="N24" s="362">
        <v>0.77800000000000002</v>
      </c>
      <c r="O24" s="363">
        <v>129</v>
      </c>
      <c r="P24" s="360">
        <v>142</v>
      </c>
      <c r="Q24" s="360">
        <v>116</v>
      </c>
      <c r="R24" s="363">
        <v>5.26</v>
      </c>
      <c r="S24" s="360">
        <v>5.86</v>
      </c>
      <c r="T24" s="360">
        <v>-0.6</v>
      </c>
      <c r="U24" s="363">
        <v>4.83</v>
      </c>
      <c r="V24" s="360">
        <v>5.0599999999999996</v>
      </c>
      <c r="W24" s="191" t="str">
        <f t="shared" si="1"/>
        <v>Spencer Arrighetti</v>
      </c>
      <c r="X24" s="192">
        <f t="shared" si="3"/>
        <v>6.7443142762105719</v>
      </c>
      <c r="Y24" s="192">
        <f t="shared" si="2"/>
        <v>1.4628934707524515</v>
      </c>
      <c r="Z24" s="158">
        <f>RANK(X24,$X$6:$X1243,1)</f>
        <v>149</v>
      </c>
      <c r="AA24" s="158">
        <v>1.3332999999999999</v>
      </c>
      <c r="AB24" s="158">
        <v>6</v>
      </c>
      <c r="AC24" s="158">
        <v>3.3260999999999998</v>
      </c>
      <c r="AD24" s="190">
        <f t="shared" si="4"/>
        <v>0.49375538129669577</v>
      </c>
      <c r="AE24" s="158"/>
      <c r="AF24" s="158"/>
      <c r="AG24" s="158"/>
      <c r="AH24" s="158"/>
    </row>
    <row r="25" spans="1:34" ht="15.75" customHeight="1" thickBot="1">
      <c r="A25" s="357">
        <v>20</v>
      </c>
      <c r="B25" s="375" t="s">
        <v>65</v>
      </c>
      <c r="C25" s="375" t="s">
        <v>66</v>
      </c>
      <c r="D25" s="360">
        <v>6.57</v>
      </c>
      <c r="E25" s="360">
        <v>3.79</v>
      </c>
      <c r="F25" s="360">
        <v>1.73</v>
      </c>
      <c r="G25" s="360">
        <v>1.02</v>
      </c>
      <c r="H25" s="361">
        <v>0.17</v>
      </c>
      <c r="I25" s="362">
        <v>9.8000000000000004E-2</v>
      </c>
      <c r="J25" s="362">
        <v>7.1999999999999995E-2</v>
      </c>
      <c r="K25" s="363">
        <v>0.248</v>
      </c>
      <c r="L25" s="360">
        <v>1.38</v>
      </c>
      <c r="M25" s="360">
        <v>0.28000000000000003</v>
      </c>
      <c r="N25" s="362">
        <v>0.75800000000000001</v>
      </c>
      <c r="O25" s="363">
        <v>96</v>
      </c>
      <c r="P25" s="360">
        <v>110</v>
      </c>
      <c r="Q25" s="360">
        <v>113</v>
      </c>
      <c r="R25" s="363">
        <v>4.09</v>
      </c>
      <c r="S25" s="360">
        <v>4.42</v>
      </c>
      <c r="T25" s="360">
        <v>-0.33</v>
      </c>
      <c r="U25" s="363">
        <v>4.6900000000000004</v>
      </c>
      <c r="V25" s="360">
        <v>5.0199999999999996</v>
      </c>
      <c r="W25" s="191" t="str">
        <f t="shared" si="1"/>
        <v>Eduardo Rodriguez</v>
      </c>
      <c r="X25" s="192">
        <f t="shared" si="3"/>
        <v>4.6246037068011567</v>
      </c>
      <c r="Y25" s="192">
        <f t="shared" si="2"/>
        <v>1.0031119978142859</v>
      </c>
      <c r="Z25" s="158">
        <f>RANK(X25,$X$6:$X1244,1)</f>
        <v>100</v>
      </c>
      <c r="AA25" s="158">
        <v>2</v>
      </c>
      <c r="AB25" s="158">
        <v>8</v>
      </c>
      <c r="AC25" s="158">
        <v>2.5087999999999999</v>
      </c>
      <c r="AD25" s="190">
        <f t="shared" si="4"/>
        <v>0.74065158823474952</v>
      </c>
      <c r="AE25" s="158"/>
      <c r="AF25" s="158"/>
      <c r="AG25" s="158"/>
      <c r="AH25" s="158"/>
    </row>
    <row r="26" spans="1:34" ht="15.75" customHeight="1" thickBot="1">
      <c r="A26" s="357">
        <v>21</v>
      </c>
      <c r="B26" s="375" t="s">
        <v>67</v>
      </c>
      <c r="C26" s="375" t="s">
        <v>68</v>
      </c>
      <c r="D26" s="360">
        <v>4.72</v>
      </c>
      <c r="E26" s="360">
        <v>2.4500000000000002</v>
      </c>
      <c r="F26" s="360">
        <v>1.92</v>
      </c>
      <c r="G26" s="360">
        <v>1.32</v>
      </c>
      <c r="H26" s="361">
        <v>0.122</v>
      </c>
      <c r="I26" s="362">
        <v>6.3E-2</v>
      </c>
      <c r="J26" s="362">
        <v>5.8999999999999997E-2</v>
      </c>
      <c r="K26" s="363">
        <v>0.29299999999999998</v>
      </c>
      <c r="L26" s="360">
        <v>1.45</v>
      </c>
      <c r="M26" s="360">
        <v>0.308</v>
      </c>
      <c r="N26" s="362">
        <v>0.748</v>
      </c>
      <c r="O26" s="363">
        <v>110</v>
      </c>
      <c r="P26" s="360">
        <v>115</v>
      </c>
      <c r="Q26" s="360">
        <v>115</v>
      </c>
      <c r="R26" s="363">
        <v>4.72</v>
      </c>
      <c r="S26" s="360">
        <v>4.88</v>
      </c>
      <c r="T26" s="360">
        <v>-0.16</v>
      </c>
      <c r="U26" s="363">
        <v>4.78</v>
      </c>
      <c r="V26" s="360">
        <v>5.01</v>
      </c>
      <c r="W26" s="191" t="str">
        <f t="shared" si="1"/>
        <v>Taijuan Walker</v>
      </c>
      <c r="X26" s="192">
        <f t="shared" si="3"/>
        <v>5.2031089603571843</v>
      </c>
      <c r="Y26" s="192">
        <f t="shared" si="2"/>
        <v>1.1285942223316479</v>
      </c>
      <c r="Z26" s="158">
        <f>RANK(X26,$X$6:$X1245,1)</f>
        <v>117</v>
      </c>
      <c r="AA26" s="158">
        <v>2.375</v>
      </c>
      <c r="AB26" s="158">
        <v>8</v>
      </c>
      <c r="AC26" s="158">
        <v>2.7698999999999998</v>
      </c>
      <c r="AD26" s="190">
        <f t="shared" si="4"/>
        <v>0.87952376102876506</v>
      </c>
      <c r="AE26" s="158"/>
      <c r="AF26" s="158"/>
      <c r="AG26" s="158"/>
      <c r="AH26" s="158"/>
    </row>
    <row r="27" spans="1:34" ht="15.75" customHeight="1" thickBot="1">
      <c r="A27" s="357">
        <v>22</v>
      </c>
      <c r="B27" s="375" t="s">
        <v>69</v>
      </c>
      <c r="C27" s="375" t="s">
        <v>70</v>
      </c>
      <c r="D27" s="360">
        <v>6.2</v>
      </c>
      <c r="E27" s="360">
        <v>3.1</v>
      </c>
      <c r="F27" s="360">
        <v>2</v>
      </c>
      <c r="G27" s="360">
        <v>1.28</v>
      </c>
      <c r="H27" s="361">
        <v>0.16400000000000001</v>
      </c>
      <c r="I27" s="362">
        <v>8.2000000000000003E-2</v>
      </c>
      <c r="J27" s="362">
        <v>8.2000000000000003E-2</v>
      </c>
      <c r="K27" s="363">
        <v>0.23</v>
      </c>
      <c r="L27" s="360">
        <v>1.22</v>
      </c>
      <c r="M27" s="360">
        <v>0.247</v>
      </c>
      <c r="N27" s="362">
        <v>0.69499999999999995</v>
      </c>
      <c r="O27" s="363">
        <v>114</v>
      </c>
      <c r="P27" s="360">
        <v>116</v>
      </c>
      <c r="Q27" s="360">
        <v>121</v>
      </c>
      <c r="R27" s="363">
        <v>4.74</v>
      </c>
      <c r="S27" s="360">
        <v>4.82</v>
      </c>
      <c r="T27" s="360">
        <v>-7.0000000000000007E-2</v>
      </c>
      <c r="U27" s="363">
        <v>5.04</v>
      </c>
      <c r="V27" s="360">
        <v>4.95</v>
      </c>
      <c r="W27" s="191" t="str">
        <f t="shared" si="1"/>
        <v>Jose Quintana</v>
      </c>
      <c r="X27" s="192">
        <f t="shared" si="3"/>
        <v>4.1578640047667239</v>
      </c>
      <c r="Y27" s="192">
        <f t="shared" si="2"/>
        <v>0.901872578255274</v>
      </c>
      <c r="Z27" s="158">
        <f>RANK(X27,$X$6:$X1246,1)</f>
        <v>76</v>
      </c>
      <c r="AA27" s="158">
        <v>3.75</v>
      </c>
      <c r="AB27" s="158">
        <v>8</v>
      </c>
      <c r="AC27" s="158">
        <v>2.7357999999999998</v>
      </c>
      <c r="AD27" s="190">
        <f t="shared" si="4"/>
        <v>1.3887217279401554</v>
      </c>
      <c r="AE27" s="158"/>
      <c r="AF27" s="158"/>
      <c r="AG27" s="158"/>
      <c r="AH27" s="158"/>
    </row>
    <row r="28" spans="1:34" ht="15.75" customHeight="1" thickBot="1">
      <c r="A28" s="357">
        <v>23</v>
      </c>
      <c r="B28" s="375" t="s">
        <v>71</v>
      </c>
      <c r="C28" s="375" t="s">
        <v>72</v>
      </c>
      <c r="D28" s="360">
        <v>5.57</v>
      </c>
      <c r="E28" s="360">
        <v>2.57</v>
      </c>
      <c r="F28" s="360">
        <v>2.17</v>
      </c>
      <c r="G28" s="360">
        <v>1.71</v>
      </c>
      <c r="H28" s="361">
        <v>0.14399999999999999</v>
      </c>
      <c r="I28" s="362">
        <v>6.7000000000000004E-2</v>
      </c>
      <c r="J28" s="362">
        <v>7.8E-2</v>
      </c>
      <c r="K28" s="363">
        <v>0.25</v>
      </c>
      <c r="L28" s="360">
        <v>1.29</v>
      </c>
      <c r="M28" s="360">
        <v>0.254</v>
      </c>
      <c r="N28" s="362">
        <v>0.56100000000000005</v>
      </c>
      <c r="O28" s="363">
        <v>138</v>
      </c>
      <c r="P28" s="360">
        <v>126</v>
      </c>
      <c r="Q28" s="360">
        <v>114</v>
      </c>
      <c r="R28" s="363">
        <v>5.57</v>
      </c>
      <c r="S28" s="360">
        <v>5.23</v>
      </c>
      <c r="T28" s="360">
        <v>0.34</v>
      </c>
      <c r="U28" s="363">
        <v>4.74</v>
      </c>
      <c r="V28" s="360">
        <v>4.93</v>
      </c>
      <c r="W28" s="191" t="str">
        <f t="shared" si="1"/>
        <v>Brandon Young</v>
      </c>
      <c r="X28" s="192">
        <f t="shared" si="3"/>
        <v>4.7758801793370722</v>
      </c>
      <c r="Y28" s="192">
        <f t="shared" si="2"/>
        <v>1.0359250244450076</v>
      </c>
      <c r="Z28" s="158">
        <f>RANK(X28,$X$6:$X1247,1)</f>
        <v>104</v>
      </c>
      <c r="AA28" s="158">
        <v>4.375</v>
      </c>
      <c r="AB28" s="158">
        <v>8</v>
      </c>
      <c r="AC28" s="158">
        <v>2.9685000000000001</v>
      </c>
      <c r="AD28" s="190">
        <f t="shared" si="4"/>
        <v>1.6201753492635147</v>
      </c>
      <c r="AE28" s="158"/>
      <c r="AF28" s="158"/>
      <c r="AG28" s="158"/>
      <c r="AH28" s="158"/>
    </row>
    <row r="29" spans="1:34" ht="15.75" customHeight="1" thickBot="1">
      <c r="A29" s="357">
        <v>24</v>
      </c>
      <c r="B29" s="375" t="s">
        <v>73</v>
      </c>
      <c r="C29" s="375" t="s">
        <v>74</v>
      </c>
      <c r="D29" s="360">
        <v>7.19</v>
      </c>
      <c r="E29" s="360">
        <v>3.86</v>
      </c>
      <c r="F29" s="360">
        <v>1.86</v>
      </c>
      <c r="G29" s="360">
        <v>1.4</v>
      </c>
      <c r="H29" s="361">
        <v>0.185</v>
      </c>
      <c r="I29" s="362">
        <v>9.9000000000000005E-2</v>
      </c>
      <c r="J29" s="362">
        <v>8.5999999999999993E-2</v>
      </c>
      <c r="K29" s="363">
        <v>0.23699999999999999</v>
      </c>
      <c r="L29" s="360">
        <v>1.34</v>
      </c>
      <c r="M29" s="360">
        <v>0.26200000000000001</v>
      </c>
      <c r="N29" s="362">
        <v>0.68600000000000005</v>
      </c>
      <c r="O29" s="363">
        <v>111</v>
      </c>
      <c r="P29" s="360">
        <v>116</v>
      </c>
      <c r="Q29" s="360">
        <v>120</v>
      </c>
      <c r="R29" s="363">
        <v>4.5599999999999996</v>
      </c>
      <c r="S29" s="360">
        <v>4.97</v>
      </c>
      <c r="T29" s="360">
        <v>-0.41</v>
      </c>
      <c r="U29" s="363">
        <v>4.9800000000000004</v>
      </c>
      <c r="V29" s="360">
        <v>4.92</v>
      </c>
      <c r="W29" s="191" t="str">
        <f t="shared" si="1"/>
        <v>Davis Martin</v>
      </c>
      <c r="X29" s="192">
        <f t="shared" si="3"/>
        <v>4.9191888914898971</v>
      </c>
      <c r="Y29" s="192">
        <f t="shared" si="2"/>
        <v>1.067009782765034</v>
      </c>
      <c r="Z29" s="158">
        <f>RANK(X29,$X$6:$X1248,1)</f>
        <v>112</v>
      </c>
      <c r="AA29" s="158">
        <v>3.25</v>
      </c>
      <c r="AB29" s="158">
        <v>8</v>
      </c>
      <c r="AC29" s="158">
        <v>2.8210000000000002</v>
      </c>
      <c r="AD29" s="190">
        <f t="shared" si="4"/>
        <v>1.203558830881468</v>
      </c>
      <c r="AE29" s="158"/>
      <c r="AF29" s="158"/>
      <c r="AG29" s="158"/>
      <c r="AH29" s="158"/>
    </row>
    <row r="30" spans="1:34" ht="15.75" customHeight="1" thickBot="1">
      <c r="A30" s="357">
        <v>25</v>
      </c>
      <c r="B30" s="375" t="s">
        <v>75</v>
      </c>
      <c r="C30" s="375" t="s">
        <v>76</v>
      </c>
      <c r="D30" s="360">
        <v>7.36</v>
      </c>
      <c r="E30" s="360">
        <v>3.59</v>
      </c>
      <c r="F30" s="360">
        <v>2.0499999999999998</v>
      </c>
      <c r="G30" s="360">
        <v>1.89</v>
      </c>
      <c r="H30" s="361">
        <v>0.183</v>
      </c>
      <c r="I30" s="362">
        <v>8.8999999999999996E-2</v>
      </c>
      <c r="J30" s="362">
        <v>9.4E-2</v>
      </c>
      <c r="K30" s="363">
        <v>0.318</v>
      </c>
      <c r="L30" s="360">
        <v>1.68</v>
      </c>
      <c r="M30" s="360">
        <v>0.35699999999999998</v>
      </c>
      <c r="N30" s="362">
        <v>0.76500000000000001</v>
      </c>
      <c r="O30" s="363">
        <v>134</v>
      </c>
      <c r="P30" s="360">
        <v>136</v>
      </c>
      <c r="Q30" s="360">
        <v>119</v>
      </c>
      <c r="R30" s="363">
        <v>5.66</v>
      </c>
      <c r="S30" s="360">
        <v>5.55</v>
      </c>
      <c r="T30" s="360">
        <v>0.12</v>
      </c>
      <c r="U30" s="363">
        <v>4.92</v>
      </c>
      <c r="V30" s="360">
        <v>4.8600000000000003</v>
      </c>
      <c r="W30" s="191" t="str">
        <f t="shared" si="1"/>
        <v>Spencer Strider</v>
      </c>
      <c r="X30" s="192">
        <f t="shared" si="3"/>
        <v>7.1574614082966299</v>
      </c>
      <c r="Y30" s="192">
        <f t="shared" si="2"/>
        <v>1.5525082510305117</v>
      </c>
      <c r="Z30" s="158">
        <f>RANK(X30,$X$6:$X1249,1)</f>
        <v>155</v>
      </c>
      <c r="AA30" s="158">
        <v>2.625</v>
      </c>
      <c r="AB30" s="158">
        <v>8</v>
      </c>
      <c r="AC30" s="158">
        <v>3.1501999999999999</v>
      </c>
      <c r="AD30" s="190">
        <f t="shared" si="4"/>
        <v>0.97210520955810875</v>
      </c>
      <c r="AE30" s="158"/>
      <c r="AF30" s="158"/>
      <c r="AG30" s="158"/>
      <c r="AH30" s="158"/>
    </row>
    <row r="31" spans="1:34" ht="15.75" customHeight="1" thickBot="1">
      <c r="A31" s="357">
        <v>26</v>
      </c>
      <c r="B31" s="375" t="s">
        <v>77</v>
      </c>
      <c r="C31" s="375" t="s">
        <v>53</v>
      </c>
      <c r="D31" s="360">
        <v>7.1</v>
      </c>
      <c r="E31" s="360">
        <v>3.12</v>
      </c>
      <c r="F31" s="360">
        <v>2.2799999999999998</v>
      </c>
      <c r="G31" s="360">
        <v>1.73</v>
      </c>
      <c r="H31" s="361">
        <v>0.18</v>
      </c>
      <c r="I31" s="362">
        <v>7.9000000000000001E-2</v>
      </c>
      <c r="J31" s="362">
        <v>0.10100000000000001</v>
      </c>
      <c r="K31" s="363">
        <v>0.26700000000000002</v>
      </c>
      <c r="L31" s="360">
        <v>1.42</v>
      </c>
      <c r="M31" s="360">
        <v>0.28899999999999998</v>
      </c>
      <c r="N31" s="362">
        <v>0.73299999999999998</v>
      </c>
      <c r="O31" s="363">
        <v>105</v>
      </c>
      <c r="P31" s="360">
        <v>125</v>
      </c>
      <c r="Q31" s="360">
        <v>116</v>
      </c>
      <c r="R31" s="363">
        <v>4.33</v>
      </c>
      <c r="S31" s="360">
        <v>5.08</v>
      </c>
      <c r="T31" s="360">
        <v>-0.76</v>
      </c>
      <c r="U31" s="363">
        <v>4.8099999999999996</v>
      </c>
      <c r="V31" s="360">
        <v>4.8</v>
      </c>
      <c r="W31" s="191" t="str">
        <f t="shared" si="1"/>
        <v>Matthew Liberatore</v>
      </c>
      <c r="X31" s="192">
        <f t="shared" si="3"/>
        <v>5.5360085962067407</v>
      </c>
      <c r="Y31" s="192">
        <f t="shared" si="2"/>
        <v>1.2008027054709913</v>
      </c>
      <c r="Z31" s="158">
        <f>RANK(X31,$X$6:$X1250,1)</f>
        <v>124</v>
      </c>
      <c r="AA31" s="158">
        <v>2</v>
      </c>
      <c r="AB31" s="158">
        <v>8</v>
      </c>
      <c r="AC31" s="158">
        <v>2.8834</v>
      </c>
      <c r="AD31" s="190">
        <f t="shared" si="4"/>
        <v>0.74065158823474952</v>
      </c>
      <c r="AE31" s="158"/>
      <c r="AF31" s="158"/>
      <c r="AG31" s="158"/>
      <c r="AH31" s="158"/>
    </row>
    <row r="32" spans="1:34" ht="15.75" customHeight="1" thickBot="1">
      <c r="A32" s="357">
        <v>27</v>
      </c>
      <c r="B32" s="375" t="s">
        <v>78</v>
      </c>
      <c r="C32" s="375" t="s">
        <v>74</v>
      </c>
      <c r="D32" s="360">
        <v>6.06</v>
      </c>
      <c r="E32" s="360">
        <v>2.48</v>
      </c>
      <c r="F32" s="360">
        <v>2.44</v>
      </c>
      <c r="G32" s="360">
        <v>1.38</v>
      </c>
      <c r="H32" s="361">
        <v>0.16900000000000001</v>
      </c>
      <c r="I32" s="362">
        <v>6.9000000000000006E-2</v>
      </c>
      <c r="J32" s="362">
        <v>0.1</v>
      </c>
      <c r="K32" s="363">
        <v>0.192</v>
      </c>
      <c r="L32" s="360">
        <v>0.98</v>
      </c>
      <c r="M32" s="360">
        <v>0.19400000000000001</v>
      </c>
      <c r="N32" s="362">
        <v>0.69199999999999995</v>
      </c>
      <c r="O32" s="363">
        <v>94</v>
      </c>
      <c r="P32" s="360">
        <v>110</v>
      </c>
      <c r="Q32" s="360">
        <v>119</v>
      </c>
      <c r="R32" s="363">
        <v>3.86</v>
      </c>
      <c r="S32" s="360">
        <v>4.7</v>
      </c>
      <c r="T32" s="360">
        <v>-0.84</v>
      </c>
      <c r="U32" s="363">
        <v>4.97</v>
      </c>
      <c r="V32" s="360">
        <v>4.78</v>
      </c>
      <c r="W32" s="191" t="str">
        <f t="shared" si="1"/>
        <v>Martín Pérez</v>
      </c>
      <c r="X32" s="192">
        <f t="shared" si="3"/>
        <v>2.977138315892089</v>
      </c>
      <c r="Y32" s="192">
        <f t="shared" si="2"/>
        <v>0.64576412448747322</v>
      </c>
      <c r="Z32" s="158">
        <f>RANK(X32,$X$6:$X1251,1)</f>
        <v>23</v>
      </c>
      <c r="AA32" s="158">
        <v>1.8571</v>
      </c>
      <c r="AB32" s="158">
        <v>7</v>
      </c>
      <c r="AC32" s="158">
        <v>2.6677</v>
      </c>
      <c r="AD32" s="190">
        <f t="shared" si="4"/>
        <v>0.68773203225537671</v>
      </c>
      <c r="AE32" s="158"/>
      <c r="AF32" s="158"/>
      <c r="AG32" s="158"/>
      <c r="AH32" s="158"/>
    </row>
    <row r="33" spans="1:34" ht="15.75" customHeight="1" thickBot="1">
      <c r="A33" s="357">
        <v>28</v>
      </c>
      <c r="B33" s="375" t="s">
        <v>79</v>
      </c>
      <c r="C33" s="375" t="s">
        <v>80</v>
      </c>
      <c r="D33" s="360">
        <v>7.69</v>
      </c>
      <c r="E33" s="360">
        <v>4.13</v>
      </c>
      <c r="F33" s="360">
        <v>1.86</v>
      </c>
      <c r="G33" s="360">
        <v>0.75</v>
      </c>
      <c r="H33" s="361">
        <v>0.192</v>
      </c>
      <c r="I33" s="362">
        <v>0.10299999999999999</v>
      </c>
      <c r="J33" s="362">
        <v>8.8999999999999996E-2</v>
      </c>
      <c r="K33" s="363">
        <v>0.26100000000000001</v>
      </c>
      <c r="L33" s="360">
        <v>1.48</v>
      </c>
      <c r="M33" s="360">
        <v>0.315</v>
      </c>
      <c r="N33" s="362">
        <v>0.629</v>
      </c>
      <c r="O33" s="363">
        <v>116</v>
      </c>
      <c r="P33" s="360">
        <v>99</v>
      </c>
      <c r="Q33" s="360">
        <v>113</v>
      </c>
      <c r="R33" s="363">
        <v>4.6900000000000004</v>
      </c>
      <c r="S33" s="360">
        <v>4.07</v>
      </c>
      <c r="T33" s="360">
        <v>0.61</v>
      </c>
      <c r="U33" s="363">
        <v>4.6900000000000004</v>
      </c>
      <c r="V33" s="360">
        <v>4.75</v>
      </c>
      <c r="W33" s="191" t="str">
        <f t="shared" si="1"/>
        <v>Logan Allen</v>
      </c>
      <c r="X33" s="192">
        <f t="shared" si="3"/>
        <v>5.0388628258063211</v>
      </c>
      <c r="Y33" s="192">
        <f t="shared" si="2"/>
        <v>1.092967976579976</v>
      </c>
      <c r="Z33" s="158">
        <f>RANK(X33,$X$6:$X1252,1)</f>
        <v>114</v>
      </c>
      <c r="AA33" s="158">
        <v>2.25</v>
      </c>
      <c r="AB33" s="158">
        <v>8</v>
      </c>
      <c r="AC33" s="158">
        <v>2.3100999999999998</v>
      </c>
      <c r="AD33" s="190">
        <f t="shared" si="4"/>
        <v>0.83323303676409322</v>
      </c>
      <c r="AE33" s="158"/>
      <c r="AF33" s="158"/>
      <c r="AG33" s="158"/>
      <c r="AH33" s="158"/>
    </row>
    <row r="34" spans="1:34" ht="15.75" customHeight="1" thickBot="1">
      <c r="A34" s="357">
        <v>29</v>
      </c>
      <c r="B34" s="375" t="s">
        <v>81</v>
      </c>
      <c r="C34" s="375" t="s">
        <v>82</v>
      </c>
      <c r="D34" s="360">
        <v>9.3699999999999992</v>
      </c>
      <c r="E34" s="360">
        <v>5.13</v>
      </c>
      <c r="F34" s="360">
        <v>1.83</v>
      </c>
      <c r="G34" s="360">
        <v>1.34</v>
      </c>
      <c r="H34" s="361">
        <v>0.247</v>
      </c>
      <c r="I34" s="362">
        <v>0.13500000000000001</v>
      </c>
      <c r="J34" s="362">
        <v>0.112</v>
      </c>
      <c r="K34" s="363">
        <v>0.18099999999999999</v>
      </c>
      <c r="L34" s="360">
        <v>1.21</v>
      </c>
      <c r="M34" s="360">
        <v>0.20799999999999999</v>
      </c>
      <c r="N34" s="362">
        <v>0.80300000000000005</v>
      </c>
      <c r="O34" s="363">
        <v>83</v>
      </c>
      <c r="P34" s="360">
        <v>119</v>
      </c>
      <c r="Q34" s="360">
        <v>118</v>
      </c>
      <c r="R34" s="363">
        <v>3.57</v>
      </c>
      <c r="S34" s="360">
        <v>4.92</v>
      </c>
      <c r="T34" s="360">
        <v>-1.35</v>
      </c>
      <c r="U34" s="363">
        <v>4.9000000000000004</v>
      </c>
      <c r="V34" s="360">
        <v>4.7300000000000004</v>
      </c>
      <c r="W34" s="191" t="str">
        <f t="shared" si="1"/>
        <v>Johan Oviedo</v>
      </c>
      <c r="X34" s="192">
        <f t="shared" si="3"/>
        <v>4.4248802580422772</v>
      </c>
      <c r="Y34" s="192">
        <f t="shared" si="2"/>
        <v>0.9597904506295527</v>
      </c>
      <c r="Z34" s="158">
        <f>RANK(X34,$X$6:$X1253,1)</f>
        <v>91</v>
      </c>
      <c r="AA34" s="158">
        <v>1.3332999999999999</v>
      </c>
      <c r="AB34" s="158">
        <v>3</v>
      </c>
      <c r="AC34" s="158">
        <v>2.7926000000000002</v>
      </c>
      <c r="AD34" s="190">
        <f t="shared" si="4"/>
        <v>1</v>
      </c>
      <c r="AE34" s="158"/>
      <c r="AF34" s="158"/>
      <c r="AG34" s="158"/>
      <c r="AH34" s="158"/>
    </row>
    <row r="35" spans="1:34" ht="15.75" customHeight="1" thickBot="1">
      <c r="A35" s="357">
        <v>30</v>
      </c>
      <c r="B35" s="375" t="s">
        <v>83</v>
      </c>
      <c r="C35" s="375" t="s">
        <v>46</v>
      </c>
      <c r="D35" s="360">
        <v>5.86</v>
      </c>
      <c r="E35" s="360">
        <v>1.63</v>
      </c>
      <c r="F35" s="360">
        <v>3.6</v>
      </c>
      <c r="G35" s="360">
        <v>0.65</v>
      </c>
      <c r="H35" s="361">
        <v>0.159</v>
      </c>
      <c r="I35" s="362">
        <v>4.3999999999999997E-2</v>
      </c>
      <c r="J35" s="362">
        <v>0.115</v>
      </c>
      <c r="K35" s="363">
        <v>0.27</v>
      </c>
      <c r="L35" s="360">
        <v>1.23</v>
      </c>
      <c r="M35" s="360">
        <v>0.309</v>
      </c>
      <c r="N35" s="362">
        <v>0.64700000000000002</v>
      </c>
      <c r="O35" s="363">
        <v>108</v>
      </c>
      <c r="P35" s="360">
        <v>81</v>
      </c>
      <c r="Q35" s="360">
        <v>112</v>
      </c>
      <c r="R35" s="363">
        <v>4.55</v>
      </c>
      <c r="S35" s="360">
        <v>3.37</v>
      </c>
      <c r="T35" s="360">
        <v>1.18</v>
      </c>
      <c r="U35" s="363">
        <v>4.6900000000000004</v>
      </c>
      <c r="V35" s="360">
        <v>4.72</v>
      </c>
      <c r="W35" s="191" t="str">
        <f t="shared" si="1"/>
        <v>Michael Wacha</v>
      </c>
      <c r="X35" s="192">
        <f t="shared" si="3"/>
        <v>3.4653581661348856</v>
      </c>
      <c r="Y35" s="192">
        <f t="shared" si="2"/>
        <v>0.75166275286711359</v>
      </c>
      <c r="Z35" s="158">
        <f>RANK(X35,$X$6:$X1254,1)</f>
        <v>49</v>
      </c>
      <c r="AA35" s="158">
        <v>3.875</v>
      </c>
      <c r="AB35" s="158">
        <v>8</v>
      </c>
      <c r="AC35" s="158">
        <v>1.9128000000000001</v>
      </c>
      <c r="AD35" s="190">
        <f t="shared" si="4"/>
        <v>1.4350124522048273</v>
      </c>
      <c r="AE35" s="158"/>
      <c r="AF35" s="158"/>
      <c r="AG35" s="158"/>
      <c r="AH35" s="158"/>
    </row>
    <row r="36" spans="1:34" ht="15.75" customHeight="1" thickBot="1">
      <c r="A36" s="357">
        <v>31</v>
      </c>
      <c r="B36" s="375" t="s">
        <v>84</v>
      </c>
      <c r="C36" s="375" t="s">
        <v>40</v>
      </c>
      <c r="D36" s="360">
        <v>8.8800000000000008</v>
      </c>
      <c r="E36" s="360">
        <v>4.07</v>
      </c>
      <c r="F36" s="360">
        <v>2.1800000000000002</v>
      </c>
      <c r="G36" s="360">
        <v>1.48</v>
      </c>
      <c r="H36" s="361">
        <v>0.224</v>
      </c>
      <c r="I36" s="362">
        <v>0.10299999999999999</v>
      </c>
      <c r="J36" s="362">
        <v>0.121</v>
      </c>
      <c r="K36" s="363">
        <v>0.253</v>
      </c>
      <c r="L36" s="360">
        <v>1.44</v>
      </c>
      <c r="M36" s="360">
        <v>0.29899999999999999</v>
      </c>
      <c r="N36" s="362">
        <v>0.55900000000000005</v>
      </c>
      <c r="O36" s="363">
        <v>161</v>
      </c>
      <c r="P36" s="360">
        <v>113</v>
      </c>
      <c r="Q36" s="360">
        <v>115</v>
      </c>
      <c r="R36" s="363">
        <v>6.66</v>
      </c>
      <c r="S36" s="360">
        <v>4.78</v>
      </c>
      <c r="T36" s="360">
        <v>1.88</v>
      </c>
      <c r="U36" s="363">
        <v>4.8</v>
      </c>
      <c r="V36" s="360">
        <v>4.72</v>
      </c>
      <c r="W36" s="191" t="str">
        <f t="shared" si="1"/>
        <v>Mitch Farris</v>
      </c>
      <c r="X36" s="192">
        <f t="shared" si="3"/>
        <v>5.5950070209623988</v>
      </c>
      <c r="Y36" s="192">
        <f t="shared" si="2"/>
        <v>1.2135999161027928</v>
      </c>
      <c r="Z36" s="158">
        <f>RANK(X36,$X$6:$X1255,1)</f>
        <v>128</v>
      </c>
      <c r="AA36" s="158">
        <v>3.25</v>
      </c>
      <c r="AB36" s="158">
        <v>4</v>
      </c>
      <c r="AC36" s="158">
        <v>2.7130999999999998</v>
      </c>
      <c r="AD36" s="190">
        <f t="shared" si="4"/>
        <v>1</v>
      </c>
      <c r="AE36" s="158"/>
      <c r="AF36" s="158"/>
      <c r="AG36" s="158"/>
      <c r="AH36" s="158"/>
    </row>
    <row r="37" spans="1:34" ht="15.75" customHeight="1" thickBot="1">
      <c r="A37" s="357">
        <v>32</v>
      </c>
      <c r="B37" s="375" t="s">
        <v>85</v>
      </c>
      <c r="C37" s="375" t="s">
        <v>86</v>
      </c>
      <c r="D37" s="360">
        <v>7.66</v>
      </c>
      <c r="E37" s="360">
        <v>3.83</v>
      </c>
      <c r="F37" s="360">
        <v>2</v>
      </c>
      <c r="G37" s="360">
        <v>1.41</v>
      </c>
      <c r="H37" s="361">
        <v>0.19</v>
      </c>
      <c r="I37" s="362">
        <v>9.5000000000000001E-2</v>
      </c>
      <c r="J37" s="362">
        <v>9.5000000000000001E-2</v>
      </c>
      <c r="K37" s="363">
        <v>0.28299999999999997</v>
      </c>
      <c r="L37" s="360">
        <v>1.57</v>
      </c>
      <c r="M37" s="360">
        <v>0.32600000000000001</v>
      </c>
      <c r="N37" s="362">
        <v>0.68600000000000005</v>
      </c>
      <c r="O37" s="363">
        <v>140</v>
      </c>
      <c r="P37" s="360">
        <v>115</v>
      </c>
      <c r="Q37" s="360">
        <v>107</v>
      </c>
      <c r="R37" s="363">
        <v>5.64</v>
      </c>
      <c r="S37" s="360">
        <v>4.8099999999999996</v>
      </c>
      <c r="T37" s="360">
        <v>0.83</v>
      </c>
      <c r="U37" s="363">
        <v>4.47</v>
      </c>
      <c r="V37" s="360">
        <v>4.71</v>
      </c>
      <c r="W37" s="191" t="str">
        <f t="shared" si="1"/>
        <v>Patrick Corbin</v>
      </c>
      <c r="X37" s="192">
        <f t="shared" si="3"/>
        <v>6.0752743337608894</v>
      </c>
      <c r="Y37" s="192">
        <f t="shared" si="2"/>
        <v>1.3177735781438649</v>
      </c>
      <c r="Z37" s="158">
        <f>RANK(X37,$X$6:$X1256,1)</f>
        <v>141</v>
      </c>
      <c r="AA37" s="158">
        <v>2</v>
      </c>
      <c r="AB37" s="158">
        <v>8</v>
      </c>
      <c r="AC37" s="158">
        <v>2.7302</v>
      </c>
      <c r="AD37" s="190">
        <f t="shared" si="4"/>
        <v>0.74065158823474952</v>
      </c>
      <c r="AE37" s="158"/>
      <c r="AF37" s="158"/>
      <c r="AG37" s="158"/>
      <c r="AH37" s="158"/>
    </row>
    <row r="38" spans="1:34" ht="15.75" customHeight="1" thickBot="1">
      <c r="A38" s="357">
        <v>33</v>
      </c>
      <c r="B38" s="375" t="s">
        <v>87</v>
      </c>
      <c r="C38" s="375" t="s">
        <v>88</v>
      </c>
      <c r="D38" s="360">
        <v>5.71</v>
      </c>
      <c r="E38" s="360">
        <v>2.6</v>
      </c>
      <c r="F38" s="360">
        <v>2.2000000000000002</v>
      </c>
      <c r="G38" s="360">
        <v>0.78</v>
      </c>
      <c r="H38" s="361">
        <v>0.154</v>
      </c>
      <c r="I38" s="362">
        <v>7.0000000000000007E-2</v>
      </c>
      <c r="J38" s="362">
        <v>8.4000000000000005E-2</v>
      </c>
      <c r="K38" s="363">
        <v>0.24</v>
      </c>
      <c r="L38" s="360">
        <v>1.18</v>
      </c>
      <c r="M38" s="360">
        <v>0.26900000000000002</v>
      </c>
      <c r="N38" s="362">
        <v>0.73499999999999999</v>
      </c>
      <c r="O38" s="363">
        <v>94</v>
      </c>
      <c r="P38" s="360">
        <v>103</v>
      </c>
      <c r="Q38" s="360">
        <v>111</v>
      </c>
      <c r="R38" s="363">
        <v>3.89</v>
      </c>
      <c r="S38" s="360">
        <v>4.2</v>
      </c>
      <c r="T38" s="360">
        <v>-0.31</v>
      </c>
      <c r="U38" s="363">
        <v>4.59</v>
      </c>
      <c r="V38" s="360">
        <v>4.7</v>
      </c>
      <c r="W38" s="191" t="str">
        <f t="shared" ref="W38:W69" si="5">B38</f>
        <v>Javier Assad</v>
      </c>
      <c r="X38" s="192">
        <f t="shared" si="3"/>
        <v>3.5315463012984627</v>
      </c>
      <c r="Y38" s="192">
        <f t="shared" ref="Y38:Y69" si="6">X38/$X$4</f>
        <v>0.76601946680519561</v>
      </c>
      <c r="Z38" s="158">
        <f>RANK(X38,$X$6:$X1257,1)</f>
        <v>51</v>
      </c>
      <c r="AA38" s="158">
        <v>2.2000000000000002</v>
      </c>
      <c r="AB38" s="158">
        <v>5</v>
      </c>
      <c r="AC38" s="158">
        <v>2.3839000000000001</v>
      </c>
      <c r="AD38" s="190">
        <f t="shared" si="4"/>
        <v>0.81471674705822461</v>
      </c>
      <c r="AE38" s="158"/>
      <c r="AF38" s="158"/>
      <c r="AG38" s="158"/>
      <c r="AH38" s="158"/>
    </row>
    <row r="39" spans="1:34" ht="15.75" customHeight="1" thickBot="1">
      <c r="A39" s="357">
        <v>34</v>
      </c>
      <c r="B39" s="375" t="s">
        <v>89</v>
      </c>
      <c r="C39" s="375" t="s">
        <v>46</v>
      </c>
      <c r="D39" s="360">
        <v>6.75</v>
      </c>
      <c r="E39" s="360">
        <v>3.14</v>
      </c>
      <c r="F39" s="360">
        <v>2.15</v>
      </c>
      <c r="G39" s="360">
        <v>1.41</v>
      </c>
      <c r="H39" s="361">
        <v>0.182</v>
      </c>
      <c r="I39" s="362">
        <v>8.5000000000000006E-2</v>
      </c>
      <c r="J39" s="362">
        <v>9.7000000000000003E-2</v>
      </c>
      <c r="K39" s="363">
        <v>0.23799999999999999</v>
      </c>
      <c r="L39" s="360">
        <v>1.24</v>
      </c>
      <c r="M39" s="360">
        <v>0.25900000000000001</v>
      </c>
      <c r="N39" s="362">
        <v>0.81100000000000005</v>
      </c>
      <c r="O39" s="363">
        <v>89</v>
      </c>
      <c r="P39" s="360">
        <v>116</v>
      </c>
      <c r="Q39" s="360">
        <v>103</v>
      </c>
      <c r="R39" s="363">
        <v>3.77</v>
      </c>
      <c r="S39" s="360">
        <v>4.83</v>
      </c>
      <c r="T39" s="360">
        <v>-1.06</v>
      </c>
      <c r="U39" s="363">
        <v>4.32</v>
      </c>
      <c r="V39" s="360">
        <v>4.7</v>
      </c>
      <c r="W39" s="191" t="str">
        <f t="shared" si="5"/>
        <v>Noah Cameron</v>
      </c>
      <c r="X39" s="192">
        <f t="shared" si="3"/>
        <v>4.3930505536743789</v>
      </c>
      <c r="Y39" s="192">
        <f t="shared" si="6"/>
        <v>0.95288634373464953</v>
      </c>
      <c r="Z39" s="158">
        <f>RANK(X39,$X$6:$X1258,1)</f>
        <v>90</v>
      </c>
      <c r="AA39" s="158">
        <v>1.25</v>
      </c>
      <c r="AB39" s="158">
        <v>8</v>
      </c>
      <c r="AC39" s="158">
        <v>2.7414999999999998</v>
      </c>
      <c r="AD39" s="190">
        <f t="shared" si="4"/>
        <v>0.46290724264671845</v>
      </c>
      <c r="AE39" s="158"/>
      <c r="AF39" s="158"/>
      <c r="AG39" s="158"/>
      <c r="AH39" s="158"/>
    </row>
    <row r="40" spans="1:34" ht="15.75" customHeight="1" thickBot="1">
      <c r="A40" s="357">
        <v>35</v>
      </c>
      <c r="B40" s="375" t="s">
        <v>90</v>
      </c>
      <c r="C40" s="375" t="s">
        <v>91</v>
      </c>
      <c r="D40" s="360">
        <v>7.21</v>
      </c>
      <c r="E40" s="360">
        <v>4.12</v>
      </c>
      <c r="F40" s="360">
        <v>1.75</v>
      </c>
      <c r="G40" s="360">
        <v>0.41</v>
      </c>
      <c r="H40" s="361">
        <v>0.185</v>
      </c>
      <c r="I40" s="362">
        <v>0.106</v>
      </c>
      <c r="J40" s="362">
        <v>7.9000000000000001E-2</v>
      </c>
      <c r="K40" s="363">
        <v>0.224</v>
      </c>
      <c r="L40" s="360">
        <v>1.31</v>
      </c>
      <c r="M40" s="360">
        <v>0.27300000000000002</v>
      </c>
      <c r="N40" s="362">
        <v>0.65300000000000002</v>
      </c>
      <c r="O40" s="363">
        <v>101</v>
      </c>
      <c r="P40" s="360">
        <v>92</v>
      </c>
      <c r="Q40" s="360">
        <v>109</v>
      </c>
      <c r="R40" s="363">
        <v>4.12</v>
      </c>
      <c r="S40" s="360">
        <v>3.78</v>
      </c>
      <c r="T40" s="360">
        <v>0.35</v>
      </c>
      <c r="U40" s="363">
        <v>4.5199999999999996</v>
      </c>
      <c r="V40" s="360">
        <v>4.7</v>
      </c>
      <c r="W40" s="191" t="str">
        <f t="shared" si="5"/>
        <v>Clay Holmes</v>
      </c>
      <c r="X40" s="192">
        <f t="shared" si="3"/>
        <v>3.8699837523115228</v>
      </c>
      <c r="Y40" s="192">
        <f t="shared" si="6"/>
        <v>0.83942914450830663</v>
      </c>
      <c r="Z40" s="158">
        <f>RANK(X40,$X$6:$X1259,1)</f>
        <v>63</v>
      </c>
      <c r="AA40" s="158">
        <v>1.875</v>
      </c>
      <c r="AB40" s="158">
        <v>8</v>
      </c>
      <c r="AC40" s="158">
        <v>2.1455000000000002</v>
      </c>
      <c r="AD40" s="190">
        <f t="shared" si="4"/>
        <v>0.69436086397007768</v>
      </c>
      <c r="AE40" s="158"/>
      <c r="AF40" s="158"/>
      <c r="AG40" s="158"/>
      <c r="AH40" s="158"/>
    </row>
    <row r="41" spans="1:34" ht="15.75" customHeight="1" thickBot="1">
      <c r="A41" s="357">
        <v>36</v>
      </c>
      <c r="B41" s="375" t="s">
        <v>92</v>
      </c>
      <c r="C41" s="375" t="s">
        <v>93</v>
      </c>
      <c r="D41" s="360">
        <v>7.74</v>
      </c>
      <c r="E41" s="360">
        <v>2.7</v>
      </c>
      <c r="F41" s="360">
        <v>2.87</v>
      </c>
      <c r="G41" s="360">
        <v>1.98</v>
      </c>
      <c r="H41" s="361">
        <v>0.19600000000000001</v>
      </c>
      <c r="I41" s="362">
        <v>6.8000000000000005E-2</v>
      </c>
      <c r="J41" s="362">
        <v>0.128</v>
      </c>
      <c r="K41" s="363">
        <v>0.28100000000000003</v>
      </c>
      <c r="L41" s="360">
        <v>1.44</v>
      </c>
      <c r="M41" s="360">
        <v>0.309</v>
      </c>
      <c r="N41" s="362">
        <v>0.747</v>
      </c>
      <c r="O41" s="363">
        <v>133</v>
      </c>
      <c r="P41" s="360">
        <v>124</v>
      </c>
      <c r="Q41" s="360">
        <v>120</v>
      </c>
      <c r="R41" s="363">
        <v>5.4</v>
      </c>
      <c r="S41" s="360">
        <v>5.24</v>
      </c>
      <c r="T41" s="360">
        <v>0.16</v>
      </c>
      <c r="U41" s="363">
        <v>5</v>
      </c>
      <c r="V41" s="360">
        <v>4.6900000000000004</v>
      </c>
      <c r="W41" s="191" t="str">
        <f t="shared" si="5"/>
        <v>Max Scherzer</v>
      </c>
      <c r="X41" s="192">
        <f t="shared" si="3"/>
        <v>5.9759906801657401</v>
      </c>
      <c r="Y41" s="192">
        <f t="shared" si="6"/>
        <v>1.2962381925363011</v>
      </c>
      <c r="Z41" s="158">
        <f>RANK(X41,$X$6:$X1260,1)</f>
        <v>137</v>
      </c>
      <c r="AA41" s="158">
        <v>2.375</v>
      </c>
      <c r="AB41" s="158">
        <v>8</v>
      </c>
      <c r="AC41" s="158">
        <v>2.9742000000000002</v>
      </c>
      <c r="AD41" s="190">
        <f t="shared" si="4"/>
        <v>0.87952376102876506</v>
      </c>
      <c r="AE41" s="158"/>
      <c r="AF41" s="158"/>
      <c r="AG41" s="158"/>
      <c r="AH41" s="158"/>
    </row>
    <row r="42" spans="1:34" ht="15.75" customHeight="1" thickBot="1">
      <c r="A42" s="357">
        <v>37</v>
      </c>
      <c r="B42" s="375" t="s">
        <v>94</v>
      </c>
      <c r="C42" s="375" t="s">
        <v>64</v>
      </c>
      <c r="D42" s="360">
        <v>8.27</v>
      </c>
      <c r="E42" s="360">
        <v>3.65</v>
      </c>
      <c r="F42" s="360">
        <v>2.27</v>
      </c>
      <c r="G42" s="360">
        <v>0.73</v>
      </c>
      <c r="H42" s="361">
        <v>0.217</v>
      </c>
      <c r="I42" s="362">
        <v>9.6000000000000002E-2</v>
      </c>
      <c r="J42" s="362">
        <v>0.121</v>
      </c>
      <c r="K42" s="363">
        <v>0.22700000000000001</v>
      </c>
      <c r="L42" s="360">
        <v>1.27</v>
      </c>
      <c r="M42" s="360">
        <v>0.27900000000000003</v>
      </c>
      <c r="N42" s="362">
        <v>0.59399999999999997</v>
      </c>
      <c r="O42" s="363">
        <v>113</v>
      </c>
      <c r="P42" s="360">
        <v>87</v>
      </c>
      <c r="Q42" s="360">
        <v>119</v>
      </c>
      <c r="R42" s="363">
        <v>4.62</v>
      </c>
      <c r="S42" s="360">
        <v>3.65</v>
      </c>
      <c r="T42" s="360">
        <v>0.97</v>
      </c>
      <c r="U42" s="363">
        <v>4.97</v>
      </c>
      <c r="V42" s="360">
        <v>4.68</v>
      </c>
      <c r="W42" s="191" t="str">
        <f t="shared" si="5"/>
        <v>Cristian Javier</v>
      </c>
      <c r="X42" s="192">
        <f t="shared" si="3"/>
        <v>3.9192971720231689</v>
      </c>
      <c r="Y42" s="192">
        <f t="shared" si="6"/>
        <v>0.85012560329746845</v>
      </c>
      <c r="Z42" s="158">
        <f>RANK(X42,$X$6:$X1261,1)</f>
        <v>67</v>
      </c>
      <c r="AA42" s="158">
        <v>3.6667000000000001</v>
      </c>
      <c r="AB42" s="158">
        <v>6</v>
      </c>
      <c r="AC42" s="158">
        <v>2.0716999999999999</v>
      </c>
      <c r="AD42" s="190">
        <f t="shared" si="4"/>
        <v>1.3578735892901781</v>
      </c>
      <c r="AE42" s="158"/>
      <c r="AF42" s="158"/>
      <c r="AG42" s="158"/>
      <c r="AH42" s="158"/>
    </row>
    <row r="43" spans="1:34" ht="15.75" customHeight="1" thickBot="1">
      <c r="A43" s="357">
        <v>38</v>
      </c>
      <c r="B43" s="375" t="s">
        <v>95</v>
      </c>
      <c r="C43" s="375" t="s">
        <v>36</v>
      </c>
      <c r="D43" s="360">
        <v>9.1999999999999993</v>
      </c>
      <c r="E43" s="360">
        <v>4.91</v>
      </c>
      <c r="F43" s="360">
        <v>1.88</v>
      </c>
      <c r="G43" s="360">
        <v>0.92</v>
      </c>
      <c r="H43" s="361">
        <v>0.22700000000000001</v>
      </c>
      <c r="I43" s="362">
        <v>0.121</v>
      </c>
      <c r="J43" s="362">
        <v>0.106</v>
      </c>
      <c r="K43" s="363">
        <v>0.25900000000000001</v>
      </c>
      <c r="L43" s="360">
        <v>1.53</v>
      </c>
      <c r="M43" s="360">
        <v>0.32900000000000001</v>
      </c>
      <c r="N43" s="362">
        <v>0.625</v>
      </c>
      <c r="O43" s="363">
        <v>128</v>
      </c>
      <c r="P43" s="360">
        <v>102</v>
      </c>
      <c r="Q43" s="360">
        <v>119</v>
      </c>
      <c r="R43" s="363">
        <v>6.14</v>
      </c>
      <c r="S43" s="360">
        <v>4.46</v>
      </c>
      <c r="T43" s="360">
        <v>1.67</v>
      </c>
      <c r="U43" s="363">
        <v>4.92</v>
      </c>
      <c r="V43" s="360">
        <v>4.66</v>
      </c>
      <c r="W43" s="191" t="str">
        <f t="shared" si="5"/>
        <v>Chase Dollander</v>
      </c>
      <c r="X43" s="192">
        <f t="shared" si="3"/>
        <v>5.7131286816930373</v>
      </c>
      <c r="Y43" s="192">
        <f t="shared" si="6"/>
        <v>1.2392214098767125</v>
      </c>
      <c r="Z43" s="158">
        <f>RANK(X43,$X$6:$X1262,1)</f>
        <v>131</v>
      </c>
      <c r="AA43" s="158">
        <v>3.5</v>
      </c>
      <c r="AB43" s="158">
        <v>8</v>
      </c>
      <c r="AC43" s="158">
        <v>2.5314999999999999</v>
      </c>
      <c r="AD43" s="190">
        <f t="shared" si="4"/>
        <v>1.2961402794108117</v>
      </c>
      <c r="AE43" s="158"/>
      <c r="AF43" s="158"/>
      <c r="AG43" s="158"/>
      <c r="AH43" s="158"/>
    </row>
    <row r="44" spans="1:34" ht="15.75" customHeight="1" thickBot="1">
      <c r="A44" s="357">
        <v>39</v>
      </c>
      <c r="B44" s="375" t="s">
        <v>96</v>
      </c>
      <c r="C44" s="375" t="s">
        <v>60</v>
      </c>
      <c r="D44" s="360">
        <v>7.2</v>
      </c>
      <c r="E44" s="360">
        <v>2.8</v>
      </c>
      <c r="F44" s="360">
        <v>2.57</v>
      </c>
      <c r="G44" s="360">
        <v>1.4</v>
      </c>
      <c r="H44" s="361">
        <v>0.189</v>
      </c>
      <c r="I44" s="362">
        <v>7.3999999999999996E-2</v>
      </c>
      <c r="J44" s="362">
        <v>0.11600000000000001</v>
      </c>
      <c r="K44" s="363">
        <v>0.26300000000000001</v>
      </c>
      <c r="L44" s="360">
        <v>1.33</v>
      </c>
      <c r="M44" s="360">
        <v>0.29499999999999998</v>
      </c>
      <c r="N44" s="362">
        <v>0.74199999999999999</v>
      </c>
      <c r="O44" s="363">
        <v>104</v>
      </c>
      <c r="P44" s="360">
        <v>107</v>
      </c>
      <c r="Q44" s="360">
        <v>111</v>
      </c>
      <c r="R44" s="363">
        <v>4.4000000000000004</v>
      </c>
      <c r="S44" s="360">
        <v>4.5599999999999996</v>
      </c>
      <c r="T44" s="360">
        <v>-0.16</v>
      </c>
      <c r="U44" s="363">
        <v>4.63</v>
      </c>
      <c r="V44" s="360">
        <v>4.6500000000000004</v>
      </c>
      <c r="W44" s="191" t="str">
        <f t="shared" si="5"/>
        <v>Jeffrey Springs</v>
      </c>
      <c r="X44" s="192">
        <f t="shared" si="3"/>
        <v>4.8281514682126208</v>
      </c>
      <c r="Y44" s="192">
        <f t="shared" si="6"/>
        <v>1.0472630677318664</v>
      </c>
      <c r="Z44" s="158">
        <f>RANK(X44,$X$6:$X1263,1)</f>
        <v>107</v>
      </c>
      <c r="AA44" s="158">
        <v>2.875</v>
      </c>
      <c r="AB44" s="158">
        <v>8</v>
      </c>
      <c r="AC44" s="158">
        <v>2.5882999999999998</v>
      </c>
      <c r="AD44" s="190">
        <f t="shared" si="4"/>
        <v>1.0646866580874526</v>
      </c>
      <c r="AE44" s="158"/>
      <c r="AF44" s="158"/>
      <c r="AG44" s="158"/>
      <c r="AH44" s="158"/>
    </row>
    <row r="45" spans="1:34" ht="15.75" customHeight="1" thickBot="1">
      <c r="A45" s="357">
        <v>40</v>
      </c>
      <c r="B45" s="375" t="s">
        <v>97</v>
      </c>
      <c r="C45" s="375" t="s">
        <v>91</v>
      </c>
      <c r="D45" s="360">
        <v>8.7799999999999994</v>
      </c>
      <c r="E45" s="360">
        <v>4.55</v>
      </c>
      <c r="F45" s="360">
        <v>1.93</v>
      </c>
      <c r="G45" s="360">
        <v>1.63</v>
      </c>
      <c r="H45" s="361">
        <v>0.20599999999999999</v>
      </c>
      <c r="I45" s="362">
        <v>0.107</v>
      </c>
      <c r="J45" s="362">
        <v>9.9000000000000005E-2</v>
      </c>
      <c r="K45" s="363">
        <v>0.27</v>
      </c>
      <c r="L45" s="360">
        <v>1.63</v>
      </c>
      <c r="M45" s="360">
        <v>0.313</v>
      </c>
      <c r="N45" s="362">
        <v>0.625</v>
      </c>
      <c r="O45" s="363">
        <v>152</v>
      </c>
      <c r="P45" s="360">
        <v>128</v>
      </c>
      <c r="Q45" s="360">
        <v>111</v>
      </c>
      <c r="R45" s="363">
        <v>6.18</v>
      </c>
      <c r="S45" s="360">
        <v>5.27</v>
      </c>
      <c r="T45" s="360">
        <v>0.91</v>
      </c>
      <c r="U45" s="363">
        <v>4.59</v>
      </c>
      <c r="V45" s="360">
        <v>4.6500000000000004</v>
      </c>
      <c r="W45" s="191" t="str">
        <f t="shared" si="5"/>
        <v>Kodai Senga</v>
      </c>
      <c r="X45" s="192">
        <f t="shared" si="3"/>
        <v>6.742813137982048</v>
      </c>
      <c r="Y45" s="192">
        <f t="shared" si="6"/>
        <v>1.4625678623624405</v>
      </c>
      <c r="Z45" s="158">
        <f>RANK(X45,$X$6:$X1264,1)</f>
        <v>148</v>
      </c>
      <c r="AA45" s="158">
        <v>2.875</v>
      </c>
      <c r="AB45" s="158">
        <v>8</v>
      </c>
      <c r="AC45" s="158">
        <v>2.9912999999999998</v>
      </c>
      <c r="AD45" s="190">
        <f t="shared" si="4"/>
        <v>1.0646866580874526</v>
      </c>
      <c r="AE45" s="158"/>
      <c r="AF45" s="158"/>
      <c r="AG45" s="158"/>
      <c r="AH45" s="158"/>
    </row>
    <row r="46" spans="1:34" ht="15.75" customHeight="1" thickBot="1">
      <c r="A46" s="357">
        <v>41</v>
      </c>
      <c r="B46" s="375" t="s">
        <v>98</v>
      </c>
      <c r="C46" s="375" t="s">
        <v>40</v>
      </c>
      <c r="D46" s="360">
        <v>7.41</v>
      </c>
      <c r="E46" s="360">
        <v>3.46</v>
      </c>
      <c r="F46" s="360">
        <v>2.14</v>
      </c>
      <c r="G46" s="360">
        <v>1.32</v>
      </c>
      <c r="H46" s="361">
        <v>0.187</v>
      </c>
      <c r="I46" s="362">
        <v>8.6999999999999994E-2</v>
      </c>
      <c r="J46" s="362">
        <v>0.1</v>
      </c>
      <c r="K46" s="363">
        <v>0.27400000000000002</v>
      </c>
      <c r="L46" s="360">
        <v>1.48</v>
      </c>
      <c r="M46" s="360">
        <v>0.313</v>
      </c>
      <c r="N46" s="362">
        <v>0.67800000000000005</v>
      </c>
      <c r="O46" s="363">
        <v>137</v>
      </c>
      <c r="P46" s="360">
        <v>109</v>
      </c>
      <c r="Q46" s="360">
        <v>110</v>
      </c>
      <c r="R46" s="363">
        <v>5.6</v>
      </c>
      <c r="S46" s="360">
        <v>4.59</v>
      </c>
      <c r="T46" s="360">
        <v>1.01</v>
      </c>
      <c r="U46" s="363">
        <v>4.5599999999999996</v>
      </c>
      <c r="V46" s="360">
        <v>4.6399999999999997</v>
      </c>
      <c r="W46" s="191" t="str">
        <f t="shared" si="5"/>
        <v>Yusei Kikuchi</v>
      </c>
      <c r="X46" s="192">
        <f t="shared" si="3"/>
        <v>5.4951323236846736</v>
      </c>
      <c r="Y46" s="192">
        <f t="shared" si="6"/>
        <v>1.1919363285893334</v>
      </c>
      <c r="Z46" s="158">
        <f>RANK(X46,$X$6:$X1265,1)</f>
        <v>122</v>
      </c>
      <c r="AA46" s="158">
        <v>3.375</v>
      </c>
      <c r="AB46" s="158">
        <v>8</v>
      </c>
      <c r="AC46" s="158">
        <v>2.6053000000000002</v>
      </c>
      <c r="AD46" s="190">
        <f t="shared" si="4"/>
        <v>1.2498495551461399</v>
      </c>
      <c r="AE46" s="158"/>
      <c r="AF46" s="158"/>
      <c r="AG46" s="158"/>
      <c r="AH46" s="158"/>
    </row>
    <row r="47" spans="1:34" ht="15.75" customHeight="1" thickBot="1">
      <c r="A47" s="357">
        <v>42</v>
      </c>
      <c r="B47" s="375" t="s">
        <v>99</v>
      </c>
      <c r="C47" s="375" t="s">
        <v>100</v>
      </c>
      <c r="D47" s="360">
        <v>10.31</v>
      </c>
      <c r="E47" s="360">
        <v>5.76</v>
      </c>
      <c r="F47" s="360">
        <v>1.79</v>
      </c>
      <c r="G47" s="360">
        <v>1.21</v>
      </c>
      <c r="H47" s="361">
        <v>0.246</v>
      </c>
      <c r="I47" s="362">
        <v>0.13800000000000001</v>
      </c>
      <c r="J47" s="362">
        <v>0.109</v>
      </c>
      <c r="K47" s="363">
        <v>0.28199999999999997</v>
      </c>
      <c r="L47" s="360">
        <v>1.75</v>
      </c>
      <c r="M47" s="360">
        <v>0.36699999999999999</v>
      </c>
      <c r="N47" s="362">
        <v>0.68200000000000005</v>
      </c>
      <c r="O47" s="363">
        <v>147</v>
      </c>
      <c r="P47" s="360">
        <v>111</v>
      </c>
      <c r="Q47" s="360">
        <v>106</v>
      </c>
      <c r="R47" s="363">
        <v>6.07</v>
      </c>
      <c r="S47" s="360">
        <v>4.72</v>
      </c>
      <c r="T47" s="360">
        <v>1.35</v>
      </c>
      <c r="U47" s="363">
        <v>4.42</v>
      </c>
      <c r="V47" s="360">
        <v>4.57</v>
      </c>
      <c r="W47" s="191" t="str">
        <f t="shared" si="5"/>
        <v>Joe Boyle</v>
      </c>
      <c r="X47" s="192">
        <f t="shared" si="3"/>
        <v>7.0624346170770824</v>
      </c>
      <c r="Y47" s="192">
        <f t="shared" si="6"/>
        <v>1.5318962115067931</v>
      </c>
      <c r="Z47" s="158">
        <f>RANK(X47,$X$6:$X1266,1)</f>
        <v>153</v>
      </c>
      <c r="AA47" s="158">
        <v>2.8</v>
      </c>
      <c r="AB47" s="158">
        <v>5</v>
      </c>
      <c r="AC47" s="158">
        <v>2.6791</v>
      </c>
      <c r="AD47" s="190">
        <f t="shared" si="4"/>
        <v>1.0369122235286494</v>
      </c>
      <c r="AE47" s="158"/>
      <c r="AF47" s="158"/>
      <c r="AG47" s="158"/>
      <c r="AH47" s="158"/>
    </row>
    <row r="48" spans="1:34" ht="15.75" customHeight="1" thickBot="1">
      <c r="A48" s="357">
        <v>43</v>
      </c>
      <c r="B48" s="375" t="s">
        <v>101</v>
      </c>
      <c r="C48" s="375" t="s">
        <v>51</v>
      </c>
      <c r="D48" s="360">
        <v>6.51</v>
      </c>
      <c r="E48" s="360">
        <v>2.86</v>
      </c>
      <c r="F48" s="360">
        <v>2.2799999999999998</v>
      </c>
      <c r="G48" s="360">
        <v>0.64</v>
      </c>
      <c r="H48" s="361">
        <v>0.17399999999999999</v>
      </c>
      <c r="I48" s="362">
        <v>7.5999999999999998E-2</v>
      </c>
      <c r="J48" s="362">
        <v>9.7000000000000003E-2</v>
      </c>
      <c r="K48" s="363">
        <v>0.221</v>
      </c>
      <c r="L48" s="360">
        <v>1.1499999999999999</v>
      </c>
      <c r="M48" s="360">
        <v>0.25600000000000001</v>
      </c>
      <c r="N48" s="362">
        <v>0.66800000000000004</v>
      </c>
      <c r="O48" s="363">
        <v>86</v>
      </c>
      <c r="P48" s="360">
        <v>91</v>
      </c>
      <c r="Q48" s="360">
        <v>107</v>
      </c>
      <c r="R48" s="363">
        <v>3.65</v>
      </c>
      <c r="S48" s="360">
        <v>3.82</v>
      </c>
      <c r="T48" s="360">
        <v>-0.17</v>
      </c>
      <c r="U48" s="363">
        <v>4.4800000000000004</v>
      </c>
      <c r="V48" s="360">
        <v>4.57</v>
      </c>
      <c r="W48" s="191" t="str">
        <f t="shared" si="5"/>
        <v>Brayan Bello</v>
      </c>
      <c r="X48" s="192">
        <f t="shared" si="3"/>
        <v>3.2168240320479802</v>
      </c>
      <c r="Y48" s="192">
        <f t="shared" si="6"/>
        <v>0.69775379383516112</v>
      </c>
      <c r="Z48" s="158">
        <f>RANK(X48,$X$6:$X1267,1)</f>
        <v>34</v>
      </c>
      <c r="AA48" s="158">
        <v>3.375</v>
      </c>
      <c r="AB48" s="158">
        <v>8</v>
      </c>
      <c r="AC48" s="158">
        <v>2.1682000000000001</v>
      </c>
      <c r="AD48" s="190">
        <f t="shared" si="4"/>
        <v>1.2498495551461399</v>
      </c>
      <c r="AE48" s="158"/>
      <c r="AF48" s="158"/>
      <c r="AG48" s="158"/>
      <c r="AH48" s="158"/>
    </row>
    <row r="49" spans="1:34" ht="15.75" customHeight="1" thickBot="1">
      <c r="A49" s="357">
        <v>44</v>
      </c>
      <c r="B49" s="375" t="s">
        <v>102</v>
      </c>
      <c r="C49" s="375" t="s">
        <v>58</v>
      </c>
      <c r="D49" s="360">
        <v>9.08</v>
      </c>
      <c r="E49" s="360">
        <v>4.66</v>
      </c>
      <c r="F49" s="360">
        <v>1.95</v>
      </c>
      <c r="G49" s="360">
        <v>1.23</v>
      </c>
      <c r="H49" s="361">
        <v>0.22600000000000001</v>
      </c>
      <c r="I49" s="362">
        <v>0.11600000000000001</v>
      </c>
      <c r="J49" s="362">
        <v>0.11</v>
      </c>
      <c r="K49" s="363">
        <v>0.26400000000000001</v>
      </c>
      <c r="L49" s="360">
        <v>1.55</v>
      </c>
      <c r="M49" s="360">
        <v>0.32400000000000001</v>
      </c>
      <c r="N49" s="362">
        <v>0.70599999999999996</v>
      </c>
      <c r="O49" s="363">
        <v>128</v>
      </c>
      <c r="P49" s="360">
        <v>109</v>
      </c>
      <c r="Q49" s="360">
        <v>107</v>
      </c>
      <c r="R49" s="363">
        <v>5.4</v>
      </c>
      <c r="S49" s="360">
        <v>4.53</v>
      </c>
      <c r="T49" s="360">
        <v>0.87</v>
      </c>
      <c r="U49" s="363">
        <v>4.4400000000000004</v>
      </c>
      <c r="V49" s="360">
        <v>4.5599999999999996</v>
      </c>
      <c r="W49" s="191" t="str">
        <f t="shared" si="5"/>
        <v>MacKenzie Gore</v>
      </c>
      <c r="X49" s="192">
        <f t="shared" si="3"/>
        <v>5.8992440315471271</v>
      </c>
      <c r="Y49" s="192">
        <f t="shared" si="6"/>
        <v>1.2795912560846112</v>
      </c>
      <c r="Z49" s="158">
        <f>RANK(X49,$X$6:$X1268,1)</f>
        <v>136</v>
      </c>
      <c r="AA49" s="158">
        <v>3.125</v>
      </c>
      <c r="AB49" s="158">
        <v>8</v>
      </c>
      <c r="AC49" s="158">
        <v>2.5712000000000002</v>
      </c>
      <c r="AD49" s="190">
        <f t="shared" si="4"/>
        <v>1.1572681066167962</v>
      </c>
      <c r="AE49" s="158"/>
      <c r="AF49" s="158"/>
      <c r="AG49" s="158"/>
      <c r="AH49" s="158"/>
    </row>
    <row r="50" spans="1:34" ht="15.75" customHeight="1" thickBot="1">
      <c r="A50" s="357">
        <v>45</v>
      </c>
      <c r="B50" s="375" t="s">
        <v>103</v>
      </c>
      <c r="C50" s="375" t="s">
        <v>49</v>
      </c>
      <c r="D50" s="360">
        <v>7.3</v>
      </c>
      <c r="E50" s="360">
        <v>2.5499999999999998</v>
      </c>
      <c r="F50" s="360">
        <v>2.86</v>
      </c>
      <c r="G50" s="360">
        <v>2.5499999999999998</v>
      </c>
      <c r="H50" s="361">
        <v>0.18</v>
      </c>
      <c r="I50" s="362">
        <v>6.3E-2</v>
      </c>
      <c r="J50" s="362">
        <v>0.11700000000000001</v>
      </c>
      <c r="K50" s="363">
        <v>0.30099999999999999</v>
      </c>
      <c r="L50" s="360">
        <v>1.54</v>
      </c>
      <c r="M50" s="360">
        <v>0.316</v>
      </c>
      <c r="N50" s="362">
        <v>0.78800000000000003</v>
      </c>
      <c r="O50" s="363">
        <v>135</v>
      </c>
      <c r="P50" s="360">
        <v>150</v>
      </c>
      <c r="Q50" s="360">
        <v>110</v>
      </c>
      <c r="R50" s="363">
        <v>5.47</v>
      </c>
      <c r="S50" s="360">
        <v>6.18</v>
      </c>
      <c r="T50" s="360">
        <v>-0.7</v>
      </c>
      <c r="U50" s="363">
        <v>4.55</v>
      </c>
      <c r="V50" s="360">
        <v>4.5599999999999996</v>
      </c>
      <c r="W50" s="191" t="str">
        <f t="shared" si="5"/>
        <v>JP Sears</v>
      </c>
      <c r="X50" s="192">
        <f t="shared" si="3"/>
        <v>7.0637818439464786</v>
      </c>
      <c r="Y50" s="192">
        <f t="shared" si="6"/>
        <v>1.5321884353430715</v>
      </c>
      <c r="Z50" s="158">
        <f>RANK(X50,$X$6:$X1269,1)</f>
        <v>154</v>
      </c>
      <c r="AA50" s="158">
        <v>3.75</v>
      </c>
      <c r="AB50" s="158">
        <v>8</v>
      </c>
      <c r="AC50" s="158">
        <v>3.5078</v>
      </c>
      <c r="AD50" s="190">
        <f t="shared" si="4"/>
        <v>1.3887217279401554</v>
      </c>
      <c r="AE50" s="158"/>
      <c r="AF50" s="158"/>
      <c r="AG50" s="158"/>
      <c r="AH50" s="158"/>
    </row>
    <row r="51" spans="1:34" ht="15.75" customHeight="1" thickBot="1">
      <c r="A51" s="357">
        <v>46</v>
      </c>
      <c r="B51" s="375" t="s">
        <v>104</v>
      </c>
      <c r="C51" s="375" t="s">
        <v>40</v>
      </c>
      <c r="D51" s="360">
        <v>6.83</v>
      </c>
      <c r="E51" s="360">
        <v>2.64</v>
      </c>
      <c r="F51" s="360">
        <v>2.59</v>
      </c>
      <c r="G51" s="360">
        <v>1.0900000000000001</v>
      </c>
      <c r="H51" s="361">
        <v>0.18</v>
      </c>
      <c r="I51" s="362">
        <v>6.9000000000000006E-2</v>
      </c>
      <c r="J51" s="362">
        <v>0.11</v>
      </c>
      <c r="K51" s="363">
        <v>0.26400000000000001</v>
      </c>
      <c r="L51" s="360">
        <v>1.33</v>
      </c>
      <c r="M51" s="360">
        <v>0.30099999999999999</v>
      </c>
      <c r="N51" s="362">
        <v>0.67400000000000004</v>
      </c>
      <c r="O51" s="363">
        <v>116</v>
      </c>
      <c r="P51" s="360">
        <v>97</v>
      </c>
      <c r="Q51" s="360">
        <v>104</v>
      </c>
      <c r="R51" s="363">
        <v>4.8099999999999996</v>
      </c>
      <c r="S51" s="360">
        <v>4.12</v>
      </c>
      <c r="T51" s="360">
        <v>0.69</v>
      </c>
      <c r="U51" s="363">
        <v>4.33</v>
      </c>
      <c r="V51" s="360">
        <v>4.54</v>
      </c>
      <c r="W51" s="191" t="str">
        <f t="shared" si="5"/>
        <v>Kyle Hendricks</v>
      </c>
      <c r="X51" s="192">
        <f t="shared" si="3"/>
        <v>4.4694995988403168</v>
      </c>
      <c r="Y51" s="192">
        <f t="shared" si="6"/>
        <v>0.96946872771592318</v>
      </c>
      <c r="Z51" s="158">
        <f>RANK(X51,$X$6:$X1270,1)</f>
        <v>94</v>
      </c>
      <c r="AA51" s="158">
        <v>2.125</v>
      </c>
      <c r="AB51" s="158">
        <v>8</v>
      </c>
      <c r="AC51" s="158">
        <v>2.3384999999999998</v>
      </c>
      <c r="AD51" s="190">
        <f t="shared" si="4"/>
        <v>0.78694231249942137</v>
      </c>
      <c r="AE51" s="158"/>
      <c r="AF51" s="158"/>
      <c r="AG51" s="158"/>
      <c r="AH51" s="158"/>
    </row>
    <row r="52" spans="1:34" ht="15.75" customHeight="1" thickBot="1">
      <c r="A52" s="357">
        <v>47</v>
      </c>
      <c r="B52" s="375" t="s">
        <v>105</v>
      </c>
      <c r="C52" s="375" t="s">
        <v>46</v>
      </c>
      <c r="D52" s="360">
        <v>8.6300000000000008</v>
      </c>
      <c r="E52" s="360">
        <v>3.76</v>
      </c>
      <c r="F52" s="360">
        <v>2.29</v>
      </c>
      <c r="G52" s="360">
        <v>0.89</v>
      </c>
      <c r="H52" s="361">
        <v>0.224</v>
      </c>
      <c r="I52" s="362">
        <v>9.8000000000000004E-2</v>
      </c>
      <c r="J52" s="362">
        <v>0.126</v>
      </c>
      <c r="K52" s="363">
        <v>0.23599999999999999</v>
      </c>
      <c r="L52" s="360">
        <v>1.33</v>
      </c>
      <c r="M52" s="360">
        <v>0.28899999999999998</v>
      </c>
      <c r="N52" s="362">
        <v>0.68200000000000005</v>
      </c>
      <c r="O52" s="363">
        <v>105</v>
      </c>
      <c r="P52" s="360">
        <v>90</v>
      </c>
      <c r="Q52" s="360">
        <v>108</v>
      </c>
      <c r="R52" s="363">
        <v>4.43</v>
      </c>
      <c r="S52" s="360">
        <v>3.75</v>
      </c>
      <c r="T52" s="360">
        <v>0.68</v>
      </c>
      <c r="U52" s="363">
        <v>4.5199999999999996</v>
      </c>
      <c r="V52" s="360">
        <v>4.5199999999999996</v>
      </c>
      <c r="W52" s="191" t="str">
        <f t="shared" si="5"/>
        <v>Ryan Bergert</v>
      </c>
      <c r="X52" s="192">
        <f t="shared" si="3"/>
        <v>4.3423826737418851</v>
      </c>
      <c r="Y52" s="192">
        <f t="shared" si="6"/>
        <v>0.94189609213982595</v>
      </c>
      <c r="Z52" s="158">
        <f>RANK(X52,$X$6:$X1271,1)</f>
        <v>86</v>
      </c>
      <c r="AA52" s="158">
        <v>1</v>
      </c>
      <c r="AB52" s="158">
        <v>4</v>
      </c>
      <c r="AC52" s="158">
        <v>2.1284999999999998</v>
      </c>
      <c r="AD52" s="190">
        <f t="shared" si="4"/>
        <v>1</v>
      </c>
      <c r="AE52" s="158"/>
      <c r="AF52" s="158"/>
      <c r="AG52" s="158"/>
      <c r="AH52" s="158"/>
    </row>
    <row r="53" spans="1:34" ht="15.75" customHeight="1" thickBot="1">
      <c r="A53" s="357">
        <v>48</v>
      </c>
      <c r="B53" s="375" t="s">
        <v>106</v>
      </c>
      <c r="C53" s="375" t="s">
        <v>93</v>
      </c>
      <c r="D53" s="360">
        <v>6.61</v>
      </c>
      <c r="E53" s="360">
        <v>2.76</v>
      </c>
      <c r="F53" s="360">
        <v>2.4</v>
      </c>
      <c r="G53" s="360">
        <v>1.65</v>
      </c>
      <c r="H53" s="361">
        <v>0.16700000000000001</v>
      </c>
      <c r="I53" s="362">
        <v>6.9000000000000006E-2</v>
      </c>
      <c r="J53" s="362">
        <v>9.7000000000000003E-2</v>
      </c>
      <c r="K53" s="363">
        <v>0.28000000000000003</v>
      </c>
      <c r="L53" s="360">
        <v>1.44</v>
      </c>
      <c r="M53" s="360">
        <v>0.30399999999999999</v>
      </c>
      <c r="N53" s="362">
        <v>0.64</v>
      </c>
      <c r="O53" s="363">
        <v>122</v>
      </c>
      <c r="P53" s="360">
        <v>122</v>
      </c>
      <c r="Q53" s="360">
        <v>107</v>
      </c>
      <c r="R53" s="363">
        <v>4.96</v>
      </c>
      <c r="S53" s="360">
        <v>5.16</v>
      </c>
      <c r="T53" s="360">
        <v>-0.2</v>
      </c>
      <c r="U53" s="363">
        <v>4.47</v>
      </c>
      <c r="V53" s="360">
        <v>4.49</v>
      </c>
      <c r="W53" s="191" t="str">
        <f t="shared" si="5"/>
        <v>José Berríos</v>
      </c>
      <c r="X53" s="192">
        <f t="shared" si="3"/>
        <v>5.6628208529301549</v>
      </c>
      <c r="Y53" s="192">
        <f t="shared" si="6"/>
        <v>1.2283092561408544</v>
      </c>
      <c r="Z53" s="158">
        <f>RANK(X53,$X$6:$X1272,1)</f>
        <v>129</v>
      </c>
      <c r="AA53" s="158">
        <v>2.75</v>
      </c>
      <c r="AB53" s="158">
        <v>8</v>
      </c>
      <c r="AC53" s="158">
        <v>2.9287999999999998</v>
      </c>
      <c r="AD53" s="190">
        <f t="shared" si="4"/>
        <v>1.0183959338227806</v>
      </c>
      <c r="AE53" s="158"/>
      <c r="AF53" s="158"/>
      <c r="AG53" s="158"/>
      <c r="AH53" s="158"/>
    </row>
    <row r="54" spans="1:34" ht="15.75" customHeight="1" thickBot="1">
      <c r="A54" s="357">
        <v>49</v>
      </c>
      <c r="B54" s="375" t="s">
        <v>107</v>
      </c>
      <c r="C54" s="375" t="s">
        <v>108</v>
      </c>
      <c r="D54" s="360">
        <v>6.43</v>
      </c>
      <c r="E54" s="360">
        <v>2.14</v>
      </c>
      <c r="F54" s="360">
        <v>3</v>
      </c>
      <c r="G54" s="360">
        <v>1.71</v>
      </c>
      <c r="H54" s="361">
        <v>0.16900000000000001</v>
      </c>
      <c r="I54" s="362">
        <v>5.6000000000000001E-2</v>
      </c>
      <c r="J54" s="362">
        <v>0.112</v>
      </c>
      <c r="K54" s="363">
        <v>0.26800000000000002</v>
      </c>
      <c r="L54" s="360">
        <v>1.29</v>
      </c>
      <c r="M54" s="360">
        <v>0.28599999999999998</v>
      </c>
      <c r="N54" s="362">
        <v>0.72599999999999998</v>
      </c>
      <c r="O54" s="363">
        <v>107</v>
      </c>
      <c r="P54" s="360">
        <v>119</v>
      </c>
      <c r="Q54" s="360">
        <v>110</v>
      </c>
      <c r="R54" s="363">
        <v>4.71</v>
      </c>
      <c r="S54" s="360">
        <v>5.18</v>
      </c>
      <c r="T54" s="360">
        <v>-0.47</v>
      </c>
      <c r="U54" s="363">
        <v>4.54</v>
      </c>
      <c r="V54" s="360">
        <v>4.49</v>
      </c>
      <c r="W54" s="191" t="str">
        <f t="shared" si="5"/>
        <v>Nick Martinez</v>
      </c>
      <c r="X54" s="192">
        <f t="shared" si="3"/>
        <v>5.0226528298990232</v>
      </c>
      <c r="Y54" s="192">
        <f t="shared" si="6"/>
        <v>1.0894519041962565</v>
      </c>
      <c r="Z54" s="158">
        <f>RANK(X54,$X$6:$X1273,1)</f>
        <v>113</v>
      </c>
      <c r="AA54" s="158">
        <v>2.5</v>
      </c>
      <c r="AB54" s="158">
        <v>8</v>
      </c>
      <c r="AC54" s="158">
        <v>2.9401999999999999</v>
      </c>
      <c r="AD54" s="190">
        <f t="shared" si="4"/>
        <v>0.92581448529343691</v>
      </c>
      <c r="AE54" s="158"/>
      <c r="AF54" s="158"/>
      <c r="AG54" s="158"/>
      <c r="AH54" s="158"/>
    </row>
    <row r="55" spans="1:34" ht="15.75" customHeight="1" thickBot="1">
      <c r="A55" s="357">
        <v>50</v>
      </c>
      <c r="B55" s="375" t="s">
        <v>109</v>
      </c>
      <c r="C55" s="375" t="s">
        <v>51</v>
      </c>
      <c r="D55" s="360">
        <v>8.8800000000000008</v>
      </c>
      <c r="E55" s="360">
        <v>3.91</v>
      </c>
      <c r="F55" s="360">
        <v>2.27</v>
      </c>
      <c r="G55" s="360">
        <v>1.78</v>
      </c>
      <c r="H55" s="361">
        <v>0.20799999999999999</v>
      </c>
      <c r="I55" s="362">
        <v>9.1999999999999998E-2</v>
      </c>
      <c r="J55" s="362">
        <v>0.11700000000000001</v>
      </c>
      <c r="K55" s="363">
        <v>0.30499999999999999</v>
      </c>
      <c r="L55" s="360">
        <v>1.7</v>
      </c>
      <c r="M55" s="360">
        <v>0.36</v>
      </c>
      <c r="N55" s="362">
        <v>0.75</v>
      </c>
      <c r="O55" s="363">
        <v>133</v>
      </c>
      <c r="P55" s="360">
        <v>132</v>
      </c>
      <c r="Q55" s="360">
        <v>116</v>
      </c>
      <c r="R55" s="363">
        <v>5.68</v>
      </c>
      <c r="S55" s="360">
        <v>5.5</v>
      </c>
      <c r="T55" s="360">
        <v>0.18</v>
      </c>
      <c r="U55" s="363">
        <v>4.82</v>
      </c>
      <c r="V55" s="360">
        <v>4.4800000000000004</v>
      </c>
      <c r="W55" s="191" t="str">
        <f t="shared" si="5"/>
        <v>Dustin May</v>
      </c>
      <c r="X55" s="192">
        <f t="shared" si="3"/>
        <v>7.4168477487121365</v>
      </c>
      <c r="Y55" s="192">
        <f t="shared" si="6"/>
        <v>1.6087711368118993</v>
      </c>
      <c r="Z55" s="158">
        <f>RANK(X55,$X$6:$X1274,1)</f>
        <v>159</v>
      </c>
      <c r="AA55" s="158">
        <v>2.125</v>
      </c>
      <c r="AB55" s="158">
        <v>8</v>
      </c>
      <c r="AC55" s="158">
        <v>3.1217999999999999</v>
      </c>
      <c r="AD55" s="190">
        <f t="shared" si="4"/>
        <v>0.78694231249942137</v>
      </c>
      <c r="AE55" s="158"/>
      <c r="AF55" s="158"/>
      <c r="AG55" s="158"/>
      <c r="AH55" s="158"/>
    </row>
    <row r="56" spans="1:34" ht="15.75" customHeight="1" thickBot="1">
      <c r="A56" s="357">
        <v>51</v>
      </c>
      <c r="B56" s="375" t="s">
        <v>110</v>
      </c>
      <c r="C56" s="375" t="s">
        <v>66</v>
      </c>
      <c r="D56" s="360">
        <v>5.88</v>
      </c>
      <c r="E56" s="360">
        <v>1.38</v>
      </c>
      <c r="F56" s="360">
        <v>4.25</v>
      </c>
      <c r="G56" s="360">
        <v>1.04</v>
      </c>
      <c r="H56" s="361">
        <v>0.156</v>
      </c>
      <c r="I56" s="362">
        <v>3.6999999999999998E-2</v>
      </c>
      <c r="J56" s="362">
        <v>0.11899999999999999</v>
      </c>
      <c r="K56" s="363">
        <v>0.26</v>
      </c>
      <c r="L56" s="360">
        <v>1.19</v>
      </c>
      <c r="M56" s="360">
        <v>0.28599999999999998</v>
      </c>
      <c r="N56" s="362">
        <v>0.68300000000000005</v>
      </c>
      <c r="O56" s="363">
        <v>73</v>
      </c>
      <c r="P56" s="360">
        <v>98</v>
      </c>
      <c r="Q56" s="360">
        <v>101</v>
      </c>
      <c r="R56" s="363">
        <v>3.12</v>
      </c>
      <c r="S56" s="360">
        <v>3.9</v>
      </c>
      <c r="T56" s="360">
        <v>-0.79</v>
      </c>
      <c r="U56" s="363">
        <v>4.18</v>
      </c>
      <c r="V56" s="360">
        <v>4.47</v>
      </c>
      <c r="W56" s="191" t="str">
        <f t="shared" si="5"/>
        <v>Nabil Crismatt</v>
      </c>
      <c r="X56" s="192">
        <f t="shared" si="3"/>
        <v>3.6629973383554426</v>
      </c>
      <c r="Y56" s="192">
        <f t="shared" si="6"/>
        <v>0.79453220449190098</v>
      </c>
      <c r="Z56" s="158">
        <f>RANK(X56,$X$6:$X1275,1)</f>
        <v>57</v>
      </c>
      <c r="AA56" s="158">
        <v>4.6666999999999996</v>
      </c>
      <c r="AB56" s="158">
        <v>3</v>
      </c>
      <c r="AC56" s="158">
        <v>2.2136</v>
      </c>
      <c r="AD56" s="190">
        <f t="shared" si="4"/>
        <v>1</v>
      </c>
      <c r="AE56" s="158"/>
      <c r="AF56" s="158"/>
      <c r="AG56" s="158"/>
      <c r="AH56" s="158"/>
    </row>
    <row r="57" spans="1:34" ht="15.75" customHeight="1" thickBot="1">
      <c r="A57" s="357">
        <v>52</v>
      </c>
      <c r="B57" s="375" t="s">
        <v>111</v>
      </c>
      <c r="C57" s="375" t="s">
        <v>53</v>
      </c>
      <c r="D57" s="360">
        <v>5.6</v>
      </c>
      <c r="E57" s="360">
        <v>2.15</v>
      </c>
      <c r="F57" s="360">
        <v>2.6</v>
      </c>
      <c r="G57" s="360">
        <v>1.44</v>
      </c>
      <c r="H57" s="361">
        <v>0.14899999999999999</v>
      </c>
      <c r="I57" s="362">
        <v>5.7000000000000002E-2</v>
      </c>
      <c r="J57" s="362">
        <v>9.1999999999999998E-2</v>
      </c>
      <c r="K57" s="363">
        <v>0.26500000000000001</v>
      </c>
      <c r="L57" s="360">
        <v>1.28</v>
      </c>
      <c r="M57" s="360">
        <v>0.28100000000000003</v>
      </c>
      <c r="N57" s="362">
        <v>0.75</v>
      </c>
      <c r="O57" s="363">
        <v>101</v>
      </c>
      <c r="P57" s="360">
        <v>118</v>
      </c>
      <c r="Q57" s="360">
        <v>103</v>
      </c>
      <c r="R57" s="363">
        <v>4.16</v>
      </c>
      <c r="S57" s="360">
        <v>4.78</v>
      </c>
      <c r="T57" s="360">
        <v>-0.61</v>
      </c>
      <c r="U57" s="363">
        <v>4.28</v>
      </c>
      <c r="V57" s="360">
        <v>4.47</v>
      </c>
      <c r="W57" s="191" t="str">
        <f t="shared" si="5"/>
        <v>Michael McGreevy</v>
      </c>
      <c r="X57" s="192">
        <f t="shared" si="3"/>
        <v>4.5241126078510518</v>
      </c>
      <c r="Y57" s="192">
        <f t="shared" si="6"/>
        <v>0.98131470805253929</v>
      </c>
      <c r="Z57" s="158">
        <f>RANK(X57,$X$6:$X1276,1)</f>
        <v>96</v>
      </c>
      <c r="AA57" s="158">
        <v>3.125</v>
      </c>
      <c r="AB57" s="158">
        <v>8</v>
      </c>
      <c r="AC57" s="158">
        <v>2.7130999999999998</v>
      </c>
      <c r="AD57" s="190">
        <f t="shared" si="4"/>
        <v>1.1572681066167962</v>
      </c>
      <c r="AE57" s="158"/>
      <c r="AF57" s="158"/>
      <c r="AG57" s="158"/>
      <c r="AH57" s="158"/>
    </row>
    <row r="58" spans="1:34" ht="15.75" customHeight="1" thickBot="1">
      <c r="A58" s="357">
        <v>53</v>
      </c>
      <c r="B58" s="375" t="s">
        <v>112</v>
      </c>
      <c r="C58" s="375" t="s">
        <v>56</v>
      </c>
      <c r="D58" s="360">
        <v>5.98</v>
      </c>
      <c r="E58" s="360">
        <v>1.45</v>
      </c>
      <c r="F58" s="360">
        <v>4.13</v>
      </c>
      <c r="G58" s="360">
        <v>1.27</v>
      </c>
      <c r="H58" s="361">
        <v>0.16</v>
      </c>
      <c r="I58" s="362">
        <v>3.9E-2</v>
      </c>
      <c r="J58" s="362">
        <v>0.121</v>
      </c>
      <c r="K58" s="363">
        <v>0.26500000000000001</v>
      </c>
      <c r="L58" s="360">
        <v>1.21</v>
      </c>
      <c r="M58" s="360">
        <v>0.28799999999999998</v>
      </c>
      <c r="N58" s="362">
        <v>0.63200000000000001</v>
      </c>
      <c r="O58" s="363">
        <v>123</v>
      </c>
      <c r="P58" s="360">
        <v>102</v>
      </c>
      <c r="Q58" s="360">
        <v>106</v>
      </c>
      <c r="R58" s="363">
        <v>5.26</v>
      </c>
      <c r="S58" s="360">
        <v>4.24</v>
      </c>
      <c r="T58" s="360">
        <v>1.01</v>
      </c>
      <c r="U58" s="363">
        <v>4.4000000000000004</v>
      </c>
      <c r="V58" s="360">
        <v>4.46</v>
      </c>
      <c r="W58" s="191" t="str">
        <f t="shared" si="5"/>
        <v>Janson Junk</v>
      </c>
      <c r="X58" s="192">
        <f t="shared" si="3"/>
        <v>4.0220895786089841</v>
      </c>
      <c r="Y58" s="192">
        <f t="shared" si="6"/>
        <v>0.87242206432801983</v>
      </c>
      <c r="Z58" s="158">
        <f>RANK(X58,$X$6:$X1277,1)</f>
        <v>69</v>
      </c>
      <c r="AA58" s="158">
        <v>3.25</v>
      </c>
      <c r="AB58" s="158">
        <v>8</v>
      </c>
      <c r="AC58" s="158">
        <v>2.4066000000000001</v>
      </c>
      <c r="AD58" s="190">
        <f t="shared" si="4"/>
        <v>1.203558830881468</v>
      </c>
      <c r="AE58" s="158"/>
      <c r="AF58" s="158"/>
      <c r="AG58" s="158"/>
      <c r="AH58" s="158"/>
    </row>
    <row r="59" spans="1:34" ht="15.75" customHeight="1" thickBot="1">
      <c r="A59" s="357">
        <v>54</v>
      </c>
      <c r="B59" s="375" t="s">
        <v>113</v>
      </c>
      <c r="C59" s="375" t="s">
        <v>86</v>
      </c>
      <c r="D59" s="360">
        <v>7.11</v>
      </c>
      <c r="E59" s="360">
        <v>2.84</v>
      </c>
      <c r="F59" s="360">
        <v>2.5</v>
      </c>
      <c r="G59" s="360">
        <v>0.71</v>
      </c>
      <c r="H59" s="361">
        <v>0.20599999999999999</v>
      </c>
      <c r="I59" s="362">
        <v>8.2000000000000003E-2</v>
      </c>
      <c r="J59" s="362">
        <v>0.124</v>
      </c>
      <c r="K59" s="363">
        <v>0.21299999999999999</v>
      </c>
      <c r="L59" s="360">
        <v>1.07</v>
      </c>
      <c r="M59" s="360">
        <v>0.254</v>
      </c>
      <c r="N59" s="362">
        <v>0.82599999999999996</v>
      </c>
      <c r="O59" s="363">
        <v>62</v>
      </c>
      <c r="P59" s="360">
        <v>84</v>
      </c>
      <c r="Q59" s="360">
        <v>101</v>
      </c>
      <c r="R59" s="363">
        <v>2.4900000000000002</v>
      </c>
      <c r="S59" s="360">
        <v>3.53</v>
      </c>
      <c r="T59" s="360">
        <v>-1.04</v>
      </c>
      <c r="U59" s="363">
        <v>4.21</v>
      </c>
      <c r="V59" s="360">
        <v>4.45</v>
      </c>
      <c r="W59" s="191" t="str">
        <f t="shared" si="5"/>
        <v>Jacob Latz</v>
      </c>
      <c r="X59" s="192">
        <f t="shared" si="3"/>
        <v>2.8218321471289807</v>
      </c>
      <c r="Y59" s="192">
        <f t="shared" si="6"/>
        <v>0.61207702585203061</v>
      </c>
      <c r="Z59" s="158">
        <f>RANK(X59,$X$6:$X1278,1)</f>
        <v>19</v>
      </c>
      <c r="AA59" s="158">
        <v>3.8</v>
      </c>
      <c r="AB59" s="158">
        <v>0</v>
      </c>
      <c r="AC59" s="158">
        <v>2.0036</v>
      </c>
      <c r="AD59" s="190">
        <f t="shared" si="4"/>
        <v>1</v>
      </c>
      <c r="AE59" s="158"/>
      <c r="AF59" s="158"/>
      <c r="AG59" s="158"/>
      <c r="AH59" s="158"/>
    </row>
    <row r="60" spans="1:34" ht="15.75" customHeight="1" thickBot="1">
      <c r="A60" s="357">
        <v>55</v>
      </c>
      <c r="B60" s="375" t="s">
        <v>114</v>
      </c>
      <c r="C60" s="375" t="s">
        <v>72</v>
      </c>
      <c r="D60" s="360">
        <v>6.56</v>
      </c>
      <c r="E60" s="360">
        <v>1.5</v>
      </c>
      <c r="F60" s="360">
        <v>4.38</v>
      </c>
      <c r="G60" s="360">
        <v>2.25</v>
      </c>
      <c r="H60" s="361">
        <v>0.16900000000000001</v>
      </c>
      <c r="I60" s="362">
        <v>3.9E-2</v>
      </c>
      <c r="J60" s="362">
        <v>0.13</v>
      </c>
      <c r="K60" s="363">
        <v>0.28599999999999998</v>
      </c>
      <c r="L60" s="360">
        <v>1.33</v>
      </c>
      <c r="M60" s="360">
        <v>0.29499999999999998</v>
      </c>
      <c r="N60" s="362">
        <v>0.73699999999999999</v>
      </c>
      <c r="O60" s="363">
        <v>130</v>
      </c>
      <c r="P60" s="360">
        <v>136</v>
      </c>
      <c r="Q60" s="360">
        <v>111</v>
      </c>
      <c r="R60" s="363">
        <v>5.25</v>
      </c>
      <c r="S60" s="360">
        <v>5.61</v>
      </c>
      <c r="T60" s="360">
        <v>-0.36</v>
      </c>
      <c r="U60" s="363">
        <v>4.6100000000000003</v>
      </c>
      <c r="V60" s="360">
        <v>4.45</v>
      </c>
      <c r="W60" s="191" t="str">
        <f t="shared" si="5"/>
        <v>Tomoyuki Sugano</v>
      </c>
      <c r="X60" s="192">
        <f t="shared" si="3"/>
        <v>5.6813873708386495</v>
      </c>
      <c r="Y60" s="192">
        <f t="shared" si="6"/>
        <v>1.2323364762125451</v>
      </c>
      <c r="Z60" s="158">
        <f>RANK(X60,$X$6:$X1279,1)</f>
        <v>130</v>
      </c>
      <c r="AA60" s="158">
        <v>3.125</v>
      </c>
      <c r="AB60" s="158">
        <v>8</v>
      </c>
      <c r="AC60" s="158">
        <v>3.1842000000000001</v>
      </c>
      <c r="AD60" s="190">
        <f t="shared" si="4"/>
        <v>1.1572681066167962</v>
      </c>
      <c r="AE60" s="158"/>
      <c r="AF60" s="158"/>
      <c r="AG60" s="158"/>
      <c r="AH60" s="158"/>
    </row>
    <row r="61" spans="1:34" ht="15.75" customHeight="1" thickBot="1">
      <c r="A61" s="357">
        <v>56</v>
      </c>
      <c r="B61" s="375" t="s">
        <v>115</v>
      </c>
      <c r="C61" s="375" t="s">
        <v>93</v>
      </c>
      <c r="D61" s="360">
        <v>8.56</v>
      </c>
      <c r="E61" s="360">
        <v>4.18</v>
      </c>
      <c r="F61" s="360">
        <v>2.0499999999999998</v>
      </c>
      <c r="G61" s="360">
        <v>0.76</v>
      </c>
      <c r="H61" s="361">
        <v>0.222</v>
      </c>
      <c r="I61" s="362">
        <v>0.108</v>
      </c>
      <c r="J61" s="362">
        <v>0.113</v>
      </c>
      <c r="K61" s="363">
        <v>0.219</v>
      </c>
      <c r="L61" s="360">
        <v>1.29</v>
      </c>
      <c r="M61" s="360">
        <v>0.27100000000000002</v>
      </c>
      <c r="N61" s="362">
        <v>0.77100000000000002</v>
      </c>
      <c r="O61" s="363">
        <v>79</v>
      </c>
      <c r="P61" s="360">
        <v>92</v>
      </c>
      <c r="Q61" s="360">
        <v>101</v>
      </c>
      <c r="R61" s="363">
        <v>3.23</v>
      </c>
      <c r="S61" s="360">
        <v>3.92</v>
      </c>
      <c r="T61" s="360">
        <v>-0.68</v>
      </c>
      <c r="U61" s="363">
        <v>4.22</v>
      </c>
      <c r="V61" s="360">
        <v>4.43</v>
      </c>
      <c r="W61" s="191" t="str">
        <f t="shared" si="5"/>
        <v>Chris Bassitt</v>
      </c>
      <c r="X61" s="192">
        <f t="shared" si="3"/>
        <v>4.1463400981857026</v>
      </c>
      <c r="Y61" s="192">
        <f t="shared" si="6"/>
        <v>0.89937295457160282</v>
      </c>
      <c r="Z61" s="158">
        <f>RANK(X61,$X$6:$X1280,1)</f>
        <v>75</v>
      </c>
      <c r="AA61" s="158">
        <v>1.75</v>
      </c>
      <c r="AB61" s="158">
        <v>8</v>
      </c>
      <c r="AC61" s="158">
        <v>2.2250000000000001</v>
      </c>
      <c r="AD61" s="190">
        <f t="shared" si="4"/>
        <v>0.64807013970540583</v>
      </c>
      <c r="AE61" s="158"/>
      <c r="AF61" s="158"/>
      <c r="AG61" s="158"/>
      <c r="AH61" s="158"/>
    </row>
    <row r="62" spans="1:34" ht="15.75" customHeight="1" thickBot="1">
      <c r="A62" s="357">
        <v>57</v>
      </c>
      <c r="B62" s="375" t="s">
        <v>116</v>
      </c>
      <c r="C62" s="375" t="s">
        <v>76</v>
      </c>
      <c r="D62" s="360">
        <v>8.41</v>
      </c>
      <c r="E62" s="360">
        <v>3.33</v>
      </c>
      <c r="F62" s="360">
        <v>2.5299999999999998</v>
      </c>
      <c r="G62" s="360">
        <v>0.98</v>
      </c>
      <c r="H62" s="361">
        <v>0.20100000000000001</v>
      </c>
      <c r="I62" s="362">
        <v>7.9000000000000001E-2</v>
      </c>
      <c r="J62" s="362">
        <v>0.121</v>
      </c>
      <c r="K62" s="363">
        <v>0.31</v>
      </c>
      <c r="L62" s="360">
        <v>1.7</v>
      </c>
      <c r="M62" s="360">
        <v>0.376</v>
      </c>
      <c r="N62" s="362">
        <v>0.62</v>
      </c>
      <c r="O62" s="363">
        <v>148</v>
      </c>
      <c r="P62" s="360">
        <v>93</v>
      </c>
      <c r="Q62" s="360">
        <v>104</v>
      </c>
      <c r="R62" s="363">
        <v>6.26</v>
      </c>
      <c r="S62" s="360">
        <v>3.79</v>
      </c>
      <c r="T62" s="360">
        <v>2.4700000000000002</v>
      </c>
      <c r="U62" s="363">
        <v>4.32</v>
      </c>
      <c r="V62" s="360">
        <v>4.43</v>
      </c>
      <c r="W62" s="191" t="str">
        <f t="shared" si="5"/>
        <v>Joey Wentz</v>
      </c>
      <c r="X62" s="192">
        <f t="shared" si="3"/>
        <v>6.2494767099390929</v>
      </c>
      <c r="Y62" s="192">
        <f t="shared" si="6"/>
        <v>1.3555594090324934</v>
      </c>
      <c r="Z62" s="158">
        <f>RANK(X62,$X$6:$X1281,1)</f>
        <v>144</v>
      </c>
      <c r="AA62" s="158">
        <v>4.125</v>
      </c>
      <c r="AB62" s="158">
        <v>8</v>
      </c>
      <c r="AC62" s="158">
        <v>2.1511999999999998</v>
      </c>
      <c r="AD62" s="190">
        <f t="shared" si="4"/>
        <v>1.527593900734171</v>
      </c>
      <c r="AE62" s="158"/>
      <c r="AF62" s="158"/>
      <c r="AG62" s="158"/>
      <c r="AH62" s="158"/>
    </row>
    <row r="63" spans="1:34" ht="15.75" customHeight="1" thickBot="1">
      <c r="A63" s="357">
        <v>58</v>
      </c>
      <c r="B63" s="375" t="s">
        <v>117</v>
      </c>
      <c r="C63" s="375" t="s">
        <v>88</v>
      </c>
      <c r="D63" s="360">
        <v>6.29</v>
      </c>
      <c r="E63" s="360">
        <v>1.83</v>
      </c>
      <c r="F63" s="360">
        <v>3.43</v>
      </c>
      <c r="G63" s="360">
        <v>0.52</v>
      </c>
      <c r="H63" s="361">
        <v>0.183</v>
      </c>
      <c r="I63" s="362">
        <v>5.2999999999999999E-2</v>
      </c>
      <c r="J63" s="362">
        <v>0.13</v>
      </c>
      <c r="K63" s="363">
        <v>0.19400000000000001</v>
      </c>
      <c r="L63" s="360">
        <v>0.9</v>
      </c>
      <c r="M63" s="360">
        <v>0.224</v>
      </c>
      <c r="N63" s="362">
        <v>0.88700000000000001</v>
      </c>
      <c r="O63" s="363">
        <v>38</v>
      </c>
      <c r="P63" s="360">
        <v>77</v>
      </c>
      <c r="Q63" s="360">
        <v>102</v>
      </c>
      <c r="R63" s="363">
        <v>1.57</v>
      </c>
      <c r="S63" s="360">
        <v>3.11</v>
      </c>
      <c r="T63" s="360">
        <v>-1.53</v>
      </c>
      <c r="U63" s="363">
        <v>4.2300000000000004</v>
      </c>
      <c r="V63" s="360">
        <v>4.42</v>
      </c>
      <c r="W63" s="191" t="str">
        <f t="shared" si="5"/>
        <v>Jameson Taillon</v>
      </c>
      <c r="X63" s="192">
        <f t="shared" si="3"/>
        <v>1.6943319963253169</v>
      </c>
      <c r="Y63" s="192">
        <f t="shared" si="6"/>
        <v>0.36751359933717964</v>
      </c>
      <c r="Z63" s="158">
        <f>RANK(X63,$X$6:$X1282,1)</f>
        <v>3</v>
      </c>
      <c r="AA63" s="158">
        <v>2.5</v>
      </c>
      <c r="AB63" s="158">
        <v>8</v>
      </c>
      <c r="AC63" s="158">
        <v>1.7652000000000001</v>
      </c>
      <c r="AD63" s="190">
        <f t="shared" si="4"/>
        <v>0.92581448529343691</v>
      </c>
      <c r="AE63" s="158"/>
      <c r="AF63" s="158"/>
      <c r="AG63" s="158"/>
      <c r="AH63" s="158"/>
    </row>
    <row r="64" spans="1:34" ht="15.75" customHeight="1" thickBot="1">
      <c r="A64" s="357">
        <v>59</v>
      </c>
      <c r="B64" s="375" t="s">
        <v>118</v>
      </c>
      <c r="C64" s="375" t="s">
        <v>60</v>
      </c>
      <c r="D64" s="360">
        <v>6.99</v>
      </c>
      <c r="E64" s="360">
        <v>2.65</v>
      </c>
      <c r="F64" s="360">
        <v>2.64</v>
      </c>
      <c r="G64" s="360">
        <v>0.72</v>
      </c>
      <c r="H64" s="361">
        <v>0.191</v>
      </c>
      <c r="I64" s="362">
        <v>7.1999999999999995E-2</v>
      </c>
      <c r="J64" s="362">
        <v>0.11799999999999999</v>
      </c>
      <c r="K64" s="363">
        <v>0.22600000000000001</v>
      </c>
      <c r="L64" s="360">
        <v>1.1299999999999999</v>
      </c>
      <c r="M64" s="360">
        <v>0.26700000000000002</v>
      </c>
      <c r="N64" s="362">
        <v>0.71799999999999997</v>
      </c>
      <c r="O64" s="363">
        <v>82</v>
      </c>
      <c r="P64" s="360">
        <v>90</v>
      </c>
      <c r="Q64" s="360">
        <v>115</v>
      </c>
      <c r="R64" s="363">
        <v>3.38</v>
      </c>
      <c r="S64" s="360">
        <v>3.81</v>
      </c>
      <c r="T64" s="360">
        <v>-0.44</v>
      </c>
      <c r="U64" s="363">
        <v>4.7300000000000004</v>
      </c>
      <c r="V64" s="360">
        <v>4.41</v>
      </c>
      <c r="W64" s="191" t="str">
        <f t="shared" si="5"/>
        <v>Luis Severino</v>
      </c>
      <c r="X64" s="192">
        <f t="shared" si="3"/>
        <v>3.2800943736889123</v>
      </c>
      <c r="Y64" s="192">
        <f t="shared" si="6"/>
        <v>0.71147761598936854</v>
      </c>
      <c r="Z64" s="158">
        <f>RANK(X64,$X$6:$X1283,1)</f>
        <v>40</v>
      </c>
      <c r="AA64" s="158">
        <v>3.125</v>
      </c>
      <c r="AB64" s="158">
        <v>8</v>
      </c>
      <c r="AC64" s="158">
        <v>2.1625999999999999</v>
      </c>
      <c r="AD64" s="190">
        <f t="shared" si="4"/>
        <v>1.1572681066167962</v>
      </c>
      <c r="AE64" s="158"/>
      <c r="AF64" s="158"/>
      <c r="AG64" s="158"/>
      <c r="AH64" s="158"/>
    </row>
    <row r="65" spans="1:34" ht="15.75" customHeight="1" thickBot="1">
      <c r="A65" s="357">
        <v>60</v>
      </c>
      <c r="B65" s="375" t="s">
        <v>119</v>
      </c>
      <c r="C65" s="375" t="s">
        <v>58</v>
      </c>
      <c r="D65" s="360">
        <v>7.71</v>
      </c>
      <c r="E65" s="360">
        <v>3.86</v>
      </c>
      <c r="F65" s="360">
        <v>2</v>
      </c>
      <c r="G65" s="360">
        <v>0.39</v>
      </c>
      <c r="H65" s="361">
        <v>0.20399999999999999</v>
      </c>
      <c r="I65" s="362">
        <v>0.10199999999999999</v>
      </c>
      <c r="J65" s="362">
        <v>0.10199999999999999</v>
      </c>
      <c r="K65" s="363">
        <v>0.184</v>
      </c>
      <c r="L65" s="360">
        <v>1.1100000000000001</v>
      </c>
      <c r="M65" s="360">
        <v>0.22700000000000001</v>
      </c>
      <c r="N65" s="362">
        <v>0.74199999999999999</v>
      </c>
      <c r="O65" s="363">
        <v>55</v>
      </c>
      <c r="P65" s="360">
        <v>82</v>
      </c>
      <c r="Q65" s="360">
        <v>100</v>
      </c>
      <c r="R65" s="363">
        <v>2.31</v>
      </c>
      <c r="S65" s="360">
        <v>3.39</v>
      </c>
      <c r="T65" s="360">
        <v>-1.08</v>
      </c>
      <c r="U65" s="363">
        <v>4.16</v>
      </c>
      <c r="V65" s="360">
        <v>4.3899999999999997</v>
      </c>
      <c r="W65" s="191" t="str">
        <f t="shared" si="5"/>
        <v>Andrew Alvarez</v>
      </c>
      <c r="X65" s="192">
        <f t="shared" si="3"/>
        <v>2.7487702822921762</v>
      </c>
      <c r="Y65" s="192">
        <f t="shared" si="6"/>
        <v>0.59622934725144006</v>
      </c>
      <c r="Z65" s="158">
        <f>RANK(X65,$X$6:$X1284,1)</f>
        <v>15</v>
      </c>
      <c r="AA65" s="158">
        <v>4</v>
      </c>
      <c r="AB65" s="158">
        <v>2</v>
      </c>
      <c r="AC65" s="158">
        <v>1.9241999999999999</v>
      </c>
      <c r="AD65" s="190">
        <f t="shared" si="4"/>
        <v>1</v>
      </c>
      <c r="AE65" s="158"/>
      <c r="AF65" s="158"/>
      <c r="AG65" s="158"/>
      <c r="AH65" s="158"/>
    </row>
    <row r="66" spans="1:34" ht="15.75" customHeight="1" thickBot="1">
      <c r="A66" s="357">
        <v>61</v>
      </c>
      <c r="B66" s="375" t="s">
        <v>120</v>
      </c>
      <c r="C66" s="375" t="s">
        <v>40</v>
      </c>
      <c r="D66" s="360">
        <v>9.23</v>
      </c>
      <c r="E66" s="360">
        <v>4.4400000000000004</v>
      </c>
      <c r="F66" s="360">
        <v>2.08</v>
      </c>
      <c r="G66" s="360">
        <v>2.39</v>
      </c>
      <c r="H66" s="361">
        <v>0.24099999999999999</v>
      </c>
      <c r="I66" s="362">
        <v>0.11600000000000001</v>
      </c>
      <c r="J66" s="362">
        <v>0.125</v>
      </c>
      <c r="K66" s="363">
        <v>0.23499999999999999</v>
      </c>
      <c r="L66" s="360">
        <v>1.37</v>
      </c>
      <c r="M66" s="360">
        <v>0.25</v>
      </c>
      <c r="N66" s="362">
        <v>0.66200000000000003</v>
      </c>
      <c r="O66" s="363">
        <v>148</v>
      </c>
      <c r="P66" s="360">
        <v>146</v>
      </c>
      <c r="Q66" s="360">
        <v>99</v>
      </c>
      <c r="R66" s="363">
        <v>6.15</v>
      </c>
      <c r="S66" s="360">
        <v>6.14</v>
      </c>
      <c r="T66" s="360">
        <v>0.02</v>
      </c>
      <c r="U66" s="363">
        <v>4.1399999999999997</v>
      </c>
      <c r="V66" s="360">
        <v>4.3899999999999997</v>
      </c>
      <c r="W66" s="191" t="str">
        <f t="shared" si="5"/>
        <v>Caden Dana</v>
      </c>
      <c r="X66" s="192">
        <f t="shared" si="3"/>
        <v>6.2196477238401071</v>
      </c>
      <c r="Y66" s="192">
        <f t="shared" si="6"/>
        <v>1.3490892732683146</v>
      </c>
      <c r="Z66" s="158">
        <f>RANK(X66,$X$6:$X1285,1)</f>
        <v>143</v>
      </c>
      <c r="AA66" s="158">
        <v>3</v>
      </c>
      <c r="AB66" s="158">
        <v>4</v>
      </c>
      <c r="AC66" s="158">
        <v>3.4851000000000001</v>
      </c>
      <c r="AD66" s="190">
        <f t="shared" si="4"/>
        <v>1</v>
      </c>
      <c r="AE66" s="158"/>
      <c r="AF66" s="158"/>
      <c r="AG66" s="158"/>
      <c r="AH66" s="158"/>
    </row>
    <row r="67" spans="1:34" ht="15.75" customHeight="1" thickBot="1">
      <c r="A67" s="357">
        <v>62</v>
      </c>
      <c r="B67" s="375" t="s">
        <v>121</v>
      </c>
      <c r="C67" s="375" t="s">
        <v>42</v>
      </c>
      <c r="D67" s="360">
        <v>7.49</v>
      </c>
      <c r="E67" s="360">
        <v>2.44</v>
      </c>
      <c r="F67" s="360">
        <v>3.07</v>
      </c>
      <c r="G67" s="360">
        <v>1.74</v>
      </c>
      <c r="H67" s="361">
        <v>0.193</v>
      </c>
      <c r="I67" s="362">
        <v>6.3E-2</v>
      </c>
      <c r="J67" s="362">
        <v>0.13</v>
      </c>
      <c r="K67" s="363">
        <v>0.246</v>
      </c>
      <c r="L67" s="360">
        <v>1.26</v>
      </c>
      <c r="M67" s="360">
        <v>0.26600000000000001</v>
      </c>
      <c r="N67" s="362">
        <v>0.67900000000000005</v>
      </c>
      <c r="O67" s="363">
        <v>99</v>
      </c>
      <c r="P67" s="360">
        <v>116</v>
      </c>
      <c r="Q67" s="360">
        <v>108</v>
      </c>
      <c r="R67" s="363">
        <v>4.01</v>
      </c>
      <c r="S67" s="360">
        <v>4.92</v>
      </c>
      <c r="T67" s="360">
        <v>-0.91</v>
      </c>
      <c r="U67" s="363">
        <v>4.49</v>
      </c>
      <c r="V67" s="360">
        <v>4.38</v>
      </c>
      <c r="W67" s="191" t="str">
        <f t="shared" si="5"/>
        <v>Will Warren</v>
      </c>
      <c r="X67" s="192">
        <f t="shared" si="3"/>
        <v>4.8336308304528517</v>
      </c>
      <c r="Y67" s="192">
        <f t="shared" si="6"/>
        <v>1.0484515834084556</v>
      </c>
      <c r="Z67" s="158">
        <f>RANK(X67,$X$6:$X1286,1)</f>
        <v>109</v>
      </c>
      <c r="AA67" s="158">
        <v>2.875</v>
      </c>
      <c r="AB67" s="158">
        <v>8</v>
      </c>
      <c r="AC67" s="158">
        <v>2.7926000000000002</v>
      </c>
      <c r="AD67" s="190">
        <f t="shared" si="4"/>
        <v>1.0646866580874526</v>
      </c>
      <c r="AE67" s="158"/>
      <c r="AF67" s="158"/>
      <c r="AG67" s="158"/>
      <c r="AH67" s="158"/>
    </row>
    <row r="68" spans="1:34" ht="15.75" customHeight="1" thickBot="1">
      <c r="A68" s="357">
        <v>63</v>
      </c>
      <c r="B68" s="375" t="s">
        <v>122</v>
      </c>
      <c r="C68" s="358" t="s">
        <v>34</v>
      </c>
      <c r="D68" s="360">
        <v>7.17</v>
      </c>
      <c r="E68" s="360">
        <v>3.52</v>
      </c>
      <c r="F68" s="360">
        <v>2.04</v>
      </c>
      <c r="G68" s="360">
        <v>0.98</v>
      </c>
      <c r="H68" s="361">
        <v>0.17899999999999999</v>
      </c>
      <c r="I68" s="362">
        <v>8.7999999999999995E-2</v>
      </c>
      <c r="J68" s="362">
        <v>9.0999999999999998E-2</v>
      </c>
      <c r="K68" s="363">
        <v>0.28299999999999997</v>
      </c>
      <c r="L68" s="360">
        <v>1.53</v>
      </c>
      <c r="M68" s="360">
        <v>0.33</v>
      </c>
      <c r="N68" s="362">
        <v>0.621</v>
      </c>
      <c r="O68" s="363">
        <v>139</v>
      </c>
      <c r="P68" s="360">
        <v>101</v>
      </c>
      <c r="Q68" s="360">
        <v>98</v>
      </c>
      <c r="R68" s="363">
        <v>5.63</v>
      </c>
      <c r="S68" s="360">
        <v>4.22</v>
      </c>
      <c r="T68" s="360">
        <v>1.41</v>
      </c>
      <c r="U68" s="363">
        <v>4.1100000000000003</v>
      </c>
      <c r="V68" s="360">
        <v>4.37</v>
      </c>
      <c r="W68" s="191" t="str">
        <f t="shared" si="5"/>
        <v>Framber Valdez</v>
      </c>
      <c r="X68" s="192">
        <f t="shared" si="3"/>
        <v>5.4202757961748915</v>
      </c>
      <c r="Y68" s="192">
        <f t="shared" si="6"/>
        <v>1.1756993738964701</v>
      </c>
      <c r="Z68" s="158">
        <f>RANK(X68,$X$6:$X1287,1)</f>
        <v>120</v>
      </c>
      <c r="AA68" s="158">
        <v>2.125</v>
      </c>
      <c r="AB68" s="158">
        <v>8</v>
      </c>
      <c r="AC68" s="158">
        <v>2.3953000000000002</v>
      </c>
      <c r="AD68" s="190">
        <f t="shared" si="4"/>
        <v>0.78694231249942137</v>
      </c>
      <c r="AE68" s="158"/>
      <c r="AF68" s="158"/>
      <c r="AG68" s="158"/>
      <c r="AH68" s="158"/>
    </row>
    <row r="69" spans="1:34" ht="15.75" customHeight="1" thickBot="1">
      <c r="A69" s="357">
        <v>64</v>
      </c>
      <c r="B69" s="375" t="s">
        <v>123</v>
      </c>
      <c r="C69" s="358" t="s">
        <v>34</v>
      </c>
      <c r="D69" s="360">
        <v>10.62</v>
      </c>
      <c r="E69" s="360">
        <v>5.31</v>
      </c>
      <c r="F69" s="360">
        <v>2</v>
      </c>
      <c r="G69" s="360">
        <v>1.55</v>
      </c>
      <c r="H69" s="361">
        <v>0.253</v>
      </c>
      <c r="I69" s="362">
        <v>0.126</v>
      </c>
      <c r="J69" s="362">
        <v>0.126</v>
      </c>
      <c r="K69" s="363">
        <v>0.26100000000000001</v>
      </c>
      <c r="L69" s="360">
        <v>1.62</v>
      </c>
      <c r="M69" s="360">
        <v>0.33</v>
      </c>
      <c r="N69" s="362">
        <v>0.65400000000000003</v>
      </c>
      <c r="O69" s="363">
        <v>167</v>
      </c>
      <c r="P69" s="360">
        <v>124</v>
      </c>
      <c r="Q69" s="360">
        <v>102</v>
      </c>
      <c r="R69" s="363">
        <v>6.86</v>
      </c>
      <c r="S69" s="360">
        <v>5.15</v>
      </c>
      <c r="T69" s="360">
        <v>1.71</v>
      </c>
      <c r="U69" s="363">
        <v>4.28</v>
      </c>
      <c r="V69" s="360">
        <v>4.3600000000000003</v>
      </c>
      <c r="W69" s="191" t="str">
        <f t="shared" si="5"/>
        <v>Charlie Morton</v>
      </c>
      <c r="X69" s="192">
        <f t="shared" si="3"/>
        <v>6.8305034565714493</v>
      </c>
      <c r="Y69" s="192">
        <f t="shared" si="6"/>
        <v>1.4815885647287477</v>
      </c>
      <c r="Z69" s="158">
        <f>RANK(X69,$X$6:$X1288,1)</f>
        <v>151</v>
      </c>
      <c r="AA69" s="158">
        <v>3.25</v>
      </c>
      <c r="AB69" s="158">
        <v>8</v>
      </c>
      <c r="AC69" s="158">
        <v>2.9230999999999998</v>
      </c>
      <c r="AD69" s="190">
        <f t="shared" si="4"/>
        <v>1.203558830881468</v>
      </c>
      <c r="AE69" s="158"/>
      <c r="AF69" s="158"/>
      <c r="AG69" s="158"/>
      <c r="AH69" s="158"/>
    </row>
    <row r="70" spans="1:34" ht="15.75" customHeight="1" thickBot="1">
      <c r="A70" s="357">
        <v>65</v>
      </c>
      <c r="B70" s="375" t="s">
        <v>124</v>
      </c>
      <c r="C70" s="375" t="s">
        <v>42</v>
      </c>
      <c r="D70" s="360">
        <v>7.71</v>
      </c>
      <c r="E70" s="360">
        <v>3.58</v>
      </c>
      <c r="F70" s="360">
        <v>2.15</v>
      </c>
      <c r="G70" s="360">
        <v>0.55000000000000004</v>
      </c>
      <c r="H70" s="361">
        <v>0.21299999999999999</v>
      </c>
      <c r="I70" s="362">
        <v>9.9000000000000005E-2</v>
      </c>
      <c r="J70" s="362">
        <v>0.114</v>
      </c>
      <c r="K70" s="363">
        <v>0.185</v>
      </c>
      <c r="L70" s="360">
        <v>1.06</v>
      </c>
      <c r="M70" s="360">
        <v>0.22700000000000001</v>
      </c>
      <c r="N70" s="362">
        <v>0.76</v>
      </c>
      <c r="O70" s="363">
        <v>71</v>
      </c>
      <c r="P70" s="360">
        <v>85</v>
      </c>
      <c r="Q70" s="360">
        <v>99</v>
      </c>
      <c r="R70" s="363">
        <v>2.89</v>
      </c>
      <c r="S70" s="360">
        <v>3.64</v>
      </c>
      <c r="T70" s="360">
        <v>-0.75</v>
      </c>
      <c r="U70" s="363">
        <v>4.1399999999999997</v>
      </c>
      <c r="V70" s="360">
        <v>4.3499999999999996</v>
      </c>
      <c r="W70" s="191" t="str">
        <f t="shared" ref="W70:W101" si="7">B70</f>
        <v>Carlos Rodón</v>
      </c>
      <c r="X70" s="192">
        <f t="shared" si="3"/>
        <v>2.7642502934528905</v>
      </c>
      <c r="Y70" s="192">
        <f t="shared" ref="Y70:Y101" si="8">X70/$X$4</f>
        <v>0.59958708034731056</v>
      </c>
      <c r="Z70" s="158">
        <f>RANK(X70,$X$6:$X1289,1)</f>
        <v>16</v>
      </c>
      <c r="AA70" s="158">
        <v>1.875</v>
      </c>
      <c r="AB70" s="158">
        <v>8</v>
      </c>
      <c r="AC70" s="158">
        <v>2.0661</v>
      </c>
      <c r="AD70" s="190">
        <f t="shared" si="4"/>
        <v>0.69436086397007768</v>
      </c>
      <c r="AE70" s="158"/>
      <c r="AF70" s="158"/>
      <c r="AG70" s="158"/>
      <c r="AH70" s="158"/>
    </row>
    <row r="71" spans="1:34" ht="15.75" customHeight="1" thickBot="1">
      <c r="A71" s="357">
        <v>66</v>
      </c>
      <c r="B71" s="375" t="s">
        <v>125</v>
      </c>
      <c r="C71" s="375" t="s">
        <v>126</v>
      </c>
      <c r="D71" s="360">
        <v>8.59</v>
      </c>
      <c r="E71" s="360">
        <v>3.22</v>
      </c>
      <c r="F71" s="360">
        <v>2.67</v>
      </c>
      <c r="G71" s="360">
        <v>1.23</v>
      </c>
      <c r="H71" s="361">
        <v>0.223</v>
      </c>
      <c r="I71" s="362">
        <v>8.4000000000000005E-2</v>
      </c>
      <c r="J71" s="362">
        <v>0.13900000000000001</v>
      </c>
      <c r="K71" s="363">
        <v>0.25600000000000001</v>
      </c>
      <c r="L71" s="360">
        <v>1.35</v>
      </c>
      <c r="M71" s="360">
        <v>0.307</v>
      </c>
      <c r="N71" s="362">
        <v>0.621</v>
      </c>
      <c r="O71" s="363">
        <v>126</v>
      </c>
      <c r="P71" s="360">
        <v>106</v>
      </c>
      <c r="Q71" s="360">
        <v>112</v>
      </c>
      <c r="R71" s="363">
        <v>5.22</v>
      </c>
      <c r="S71" s="360">
        <v>4.21</v>
      </c>
      <c r="T71" s="360">
        <v>1</v>
      </c>
      <c r="U71" s="363">
        <v>4.6399999999999997</v>
      </c>
      <c r="V71" s="360">
        <v>4.3499999999999996</v>
      </c>
      <c r="W71" s="191" t="str">
        <f t="shared" si="7"/>
        <v>Robbie Ray</v>
      </c>
      <c r="X71" s="192">
        <f t="shared" ref="X71:X134" si="9">($X$3 + ($J$3*J71) + (L71*$L$3) + (S71*$S$3))</f>
        <v>4.8769179988911686</v>
      </c>
      <c r="Y71" s="192">
        <f t="shared" si="8"/>
        <v>1.0578409020971089</v>
      </c>
      <c r="Z71" s="158">
        <f>RANK(X71,$X$6:$X1290,1)</f>
        <v>110</v>
      </c>
      <c r="AA71" s="158">
        <v>2.375</v>
      </c>
      <c r="AB71" s="158">
        <v>8</v>
      </c>
      <c r="AC71" s="158">
        <v>2.3896000000000002</v>
      </c>
      <c r="AD71" s="190">
        <f t="shared" ref="AD71:AD134" si="10">IF(AB71&gt;=5, AA71/$AA$4, 1)</f>
        <v>0.87952376102876506</v>
      </c>
      <c r="AE71" s="158"/>
      <c r="AF71" s="158"/>
      <c r="AG71" s="158"/>
      <c r="AH71" s="158"/>
    </row>
    <row r="72" spans="1:34" ht="15.75" customHeight="1" thickBot="1">
      <c r="A72" s="357">
        <v>67</v>
      </c>
      <c r="B72" s="375" t="s">
        <v>127</v>
      </c>
      <c r="C72" s="375" t="s">
        <v>72</v>
      </c>
      <c r="D72" s="360">
        <v>8.44</v>
      </c>
      <c r="E72" s="360">
        <v>3.59</v>
      </c>
      <c r="F72" s="360">
        <v>2.35</v>
      </c>
      <c r="G72" s="360">
        <v>1.48</v>
      </c>
      <c r="H72" s="361">
        <v>0.221</v>
      </c>
      <c r="I72" s="362">
        <v>9.4E-2</v>
      </c>
      <c r="J72" s="362">
        <v>0.127</v>
      </c>
      <c r="K72" s="363">
        <v>0.28000000000000003</v>
      </c>
      <c r="L72" s="360">
        <v>1.48</v>
      </c>
      <c r="M72" s="360">
        <v>0.33300000000000002</v>
      </c>
      <c r="N72" s="362">
        <v>0.67700000000000005</v>
      </c>
      <c r="O72" s="363">
        <v>131</v>
      </c>
      <c r="P72" s="360">
        <v>111</v>
      </c>
      <c r="Q72" s="360">
        <v>99</v>
      </c>
      <c r="R72" s="363">
        <v>5.27</v>
      </c>
      <c r="S72" s="360">
        <v>4.59</v>
      </c>
      <c r="T72" s="360">
        <v>0.69</v>
      </c>
      <c r="U72" s="363">
        <v>4.12</v>
      </c>
      <c r="V72" s="360">
        <v>4.34</v>
      </c>
      <c r="W72" s="191" t="str">
        <f t="shared" si="7"/>
        <v>Cade Povich</v>
      </c>
      <c r="X72" s="192">
        <f t="shared" si="9"/>
        <v>5.7189749915961148</v>
      </c>
      <c r="Y72" s="192">
        <f t="shared" si="8"/>
        <v>1.2404895193145209</v>
      </c>
      <c r="Z72" s="158">
        <f>RANK(X72,$X$6:$X1291,1)</f>
        <v>133</v>
      </c>
      <c r="AA72" s="158">
        <v>3.375</v>
      </c>
      <c r="AB72" s="158">
        <v>8</v>
      </c>
      <c r="AC72" s="158">
        <v>2.6053000000000002</v>
      </c>
      <c r="AD72" s="190">
        <f t="shared" si="10"/>
        <v>1.2498495551461399</v>
      </c>
      <c r="AE72" s="158"/>
      <c r="AF72" s="158"/>
      <c r="AG72" s="158"/>
      <c r="AH72" s="158"/>
    </row>
    <row r="73" spans="1:34" ht="15.75" customHeight="1" thickBot="1">
      <c r="A73" s="357">
        <v>68</v>
      </c>
      <c r="B73" s="375" t="s">
        <v>128</v>
      </c>
      <c r="C73" s="375" t="s">
        <v>60</v>
      </c>
      <c r="D73" s="360">
        <v>8.2899999999999991</v>
      </c>
      <c r="E73" s="360">
        <v>3.28</v>
      </c>
      <c r="F73" s="360">
        <v>2.5299999999999998</v>
      </c>
      <c r="G73" s="360">
        <v>1.54</v>
      </c>
      <c r="H73" s="361">
        <v>0.22600000000000001</v>
      </c>
      <c r="I73" s="362">
        <v>8.8999999999999996E-2</v>
      </c>
      <c r="J73" s="362">
        <v>0.13700000000000001</v>
      </c>
      <c r="K73" s="363">
        <v>0.20300000000000001</v>
      </c>
      <c r="L73" s="360">
        <v>1.1100000000000001</v>
      </c>
      <c r="M73" s="360">
        <v>0.223</v>
      </c>
      <c r="N73" s="362">
        <v>0.86099999999999999</v>
      </c>
      <c r="O73" s="363">
        <v>73</v>
      </c>
      <c r="P73" s="360">
        <v>110</v>
      </c>
      <c r="Q73" s="360">
        <v>105</v>
      </c>
      <c r="R73" s="363">
        <v>3.09</v>
      </c>
      <c r="S73" s="360">
        <v>4.68</v>
      </c>
      <c r="T73" s="360">
        <v>-1.59</v>
      </c>
      <c r="U73" s="363">
        <v>4.37</v>
      </c>
      <c r="V73" s="360">
        <v>4.32</v>
      </c>
      <c r="W73" s="191" t="str">
        <f t="shared" si="7"/>
        <v>Luis Morales</v>
      </c>
      <c r="X73" s="192">
        <f t="shared" si="9"/>
        <v>3.94460188552778</v>
      </c>
      <c r="Y73" s="192">
        <f t="shared" si="8"/>
        <v>0.85561438965129122</v>
      </c>
      <c r="Z73" s="158">
        <f>RANK(X73,$X$6:$X1292,1)</f>
        <v>68</v>
      </c>
      <c r="AA73" s="158">
        <v>3.2856999999999998</v>
      </c>
      <c r="AB73" s="158">
        <v>7</v>
      </c>
      <c r="AC73" s="158">
        <v>2.6564000000000001</v>
      </c>
      <c r="AD73" s="190">
        <f t="shared" si="10"/>
        <v>1.2167794617314582</v>
      </c>
      <c r="AE73" s="158"/>
      <c r="AF73" s="158"/>
      <c r="AG73" s="158"/>
      <c r="AH73" s="158"/>
    </row>
    <row r="74" spans="1:34" ht="15.75" customHeight="1" thickBot="1">
      <c r="A74" s="357">
        <v>69</v>
      </c>
      <c r="B74" s="375" t="s">
        <v>129</v>
      </c>
      <c r="C74" s="375" t="s">
        <v>108</v>
      </c>
      <c r="D74" s="360">
        <v>6.92</v>
      </c>
      <c r="E74" s="360">
        <v>1.86</v>
      </c>
      <c r="F74" s="360">
        <v>3.73</v>
      </c>
      <c r="G74" s="360">
        <v>1.69</v>
      </c>
      <c r="H74" s="361">
        <v>0.185</v>
      </c>
      <c r="I74" s="362">
        <v>0.05</v>
      </c>
      <c r="J74" s="362">
        <v>0.13500000000000001</v>
      </c>
      <c r="K74" s="363">
        <v>0.22</v>
      </c>
      <c r="L74" s="360">
        <v>1.07</v>
      </c>
      <c r="M74" s="360">
        <v>0.22800000000000001</v>
      </c>
      <c r="N74" s="362">
        <v>0.68899999999999995</v>
      </c>
      <c r="O74" s="363">
        <v>99</v>
      </c>
      <c r="P74" s="360">
        <v>109</v>
      </c>
      <c r="Q74" s="360">
        <v>102</v>
      </c>
      <c r="R74" s="363">
        <v>4.3899999999999997</v>
      </c>
      <c r="S74" s="360">
        <v>4.7699999999999996</v>
      </c>
      <c r="T74" s="360">
        <v>-0.38</v>
      </c>
      <c r="U74" s="363">
        <v>4.24</v>
      </c>
      <c r="V74" s="360">
        <v>4.29</v>
      </c>
      <c r="W74" s="191" t="str">
        <f t="shared" si="7"/>
        <v>Zack Littell</v>
      </c>
      <c r="X74" s="192">
        <f t="shared" si="9"/>
        <v>3.7835891883760331</v>
      </c>
      <c r="Y74" s="192">
        <f t="shared" si="8"/>
        <v>0.82068950126013551</v>
      </c>
      <c r="Z74" s="158">
        <f>RANK(X74,$X$6:$X1293,1)</f>
        <v>61</v>
      </c>
      <c r="AA74" s="158">
        <v>2.25</v>
      </c>
      <c r="AB74" s="158">
        <v>8</v>
      </c>
      <c r="AC74" s="158">
        <v>2.7075</v>
      </c>
      <c r="AD74" s="190">
        <f t="shared" si="10"/>
        <v>0.83323303676409322</v>
      </c>
      <c r="AE74" s="158"/>
      <c r="AF74" s="158"/>
      <c r="AG74" s="158"/>
      <c r="AH74" s="158"/>
    </row>
    <row r="75" spans="1:34" ht="15.75" customHeight="1" thickBot="1">
      <c r="A75" s="357">
        <v>70</v>
      </c>
      <c r="B75" s="375" t="s">
        <v>130</v>
      </c>
      <c r="C75" s="375" t="s">
        <v>91</v>
      </c>
      <c r="D75" s="360">
        <v>9.25</v>
      </c>
      <c r="E75" s="360">
        <v>4.53</v>
      </c>
      <c r="F75" s="360">
        <v>2.04</v>
      </c>
      <c r="G75" s="360">
        <v>0.76</v>
      </c>
      <c r="H75" s="361">
        <v>0.223</v>
      </c>
      <c r="I75" s="362">
        <v>0.109</v>
      </c>
      <c r="J75" s="362">
        <v>0.114</v>
      </c>
      <c r="K75" s="363">
        <v>0.28699999999999998</v>
      </c>
      <c r="L75" s="360">
        <v>1.68</v>
      </c>
      <c r="M75" s="360">
        <v>0.36599999999999999</v>
      </c>
      <c r="N75" s="362">
        <v>0.53100000000000003</v>
      </c>
      <c r="O75" s="363">
        <v>190</v>
      </c>
      <c r="P75" s="360">
        <v>91</v>
      </c>
      <c r="Q75" s="360">
        <v>94</v>
      </c>
      <c r="R75" s="363">
        <v>7.74</v>
      </c>
      <c r="S75" s="360">
        <v>3.74</v>
      </c>
      <c r="T75" s="360">
        <v>4</v>
      </c>
      <c r="U75" s="363">
        <v>3.88</v>
      </c>
      <c r="V75" s="360">
        <v>4.29</v>
      </c>
      <c r="W75" s="191" t="str">
        <f t="shared" si="7"/>
        <v>David Peterson</v>
      </c>
      <c r="X75" s="192">
        <f t="shared" si="9"/>
        <v>6.0525312731884178</v>
      </c>
      <c r="Y75" s="192">
        <f t="shared" si="8"/>
        <v>1.312840433949539</v>
      </c>
      <c r="Z75" s="158">
        <f>RANK(X75,$X$6:$X1294,1)</f>
        <v>139</v>
      </c>
      <c r="AA75" s="158">
        <v>2</v>
      </c>
      <c r="AB75" s="158">
        <v>8</v>
      </c>
      <c r="AC75" s="158">
        <v>2.1227999999999998</v>
      </c>
      <c r="AD75" s="190">
        <f t="shared" si="10"/>
        <v>0.74065158823474952</v>
      </c>
      <c r="AE75" s="158"/>
      <c r="AF75" s="158"/>
      <c r="AG75" s="158"/>
      <c r="AH75" s="158"/>
    </row>
    <row r="76" spans="1:34" ht="15.75" customHeight="1" thickBot="1">
      <c r="A76" s="357">
        <v>71</v>
      </c>
      <c r="B76" s="375" t="s">
        <v>131</v>
      </c>
      <c r="C76" s="375" t="s">
        <v>132</v>
      </c>
      <c r="D76" s="360">
        <v>9.19</v>
      </c>
      <c r="E76" s="360">
        <v>3.45</v>
      </c>
      <c r="F76" s="360">
        <v>2.67</v>
      </c>
      <c r="G76" s="360">
        <v>1.72</v>
      </c>
      <c r="H76" s="361">
        <v>0.23899999999999999</v>
      </c>
      <c r="I76" s="362">
        <v>0.09</v>
      </c>
      <c r="J76" s="362">
        <v>0.14899999999999999</v>
      </c>
      <c r="K76" s="363">
        <v>0.26200000000000001</v>
      </c>
      <c r="L76" s="360">
        <v>1.4</v>
      </c>
      <c r="M76" s="360">
        <v>0.31</v>
      </c>
      <c r="N76" s="362">
        <v>0.59</v>
      </c>
      <c r="O76" s="363">
        <v>160</v>
      </c>
      <c r="P76" s="360">
        <v>114</v>
      </c>
      <c r="Q76" s="360">
        <v>107</v>
      </c>
      <c r="R76" s="363">
        <v>6.61</v>
      </c>
      <c r="S76" s="360">
        <v>4.7300000000000004</v>
      </c>
      <c r="T76" s="360">
        <v>1.88</v>
      </c>
      <c r="U76" s="363">
        <v>4.46</v>
      </c>
      <c r="V76" s="360">
        <v>4.28</v>
      </c>
      <c r="W76" s="191" t="str">
        <f t="shared" si="7"/>
        <v>Taj Bradley</v>
      </c>
      <c r="X76" s="192">
        <f t="shared" si="9"/>
        <v>5.5844191547238946</v>
      </c>
      <c r="Y76" s="192">
        <f t="shared" si="8"/>
        <v>1.2113033267454221</v>
      </c>
      <c r="Z76" s="158">
        <f>RANK(X76,$X$6:$X1295,1)</f>
        <v>127</v>
      </c>
      <c r="AA76" s="158">
        <v>2.375</v>
      </c>
      <c r="AB76" s="158">
        <v>8</v>
      </c>
      <c r="AC76" s="158">
        <v>2.6846999999999999</v>
      </c>
      <c r="AD76" s="190">
        <f t="shared" si="10"/>
        <v>0.87952376102876506</v>
      </c>
      <c r="AE76" s="158"/>
      <c r="AF76" s="158"/>
      <c r="AG76" s="158"/>
      <c r="AH76" s="158"/>
    </row>
    <row r="77" spans="1:34" ht="15.75" customHeight="1" thickBot="1">
      <c r="A77" s="357">
        <v>72</v>
      </c>
      <c r="B77" s="375" t="s">
        <v>133</v>
      </c>
      <c r="C77" s="375" t="s">
        <v>58</v>
      </c>
      <c r="D77" s="360">
        <v>7.83</v>
      </c>
      <c r="E77" s="360">
        <v>3.04</v>
      </c>
      <c r="F77" s="360">
        <v>2.58</v>
      </c>
      <c r="G77" s="360">
        <v>1.92</v>
      </c>
      <c r="H77" s="361">
        <v>0.20300000000000001</v>
      </c>
      <c r="I77" s="362">
        <v>7.9000000000000001E-2</v>
      </c>
      <c r="J77" s="362">
        <v>0.124</v>
      </c>
      <c r="K77" s="363">
        <v>0.27500000000000002</v>
      </c>
      <c r="L77" s="360">
        <v>1.42</v>
      </c>
      <c r="M77" s="360">
        <v>0.30399999999999999</v>
      </c>
      <c r="N77" s="362">
        <v>0.68</v>
      </c>
      <c r="O77" s="363">
        <v>137</v>
      </c>
      <c r="P77" s="360">
        <v>124</v>
      </c>
      <c r="Q77" s="360">
        <v>100</v>
      </c>
      <c r="R77" s="363">
        <v>5.75</v>
      </c>
      <c r="S77" s="360">
        <v>5.18</v>
      </c>
      <c r="T77" s="360">
        <v>0.56999999999999995</v>
      </c>
      <c r="U77" s="363">
        <v>4.13</v>
      </c>
      <c r="V77" s="360">
        <v>4.28</v>
      </c>
      <c r="W77" s="191" t="str">
        <f t="shared" si="7"/>
        <v>Brad Lord</v>
      </c>
      <c r="X77" s="192">
        <f t="shared" si="9"/>
        <v>5.7968959906362141</v>
      </c>
      <c r="Y77" s="192">
        <f t="shared" si="8"/>
        <v>1.2573911813756069</v>
      </c>
      <c r="Z77" s="158">
        <f>RANK(X77,$X$6:$X1296,1)</f>
        <v>134</v>
      </c>
      <c r="AA77" s="158">
        <v>3</v>
      </c>
      <c r="AB77" s="158">
        <v>8</v>
      </c>
      <c r="AC77" s="158">
        <v>2.9401999999999999</v>
      </c>
      <c r="AD77" s="190">
        <f t="shared" si="10"/>
        <v>1.1109773823521243</v>
      </c>
      <c r="AE77" s="158"/>
      <c r="AF77" s="158"/>
      <c r="AG77" s="158"/>
      <c r="AH77" s="158"/>
    </row>
    <row r="78" spans="1:34" ht="15.75" customHeight="1" thickBot="1">
      <c r="A78" s="357">
        <v>73</v>
      </c>
      <c r="B78" s="375" t="s">
        <v>134</v>
      </c>
      <c r="C78" s="375" t="s">
        <v>66</v>
      </c>
      <c r="D78" s="360">
        <v>7.3</v>
      </c>
      <c r="E78" s="360">
        <v>2.74</v>
      </c>
      <c r="F78" s="360">
        <v>2.67</v>
      </c>
      <c r="G78" s="360">
        <v>1.17</v>
      </c>
      <c r="H78" s="361">
        <v>0.19600000000000001</v>
      </c>
      <c r="I78" s="362">
        <v>7.3999999999999996E-2</v>
      </c>
      <c r="J78" s="362">
        <v>0.123</v>
      </c>
      <c r="K78" s="363">
        <v>0.21199999999999999</v>
      </c>
      <c r="L78" s="360">
        <v>1.1200000000000001</v>
      </c>
      <c r="M78" s="360">
        <v>0.23599999999999999</v>
      </c>
      <c r="N78" s="362">
        <v>0.745</v>
      </c>
      <c r="O78" s="363">
        <v>85</v>
      </c>
      <c r="P78" s="360">
        <v>103</v>
      </c>
      <c r="Q78" s="360">
        <v>99</v>
      </c>
      <c r="R78" s="363">
        <v>3.65</v>
      </c>
      <c r="S78" s="360">
        <v>4.1100000000000003</v>
      </c>
      <c r="T78" s="360">
        <v>-0.46</v>
      </c>
      <c r="U78" s="363">
        <v>4.0999999999999996</v>
      </c>
      <c r="V78" s="360">
        <v>4.28</v>
      </c>
      <c r="W78" s="191" t="str">
        <f t="shared" si="7"/>
        <v>Zac Gallen</v>
      </c>
      <c r="X78" s="192">
        <f t="shared" si="9"/>
        <v>3.4802621039081427</v>
      </c>
      <c r="Y78" s="192">
        <f t="shared" si="8"/>
        <v>0.7548955312288671</v>
      </c>
      <c r="Z78" s="158">
        <f>RANK(X78,$X$6:$X1297,1)</f>
        <v>50</v>
      </c>
      <c r="AA78" s="158">
        <v>2</v>
      </c>
      <c r="AB78" s="158">
        <v>8</v>
      </c>
      <c r="AC78" s="158">
        <v>2.3328000000000002</v>
      </c>
      <c r="AD78" s="190">
        <f t="shared" si="10"/>
        <v>0.74065158823474952</v>
      </c>
      <c r="AE78" s="158"/>
      <c r="AF78" s="158"/>
      <c r="AG78" s="158"/>
      <c r="AH78" s="158"/>
    </row>
    <row r="79" spans="1:34" ht="15.75" customHeight="1" thickBot="1">
      <c r="A79" s="357">
        <v>74</v>
      </c>
      <c r="B79" s="375" t="s">
        <v>135</v>
      </c>
      <c r="C79" s="375" t="s">
        <v>100</v>
      </c>
      <c r="D79" s="360">
        <v>7.19</v>
      </c>
      <c r="E79" s="360">
        <v>2.56</v>
      </c>
      <c r="F79" s="360">
        <v>2.81</v>
      </c>
      <c r="G79" s="360">
        <v>1.1200000000000001</v>
      </c>
      <c r="H79" s="361">
        <v>0.185</v>
      </c>
      <c r="I79" s="362">
        <v>6.6000000000000003E-2</v>
      </c>
      <c r="J79" s="362">
        <v>0.11899999999999999</v>
      </c>
      <c r="K79" s="363">
        <v>0.27300000000000002</v>
      </c>
      <c r="L79" s="360">
        <v>1.35</v>
      </c>
      <c r="M79" s="360">
        <v>0.315</v>
      </c>
      <c r="N79" s="362">
        <v>0.72399999999999998</v>
      </c>
      <c r="O79" s="363">
        <v>116</v>
      </c>
      <c r="P79" s="360">
        <v>103</v>
      </c>
      <c r="Q79" s="360">
        <v>105</v>
      </c>
      <c r="R79" s="363">
        <v>4.79</v>
      </c>
      <c r="S79" s="360">
        <v>4.38</v>
      </c>
      <c r="T79" s="360">
        <v>0.42</v>
      </c>
      <c r="U79" s="363">
        <v>4.38</v>
      </c>
      <c r="V79" s="360">
        <v>4.2699999999999996</v>
      </c>
      <c r="W79" s="191" t="str">
        <f t="shared" si="7"/>
        <v>Adrian Houser</v>
      </c>
      <c r="X79" s="192">
        <f t="shared" si="9"/>
        <v>4.8304598407706738</v>
      </c>
      <c r="Y79" s="192">
        <f t="shared" si="8"/>
        <v>1.0477637714364894</v>
      </c>
      <c r="Z79" s="158">
        <f>RANK(X79,$X$6:$X1298,1)</f>
        <v>108</v>
      </c>
      <c r="AA79" s="158">
        <v>4.625</v>
      </c>
      <c r="AB79" s="158">
        <v>8</v>
      </c>
      <c r="AC79" s="158">
        <v>2.4861</v>
      </c>
      <c r="AD79" s="190">
        <f t="shared" si="10"/>
        <v>1.7127567977928584</v>
      </c>
      <c r="AE79" s="158"/>
      <c r="AF79" s="158"/>
      <c r="AG79" s="158"/>
      <c r="AH79" s="158"/>
    </row>
    <row r="80" spans="1:34" ht="15.75" customHeight="1" thickBot="1">
      <c r="A80" s="357">
        <v>75</v>
      </c>
      <c r="B80" s="375" t="s">
        <v>136</v>
      </c>
      <c r="C80" s="375" t="s">
        <v>137</v>
      </c>
      <c r="D80" s="360">
        <v>7.56</v>
      </c>
      <c r="E80" s="360">
        <v>2.38</v>
      </c>
      <c r="F80" s="360">
        <v>3.18</v>
      </c>
      <c r="G80" s="360">
        <v>2.59</v>
      </c>
      <c r="H80" s="361">
        <v>0.19900000000000001</v>
      </c>
      <c r="I80" s="362">
        <v>6.3E-2</v>
      </c>
      <c r="J80" s="362">
        <v>0.13600000000000001</v>
      </c>
      <c r="K80" s="363">
        <v>0.248</v>
      </c>
      <c r="L80" s="360">
        <v>1.25</v>
      </c>
      <c r="M80" s="360">
        <v>0.246</v>
      </c>
      <c r="N80" s="362">
        <v>0.73899999999999999</v>
      </c>
      <c r="O80" s="363">
        <v>147</v>
      </c>
      <c r="P80" s="360">
        <v>151</v>
      </c>
      <c r="Q80" s="360">
        <v>97</v>
      </c>
      <c r="R80" s="363">
        <v>5.62</v>
      </c>
      <c r="S80" s="360">
        <v>5.99</v>
      </c>
      <c r="T80" s="360">
        <v>-0.38</v>
      </c>
      <c r="U80" s="363">
        <v>4.0599999999999996</v>
      </c>
      <c r="V80" s="360">
        <v>4.25</v>
      </c>
      <c r="W80" s="191" t="str">
        <f t="shared" si="7"/>
        <v>Bryce Miller</v>
      </c>
      <c r="X80" s="192">
        <f t="shared" si="9"/>
        <v>5.5826798748455122</v>
      </c>
      <c r="Y80" s="192">
        <f t="shared" si="8"/>
        <v>1.2109260636058807</v>
      </c>
      <c r="Z80" s="158">
        <f>RANK(X80,$X$6:$X1299,1)</f>
        <v>126</v>
      </c>
      <c r="AA80" s="158">
        <v>3.5</v>
      </c>
      <c r="AB80" s="158">
        <v>8</v>
      </c>
      <c r="AC80" s="158">
        <v>3.3999000000000001</v>
      </c>
      <c r="AD80" s="190">
        <f t="shared" si="10"/>
        <v>1.2961402794108117</v>
      </c>
      <c r="AE80" s="158"/>
      <c r="AF80" s="158"/>
      <c r="AG80" s="158"/>
      <c r="AH80" s="158"/>
    </row>
    <row r="81" spans="1:34" ht="15.75" customHeight="1" thickBot="1">
      <c r="A81" s="357">
        <v>76</v>
      </c>
      <c r="B81" s="375" t="s">
        <v>138</v>
      </c>
      <c r="C81" s="375" t="s">
        <v>132</v>
      </c>
      <c r="D81" s="360">
        <v>9</v>
      </c>
      <c r="E81" s="360">
        <v>2.93</v>
      </c>
      <c r="F81" s="360">
        <v>3.07</v>
      </c>
      <c r="G81" s="360">
        <v>1.57</v>
      </c>
      <c r="H81" s="361">
        <v>0.22</v>
      </c>
      <c r="I81" s="362">
        <v>7.1999999999999995E-2</v>
      </c>
      <c r="J81" s="362">
        <v>0.14799999999999999</v>
      </c>
      <c r="K81" s="363">
        <v>0.28899999999999998</v>
      </c>
      <c r="L81" s="360">
        <v>1.54</v>
      </c>
      <c r="M81" s="360">
        <v>0.34300000000000003</v>
      </c>
      <c r="N81" s="362">
        <v>0.70199999999999996</v>
      </c>
      <c r="O81" s="363">
        <v>133</v>
      </c>
      <c r="P81" s="360">
        <v>105</v>
      </c>
      <c r="Q81" s="360">
        <v>102</v>
      </c>
      <c r="R81" s="363">
        <v>5.48</v>
      </c>
      <c r="S81" s="360">
        <v>4.37</v>
      </c>
      <c r="T81" s="360">
        <v>1.1000000000000001</v>
      </c>
      <c r="U81" s="363">
        <v>4.26</v>
      </c>
      <c r="V81" s="360">
        <v>4.24</v>
      </c>
      <c r="W81" s="191" t="str">
        <f t="shared" si="7"/>
        <v>Zebby Matthews</v>
      </c>
      <c r="X81" s="192">
        <f t="shared" si="9"/>
        <v>6.0500468698392238</v>
      </c>
      <c r="Y81" s="192">
        <f t="shared" si="8"/>
        <v>1.3123015478168047</v>
      </c>
      <c r="Z81" s="158">
        <f>RANK(X81,$X$6:$X1300,1)</f>
        <v>138</v>
      </c>
      <c r="AA81" s="158">
        <v>3.25</v>
      </c>
      <c r="AB81" s="158">
        <v>8</v>
      </c>
      <c r="AC81" s="158">
        <v>2.4803999999999999</v>
      </c>
      <c r="AD81" s="190">
        <f t="shared" si="10"/>
        <v>1.203558830881468</v>
      </c>
      <c r="AE81" s="158"/>
      <c r="AF81" s="158"/>
      <c r="AG81" s="158"/>
      <c r="AH81" s="158"/>
    </row>
    <row r="82" spans="1:34" ht="15.75" customHeight="1" thickBot="1">
      <c r="A82" s="357">
        <v>77</v>
      </c>
      <c r="B82" s="375" t="s">
        <v>139</v>
      </c>
      <c r="C82" s="375" t="s">
        <v>36</v>
      </c>
      <c r="D82" s="360">
        <v>7.47</v>
      </c>
      <c r="E82" s="360">
        <v>2.0099999999999998</v>
      </c>
      <c r="F82" s="360">
        <v>3.71</v>
      </c>
      <c r="G82" s="360">
        <v>1.01</v>
      </c>
      <c r="H82" s="361">
        <v>0.193</v>
      </c>
      <c r="I82" s="362">
        <v>5.1999999999999998E-2</v>
      </c>
      <c r="J82" s="362">
        <v>0.14099999999999999</v>
      </c>
      <c r="K82" s="363">
        <v>0.26800000000000002</v>
      </c>
      <c r="L82" s="360">
        <v>1.29</v>
      </c>
      <c r="M82" s="360">
        <v>0.314</v>
      </c>
      <c r="N82" s="362">
        <v>0.68200000000000005</v>
      </c>
      <c r="O82" s="363">
        <v>92</v>
      </c>
      <c r="P82" s="360">
        <v>88</v>
      </c>
      <c r="Q82" s="360">
        <v>107</v>
      </c>
      <c r="R82" s="363">
        <v>4.45</v>
      </c>
      <c r="S82" s="360">
        <v>3.83</v>
      </c>
      <c r="T82" s="360">
        <v>0.62</v>
      </c>
      <c r="U82" s="363">
        <v>4.45</v>
      </c>
      <c r="V82" s="360">
        <v>4.22</v>
      </c>
      <c r="W82" s="191" t="str">
        <f t="shared" si="7"/>
        <v>Kyle Freeland</v>
      </c>
      <c r="X82" s="192">
        <f t="shared" si="9"/>
        <v>4.3152872923579606</v>
      </c>
      <c r="Y82" s="192">
        <f t="shared" si="8"/>
        <v>0.9360188961951017</v>
      </c>
      <c r="Z82" s="158">
        <f>RANK(X82,$X$6:$X1301,1)</f>
        <v>83</v>
      </c>
      <c r="AA82" s="158">
        <v>2</v>
      </c>
      <c r="AB82" s="158">
        <v>8</v>
      </c>
      <c r="AC82" s="158">
        <v>2.1739000000000002</v>
      </c>
      <c r="AD82" s="190">
        <f t="shared" si="10"/>
        <v>0.74065158823474952</v>
      </c>
      <c r="AE82" s="158"/>
      <c r="AF82" s="158"/>
      <c r="AG82" s="158"/>
      <c r="AH82" s="158"/>
    </row>
    <row r="83" spans="1:34" ht="15.75" customHeight="1" thickBot="1">
      <c r="A83" s="357">
        <v>78</v>
      </c>
      <c r="B83" s="375" t="s">
        <v>140</v>
      </c>
      <c r="C83" s="375" t="s">
        <v>74</v>
      </c>
      <c r="D83" s="360">
        <v>9.24</v>
      </c>
      <c r="E83" s="360">
        <v>3.55</v>
      </c>
      <c r="F83" s="360">
        <v>2.6</v>
      </c>
      <c r="G83" s="360">
        <v>1.07</v>
      </c>
      <c r="H83" s="361">
        <v>0.23400000000000001</v>
      </c>
      <c r="I83" s="362">
        <v>0.09</v>
      </c>
      <c r="J83" s="362">
        <v>0.14399999999999999</v>
      </c>
      <c r="K83" s="363">
        <v>0.27300000000000002</v>
      </c>
      <c r="L83" s="360">
        <v>1.46</v>
      </c>
      <c r="M83" s="360">
        <v>0.34300000000000003</v>
      </c>
      <c r="N83" s="362">
        <v>0.51700000000000002</v>
      </c>
      <c r="O83" s="363">
        <v>182</v>
      </c>
      <c r="P83" s="360">
        <v>94</v>
      </c>
      <c r="Q83" s="360">
        <v>105</v>
      </c>
      <c r="R83" s="363">
        <v>7.46</v>
      </c>
      <c r="S83" s="360">
        <v>4.04</v>
      </c>
      <c r="T83" s="360">
        <v>3.42</v>
      </c>
      <c r="U83" s="363">
        <v>4.3899999999999997</v>
      </c>
      <c r="V83" s="360">
        <v>4.22</v>
      </c>
      <c r="W83" s="191" t="str">
        <f t="shared" si="7"/>
        <v>Aaron Civale</v>
      </c>
      <c r="X83" s="192">
        <f t="shared" si="9"/>
        <v>5.3699677989829002</v>
      </c>
      <c r="Y83" s="192">
        <f t="shared" si="8"/>
        <v>1.1647871836270469</v>
      </c>
      <c r="Z83" s="158">
        <f>RANK(X83,$X$6:$X1302,1)</f>
        <v>119</v>
      </c>
      <c r="AA83" s="158">
        <v>3.5</v>
      </c>
      <c r="AB83" s="158">
        <v>8</v>
      </c>
      <c r="AC83" s="158">
        <v>2.2930999999999999</v>
      </c>
      <c r="AD83" s="190">
        <f t="shared" si="10"/>
        <v>1.2961402794108117</v>
      </c>
      <c r="AE83" s="158"/>
      <c r="AF83" s="158"/>
      <c r="AG83" s="158"/>
      <c r="AH83" s="158"/>
    </row>
    <row r="84" spans="1:34" ht="15.75" customHeight="1" thickBot="1">
      <c r="A84" s="357">
        <v>79</v>
      </c>
      <c r="B84" s="375" t="s">
        <v>141</v>
      </c>
      <c r="C84" s="375" t="s">
        <v>88</v>
      </c>
      <c r="D84" s="360">
        <v>7.69</v>
      </c>
      <c r="E84" s="360">
        <v>2.11</v>
      </c>
      <c r="F84" s="360">
        <v>3.64</v>
      </c>
      <c r="G84" s="360">
        <v>1.36</v>
      </c>
      <c r="H84" s="361">
        <v>0.20799999999999999</v>
      </c>
      <c r="I84" s="362">
        <v>5.7000000000000002E-2</v>
      </c>
      <c r="J84" s="362">
        <v>0.151</v>
      </c>
      <c r="K84" s="363">
        <v>0.25600000000000001</v>
      </c>
      <c r="L84" s="360">
        <v>1.21</v>
      </c>
      <c r="M84" s="360">
        <v>0.29299999999999998</v>
      </c>
      <c r="N84" s="362">
        <v>0.63100000000000001</v>
      </c>
      <c r="O84" s="363">
        <v>129</v>
      </c>
      <c r="P84" s="360">
        <v>105</v>
      </c>
      <c r="Q84" s="360">
        <v>109</v>
      </c>
      <c r="R84" s="363">
        <v>5.43</v>
      </c>
      <c r="S84" s="360">
        <v>4.28</v>
      </c>
      <c r="T84" s="360">
        <v>1.1499999999999999</v>
      </c>
      <c r="U84" s="363">
        <v>4.51</v>
      </c>
      <c r="V84" s="360">
        <v>4.18</v>
      </c>
      <c r="W84" s="191" t="str">
        <f t="shared" si="7"/>
        <v>Matthew Boyd</v>
      </c>
      <c r="X84" s="192">
        <f t="shared" si="9"/>
        <v>4.2988862953644027</v>
      </c>
      <c r="Y84" s="192">
        <f t="shared" si="8"/>
        <v>0.93246139421149199</v>
      </c>
      <c r="Z84" s="158">
        <f>RANK(X84,$X$6:$X1303,1)</f>
        <v>82</v>
      </c>
      <c r="AA84" s="158">
        <v>7</v>
      </c>
      <c r="AB84" s="158">
        <v>1</v>
      </c>
      <c r="AC84" s="158">
        <v>2.4293</v>
      </c>
      <c r="AD84" s="190">
        <f t="shared" si="10"/>
        <v>1</v>
      </c>
      <c r="AE84" s="158"/>
      <c r="AF84" s="158"/>
      <c r="AG84" s="158"/>
      <c r="AH84" s="158"/>
    </row>
    <row r="85" spans="1:34" ht="15.75" customHeight="1" thickBot="1">
      <c r="A85" s="357">
        <v>80</v>
      </c>
      <c r="B85" s="375" t="s">
        <v>142</v>
      </c>
      <c r="C85" s="375" t="s">
        <v>143</v>
      </c>
      <c r="D85" s="360">
        <v>7.79</v>
      </c>
      <c r="E85" s="360">
        <v>2.94</v>
      </c>
      <c r="F85" s="360">
        <v>2.65</v>
      </c>
      <c r="G85" s="360">
        <v>0.35</v>
      </c>
      <c r="H85" s="361">
        <v>0.21299999999999999</v>
      </c>
      <c r="I85" s="362">
        <v>8.1000000000000003E-2</v>
      </c>
      <c r="J85" s="362">
        <v>0.13300000000000001</v>
      </c>
      <c r="K85" s="363">
        <v>0.222</v>
      </c>
      <c r="L85" s="360">
        <v>1.1499999999999999</v>
      </c>
      <c r="M85" s="360">
        <v>0.27900000000000003</v>
      </c>
      <c r="N85" s="362">
        <v>0.73399999999999999</v>
      </c>
      <c r="O85" s="363">
        <v>74</v>
      </c>
      <c r="P85" s="360">
        <v>68</v>
      </c>
      <c r="Q85" s="360">
        <v>93</v>
      </c>
      <c r="R85" s="363">
        <v>3.12</v>
      </c>
      <c r="S85" s="360">
        <v>2.89</v>
      </c>
      <c r="T85" s="360">
        <v>0.23</v>
      </c>
      <c r="U85" s="363">
        <v>3.84</v>
      </c>
      <c r="V85" s="360">
        <v>4.18</v>
      </c>
      <c r="W85" s="191" t="str">
        <f t="shared" si="7"/>
        <v>Clayton Kershaw</v>
      </c>
      <c r="X85" s="192">
        <f t="shared" si="9"/>
        <v>2.8623595124119974</v>
      </c>
      <c r="Y85" s="192">
        <f t="shared" si="8"/>
        <v>0.62086772207869523</v>
      </c>
      <c r="Z85" s="158">
        <f>RANK(X85,$X$6:$X1304,1)</f>
        <v>21</v>
      </c>
      <c r="AA85" s="158">
        <v>1.25</v>
      </c>
      <c r="AB85" s="158">
        <v>8</v>
      </c>
      <c r="AC85" s="158">
        <v>1.6404000000000001</v>
      </c>
      <c r="AD85" s="190">
        <f t="shared" si="10"/>
        <v>0.46290724264671845</v>
      </c>
      <c r="AE85" s="158"/>
      <c r="AF85" s="158"/>
      <c r="AG85" s="158"/>
      <c r="AH85" s="158"/>
    </row>
    <row r="86" spans="1:34" ht="15.75" customHeight="1" thickBot="1">
      <c r="A86" s="357">
        <v>81</v>
      </c>
      <c r="B86" s="375" t="s">
        <v>144</v>
      </c>
      <c r="C86" s="375" t="s">
        <v>91</v>
      </c>
      <c r="D86" s="360">
        <v>7.4</v>
      </c>
      <c r="E86" s="360">
        <v>3.05</v>
      </c>
      <c r="F86" s="360">
        <v>2.4300000000000002</v>
      </c>
      <c r="G86" s="360">
        <v>0</v>
      </c>
      <c r="H86" s="361">
        <v>0.20200000000000001</v>
      </c>
      <c r="I86" s="362">
        <v>8.3000000000000004E-2</v>
      </c>
      <c r="J86" s="362">
        <v>0.11899999999999999</v>
      </c>
      <c r="K86" s="363">
        <v>0.24</v>
      </c>
      <c r="L86" s="360">
        <v>1.21</v>
      </c>
      <c r="M86" s="360">
        <v>0.31</v>
      </c>
      <c r="N86" s="362">
        <v>0.59299999999999997</v>
      </c>
      <c r="O86" s="363">
        <v>118</v>
      </c>
      <c r="P86" s="360">
        <v>69</v>
      </c>
      <c r="Q86" s="360">
        <v>93</v>
      </c>
      <c r="R86" s="363">
        <v>4.79</v>
      </c>
      <c r="S86" s="360">
        <v>2.8</v>
      </c>
      <c r="T86" s="360">
        <v>1.99</v>
      </c>
      <c r="U86" s="363">
        <v>3.84</v>
      </c>
      <c r="V86" s="360">
        <v>4.18</v>
      </c>
      <c r="W86" s="191" t="str">
        <f t="shared" si="7"/>
        <v>Brandon Sproat</v>
      </c>
      <c r="X86" s="192">
        <f t="shared" si="9"/>
        <v>2.9945335535077735</v>
      </c>
      <c r="Y86" s="192">
        <f t="shared" si="8"/>
        <v>0.64953728488421414</v>
      </c>
      <c r="Z86" s="158">
        <f>RANK(X86,$X$6:$X1305,1)</f>
        <v>26</v>
      </c>
      <c r="AA86" s="158">
        <v>1.5</v>
      </c>
      <c r="AB86" s="158">
        <v>2</v>
      </c>
      <c r="AC86" s="158">
        <v>1.5892999999999999</v>
      </c>
      <c r="AD86" s="190">
        <f t="shared" si="10"/>
        <v>1</v>
      </c>
      <c r="AE86" s="158"/>
      <c r="AF86" s="158"/>
      <c r="AG86" s="158"/>
      <c r="AH86" s="158"/>
    </row>
    <row r="87" spans="1:34" ht="15.75" customHeight="1" thickBot="1">
      <c r="A87" s="357">
        <v>82</v>
      </c>
      <c r="B87" s="375" t="s">
        <v>145</v>
      </c>
      <c r="C87" s="375" t="s">
        <v>80</v>
      </c>
      <c r="D87" s="360">
        <v>8.41</v>
      </c>
      <c r="E87" s="360">
        <v>3.12</v>
      </c>
      <c r="F87" s="360">
        <v>2.7</v>
      </c>
      <c r="G87" s="360">
        <v>1.36</v>
      </c>
      <c r="H87" s="361">
        <v>0.224</v>
      </c>
      <c r="I87" s="362">
        <v>8.3000000000000004E-2</v>
      </c>
      <c r="J87" s="362">
        <v>0.14099999999999999</v>
      </c>
      <c r="K87" s="363">
        <v>0.23499999999999999</v>
      </c>
      <c r="L87" s="360">
        <v>1.24</v>
      </c>
      <c r="M87" s="360">
        <v>0.27400000000000002</v>
      </c>
      <c r="N87" s="362">
        <v>0.746</v>
      </c>
      <c r="O87" s="363">
        <v>102</v>
      </c>
      <c r="P87" s="360">
        <v>108</v>
      </c>
      <c r="Q87" s="360">
        <v>98</v>
      </c>
      <c r="R87" s="363">
        <v>4.07</v>
      </c>
      <c r="S87" s="360">
        <v>4.3899999999999997</v>
      </c>
      <c r="T87" s="360">
        <v>-0.32</v>
      </c>
      <c r="U87" s="363">
        <v>4.1100000000000003</v>
      </c>
      <c r="V87" s="360">
        <v>4.13</v>
      </c>
      <c r="W87" s="191" t="str">
        <f t="shared" si="7"/>
        <v>Tanner Bibee</v>
      </c>
      <c r="X87" s="192">
        <f t="shared" si="9"/>
        <v>4.4489221433973363</v>
      </c>
      <c r="Y87" s="192">
        <f t="shared" si="8"/>
        <v>0.96500531987646099</v>
      </c>
      <c r="Z87" s="158">
        <f>RANK(X87,$X$6:$X1306,1)</f>
        <v>92</v>
      </c>
      <c r="AA87" s="158">
        <v>2.625</v>
      </c>
      <c r="AB87" s="158">
        <v>8</v>
      </c>
      <c r="AC87" s="158">
        <v>2.4918</v>
      </c>
      <c r="AD87" s="190">
        <f t="shared" si="10"/>
        <v>0.97210520955810875</v>
      </c>
      <c r="AE87" s="158"/>
      <c r="AF87" s="158"/>
      <c r="AG87" s="158"/>
      <c r="AH87" s="158"/>
    </row>
    <row r="88" spans="1:34" ht="15.75" customHeight="1" thickBot="1">
      <c r="A88" s="357">
        <v>83</v>
      </c>
      <c r="B88" s="375" t="s">
        <v>146</v>
      </c>
      <c r="C88" s="375" t="s">
        <v>132</v>
      </c>
      <c r="D88" s="360">
        <v>7.62</v>
      </c>
      <c r="E88" s="360">
        <v>1.49</v>
      </c>
      <c r="F88" s="360">
        <v>5.1100000000000003</v>
      </c>
      <c r="G88" s="360">
        <v>1.49</v>
      </c>
      <c r="H88" s="361">
        <v>0.21099999999999999</v>
      </c>
      <c r="I88" s="362">
        <v>4.1000000000000002E-2</v>
      </c>
      <c r="J88" s="362">
        <v>0.17</v>
      </c>
      <c r="K88" s="363">
        <v>0.245</v>
      </c>
      <c r="L88" s="360">
        <v>1.1000000000000001</v>
      </c>
      <c r="M88" s="360">
        <v>0.27500000000000002</v>
      </c>
      <c r="N88" s="362">
        <v>0.66100000000000003</v>
      </c>
      <c r="O88" s="363">
        <v>116</v>
      </c>
      <c r="P88" s="360">
        <v>99</v>
      </c>
      <c r="Q88" s="360">
        <v>103</v>
      </c>
      <c r="R88" s="363">
        <v>4.8</v>
      </c>
      <c r="S88" s="360">
        <v>4.1500000000000004</v>
      </c>
      <c r="T88" s="360">
        <v>0.66</v>
      </c>
      <c r="U88" s="363">
        <v>4.32</v>
      </c>
      <c r="V88" s="360">
        <v>4.13</v>
      </c>
      <c r="W88" s="191" t="str">
        <f t="shared" si="7"/>
        <v>Bailey Ober</v>
      </c>
      <c r="X88" s="192">
        <f t="shared" si="9"/>
        <v>3.7941879459014367</v>
      </c>
      <c r="Y88" s="192">
        <f t="shared" si="8"/>
        <v>0.82298845302113099</v>
      </c>
      <c r="Z88" s="158">
        <f>RANK(X88,$X$6:$X1307,1)</f>
        <v>62</v>
      </c>
      <c r="AA88" s="158">
        <v>2.625</v>
      </c>
      <c r="AB88" s="158">
        <v>8</v>
      </c>
      <c r="AC88" s="158">
        <v>2.3555000000000001</v>
      </c>
      <c r="AD88" s="190">
        <f t="shared" si="10"/>
        <v>0.97210520955810875</v>
      </c>
      <c r="AE88" s="158"/>
      <c r="AF88" s="158"/>
      <c r="AG88" s="158"/>
      <c r="AH88" s="158"/>
    </row>
    <row r="89" spans="1:34" ht="15.75" customHeight="1" thickBot="1">
      <c r="A89" s="357">
        <v>84</v>
      </c>
      <c r="B89" s="375" t="s">
        <v>147</v>
      </c>
      <c r="C89" s="375" t="s">
        <v>49</v>
      </c>
      <c r="D89" s="360">
        <v>9</v>
      </c>
      <c r="E89" s="360">
        <v>3</v>
      </c>
      <c r="F89" s="360">
        <v>3</v>
      </c>
      <c r="G89" s="360">
        <v>1.29</v>
      </c>
      <c r="H89" s="361">
        <v>0.24399999999999999</v>
      </c>
      <c r="I89" s="362">
        <v>8.1000000000000003E-2</v>
      </c>
      <c r="J89" s="362">
        <v>0.16300000000000001</v>
      </c>
      <c r="K89" s="363">
        <v>0.20300000000000001</v>
      </c>
      <c r="L89" s="360">
        <v>1.1000000000000001</v>
      </c>
      <c r="M89" s="360">
        <v>0.23799999999999999</v>
      </c>
      <c r="N89" s="362">
        <v>0.749</v>
      </c>
      <c r="O89" s="363">
        <v>90</v>
      </c>
      <c r="P89" s="360">
        <v>99</v>
      </c>
      <c r="Q89" s="360">
        <v>106</v>
      </c>
      <c r="R89" s="363">
        <v>3.71</v>
      </c>
      <c r="S89" s="360">
        <v>4.03</v>
      </c>
      <c r="T89" s="360">
        <v>-0.32</v>
      </c>
      <c r="U89" s="363">
        <v>4.4000000000000004</v>
      </c>
      <c r="V89" s="360">
        <v>4.1100000000000003</v>
      </c>
      <c r="W89" s="191" t="str">
        <f t="shared" si="7"/>
        <v>Nick Pivetta</v>
      </c>
      <c r="X89" s="192">
        <f t="shared" si="9"/>
        <v>3.651906737733317</v>
      </c>
      <c r="Y89" s="192">
        <f t="shared" si="8"/>
        <v>0.79212656819258742</v>
      </c>
      <c r="Z89" s="158">
        <f>RANK(X89,$X$6:$X1308,1)</f>
        <v>55</v>
      </c>
      <c r="AA89" s="158">
        <v>2.75</v>
      </c>
      <c r="AB89" s="158">
        <v>8</v>
      </c>
      <c r="AC89" s="158">
        <v>2.2873999999999999</v>
      </c>
      <c r="AD89" s="190">
        <f t="shared" si="10"/>
        <v>1.0183959338227806</v>
      </c>
      <c r="AE89" s="158"/>
      <c r="AF89" s="158"/>
      <c r="AG89" s="158"/>
      <c r="AH89" s="158"/>
    </row>
    <row r="90" spans="1:34" ht="15.75" customHeight="1" thickBot="1">
      <c r="A90" s="357">
        <v>85</v>
      </c>
      <c r="B90" s="375" t="s">
        <v>148</v>
      </c>
      <c r="C90" s="375" t="s">
        <v>72</v>
      </c>
      <c r="D90" s="360">
        <v>7.36</v>
      </c>
      <c r="E90" s="360">
        <v>2.0499999999999998</v>
      </c>
      <c r="F90" s="360">
        <v>3.6</v>
      </c>
      <c r="G90" s="360">
        <v>1.02</v>
      </c>
      <c r="H90" s="361">
        <v>0.20599999999999999</v>
      </c>
      <c r="I90" s="362">
        <v>5.7000000000000002E-2</v>
      </c>
      <c r="J90" s="362">
        <v>0.14899999999999999</v>
      </c>
      <c r="K90" s="363">
        <v>0.22600000000000001</v>
      </c>
      <c r="L90" s="360">
        <v>1.07</v>
      </c>
      <c r="M90" s="360">
        <v>0.26</v>
      </c>
      <c r="N90" s="362">
        <v>0.65900000000000003</v>
      </c>
      <c r="O90" s="363">
        <v>101</v>
      </c>
      <c r="P90" s="360">
        <v>90</v>
      </c>
      <c r="Q90" s="360">
        <v>99</v>
      </c>
      <c r="R90" s="363">
        <v>4.09</v>
      </c>
      <c r="S90" s="360">
        <v>3.73</v>
      </c>
      <c r="T90" s="360">
        <v>0.36</v>
      </c>
      <c r="U90" s="363">
        <v>4.1399999999999997</v>
      </c>
      <c r="V90" s="360">
        <v>4.1100000000000003</v>
      </c>
      <c r="W90" s="191" t="str">
        <f t="shared" si="7"/>
        <v>Dean Kremer</v>
      </c>
      <c r="X90" s="192">
        <f t="shared" si="9"/>
        <v>3.1695070831679168</v>
      </c>
      <c r="Y90" s="192">
        <f t="shared" si="8"/>
        <v>0.68749038487500447</v>
      </c>
      <c r="Z90" s="158">
        <f>RANK(X90,$X$6:$X1309,1)</f>
        <v>30</v>
      </c>
      <c r="AA90" s="158">
        <v>2.5</v>
      </c>
      <c r="AB90" s="158">
        <v>8</v>
      </c>
      <c r="AC90" s="158">
        <v>2.1171000000000002</v>
      </c>
      <c r="AD90" s="190">
        <f t="shared" si="10"/>
        <v>0.92581448529343691</v>
      </c>
      <c r="AE90" s="158"/>
      <c r="AF90" s="158"/>
      <c r="AG90" s="158"/>
      <c r="AH90" s="158"/>
    </row>
    <row r="91" spans="1:34" ht="15.75" customHeight="1" thickBot="1">
      <c r="A91" s="357">
        <v>86</v>
      </c>
      <c r="B91" s="375" t="s">
        <v>149</v>
      </c>
      <c r="C91" s="375" t="s">
        <v>126</v>
      </c>
      <c r="D91" s="360">
        <v>12.77</v>
      </c>
      <c r="E91" s="360">
        <v>5.84</v>
      </c>
      <c r="F91" s="360">
        <v>2.19</v>
      </c>
      <c r="G91" s="360">
        <v>0.73</v>
      </c>
      <c r="H91" s="361">
        <v>0.28899999999999998</v>
      </c>
      <c r="I91" s="362">
        <v>0.13200000000000001</v>
      </c>
      <c r="J91" s="362">
        <v>0.157</v>
      </c>
      <c r="K91" s="363">
        <v>0.26500000000000001</v>
      </c>
      <c r="L91" s="360">
        <v>1.7</v>
      </c>
      <c r="M91" s="360">
        <v>0.39300000000000002</v>
      </c>
      <c r="N91" s="362">
        <v>0.54100000000000004</v>
      </c>
      <c r="O91" s="363">
        <v>187</v>
      </c>
      <c r="P91" s="360">
        <v>104</v>
      </c>
      <c r="Q91" s="360">
        <v>109</v>
      </c>
      <c r="R91" s="363">
        <v>7.66</v>
      </c>
      <c r="S91" s="360">
        <v>4.1500000000000004</v>
      </c>
      <c r="T91" s="360">
        <v>3.51</v>
      </c>
      <c r="U91" s="363">
        <v>4.53</v>
      </c>
      <c r="V91" s="360">
        <v>4.1100000000000003</v>
      </c>
      <c r="W91" s="191" t="str">
        <f t="shared" si="7"/>
        <v>Kai-Wei Teng</v>
      </c>
      <c r="X91" s="192">
        <f t="shared" si="9"/>
        <v>6.8006773721720322</v>
      </c>
      <c r="Y91" s="192">
        <f t="shared" si="8"/>
        <v>1.4751190583654508</v>
      </c>
      <c r="Z91" s="158">
        <f>RANK(X91,$X$6:$X1310,1)</f>
        <v>150</v>
      </c>
      <c r="AA91" s="158">
        <v>2.8332999999999999</v>
      </c>
      <c r="AB91" s="158">
        <v>6</v>
      </c>
      <c r="AC91" s="158">
        <v>2.3555000000000001</v>
      </c>
      <c r="AD91" s="190">
        <f t="shared" si="10"/>
        <v>1.0492440724727579</v>
      </c>
      <c r="AE91" s="158"/>
      <c r="AF91" s="158"/>
      <c r="AG91" s="158"/>
      <c r="AH91" s="158"/>
    </row>
    <row r="92" spans="1:34" ht="15.75" customHeight="1" thickBot="1">
      <c r="A92" s="357">
        <v>87</v>
      </c>
      <c r="B92" s="375" t="s">
        <v>150</v>
      </c>
      <c r="C92" s="375" t="s">
        <v>86</v>
      </c>
      <c r="D92" s="360">
        <v>7.48</v>
      </c>
      <c r="E92" s="360">
        <v>1.63</v>
      </c>
      <c r="F92" s="360">
        <v>4.5999999999999996</v>
      </c>
      <c r="G92" s="360">
        <v>1.46</v>
      </c>
      <c r="H92" s="361">
        <v>0.19700000000000001</v>
      </c>
      <c r="I92" s="362">
        <v>4.2999999999999997E-2</v>
      </c>
      <c r="J92" s="362">
        <v>0.154</v>
      </c>
      <c r="K92" s="363">
        <v>0.26500000000000001</v>
      </c>
      <c r="L92" s="360">
        <v>1.25</v>
      </c>
      <c r="M92" s="360">
        <v>0.29799999999999999</v>
      </c>
      <c r="N92" s="362">
        <v>0.76700000000000002</v>
      </c>
      <c r="O92" s="363">
        <v>105</v>
      </c>
      <c r="P92" s="360">
        <v>99</v>
      </c>
      <c r="Q92" s="360">
        <v>97</v>
      </c>
      <c r="R92" s="363">
        <v>4.2300000000000004</v>
      </c>
      <c r="S92" s="360">
        <v>4.18</v>
      </c>
      <c r="T92" s="360">
        <v>0.05</v>
      </c>
      <c r="U92" s="363">
        <v>4.07</v>
      </c>
      <c r="V92" s="360">
        <v>4.0999999999999996</v>
      </c>
      <c r="W92" s="191" t="str">
        <f t="shared" si="7"/>
        <v>Merrill Kelly</v>
      </c>
      <c r="X92" s="192">
        <f t="shared" si="9"/>
        <v>4.4611688013734891</v>
      </c>
      <c r="Y92" s="192">
        <f t="shared" si="8"/>
        <v>0.9676617138785979</v>
      </c>
      <c r="Z92" s="158">
        <f>RANK(X92,$X$6:$X1311,1)</f>
        <v>93</v>
      </c>
      <c r="AA92" s="158">
        <v>3</v>
      </c>
      <c r="AB92" s="158">
        <v>8</v>
      </c>
      <c r="AC92" s="158">
        <v>2.3725999999999998</v>
      </c>
      <c r="AD92" s="190">
        <f t="shared" si="10"/>
        <v>1.1109773823521243</v>
      </c>
      <c r="AE92" s="158"/>
      <c r="AF92" s="158"/>
      <c r="AG92" s="158"/>
      <c r="AH92" s="158"/>
    </row>
    <row r="93" spans="1:34" ht="15.75" customHeight="1" thickBot="1">
      <c r="A93" s="357">
        <v>88</v>
      </c>
      <c r="B93" s="375" t="s">
        <v>151</v>
      </c>
      <c r="C93" s="375" t="s">
        <v>100</v>
      </c>
      <c r="D93" s="360">
        <v>9.4</v>
      </c>
      <c r="E93" s="360">
        <v>3.86</v>
      </c>
      <c r="F93" s="360">
        <v>2.44</v>
      </c>
      <c r="G93" s="360">
        <v>0.72</v>
      </c>
      <c r="H93" s="361">
        <v>0.26500000000000001</v>
      </c>
      <c r="I93" s="362">
        <v>0.109</v>
      </c>
      <c r="J93" s="362">
        <v>0.156</v>
      </c>
      <c r="K93" s="363">
        <v>0.192</v>
      </c>
      <c r="L93" s="360">
        <v>1.1000000000000001</v>
      </c>
      <c r="M93" s="360">
        <v>0.25</v>
      </c>
      <c r="N93" s="362">
        <v>0.63500000000000001</v>
      </c>
      <c r="O93" s="363">
        <v>99</v>
      </c>
      <c r="P93" s="360">
        <v>81</v>
      </c>
      <c r="Q93" s="360">
        <v>95</v>
      </c>
      <c r="R93" s="363">
        <v>4.0999999999999996</v>
      </c>
      <c r="S93" s="360">
        <v>3.46</v>
      </c>
      <c r="T93" s="360">
        <v>0.64</v>
      </c>
      <c r="U93" s="363">
        <v>3.98</v>
      </c>
      <c r="V93" s="360">
        <v>4.08</v>
      </c>
      <c r="W93" s="191" t="str">
        <f t="shared" si="7"/>
        <v>Ryan Pepiot</v>
      </c>
      <c r="X93" s="192">
        <f t="shared" si="9"/>
        <v>3.1936958149597592</v>
      </c>
      <c r="Y93" s="192">
        <f t="shared" si="8"/>
        <v>0.69273710623982643</v>
      </c>
      <c r="Z93" s="158">
        <f>RANK(X93,$X$6:$X1312,1)</f>
        <v>31</v>
      </c>
      <c r="AA93" s="158">
        <v>2</v>
      </c>
      <c r="AB93" s="158">
        <v>8</v>
      </c>
      <c r="AC93" s="158">
        <v>1.9639</v>
      </c>
      <c r="AD93" s="190">
        <f t="shared" si="10"/>
        <v>0.74065158823474952</v>
      </c>
      <c r="AE93" s="158"/>
      <c r="AF93" s="158"/>
      <c r="AG93" s="158"/>
      <c r="AH93" s="158"/>
    </row>
    <row r="94" spans="1:34" ht="15.75" customHeight="1" thickBot="1">
      <c r="A94" s="357">
        <v>89</v>
      </c>
      <c r="B94" s="375" t="s">
        <v>152</v>
      </c>
      <c r="C94" s="375" t="s">
        <v>58</v>
      </c>
      <c r="D94" s="360">
        <v>7.74</v>
      </c>
      <c r="E94" s="360">
        <v>3.1</v>
      </c>
      <c r="F94" s="360">
        <v>2.5</v>
      </c>
      <c r="G94" s="360">
        <v>1.2</v>
      </c>
      <c r="H94" s="361">
        <v>0.191</v>
      </c>
      <c r="I94" s="362">
        <v>7.5999999999999998E-2</v>
      </c>
      <c r="J94" s="362">
        <v>0.114</v>
      </c>
      <c r="K94" s="363">
        <v>0.28000000000000003</v>
      </c>
      <c r="L94" s="360">
        <v>1.49</v>
      </c>
      <c r="M94" s="360">
        <v>0.32700000000000001</v>
      </c>
      <c r="N94" s="362">
        <v>0.70599999999999996</v>
      </c>
      <c r="O94" s="363">
        <v>101</v>
      </c>
      <c r="P94" s="360">
        <v>106</v>
      </c>
      <c r="Q94" s="360">
        <v>96</v>
      </c>
      <c r="R94" s="363">
        <v>4.3</v>
      </c>
      <c r="S94" s="360">
        <v>4.41</v>
      </c>
      <c r="T94" s="360">
        <v>-0.11</v>
      </c>
      <c r="U94" s="363">
        <v>3.94</v>
      </c>
      <c r="V94" s="360">
        <v>4.08</v>
      </c>
      <c r="W94" s="191" t="str">
        <f t="shared" si="7"/>
        <v>Cade Cavalli</v>
      </c>
      <c r="X94" s="192">
        <f t="shared" si="9"/>
        <v>5.5367314318164276</v>
      </c>
      <c r="Y94" s="192">
        <f t="shared" si="8"/>
        <v>1.2009594940562398</v>
      </c>
      <c r="Z94" s="158">
        <f>RANK(X94,$X$6:$X1313,1)</f>
        <v>125</v>
      </c>
      <c r="AA94" s="158">
        <v>2.4</v>
      </c>
      <c r="AB94" s="158">
        <v>5</v>
      </c>
      <c r="AC94" s="158">
        <v>2.5030999999999999</v>
      </c>
      <c r="AD94" s="190">
        <f t="shared" si="10"/>
        <v>0.88878190588169947</v>
      </c>
      <c r="AE94" s="158"/>
      <c r="AF94" s="158"/>
      <c r="AG94" s="158"/>
      <c r="AH94" s="158"/>
    </row>
    <row r="95" spans="1:34" ht="15.75" customHeight="1" thickBot="1">
      <c r="A95" s="357">
        <v>90</v>
      </c>
      <c r="B95" s="375" t="s">
        <v>153</v>
      </c>
      <c r="C95" s="375" t="s">
        <v>66</v>
      </c>
      <c r="D95" s="360">
        <v>7.86</v>
      </c>
      <c r="E95" s="360">
        <v>2.29</v>
      </c>
      <c r="F95" s="360">
        <v>3.44</v>
      </c>
      <c r="G95" s="360">
        <v>1.29</v>
      </c>
      <c r="H95" s="361">
        <v>0.217</v>
      </c>
      <c r="I95" s="362">
        <v>6.3E-2</v>
      </c>
      <c r="J95" s="362">
        <v>0.154</v>
      </c>
      <c r="K95" s="363">
        <v>0.23499999999999999</v>
      </c>
      <c r="L95" s="360">
        <v>1.1399999999999999</v>
      </c>
      <c r="M95" s="360">
        <v>0.27</v>
      </c>
      <c r="N95" s="362">
        <v>0.74099999999999999</v>
      </c>
      <c r="O95" s="363">
        <v>93</v>
      </c>
      <c r="P95" s="360">
        <v>100</v>
      </c>
      <c r="Q95" s="360">
        <v>99</v>
      </c>
      <c r="R95" s="363">
        <v>4</v>
      </c>
      <c r="S95" s="360">
        <v>4</v>
      </c>
      <c r="T95" s="360">
        <v>0</v>
      </c>
      <c r="U95" s="363">
        <v>4.09</v>
      </c>
      <c r="V95" s="360">
        <v>4.08</v>
      </c>
      <c r="W95" s="191" t="str">
        <f t="shared" si="7"/>
        <v>Ryne Nelson</v>
      </c>
      <c r="X95" s="192">
        <f t="shared" si="9"/>
        <v>3.7638482358314977</v>
      </c>
      <c r="Y95" s="192">
        <f t="shared" si="8"/>
        <v>0.81640753731226612</v>
      </c>
      <c r="Z95" s="158">
        <f>RANK(X95,$X$6:$X1314,1)</f>
        <v>60</v>
      </c>
      <c r="AA95" s="158">
        <v>3.25</v>
      </c>
      <c r="AB95" s="158">
        <v>8</v>
      </c>
      <c r="AC95" s="158">
        <v>2.2704</v>
      </c>
      <c r="AD95" s="190">
        <f t="shared" si="10"/>
        <v>1.203558830881468</v>
      </c>
      <c r="AE95" s="158"/>
      <c r="AF95" s="158"/>
      <c r="AG95" s="158"/>
      <c r="AH95" s="158"/>
    </row>
    <row r="96" spans="1:34" ht="15.75" customHeight="1" thickBot="1">
      <c r="A96" s="357">
        <v>91</v>
      </c>
      <c r="B96" s="375" t="s">
        <v>154</v>
      </c>
      <c r="C96" s="375" t="s">
        <v>126</v>
      </c>
      <c r="D96" s="360">
        <v>8.6199999999999992</v>
      </c>
      <c r="E96" s="360">
        <v>2.59</v>
      </c>
      <c r="F96" s="360">
        <v>3.33</v>
      </c>
      <c r="G96" s="360">
        <v>0.72</v>
      </c>
      <c r="H96" s="361">
        <v>0.22700000000000001</v>
      </c>
      <c r="I96" s="362">
        <v>6.8000000000000005E-2</v>
      </c>
      <c r="J96" s="362">
        <v>0.159</v>
      </c>
      <c r="K96" s="363">
        <v>0.22900000000000001</v>
      </c>
      <c r="L96" s="360">
        <v>1.18</v>
      </c>
      <c r="M96" s="360">
        <v>0.28299999999999997</v>
      </c>
      <c r="N96" s="362">
        <v>0.75</v>
      </c>
      <c r="O96" s="363">
        <v>70</v>
      </c>
      <c r="P96" s="360">
        <v>80</v>
      </c>
      <c r="Q96" s="360">
        <v>99</v>
      </c>
      <c r="R96" s="363">
        <v>2.87</v>
      </c>
      <c r="S96" s="360">
        <v>3.17</v>
      </c>
      <c r="T96" s="360">
        <v>-0.28999999999999998</v>
      </c>
      <c r="U96" s="363">
        <v>4.0999999999999996</v>
      </c>
      <c r="V96" s="360">
        <v>4.07</v>
      </c>
      <c r="W96" s="191" t="str">
        <f t="shared" si="7"/>
        <v>Justin Verlander</v>
      </c>
      <c r="X96" s="192">
        <f t="shared" si="9"/>
        <v>3.4302034765111289</v>
      </c>
      <c r="Y96" s="192">
        <f t="shared" si="8"/>
        <v>0.74403743117972954</v>
      </c>
      <c r="Z96" s="158">
        <f>RANK(X96,$X$6:$X1315,1)</f>
        <v>47</v>
      </c>
      <c r="AA96" s="158">
        <v>3.25</v>
      </c>
      <c r="AB96" s="158">
        <v>8</v>
      </c>
      <c r="AC96" s="158">
        <v>1.7992999999999999</v>
      </c>
      <c r="AD96" s="190">
        <f t="shared" si="10"/>
        <v>1.203558830881468</v>
      </c>
      <c r="AE96" s="158"/>
      <c r="AF96" s="158"/>
      <c r="AG96" s="158"/>
      <c r="AH96" s="158"/>
    </row>
    <row r="97" spans="1:34" ht="15.75" customHeight="1" thickBot="1">
      <c r="A97" s="357">
        <v>92</v>
      </c>
      <c r="B97" s="375" t="s">
        <v>155</v>
      </c>
      <c r="C97" s="375" t="s">
        <v>82</v>
      </c>
      <c r="D97" s="360">
        <v>9.1199999999999992</v>
      </c>
      <c r="E97" s="360">
        <v>3.28</v>
      </c>
      <c r="F97" s="360">
        <v>2.78</v>
      </c>
      <c r="G97" s="360">
        <v>2.0099999999999998</v>
      </c>
      <c r="H97" s="361">
        <v>0.23100000000000001</v>
      </c>
      <c r="I97" s="362">
        <v>8.3000000000000004E-2</v>
      </c>
      <c r="J97" s="362">
        <v>0.14799999999999999</v>
      </c>
      <c r="K97" s="363">
        <v>0.26400000000000001</v>
      </c>
      <c r="L97" s="360">
        <v>1.4</v>
      </c>
      <c r="M97" s="360">
        <v>0.30299999999999999</v>
      </c>
      <c r="N97" s="362">
        <v>0.68300000000000005</v>
      </c>
      <c r="O97" s="363">
        <v>128</v>
      </c>
      <c r="P97" s="360">
        <v>131</v>
      </c>
      <c r="Q97" s="360">
        <v>99</v>
      </c>
      <c r="R97" s="363">
        <v>5.47</v>
      </c>
      <c r="S97" s="360">
        <v>5.41</v>
      </c>
      <c r="T97" s="360">
        <v>7.0000000000000007E-2</v>
      </c>
      <c r="U97" s="363">
        <v>4.0999999999999996</v>
      </c>
      <c r="V97" s="360">
        <v>4.07</v>
      </c>
      <c r="W97" s="191" t="str">
        <f t="shared" si="7"/>
        <v>Mitch Keller</v>
      </c>
      <c r="X97" s="192">
        <f t="shared" si="9"/>
        <v>6.0535335876124279</v>
      </c>
      <c r="Y97" s="192">
        <f t="shared" si="8"/>
        <v>1.3130578436321954</v>
      </c>
      <c r="Z97" s="158">
        <f>RANK(X97,$X$6:$X1316,1)</f>
        <v>140</v>
      </c>
      <c r="AA97" s="158">
        <v>2.875</v>
      </c>
      <c r="AB97" s="158">
        <v>8</v>
      </c>
      <c r="AC97" s="158">
        <v>3.0707</v>
      </c>
      <c r="AD97" s="190">
        <f t="shared" si="10"/>
        <v>1.0646866580874526</v>
      </c>
      <c r="AE97" s="158"/>
      <c r="AF97" s="158"/>
      <c r="AG97" s="158"/>
      <c r="AH97" s="158"/>
    </row>
    <row r="98" spans="1:34" ht="15.75" customHeight="1" thickBot="1">
      <c r="A98" s="357">
        <v>93</v>
      </c>
      <c r="B98" s="375" t="s">
        <v>156</v>
      </c>
      <c r="C98" s="375" t="s">
        <v>100</v>
      </c>
      <c r="D98" s="360">
        <v>6.91</v>
      </c>
      <c r="E98" s="360">
        <v>1.98</v>
      </c>
      <c r="F98" s="360">
        <v>3.5</v>
      </c>
      <c r="G98" s="360">
        <v>1.48</v>
      </c>
      <c r="H98" s="361">
        <v>0.19700000000000001</v>
      </c>
      <c r="I98" s="362">
        <v>5.6000000000000001E-2</v>
      </c>
      <c r="J98" s="362">
        <v>0.14099999999999999</v>
      </c>
      <c r="K98" s="363">
        <v>0.20499999999999999</v>
      </c>
      <c r="L98" s="360">
        <v>0.97</v>
      </c>
      <c r="M98" s="360">
        <v>0.215</v>
      </c>
      <c r="N98" s="362">
        <v>0.94199999999999995</v>
      </c>
      <c r="O98" s="363">
        <v>57</v>
      </c>
      <c r="P98" s="360">
        <v>105</v>
      </c>
      <c r="Q98" s="360">
        <v>95</v>
      </c>
      <c r="R98" s="363">
        <v>2.2999999999999998</v>
      </c>
      <c r="S98" s="360">
        <v>4.4400000000000004</v>
      </c>
      <c r="T98" s="360">
        <v>-2.13</v>
      </c>
      <c r="U98" s="363">
        <v>3.95</v>
      </c>
      <c r="V98" s="360">
        <v>4.07</v>
      </c>
      <c r="W98" s="191" t="str">
        <f t="shared" si="7"/>
        <v>Drew Rasmussen</v>
      </c>
      <c r="X98" s="192">
        <f t="shared" si="9"/>
        <v>3.0826059584842489</v>
      </c>
      <c r="Y98" s="192">
        <f t="shared" si="8"/>
        <v>0.66864086471708384</v>
      </c>
      <c r="Z98" s="158">
        <f>RANK(X98,$X$6:$X1317,1)</f>
        <v>28</v>
      </c>
      <c r="AA98" s="158">
        <v>1.75</v>
      </c>
      <c r="AB98" s="158">
        <v>8</v>
      </c>
      <c r="AC98" s="158">
        <v>2.5200999999999998</v>
      </c>
      <c r="AD98" s="190">
        <f t="shared" si="10"/>
        <v>0.64807013970540583</v>
      </c>
      <c r="AE98" s="158"/>
      <c r="AF98" s="158"/>
      <c r="AG98" s="158"/>
      <c r="AH98" s="158"/>
    </row>
    <row r="99" spans="1:34" ht="15.75" customHeight="1" thickBot="1">
      <c r="A99" s="357">
        <v>94</v>
      </c>
      <c r="B99" s="375" t="s">
        <v>157</v>
      </c>
      <c r="C99" s="375" t="s">
        <v>66</v>
      </c>
      <c r="D99" s="360">
        <v>7.31</v>
      </c>
      <c r="E99" s="360">
        <v>1.79</v>
      </c>
      <c r="F99" s="360">
        <v>4.08</v>
      </c>
      <c r="G99" s="360">
        <v>0.9</v>
      </c>
      <c r="H99" s="361">
        <v>0.187</v>
      </c>
      <c r="I99" s="362">
        <v>4.5999999999999999E-2</v>
      </c>
      <c r="J99" s="362">
        <v>0.14099999999999999</v>
      </c>
      <c r="K99" s="363">
        <v>0.28599999999999998</v>
      </c>
      <c r="L99" s="360">
        <v>1.38</v>
      </c>
      <c r="M99" s="360">
        <v>0.33700000000000002</v>
      </c>
      <c r="N99" s="362">
        <v>0.61399999999999999</v>
      </c>
      <c r="O99" s="363">
        <v>130</v>
      </c>
      <c r="P99" s="360">
        <v>88</v>
      </c>
      <c r="Q99" s="360">
        <v>92</v>
      </c>
      <c r="R99" s="363">
        <v>5.52</v>
      </c>
      <c r="S99" s="360">
        <v>3.5</v>
      </c>
      <c r="T99" s="360">
        <v>2.02</v>
      </c>
      <c r="U99" s="363">
        <v>3.82</v>
      </c>
      <c r="V99" s="360">
        <v>4.0599999999999996</v>
      </c>
      <c r="W99" s="191" t="str">
        <f t="shared" si="7"/>
        <v>Brandon Pfaadt</v>
      </c>
      <c r="X99" s="192">
        <f t="shared" si="9"/>
        <v>4.5507453304926102</v>
      </c>
      <c r="Y99" s="192">
        <f t="shared" si="8"/>
        <v>0.9870915497691426</v>
      </c>
      <c r="Z99" s="158">
        <f>RANK(X99,$X$6:$X1318,1)</f>
        <v>98</v>
      </c>
      <c r="AA99" s="158">
        <v>4.25</v>
      </c>
      <c r="AB99" s="158">
        <v>8</v>
      </c>
      <c r="AC99" s="158">
        <v>1.9865999999999999</v>
      </c>
      <c r="AD99" s="190">
        <f t="shared" si="10"/>
        <v>1.5738846249988427</v>
      </c>
      <c r="AE99" s="158"/>
      <c r="AF99" s="158"/>
      <c r="AG99" s="158"/>
      <c r="AH99" s="158"/>
    </row>
    <row r="100" spans="1:34" ht="15.75" customHeight="1" thickBot="1">
      <c r="A100" s="357">
        <v>95</v>
      </c>
      <c r="B100" s="375" t="s">
        <v>158</v>
      </c>
      <c r="C100" s="375" t="s">
        <v>80</v>
      </c>
      <c r="D100" s="360">
        <v>7.44</v>
      </c>
      <c r="E100" s="360">
        <v>1.62</v>
      </c>
      <c r="F100" s="360">
        <v>4.5999999999999996</v>
      </c>
      <c r="G100" s="360">
        <v>1.78</v>
      </c>
      <c r="H100" s="361">
        <v>0.2</v>
      </c>
      <c r="I100" s="362">
        <v>4.2999999999999997E-2</v>
      </c>
      <c r="J100" s="362">
        <v>0.157</v>
      </c>
      <c r="K100" s="363">
        <v>0.247</v>
      </c>
      <c r="L100" s="360">
        <v>1.1499999999999999</v>
      </c>
      <c r="M100" s="360">
        <v>0.26500000000000001</v>
      </c>
      <c r="N100" s="362">
        <v>0.625</v>
      </c>
      <c r="O100" s="363">
        <v>124</v>
      </c>
      <c r="P100" s="360">
        <v>113</v>
      </c>
      <c r="Q100" s="360">
        <v>96</v>
      </c>
      <c r="R100" s="363">
        <v>5.01</v>
      </c>
      <c r="S100" s="360">
        <v>4.6399999999999997</v>
      </c>
      <c r="T100" s="360">
        <v>0.37</v>
      </c>
      <c r="U100" s="363">
        <v>4.01</v>
      </c>
      <c r="V100" s="360">
        <v>4.04</v>
      </c>
      <c r="W100" s="191" t="str">
        <f t="shared" si="7"/>
        <v>Slade Cecconi</v>
      </c>
      <c r="X100" s="192">
        <f t="shared" si="9"/>
        <v>4.2899463295766473</v>
      </c>
      <c r="Y100" s="192">
        <f t="shared" si="8"/>
        <v>0.93052224709526277</v>
      </c>
      <c r="Z100" s="158">
        <f>RANK(X100,$X$6:$X1319,1)</f>
        <v>81</v>
      </c>
      <c r="AA100" s="158">
        <v>4</v>
      </c>
      <c r="AB100" s="158">
        <v>8</v>
      </c>
      <c r="AC100" s="158">
        <v>2.6337000000000002</v>
      </c>
      <c r="AD100" s="190">
        <f t="shared" si="10"/>
        <v>1.481303176469499</v>
      </c>
      <c r="AE100" s="158"/>
      <c r="AF100" s="158"/>
      <c r="AG100" s="158"/>
      <c r="AH100" s="158"/>
    </row>
    <row r="101" spans="1:34" ht="15.75" customHeight="1" thickBot="1">
      <c r="A101" s="357">
        <v>96</v>
      </c>
      <c r="B101" s="375" t="s">
        <v>159</v>
      </c>
      <c r="C101" s="375" t="s">
        <v>74</v>
      </c>
      <c r="D101" s="360">
        <v>9</v>
      </c>
      <c r="E101" s="360">
        <v>2.8</v>
      </c>
      <c r="F101" s="360">
        <v>3.21</v>
      </c>
      <c r="G101" s="360">
        <v>1.8</v>
      </c>
      <c r="H101" s="361">
        <v>0.23599999999999999</v>
      </c>
      <c r="I101" s="362">
        <v>7.2999999999999995E-2</v>
      </c>
      <c r="J101" s="362">
        <v>0.16200000000000001</v>
      </c>
      <c r="K101" s="363">
        <v>0.23</v>
      </c>
      <c r="L101" s="360">
        <v>1.2</v>
      </c>
      <c r="M101" s="360">
        <v>0.25800000000000001</v>
      </c>
      <c r="N101" s="362">
        <v>0.69799999999999995</v>
      </c>
      <c r="O101" s="363">
        <v>112</v>
      </c>
      <c r="P101" s="360">
        <v>114</v>
      </c>
      <c r="Q101" s="360">
        <v>101</v>
      </c>
      <c r="R101" s="363">
        <v>4.5999999999999996</v>
      </c>
      <c r="S101" s="360">
        <v>4.87</v>
      </c>
      <c r="T101" s="360">
        <v>-0.27</v>
      </c>
      <c r="U101" s="363">
        <v>4.22</v>
      </c>
      <c r="V101" s="360">
        <v>4.01</v>
      </c>
      <c r="W101" s="191" t="str">
        <f t="shared" si="7"/>
        <v>Yoendrys Gómez</v>
      </c>
      <c r="X101" s="192">
        <f t="shared" si="9"/>
        <v>4.7523959900874555</v>
      </c>
      <c r="Y101" s="192">
        <f t="shared" si="8"/>
        <v>1.0308311237588608</v>
      </c>
      <c r="Z101" s="158">
        <f>RANK(X101,$X$6:$X1320,1)</f>
        <v>103</v>
      </c>
      <c r="AA101" s="158">
        <v>5.6666999999999996</v>
      </c>
      <c r="AB101" s="158">
        <v>6</v>
      </c>
      <c r="AC101" s="158">
        <v>2.7642000000000002</v>
      </c>
      <c r="AD101" s="190">
        <f t="shared" si="10"/>
        <v>2.0985251775249276</v>
      </c>
      <c r="AE101" s="158"/>
      <c r="AF101" s="158"/>
      <c r="AG101" s="158"/>
      <c r="AH101" s="158"/>
    </row>
    <row r="102" spans="1:34" ht="15.75" customHeight="1" thickBot="1">
      <c r="A102" s="357">
        <v>97</v>
      </c>
      <c r="B102" s="375" t="s">
        <v>160</v>
      </c>
      <c r="C102" s="375" t="s">
        <v>88</v>
      </c>
      <c r="D102" s="360">
        <v>8.6300000000000008</v>
      </c>
      <c r="E102" s="360">
        <v>3</v>
      </c>
      <c r="F102" s="360">
        <v>2.88</v>
      </c>
      <c r="G102" s="360">
        <v>0.19</v>
      </c>
      <c r="H102" s="361">
        <v>0.23400000000000001</v>
      </c>
      <c r="I102" s="362">
        <v>8.1000000000000003E-2</v>
      </c>
      <c r="J102" s="362">
        <v>0.152</v>
      </c>
      <c r="K102" s="363">
        <v>0.22500000000000001</v>
      </c>
      <c r="L102" s="360">
        <v>1.17</v>
      </c>
      <c r="M102" s="360">
        <v>0.29799999999999999</v>
      </c>
      <c r="N102" s="362">
        <v>0.67700000000000005</v>
      </c>
      <c r="O102" s="363">
        <v>86</v>
      </c>
      <c r="P102" s="360">
        <v>66</v>
      </c>
      <c r="Q102" s="360">
        <v>95</v>
      </c>
      <c r="R102" s="363">
        <v>3.56</v>
      </c>
      <c r="S102" s="360">
        <v>2.68</v>
      </c>
      <c r="T102" s="360">
        <v>0.89</v>
      </c>
      <c r="U102" s="363">
        <v>3.92</v>
      </c>
      <c r="V102" s="360">
        <v>4</v>
      </c>
      <c r="W102" s="191" t="str">
        <f t="shared" ref="W102:W133" si="11">B102</f>
        <v>Colin Rea</v>
      </c>
      <c r="X102" s="192">
        <f t="shared" si="9"/>
        <v>2.9762534109068373</v>
      </c>
      <c r="Y102" s="192">
        <f t="shared" ref="Y102:Y133" si="12">X102/$X$4</f>
        <v>0.6455721818121849</v>
      </c>
      <c r="Z102" s="158">
        <f>RANK(X102,$X$6:$X1321,1)</f>
        <v>22</v>
      </c>
      <c r="AA102" s="158">
        <v>2.5</v>
      </c>
      <c r="AB102" s="158">
        <v>8</v>
      </c>
      <c r="AC102" s="158">
        <v>1.5212000000000001</v>
      </c>
      <c r="AD102" s="190">
        <f t="shared" si="10"/>
        <v>0.92581448529343691</v>
      </c>
      <c r="AE102" s="158"/>
      <c r="AF102" s="158"/>
      <c r="AG102" s="158"/>
      <c r="AH102" s="158"/>
    </row>
    <row r="103" spans="1:34" ht="15.75" customHeight="1" thickBot="1">
      <c r="A103" s="357">
        <v>98</v>
      </c>
      <c r="B103" s="375" t="s">
        <v>161</v>
      </c>
      <c r="C103" s="375" t="s">
        <v>70</v>
      </c>
      <c r="D103" s="360">
        <v>7.74</v>
      </c>
      <c r="E103" s="360">
        <v>2.52</v>
      </c>
      <c r="F103" s="360">
        <v>3.07</v>
      </c>
      <c r="G103" s="360">
        <v>1.08</v>
      </c>
      <c r="H103" s="361">
        <v>0.20699999999999999</v>
      </c>
      <c r="I103" s="362">
        <v>6.7000000000000004E-2</v>
      </c>
      <c r="J103" s="362">
        <v>0.13900000000000001</v>
      </c>
      <c r="K103" s="363">
        <v>0.25900000000000001</v>
      </c>
      <c r="L103" s="360">
        <v>1.26</v>
      </c>
      <c r="M103" s="360">
        <v>0.307</v>
      </c>
      <c r="N103" s="362">
        <v>0.80500000000000005</v>
      </c>
      <c r="O103" s="363">
        <v>82</v>
      </c>
      <c r="P103" s="360">
        <v>99</v>
      </c>
      <c r="Q103" s="360">
        <v>96</v>
      </c>
      <c r="R103" s="363">
        <v>3.42</v>
      </c>
      <c r="S103" s="360">
        <v>4.12</v>
      </c>
      <c r="T103" s="360">
        <v>-0.7</v>
      </c>
      <c r="U103" s="363">
        <v>3.97</v>
      </c>
      <c r="V103" s="360">
        <v>3.99</v>
      </c>
      <c r="W103" s="191" t="str">
        <f t="shared" si="11"/>
        <v>Quinn Priester</v>
      </c>
      <c r="X103" s="192">
        <f t="shared" si="9"/>
        <v>4.3465922271247761</v>
      </c>
      <c r="Y103" s="192">
        <f t="shared" si="12"/>
        <v>0.94280917654046503</v>
      </c>
      <c r="Z103" s="158">
        <f>RANK(X103,$X$6:$X1322,1)</f>
        <v>87</v>
      </c>
      <c r="AA103" s="158">
        <v>2.875</v>
      </c>
      <c r="AB103" s="158">
        <v>8</v>
      </c>
      <c r="AC103" s="158">
        <v>2.3384999999999998</v>
      </c>
      <c r="AD103" s="190">
        <f t="shared" si="10"/>
        <v>1.0646866580874526</v>
      </c>
      <c r="AE103" s="158"/>
      <c r="AF103" s="158"/>
      <c r="AG103" s="158"/>
      <c r="AH103" s="158"/>
    </row>
    <row r="104" spans="1:34" ht="15.75" customHeight="1" thickBot="1">
      <c r="A104" s="357">
        <v>99</v>
      </c>
      <c r="B104" s="375" t="s">
        <v>162</v>
      </c>
      <c r="C104" s="375" t="s">
        <v>36</v>
      </c>
      <c r="D104" s="360">
        <v>8.57</v>
      </c>
      <c r="E104" s="360">
        <v>1.64</v>
      </c>
      <c r="F104" s="360">
        <v>5.22</v>
      </c>
      <c r="G104" s="360">
        <v>2.37</v>
      </c>
      <c r="H104" s="361">
        <v>0.21099999999999999</v>
      </c>
      <c r="I104" s="362">
        <v>0.04</v>
      </c>
      <c r="J104" s="362">
        <v>0.17</v>
      </c>
      <c r="K104" s="363">
        <v>0.30299999999999999</v>
      </c>
      <c r="L104" s="360">
        <v>1.48</v>
      </c>
      <c r="M104" s="360">
        <v>0.33800000000000002</v>
      </c>
      <c r="N104" s="362">
        <v>0.58799999999999997</v>
      </c>
      <c r="O104" s="363">
        <v>149</v>
      </c>
      <c r="P104" s="360">
        <v>123</v>
      </c>
      <c r="Q104" s="360">
        <v>97</v>
      </c>
      <c r="R104" s="363">
        <v>7.11</v>
      </c>
      <c r="S104" s="360">
        <v>5.39</v>
      </c>
      <c r="T104" s="360">
        <v>1.73</v>
      </c>
      <c r="U104" s="363">
        <v>4.0199999999999996</v>
      </c>
      <c r="V104" s="360">
        <v>3.98</v>
      </c>
      <c r="W104" s="191" t="str">
        <f t="shared" si="11"/>
        <v>Tanner Gordon</v>
      </c>
      <c r="X104" s="192">
        <f t="shared" si="9"/>
        <v>6.6371179923832617</v>
      </c>
      <c r="Y104" s="192">
        <f t="shared" si="12"/>
        <v>1.439641774986576</v>
      </c>
      <c r="Z104" s="158">
        <f>RANK(X104,$X$6:$X1323,1)</f>
        <v>147</v>
      </c>
      <c r="AA104" s="158">
        <v>3.375</v>
      </c>
      <c r="AB104" s="158">
        <v>8</v>
      </c>
      <c r="AC104" s="158">
        <v>3.0594000000000001</v>
      </c>
      <c r="AD104" s="190">
        <f t="shared" si="10"/>
        <v>1.2498495551461399</v>
      </c>
      <c r="AE104" s="158"/>
      <c r="AF104" s="158"/>
      <c r="AG104" s="158"/>
      <c r="AH104" s="158"/>
    </row>
    <row r="105" spans="1:34" ht="15.75" customHeight="1" thickBot="1">
      <c r="A105" s="357">
        <v>100</v>
      </c>
      <c r="B105" s="375" t="s">
        <v>163</v>
      </c>
      <c r="C105" s="375" t="s">
        <v>60</v>
      </c>
      <c r="D105" s="360">
        <v>10.1</v>
      </c>
      <c r="E105" s="360">
        <v>4.08</v>
      </c>
      <c r="F105" s="360">
        <v>2.48</v>
      </c>
      <c r="G105" s="360">
        <v>1.55</v>
      </c>
      <c r="H105" s="361">
        <v>0.246</v>
      </c>
      <c r="I105" s="362">
        <v>0.1</v>
      </c>
      <c r="J105" s="362">
        <v>0.14699999999999999</v>
      </c>
      <c r="K105" s="363">
        <v>0.26700000000000002</v>
      </c>
      <c r="L105" s="360">
        <v>1.53</v>
      </c>
      <c r="M105" s="360">
        <v>0.33100000000000002</v>
      </c>
      <c r="N105" s="362">
        <v>0.65300000000000002</v>
      </c>
      <c r="O105" s="363">
        <v>148</v>
      </c>
      <c r="P105" s="360">
        <v>111</v>
      </c>
      <c r="Q105" s="360">
        <v>92</v>
      </c>
      <c r="R105" s="363">
        <v>6.22</v>
      </c>
      <c r="S105" s="360">
        <v>4.6900000000000004</v>
      </c>
      <c r="T105" s="360">
        <v>1.53</v>
      </c>
      <c r="U105" s="363">
        <v>3.84</v>
      </c>
      <c r="V105" s="360">
        <v>3.98</v>
      </c>
      <c r="W105" s="191" t="str">
        <f t="shared" si="11"/>
        <v>J.T. Ginn</v>
      </c>
      <c r="X105" s="192">
        <f t="shared" si="9"/>
        <v>6.2145131056161524</v>
      </c>
      <c r="Y105" s="192">
        <f t="shared" si="12"/>
        <v>1.3479755352117824</v>
      </c>
      <c r="Z105" s="158">
        <f>RANK(X105,$X$6:$X1324,1)</f>
        <v>142</v>
      </c>
      <c r="AA105" s="158">
        <v>5</v>
      </c>
      <c r="AB105" s="158">
        <v>0</v>
      </c>
      <c r="AC105" s="158">
        <v>2.6619999999999999</v>
      </c>
      <c r="AD105" s="190">
        <f t="shared" si="10"/>
        <v>1</v>
      </c>
      <c r="AE105" s="158"/>
      <c r="AF105" s="158"/>
      <c r="AG105" s="158"/>
      <c r="AH105" s="158"/>
    </row>
    <row r="106" spans="1:34" ht="15.75" customHeight="1" thickBot="1">
      <c r="A106" s="357">
        <v>101</v>
      </c>
      <c r="B106" s="375" t="s">
        <v>164</v>
      </c>
      <c r="C106" s="375" t="s">
        <v>76</v>
      </c>
      <c r="D106" s="360">
        <v>7.57</v>
      </c>
      <c r="E106" s="360">
        <v>2.09</v>
      </c>
      <c r="F106" s="360">
        <v>3.63</v>
      </c>
      <c r="G106" s="360">
        <v>0.91</v>
      </c>
      <c r="H106" s="361">
        <v>0.20799999999999999</v>
      </c>
      <c r="I106" s="362">
        <v>5.7000000000000002E-2</v>
      </c>
      <c r="J106" s="362">
        <v>0.151</v>
      </c>
      <c r="K106" s="363">
        <v>0.23300000000000001</v>
      </c>
      <c r="L106" s="360">
        <v>1.1200000000000001</v>
      </c>
      <c r="M106" s="360">
        <v>0.27400000000000002</v>
      </c>
      <c r="N106" s="362">
        <v>0.66</v>
      </c>
      <c r="O106" s="363">
        <v>96</v>
      </c>
      <c r="P106" s="360">
        <v>87</v>
      </c>
      <c r="Q106" s="360">
        <v>90</v>
      </c>
      <c r="R106" s="363">
        <v>4.04</v>
      </c>
      <c r="S106" s="360">
        <v>3.51</v>
      </c>
      <c r="T106" s="360">
        <v>0.53</v>
      </c>
      <c r="U106" s="363">
        <v>3.73</v>
      </c>
      <c r="V106" s="360">
        <v>3.97</v>
      </c>
      <c r="W106" s="191" t="str">
        <f t="shared" si="11"/>
        <v>Bryce Elder</v>
      </c>
      <c r="X106" s="192">
        <f t="shared" si="9"/>
        <v>3.291155621527571</v>
      </c>
      <c r="Y106" s="192">
        <f t="shared" si="12"/>
        <v>0.71387688544491956</v>
      </c>
      <c r="Z106" s="158">
        <f>RANK(X106,$X$6:$X1325,1)</f>
        <v>41</v>
      </c>
      <c r="AA106" s="158">
        <v>2.375</v>
      </c>
      <c r="AB106" s="158">
        <v>8</v>
      </c>
      <c r="AC106" s="158">
        <v>1.9923</v>
      </c>
      <c r="AD106" s="190">
        <f t="shared" si="10"/>
        <v>0.87952376102876506</v>
      </c>
      <c r="AE106" s="158"/>
      <c r="AF106" s="158"/>
      <c r="AG106" s="158"/>
      <c r="AH106" s="158"/>
    </row>
    <row r="107" spans="1:34" ht="15.75" customHeight="1" thickBot="1">
      <c r="A107" s="357">
        <v>102</v>
      </c>
      <c r="B107" s="375" t="s">
        <v>165</v>
      </c>
      <c r="C107" s="375" t="s">
        <v>64</v>
      </c>
      <c r="D107" s="360">
        <v>7.84</v>
      </c>
      <c r="E107" s="360">
        <v>2.09</v>
      </c>
      <c r="F107" s="360">
        <v>3.75</v>
      </c>
      <c r="G107" s="360">
        <v>1.74</v>
      </c>
      <c r="H107" s="361">
        <v>0.21199999999999999</v>
      </c>
      <c r="I107" s="362">
        <v>5.7000000000000002E-2</v>
      </c>
      <c r="J107" s="362">
        <v>0.156</v>
      </c>
      <c r="K107" s="363">
        <v>0.23699999999999999</v>
      </c>
      <c r="L107" s="360">
        <v>1.1399999999999999</v>
      </c>
      <c r="M107" s="360">
        <v>0.25900000000000001</v>
      </c>
      <c r="N107" s="362">
        <v>0.83</v>
      </c>
      <c r="O107" s="363">
        <v>86</v>
      </c>
      <c r="P107" s="360">
        <v>114</v>
      </c>
      <c r="Q107" s="360">
        <v>90</v>
      </c>
      <c r="R107" s="363">
        <v>3.48</v>
      </c>
      <c r="S107" s="360">
        <v>4.72</v>
      </c>
      <c r="T107" s="360">
        <v>-1.24</v>
      </c>
      <c r="U107" s="363">
        <v>3.79</v>
      </c>
      <c r="V107" s="360">
        <v>3.97</v>
      </c>
      <c r="W107" s="191" t="str">
        <f t="shared" si="11"/>
        <v>Jason Alexander</v>
      </c>
      <c r="X107" s="192">
        <f t="shared" si="9"/>
        <v>4.2859167175640085</v>
      </c>
      <c r="Y107" s="192">
        <f t="shared" si="12"/>
        <v>0.92964819335732407</v>
      </c>
      <c r="Z107" s="158">
        <f>RANK(X107,$X$6:$X1326,1)</f>
        <v>80</v>
      </c>
      <c r="AA107" s="158">
        <v>2</v>
      </c>
      <c r="AB107" s="158">
        <v>6</v>
      </c>
      <c r="AC107" s="158">
        <v>2.6791</v>
      </c>
      <c r="AD107" s="190">
        <f t="shared" si="10"/>
        <v>0.74065158823474952</v>
      </c>
      <c r="AE107" s="158"/>
      <c r="AF107" s="158"/>
      <c r="AG107" s="158"/>
      <c r="AH107" s="158"/>
    </row>
    <row r="108" spans="1:34" ht="15.75" customHeight="1" thickBot="1">
      <c r="A108" s="357">
        <v>103</v>
      </c>
      <c r="B108" s="375" t="s">
        <v>166</v>
      </c>
      <c r="C108" s="375" t="s">
        <v>88</v>
      </c>
      <c r="D108" s="360">
        <v>7.88</v>
      </c>
      <c r="E108" s="360">
        <v>1.31</v>
      </c>
      <c r="F108" s="360">
        <v>6</v>
      </c>
      <c r="G108" s="360">
        <v>2.19</v>
      </c>
      <c r="H108" s="361">
        <v>0.23</v>
      </c>
      <c r="I108" s="362">
        <v>3.7999999999999999E-2</v>
      </c>
      <c r="J108" s="362">
        <v>0.191</v>
      </c>
      <c r="K108" s="363">
        <v>0.21199999999999999</v>
      </c>
      <c r="L108" s="360">
        <v>0.92</v>
      </c>
      <c r="M108" s="360">
        <v>0.21</v>
      </c>
      <c r="N108" s="362">
        <v>0.72199999999999998</v>
      </c>
      <c r="O108" s="363">
        <v>106</v>
      </c>
      <c r="P108" s="360">
        <v>122</v>
      </c>
      <c r="Q108" s="360">
        <v>99</v>
      </c>
      <c r="R108" s="363">
        <v>4.38</v>
      </c>
      <c r="S108" s="360">
        <v>4.9800000000000004</v>
      </c>
      <c r="T108" s="360">
        <v>-0.61</v>
      </c>
      <c r="U108" s="363">
        <v>4.0999999999999996</v>
      </c>
      <c r="V108" s="360">
        <v>3.94</v>
      </c>
      <c r="W108" s="191" t="str">
        <f t="shared" si="11"/>
        <v>Shota Imanaga</v>
      </c>
      <c r="X108" s="192">
        <f t="shared" si="9"/>
        <v>3.6167229479697562</v>
      </c>
      <c r="Y108" s="192">
        <f t="shared" si="12"/>
        <v>0.7844949344617882</v>
      </c>
      <c r="Z108" s="158">
        <f>RANK(X108,$X$6:$X1327,1)</f>
        <v>53</v>
      </c>
      <c r="AA108" s="158">
        <v>2.5</v>
      </c>
      <c r="AB108" s="158">
        <v>8</v>
      </c>
      <c r="AC108" s="158">
        <v>2.8266</v>
      </c>
      <c r="AD108" s="190">
        <f t="shared" si="10"/>
        <v>0.92581448529343691</v>
      </c>
      <c r="AE108" s="158"/>
      <c r="AF108" s="158"/>
      <c r="AG108" s="158"/>
      <c r="AH108" s="158"/>
    </row>
    <row r="109" spans="1:34" ht="15.75" customHeight="1" thickBot="1">
      <c r="A109" s="357">
        <v>104</v>
      </c>
      <c r="B109" s="375" t="s">
        <v>167</v>
      </c>
      <c r="C109" s="375" t="s">
        <v>40</v>
      </c>
      <c r="D109" s="360">
        <v>9.43</v>
      </c>
      <c r="E109" s="360">
        <v>4.71</v>
      </c>
      <c r="F109" s="360">
        <v>2</v>
      </c>
      <c r="G109" s="360">
        <v>1.07</v>
      </c>
      <c r="H109" s="361">
        <v>0.24199999999999999</v>
      </c>
      <c r="I109" s="362">
        <v>0.121</v>
      </c>
      <c r="J109" s="362">
        <v>0.121</v>
      </c>
      <c r="K109" s="363">
        <v>0.22600000000000001</v>
      </c>
      <c r="L109" s="360">
        <v>1.38</v>
      </c>
      <c r="M109" s="360">
        <v>0.28199999999999997</v>
      </c>
      <c r="N109" s="362">
        <v>0.61499999999999999</v>
      </c>
      <c r="O109" s="363">
        <v>134</v>
      </c>
      <c r="P109" s="360">
        <v>99</v>
      </c>
      <c r="Q109" s="360">
        <v>81</v>
      </c>
      <c r="R109" s="363">
        <v>5.57</v>
      </c>
      <c r="S109" s="360">
        <v>4.21</v>
      </c>
      <c r="T109" s="360">
        <v>1.36</v>
      </c>
      <c r="U109" s="363">
        <v>3.4</v>
      </c>
      <c r="V109" s="360">
        <v>3.93</v>
      </c>
      <c r="W109" s="191" t="str">
        <f t="shared" si="11"/>
        <v>José Soriano</v>
      </c>
      <c r="X109" s="192">
        <f t="shared" si="9"/>
        <v>4.8834028298986407</v>
      </c>
      <c r="Y109" s="192">
        <f t="shared" si="12"/>
        <v>1.0592475116575837</v>
      </c>
      <c r="Z109" s="158">
        <f>RANK(X109,$X$6:$X1328,1)</f>
        <v>111</v>
      </c>
      <c r="AA109" s="158">
        <v>0</v>
      </c>
      <c r="AB109" s="158">
        <v>1</v>
      </c>
      <c r="AC109" s="158">
        <v>2.3896000000000002</v>
      </c>
      <c r="AD109" s="190">
        <f t="shared" si="10"/>
        <v>1</v>
      </c>
      <c r="AE109" s="158"/>
      <c r="AF109" s="158"/>
      <c r="AG109" s="158"/>
      <c r="AH109" s="158"/>
    </row>
    <row r="110" spans="1:34" ht="15.75" customHeight="1" thickBot="1">
      <c r="A110" s="357">
        <v>105</v>
      </c>
      <c r="B110" s="375" t="s">
        <v>168</v>
      </c>
      <c r="C110" s="375" t="s">
        <v>72</v>
      </c>
      <c r="D110" s="360">
        <v>7.48</v>
      </c>
      <c r="E110" s="360">
        <v>0.83</v>
      </c>
      <c r="F110" s="360">
        <v>9</v>
      </c>
      <c r="G110" s="360">
        <v>1.66</v>
      </c>
      <c r="H110" s="361">
        <v>0.22</v>
      </c>
      <c r="I110" s="362">
        <v>2.4E-2</v>
      </c>
      <c r="J110" s="362">
        <v>0.19500000000000001</v>
      </c>
      <c r="K110" s="363">
        <v>0.21299999999999999</v>
      </c>
      <c r="L110" s="360">
        <v>0.88</v>
      </c>
      <c r="M110" s="360">
        <v>0.224</v>
      </c>
      <c r="N110" s="362">
        <v>0.89600000000000002</v>
      </c>
      <c r="O110" s="363">
        <v>72</v>
      </c>
      <c r="P110" s="360">
        <v>100</v>
      </c>
      <c r="Q110" s="360">
        <v>100</v>
      </c>
      <c r="R110" s="363">
        <v>2.91</v>
      </c>
      <c r="S110" s="360">
        <v>4.1500000000000004</v>
      </c>
      <c r="T110" s="360">
        <v>-1.24</v>
      </c>
      <c r="U110" s="363">
        <v>4.17</v>
      </c>
      <c r="V110" s="360">
        <v>3.93</v>
      </c>
      <c r="W110" s="191" t="str">
        <f t="shared" si="11"/>
        <v>Tyler Wells</v>
      </c>
      <c r="X110" s="192">
        <f t="shared" si="9"/>
        <v>2.8595523160494341</v>
      </c>
      <c r="Y110" s="192">
        <f t="shared" si="12"/>
        <v>0.62025881966671848</v>
      </c>
      <c r="Z110" s="158">
        <f>RANK(X110,$X$6:$X1329,1)</f>
        <v>20</v>
      </c>
      <c r="AA110" s="158">
        <v>2</v>
      </c>
      <c r="AB110" s="158">
        <v>3</v>
      </c>
      <c r="AC110" s="158">
        <v>2.3555000000000001</v>
      </c>
      <c r="AD110" s="190">
        <f t="shared" si="10"/>
        <v>1</v>
      </c>
      <c r="AE110" s="158"/>
      <c r="AF110" s="158"/>
      <c r="AG110" s="158"/>
      <c r="AH110" s="158"/>
    </row>
    <row r="111" spans="1:34" ht="15.75" customHeight="1" thickBot="1">
      <c r="A111" s="357">
        <v>106</v>
      </c>
      <c r="B111" s="375" t="s">
        <v>169</v>
      </c>
      <c r="C111" s="375" t="s">
        <v>46</v>
      </c>
      <c r="D111" s="360">
        <v>5.73</v>
      </c>
      <c r="E111" s="360">
        <v>1.36</v>
      </c>
      <c r="F111" s="360">
        <v>4.2</v>
      </c>
      <c r="G111" s="360">
        <v>0.27</v>
      </c>
      <c r="H111" s="361">
        <v>0.16800000000000001</v>
      </c>
      <c r="I111" s="362">
        <v>0.04</v>
      </c>
      <c r="J111" s="362">
        <v>0.128</v>
      </c>
      <c r="K111" s="363">
        <v>0.16700000000000001</v>
      </c>
      <c r="L111" s="360">
        <v>0.76</v>
      </c>
      <c r="M111" s="360">
        <v>0.19400000000000001</v>
      </c>
      <c r="N111" s="362">
        <v>0.67800000000000005</v>
      </c>
      <c r="O111" s="363">
        <v>45</v>
      </c>
      <c r="P111" s="360">
        <v>64</v>
      </c>
      <c r="Q111" s="360">
        <v>84</v>
      </c>
      <c r="R111" s="363">
        <v>1.91</v>
      </c>
      <c r="S111" s="360">
        <v>2.71</v>
      </c>
      <c r="T111" s="360">
        <v>-0.8</v>
      </c>
      <c r="U111" s="363">
        <v>3.53</v>
      </c>
      <c r="V111" s="360">
        <v>3.91</v>
      </c>
      <c r="W111" s="191" t="str">
        <f t="shared" si="11"/>
        <v>Stephen Kolek</v>
      </c>
      <c r="X111" s="192">
        <f t="shared" si="9"/>
        <v>0.67026268899731045</v>
      </c>
      <c r="Y111" s="192">
        <f t="shared" si="12"/>
        <v>0.14538511570876453</v>
      </c>
      <c r="Z111" s="158">
        <f>RANK(X111,$X$6:$X1330,1)</f>
        <v>1</v>
      </c>
      <c r="AA111" s="158">
        <v>3</v>
      </c>
      <c r="AB111" s="158">
        <v>8</v>
      </c>
      <c r="AC111" s="158">
        <v>1.5382</v>
      </c>
      <c r="AD111" s="190">
        <f t="shared" si="10"/>
        <v>1.1109773823521243</v>
      </c>
      <c r="AE111" s="158"/>
      <c r="AF111" s="158"/>
      <c r="AG111" s="158"/>
      <c r="AH111" s="158"/>
    </row>
    <row r="112" spans="1:34" ht="15.75" customHeight="1" thickBot="1">
      <c r="A112" s="357">
        <v>107</v>
      </c>
      <c r="B112" s="375" t="s">
        <v>170</v>
      </c>
      <c r="C112" s="375" t="s">
        <v>74</v>
      </c>
      <c r="D112" s="360">
        <v>11.51</v>
      </c>
      <c r="E112" s="360">
        <v>4.43</v>
      </c>
      <c r="F112" s="360">
        <v>2.6</v>
      </c>
      <c r="G112" s="360">
        <v>2.66</v>
      </c>
      <c r="H112" s="361">
        <v>0.27700000000000002</v>
      </c>
      <c r="I112" s="362">
        <v>0.106</v>
      </c>
      <c r="J112" s="362">
        <v>0.17</v>
      </c>
      <c r="K112" s="363">
        <v>0.31</v>
      </c>
      <c r="L112" s="360">
        <v>1.77</v>
      </c>
      <c r="M112" s="360">
        <v>0.38500000000000001</v>
      </c>
      <c r="N112" s="362">
        <v>0.79700000000000004</v>
      </c>
      <c r="O112" s="363">
        <v>129</v>
      </c>
      <c r="P112" s="360">
        <v>138</v>
      </c>
      <c r="Q112" s="360">
        <v>91</v>
      </c>
      <c r="R112" s="363">
        <v>5.31</v>
      </c>
      <c r="S112" s="360">
        <v>5.89</v>
      </c>
      <c r="T112" s="360">
        <v>-0.57999999999999996</v>
      </c>
      <c r="U112" s="363">
        <v>3.8</v>
      </c>
      <c r="V112" s="360">
        <v>3.9</v>
      </c>
      <c r="W112" s="191" t="str">
        <f t="shared" si="11"/>
        <v>Sean Burke</v>
      </c>
      <c r="X112" s="192">
        <f t="shared" si="9"/>
        <v>8.4933793460019515</v>
      </c>
      <c r="Y112" s="192">
        <f t="shared" si="12"/>
        <v>1.8422790933270634</v>
      </c>
      <c r="Z112" s="158">
        <f>RANK(X112,$X$6:$X1331,1)</f>
        <v>163</v>
      </c>
      <c r="AA112" s="158">
        <v>2.125</v>
      </c>
      <c r="AB112" s="158">
        <v>8</v>
      </c>
      <c r="AC112" s="158">
        <v>3.3431999999999999</v>
      </c>
      <c r="AD112" s="190">
        <f t="shared" si="10"/>
        <v>0.78694231249942137</v>
      </c>
      <c r="AE112" s="158"/>
      <c r="AF112" s="158"/>
      <c r="AG112" s="158"/>
      <c r="AH112" s="158"/>
    </row>
    <row r="113" spans="1:34" ht="15.75" customHeight="1" thickBot="1">
      <c r="A113" s="357">
        <v>108</v>
      </c>
      <c r="B113" s="375" t="s">
        <v>171</v>
      </c>
      <c r="C113" s="375" t="s">
        <v>76</v>
      </c>
      <c r="D113" s="360">
        <v>9.06</v>
      </c>
      <c r="E113" s="360">
        <v>3.55</v>
      </c>
      <c r="F113" s="360">
        <v>2.5499999999999998</v>
      </c>
      <c r="G113" s="360">
        <v>0.53</v>
      </c>
      <c r="H113" s="361">
        <v>0.246</v>
      </c>
      <c r="I113" s="362">
        <v>9.7000000000000003E-2</v>
      </c>
      <c r="J113" s="362">
        <v>0.15</v>
      </c>
      <c r="K113" s="363">
        <v>0.22800000000000001</v>
      </c>
      <c r="L113" s="360">
        <v>1.22</v>
      </c>
      <c r="M113" s="360">
        <v>0.3</v>
      </c>
      <c r="N113" s="362">
        <v>0.78900000000000003</v>
      </c>
      <c r="O113" s="363">
        <v>71</v>
      </c>
      <c r="P113" s="360">
        <v>81</v>
      </c>
      <c r="Q113" s="360">
        <v>86</v>
      </c>
      <c r="R113" s="363">
        <v>3.02</v>
      </c>
      <c r="S113" s="360">
        <v>3.25</v>
      </c>
      <c r="T113" s="360">
        <v>-0.23</v>
      </c>
      <c r="U113" s="363">
        <v>3.55</v>
      </c>
      <c r="V113" s="360">
        <v>3.9</v>
      </c>
      <c r="W113" s="191" t="str">
        <f t="shared" si="11"/>
        <v>Hurston Waldrep</v>
      </c>
      <c r="X113" s="192">
        <f t="shared" si="9"/>
        <v>3.6193722381795288</v>
      </c>
      <c r="Y113" s="192">
        <f t="shared" si="12"/>
        <v>0.78506958581866149</v>
      </c>
      <c r="Z113" s="158">
        <f>RANK(X113,$X$6:$X1332,1)</f>
        <v>54</v>
      </c>
      <c r="AA113" s="158">
        <v>2.8571</v>
      </c>
      <c r="AB113" s="158">
        <v>7</v>
      </c>
      <c r="AC113" s="158">
        <v>1.8447</v>
      </c>
      <c r="AD113" s="190">
        <f t="shared" si="10"/>
        <v>1.0580578263727514</v>
      </c>
      <c r="AE113" s="158"/>
      <c r="AF113" s="158"/>
      <c r="AG113" s="158"/>
      <c r="AH113" s="158"/>
    </row>
    <row r="114" spans="1:34" ht="15.75" customHeight="1" thickBot="1">
      <c r="A114" s="357">
        <v>109</v>
      </c>
      <c r="B114" s="375" t="s">
        <v>172</v>
      </c>
      <c r="C114" s="375" t="s">
        <v>44</v>
      </c>
      <c r="D114" s="360">
        <v>8.94</v>
      </c>
      <c r="E114" s="360">
        <v>2.63</v>
      </c>
      <c r="F114" s="360">
        <v>3.4</v>
      </c>
      <c r="G114" s="360">
        <v>0.7</v>
      </c>
      <c r="H114" s="361">
        <v>0.23300000000000001</v>
      </c>
      <c r="I114" s="362">
        <v>6.8000000000000005E-2</v>
      </c>
      <c r="J114" s="362">
        <v>0.16400000000000001</v>
      </c>
      <c r="K114" s="363">
        <v>0.252</v>
      </c>
      <c r="L114" s="360">
        <v>1.29</v>
      </c>
      <c r="M114" s="360">
        <v>0.32</v>
      </c>
      <c r="N114" s="362">
        <v>0.625</v>
      </c>
      <c r="O114" s="363">
        <v>120</v>
      </c>
      <c r="P114" s="360">
        <v>75</v>
      </c>
      <c r="Q114" s="360">
        <v>89</v>
      </c>
      <c r="R114" s="363">
        <v>4.91</v>
      </c>
      <c r="S114" s="360">
        <v>3.15</v>
      </c>
      <c r="T114" s="360">
        <v>1.75</v>
      </c>
      <c r="U114" s="363">
        <v>3.73</v>
      </c>
      <c r="V114" s="360">
        <v>3.9</v>
      </c>
      <c r="W114" s="191" t="str">
        <f t="shared" si="11"/>
        <v>Jack Flaherty</v>
      </c>
      <c r="X114" s="192">
        <f t="shared" si="9"/>
        <v>4.0285631814713412</v>
      </c>
      <c r="Y114" s="192">
        <f t="shared" si="12"/>
        <v>0.87382623841774021</v>
      </c>
      <c r="Z114" s="158">
        <f>RANK(X114,$X$6:$X1333,1)</f>
        <v>70</v>
      </c>
      <c r="AA114" s="158">
        <v>2.875</v>
      </c>
      <c r="AB114" s="158">
        <v>8</v>
      </c>
      <c r="AC114" s="158">
        <v>1.7879</v>
      </c>
      <c r="AD114" s="190">
        <f t="shared" si="10"/>
        <v>1.0646866580874526</v>
      </c>
      <c r="AE114" s="158"/>
      <c r="AF114" s="158"/>
      <c r="AG114" s="158"/>
      <c r="AH114" s="158"/>
    </row>
    <row r="115" spans="1:34" ht="15.75" customHeight="1" thickBot="1">
      <c r="A115" s="357">
        <v>110</v>
      </c>
      <c r="B115" s="375" t="s">
        <v>173</v>
      </c>
      <c r="C115" s="375" t="s">
        <v>108</v>
      </c>
      <c r="D115" s="360">
        <v>8.06</v>
      </c>
      <c r="E115" s="360">
        <v>1.55</v>
      </c>
      <c r="F115" s="360">
        <v>5.18</v>
      </c>
      <c r="G115" s="360">
        <v>1.1299999999999999</v>
      </c>
      <c r="H115" s="361">
        <v>0.214</v>
      </c>
      <c r="I115" s="362">
        <v>4.1000000000000002E-2</v>
      </c>
      <c r="J115" s="362">
        <v>0.17299999999999999</v>
      </c>
      <c r="K115" s="363">
        <v>0.26500000000000001</v>
      </c>
      <c r="L115" s="360">
        <v>1.23</v>
      </c>
      <c r="M115" s="360">
        <v>0.314</v>
      </c>
      <c r="N115" s="362">
        <v>0.75600000000000001</v>
      </c>
      <c r="O115" s="363">
        <v>86</v>
      </c>
      <c r="P115" s="360">
        <v>83</v>
      </c>
      <c r="Q115" s="360">
        <v>97</v>
      </c>
      <c r="R115" s="363">
        <v>3.82</v>
      </c>
      <c r="S115" s="360">
        <v>3.58</v>
      </c>
      <c r="T115" s="360">
        <v>0.24</v>
      </c>
      <c r="U115" s="363">
        <v>3.99</v>
      </c>
      <c r="V115" s="360">
        <v>3.89</v>
      </c>
      <c r="W115" s="191" t="str">
        <f t="shared" si="11"/>
        <v>Andrew Abbott</v>
      </c>
      <c r="X115" s="192">
        <f t="shared" si="9"/>
        <v>4.0936392455012589</v>
      </c>
      <c r="Y115" s="192">
        <f t="shared" si="12"/>
        <v>0.88794173560141021</v>
      </c>
      <c r="Z115" s="158">
        <f>RANK(X115,$X$6:$X1334,1)</f>
        <v>73</v>
      </c>
      <c r="AA115" s="158">
        <v>1.25</v>
      </c>
      <c r="AB115" s="158">
        <v>8</v>
      </c>
      <c r="AC115" s="158">
        <v>2.032</v>
      </c>
      <c r="AD115" s="190">
        <f t="shared" si="10"/>
        <v>0.46290724264671845</v>
      </c>
      <c r="AE115" s="158"/>
      <c r="AF115" s="158"/>
      <c r="AG115" s="158"/>
      <c r="AH115" s="158"/>
    </row>
    <row r="116" spans="1:34" ht="15.75" customHeight="1" thickBot="1">
      <c r="A116" s="357">
        <v>111</v>
      </c>
      <c r="B116" s="375" t="s">
        <v>174</v>
      </c>
      <c r="C116" s="375" t="s">
        <v>80</v>
      </c>
      <c r="D116" s="360">
        <v>8.93</v>
      </c>
      <c r="E116" s="360">
        <v>2.78</v>
      </c>
      <c r="F116" s="360">
        <v>3.21</v>
      </c>
      <c r="G116" s="360">
        <v>0.6</v>
      </c>
      <c r="H116" s="361">
        <v>0.247</v>
      </c>
      <c r="I116" s="362">
        <v>7.6999999999999999E-2</v>
      </c>
      <c r="J116" s="362">
        <v>0.17</v>
      </c>
      <c r="K116" s="363">
        <v>0.20200000000000001</v>
      </c>
      <c r="L116" s="360">
        <v>1.06</v>
      </c>
      <c r="M116" s="360">
        <v>0.25800000000000001</v>
      </c>
      <c r="N116" s="362">
        <v>0.84499999999999997</v>
      </c>
      <c r="O116" s="363">
        <v>54</v>
      </c>
      <c r="P116" s="360">
        <v>71</v>
      </c>
      <c r="Q116" s="360">
        <v>91</v>
      </c>
      <c r="R116" s="363">
        <v>2.1800000000000002</v>
      </c>
      <c r="S116" s="360">
        <v>2.94</v>
      </c>
      <c r="T116" s="360">
        <v>-0.75</v>
      </c>
      <c r="U116" s="363">
        <v>3.81</v>
      </c>
      <c r="V116" s="360">
        <v>3.88</v>
      </c>
      <c r="W116" s="191" t="str">
        <f t="shared" si="11"/>
        <v>Joey Cantillo</v>
      </c>
      <c r="X116" s="192">
        <f t="shared" si="9"/>
        <v>2.7370703449200122</v>
      </c>
      <c r="Y116" s="192">
        <f t="shared" si="12"/>
        <v>0.59369154113965728</v>
      </c>
      <c r="Z116" s="158">
        <f>RANK(X116,$X$6:$X1335,1)</f>
        <v>14</v>
      </c>
      <c r="AA116" s="158">
        <v>1.875</v>
      </c>
      <c r="AB116" s="158">
        <v>8</v>
      </c>
      <c r="AC116" s="158">
        <v>1.6687000000000001</v>
      </c>
      <c r="AD116" s="190">
        <f t="shared" si="10"/>
        <v>0.69436086397007768</v>
      </c>
      <c r="AE116" s="158"/>
      <c r="AF116" s="158"/>
      <c r="AG116" s="158"/>
      <c r="AH116" s="158"/>
    </row>
    <row r="117" spans="1:34" ht="15.75" customHeight="1" thickBot="1">
      <c r="A117" s="357">
        <v>112</v>
      </c>
      <c r="B117" s="375" t="s">
        <v>175</v>
      </c>
      <c r="C117" s="375" t="s">
        <v>80</v>
      </c>
      <c r="D117" s="360">
        <v>10.25</v>
      </c>
      <c r="E117" s="360">
        <v>4.1900000000000004</v>
      </c>
      <c r="F117" s="360">
        <v>2.4500000000000002</v>
      </c>
      <c r="G117" s="360">
        <v>1.3</v>
      </c>
      <c r="H117" s="361">
        <v>0.27800000000000002</v>
      </c>
      <c r="I117" s="362">
        <v>0.114</v>
      </c>
      <c r="J117" s="362">
        <v>0.16500000000000001</v>
      </c>
      <c r="K117" s="363">
        <v>0.182</v>
      </c>
      <c r="L117" s="360">
        <v>1.1200000000000001</v>
      </c>
      <c r="M117" s="360">
        <v>0.221</v>
      </c>
      <c r="N117" s="362">
        <v>0.92500000000000004</v>
      </c>
      <c r="O117" s="363">
        <v>63</v>
      </c>
      <c r="P117" s="360">
        <v>102</v>
      </c>
      <c r="Q117" s="360">
        <v>88</v>
      </c>
      <c r="R117" s="363">
        <v>2.4500000000000002</v>
      </c>
      <c r="S117" s="360">
        <v>4.17</v>
      </c>
      <c r="T117" s="360">
        <v>-1.71</v>
      </c>
      <c r="U117" s="363">
        <v>3.66</v>
      </c>
      <c r="V117" s="360">
        <v>3.88</v>
      </c>
      <c r="W117" s="191" t="str">
        <f t="shared" si="11"/>
        <v>Gavin Williams</v>
      </c>
      <c r="X117" s="192">
        <f t="shared" si="9"/>
        <v>3.8705857714955538</v>
      </c>
      <c r="Y117" s="192">
        <f t="shared" si="12"/>
        <v>0.83955972708460991</v>
      </c>
      <c r="Z117" s="158">
        <f>RANK(X117,$X$6:$X1336,1)</f>
        <v>64</v>
      </c>
      <c r="AA117" s="158">
        <v>0.5</v>
      </c>
      <c r="AB117" s="158">
        <v>8</v>
      </c>
      <c r="AC117" s="158">
        <v>2.3668999999999998</v>
      </c>
      <c r="AD117" s="190">
        <f t="shared" si="10"/>
        <v>0.18516289705868738</v>
      </c>
      <c r="AE117" s="158"/>
      <c r="AF117" s="158"/>
      <c r="AG117" s="158"/>
      <c r="AH117" s="158"/>
    </row>
    <row r="118" spans="1:34" ht="15.75" customHeight="1" thickBot="1">
      <c r="A118" s="357">
        <v>113</v>
      </c>
      <c r="B118" s="375" t="s">
        <v>176</v>
      </c>
      <c r="C118" s="375" t="s">
        <v>86</v>
      </c>
      <c r="D118" s="360">
        <v>9.86</v>
      </c>
      <c r="E118" s="360">
        <v>3.34</v>
      </c>
      <c r="F118" s="360">
        <v>2.95</v>
      </c>
      <c r="G118" s="360">
        <v>1.06</v>
      </c>
      <c r="H118" s="361">
        <v>0.26</v>
      </c>
      <c r="I118" s="362">
        <v>8.7999999999999995E-2</v>
      </c>
      <c r="J118" s="362">
        <v>0.17199999999999999</v>
      </c>
      <c r="K118" s="363">
        <v>0.221</v>
      </c>
      <c r="L118" s="360">
        <v>1.21</v>
      </c>
      <c r="M118" s="360">
        <v>0.27900000000000003</v>
      </c>
      <c r="N118" s="362">
        <v>0.73199999999999998</v>
      </c>
      <c r="O118" s="363">
        <v>86</v>
      </c>
      <c r="P118" s="360">
        <v>87</v>
      </c>
      <c r="Q118" s="360">
        <v>96</v>
      </c>
      <c r="R118" s="363">
        <v>3.49</v>
      </c>
      <c r="S118" s="360">
        <v>3.69</v>
      </c>
      <c r="T118" s="360">
        <v>-0.2</v>
      </c>
      <c r="U118" s="363">
        <v>4</v>
      </c>
      <c r="V118" s="360">
        <v>3.87</v>
      </c>
      <c r="W118" s="191" t="str">
        <f t="shared" si="11"/>
        <v>Jack Leiter</v>
      </c>
      <c r="X118" s="192">
        <f t="shared" si="9"/>
        <v>4.058767189035061</v>
      </c>
      <c r="Y118" s="192">
        <f t="shared" si="12"/>
        <v>0.88037771921266395</v>
      </c>
      <c r="Z118" s="158">
        <f>RANK(X118,$X$6:$X1337,1)</f>
        <v>72</v>
      </c>
      <c r="AA118" s="158">
        <v>3.375</v>
      </c>
      <c r="AB118" s="158">
        <v>8</v>
      </c>
      <c r="AC118" s="158">
        <v>2.0943999999999998</v>
      </c>
      <c r="AD118" s="190">
        <f t="shared" si="10"/>
        <v>1.2498495551461399</v>
      </c>
      <c r="AE118" s="158"/>
      <c r="AF118" s="158"/>
      <c r="AG118" s="158"/>
      <c r="AH118" s="158"/>
    </row>
    <row r="119" spans="1:34" ht="15.75" customHeight="1" thickBot="1">
      <c r="A119" s="357">
        <v>114</v>
      </c>
      <c r="B119" s="375" t="s">
        <v>177</v>
      </c>
      <c r="C119" s="375" t="s">
        <v>74</v>
      </c>
      <c r="D119" s="360">
        <v>9.68</v>
      </c>
      <c r="E119" s="360">
        <v>3.38</v>
      </c>
      <c r="F119" s="360">
        <v>2.87</v>
      </c>
      <c r="G119" s="360">
        <v>1.17</v>
      </c>
      <c r="H119" s="361">
        <v>0.26400000000000001</v>
      </c>
      <c r="I119" s="362">
        <v>9.1999999999999998E-2</v>
      </c>
      <c r="J119" s="362">
        <v>0.17199999999999999</v>
      </c>
      <c r="K119" s="363">
        <v>0.19600000000000001</v>
      </c>
      <c r="L119" s="360">
        <v>1.0900000000000001</v>
      </c>
      <c r="M119" s="360">
        <v>0.23799999999999999</v>
      </c>
      <c r="N119" s="362">
        <v>0.76100000000000001</v>
      </c>
      <c r="O119" s="363">
        <v>88</v>
      </c>
      <c r="P119" s="360">
        <v>91</v>
      </c>
      <c r="Q119" s="360">
        <v>94</v>
      </c>
      <c r="R119" s="363">
        <v>3.52</v>
      </c>
      <c r="S119" s="360">
        <v>3.9</v>
      </c>
      <c r="T119" s="360">
        <v>-0.38</v>
      </c>
      <c r="U119" s="363">
        <v>3.92</v>
      </c>
      <c r="V119" s="360">
        <v>3.84</v>
      </c>
      <c r="W119" s="191" t="str">
        <f t="shared" si="11"/>
        <v>Shane Smith</v>
      </c>
      <c r="X119" s="192">
        <f t="shared" si="9"/>
        <v>3.583347950723859</v>
      </c>
      <c r="Y119" s="192">
        <f t="shared" si="12"/>
        <v>0.77725564169489814</v>
      </c>
      <c r="Z119" s="158">
        <f>RANK(X119,$X$6:$X1338,1)</f>
        <v>52</v>
      </c>
      <c r="AA119" s="158">
        <v>3.875</v>
      </c>
      <c r="AB119" s="158">
        <v>8</v>
      </c>
      <c r="AC119" s="158">
        <v>2.2136</v>
      </c>
      <c r="AD119" s="190">
        <f t="shared" si="10"/>
        <v>1.4350124522048273</v>
      </c>
      <c r="AE119" s="158"/>
      <c r="AF119" s="158"/>
      <c r="AG119" s="158"/>
      <c r="AH119" s="158"/>
    </row>
    <row r="120" spans="1:34" ht="15.75" customHeight="1" thickBot="1">
      <c r="A120" s="357">
        <v>115</v>
      </c>
      <c r="B120" s="375" t="s">
        <v>178</v>
      </c>
      <c r="C120" s="375" t="s">
        <v>143</v>
      </c>
      <c r="D120" s="360">
        <v>10.19</v>
      </c>
      <c r="E120" s="360">
        <v>3.93</v>
      </c>
      <c r="F120" s="360">
        <v>2.59</v>
      </c>
      <c r="G120" s="360">
        <v>0.54</v>
      </c>
      <c r="H120" s="361">
        <v>0.28399999999999997</v>
      </c>
      <c r="I120" s="362">
        <v>0.109</v>
      </c>
      <c r="J120" s="362">
        <v>0.17399999999999999</v>
      </c>
      <c r="K120" s="363">
        <v>0.17499999999999999</v>
      </c>
      <c r="L120" s="360">
        <v>1.05</v>
      </c>
      <c r="M120" s="360">
        <v>0.23899999999999999</v>
      </c>
      <c r="N120" s="362">
        <v>0.748</v>
      </c>
      <c r="O120" s="363">
        <v>73</v>
      </c>
      <c r="P120" s="360">
        <v>73</v>
      </c>
      <c r="Q120" s="360">
        <v>90</v>
      </c>
      <c r="R120" s="363">
        <v>3.04</v>
      </c>
      <c r="S120" s="360">
        <v>3.08</v>
      </c>
      <c r="T120" s="360">
        <v>-0.04</v>
      </c>
      <c r="U120" s="363">
        <v>3.71</v>
      </c>
      <c r="V120" s="360">
        <v>3.84</v>
      </c>
      <c r="W120" s="191" t="str">
        <f t="shared" si="11"/>
        <v>Tyler Glasnow</v>
      </c>
      <c r="X120" s="192">
        <f t="shared" si="9"/>
        <v>2.8166170407642914</v>
      </c>
      <c r="Y120" s="192">
        <f t="shared" si="12"/>
        <v>0.61094582930072305</v>
      </c>
      <c r="Z120" s="158">
        <f>RANK(X120,$X$6:$X1339,1)</f>
        <v>18</v>
      </c>
      <c r="AA120" s="158">
        <v>1.7142999999999999</v>
      </c>
      <c r="AB120" s="158">
        <v>7</v>
      </c>
      <c r="AC120" s="158">
        <v>1.7482</v>
      </c>
      <c r="AD120" s="190">
        <f t="shared" si="10"/>
        <v>0.63484950885541558</v>
      </c>
      <c r="AE120" s="158"/>
      <c r="AF120" s="158"/>
      <c r="AG120" s="158"/>
      <c r="AH120" s="158"/>
    </row>
    <row r="121" spans="1:34" ht="15.75" customHeight="1" thickBot="1">
      <c r="A121" s="357">
        <v>116</v>
      </c>
      <c r="B121" s="375" t="s">
        <v>179</v>
      </c>
      <c r="C121" s="375" t="s">
        <v>49</v>
      </c>
      <c r="D121" s="360">
        <v>11.23</v>
      </c>
      <c r="E121" s="360">
        <v>4.3499999999999996</v>
      </c>
      <c r="F121" s="360">
        <v>2.58</v>
      </c>
      <c r="G121" s="360">
        <v>0.72</v>
      </c>
      <c r="H121" s="361">
        <v>0.29399999999999998</v>
      </c>
      <c r="I121" s="362">
        <v>0.114</v>
      </c>
      <c r="J121" s="362">
        <v>0.18</v>
      </c>
      <c r="K121" s="363">
        <v>0.222</v>
      </c>
      <c r="L121" s="360">
        <v>1.31</v>
      </c>
      <c r="M121" s="360">
        <v>0.311</v>
      </c>
      <c r="N121" s="362">
        <v>0.7</v>
      </c>
      <c r="O121" s="363">
        <v>98</v>
      </c>
      <c r="P121" s="360">
        <v>80</v>
      </c>
      <c r="Q121" s="360">
        <v>90</v>
      </c>
      <c r="R121" s="363">
        <v>3.99</v>
      </c>
      <c r="S121" s="360">
        <v>3.26</v>
      </c>
      <c r="T121" s="360">
        <v>0.73</v>
      </c>
      <c r="U121" s="363">
        <v>3.73</v>
      </c>
      <c r="V121" s="360">
        <v>3.81</v>
      </c>
      <c r="W121" s="191" t="str">
        <f t="shared" si="11"/>
        <v>Dylan Cease</v>
      </c>
      <c r="X121" s="192">
        <f t="shared" si="9"/>
        <v>4.3422468028065548</v>
      </c>
      <c r="Y121" s="192">
        <f t="shared" si="12"/>
        <v>0.9418666206923193</v>
      </c>
      <c r="Z121" s="158">
        <f>RANK(X121,$X$6:$X1340,1)</f>
        <v>85</v>
      </c>
      <c r="AA121" s="158">
        <v>3.25</v>
      </c>
      <c r="AB121" s="158">
        <v>8</v>
      </c>
      <c r="AC121" s="158">
        <v>1.8504</v>
      </c>
      <c r="AD121" s="190">
        <f t="shared" si="10"/>
        <v>1.203558830881468</v>
      </c>
      <c r="AE121" s="158"/>
      <c r="AF121" s="158"/>
      <c r="AG121" s="158"/>
      <c r="AH121" s="158"/>
    </row>
    <row r="122" spans="1:34" ht="15.75" customHeight="1" thickBot="1">
      <c r="A122" s="357">
        <v>117</v>
      </c>
      <c r="B122" s="375" t="s">
        <v>180</v>
      </c>
      <c r="C122" s="375" t="s">
        <v>49</v>
      </c>
      <c r="D122" s="360">
        <v>7.46</v>
      </c>
      <c r="E122" s="360">
        <v>1.07</v>
      </c>
      <c r="F122" s="360">
        <v>7</v>
      </c>
      <c r="G122" s="360">
        <v>1.07</v>
      </c>
      <c r="H122" s="361">
        <v>0.20399999999999999</v>
      </c>
      <c r="I122" s="362">
        <v>2.9000000000000001E-2</v>
      </c>
      <c r="J122" s="362">
        <v>0.17499999999999999</v>
      </c>
      <c r="K122" s="363">
        <v>0.25</v>
      </c>
      <c r="L122" s="360">
        <v>1.1100000000000001</v>
      </c>
      <c r="M122" s="360">
        <v>0.28899999999999998</v>
      </c>
      <c r="N122" s="362">
        <v>0.67200000000000004</v>
      </c>
      <c r="O122" s="363">
        <v>96</v>
      </c>
      <c r="P122" s="360">
        <v>83</v>
      </c>
      <c r="Q122" s="360">
        <v>90</v>
      </c>
      <c r="R122" s="363">
        <v>3.91</v>
      </c>
      <c r="S122" s="360">
        <v>3.37</v>
      </c>
      <c r="T122" s="360">
        <v>0.54</v>
      </c>
      <c r="U122" s="363">
        <v>3.72</v>
      </c>
      <c r="V122" s="360">
        <v>3.8</v>
      </c>
      <c r="W122" s="191" t="str">
        <f t="shared" si="11"/>
        <v>Randy Vásquez</v>
      </c>
      <c r="X122" s="192">
        <f t="shared" si="9"/>
        <v>3.3399332119221263</v>
      </c>
      <c r="Y122" s="192">
        <f t="shared" si="12"/>
        <v>0.72445711874735186</v>
      </c>
      <c r="Z122" s="158">
        <f>RANK(X122,$X$6:$X1341,1)</f>
        <v>44</v>
      </c>
      <c r="AA122" s="158">
        <v>2.625</v>
      </c>
      <c r="AB122" s="158">
        <v>8</v>
      </c>
      <c r="AC122" s="158">
        <v>1.9128000000000001</v>
      </c>
      <c r="AD122" s="190">
        <f t="shared" si="10"/>
        <v>0.97210520955810875</v>
      </c>
      <c r="AE122" s="158"/>
      <c r="AF122" s="158"/>
      <c r="AG122" s="158"/>
      <c r="AH122" s="158"/>
    </row>
    <row r="123" spans="1:34" ht="15.75" customHeight="1" thickBot="1">
      <c r="A123" s="357">
        <v>118</v>
      </c>
      <c r="B123" s="375" t="s">
        <v>181</v>
      </c>
      <c r="C123" s="375" t="s">
        <v>46</v>
      </c>
      <c r="D123" s="360">
        <v>9</v>
      </c>
      <c r="E123" s="360">
        <v>2.2000000000000002</v>
      </c>
      <c r="F123" s="360">
        <v>4.0999999999999996</v>
      </c>
      <c r="G123" s="360">
        <v>1.76</v>
      </c>
      <c r="H123" s="361">
        <v>0.22900000000000001</v>
      </c>
      <c r="I123" s="362">
        <v>5.6000000000000001E-2</v>
      </c>
      <c r="J123" s="362">
        <v>0.17299999999999999</v>
      </c>
      <c r="K123" s="363">
        <v>0.29099999999999998</v>
      </c>
      <c r="L123" s="360">
        <v>1.41</v>
      </c>
      <c r="M123" s="360">
        <v>0.34499999999999997</v>
      </c>
      <c r="N123" s="362">
        <v>0.76800000000000002</v>
      </c>
      <c r="O123" s="363">
        <v>114</v>
      </c>
      <c r="P123" s="360">
        <v>113</v>
      </c>
      <c r="Q123" s="360">
        <v>91</v>
      </c>
      <c r="R123" s="363">
        <v>4.83</v>
      </c>
      <c r="S123" s="360">
        <v>4.7</v>
      </c>
      <c r="T123" s="360">
        <v>0.13</v>
      </c>
      <c r="U123" s="363">
        <v>3.81</v>
      </c>
      <c r="V123" s="360">
        <v>3.79</v>
      </c>
      <c r="W123" s="191" t="str">
        <f t="shared" si="11"/>
        <v>Michael Lorenzen</v>
      </c>
      <c r="X123" s="192">
        <f t="shared" si="9"/>
        <v>5.8142328595431803</v>
      </c>
      <c r="Y123" s="192">
        <f t="shared" si="12"/>
        <v>1.2611516811519521</v>
      </c>
      <c r="Z123" s="158">
        <f>RANK(X123,$X$6:$X1342,1)</f>
        <v>135</v>
      </c>
      <c r="AA123" s="158">
        <v>2.5</v>
      </c>
      <c r="AB123" s="158">
        <v>8</v>
      </c>
      <c r="AC123" s="158">
        <v>2.6677</v>
      </c>
      <c r="AD123" s="190">
        <f t="shared" si="10"/>
        <v>0.92581448529343691</v>
      </c>
      <c r="AE123" s="158"/>
      <c r="AF123" s="158"/>
      <c r="AG123" s="158"/>
      <c r="AH123" s="158"/>
    </row>
    <row r="124" spans="1:34" ht="15.75" customHeight="1" thickBot="1">
      <c r="A124" s="357">
        <v>119</v>
      </c>
      <c r="B124" s="375" t="s">
        <v>182</v>
      </c>
      <c r="C124" s="375" t="s">
        <v>68</v>
      </c>
      <c r="D124" s="360">
        <v>9.07</v>
      </c>
      <c r="E124" s="360">
        <v>2.42</v>
      </c>
      <c r="F124" s="360">
        <v>3.75</v>
      </c>
      <c r="G124" s="360">
        <v>1.41</v>
      </c>
      <c r="H124" s="361">
        <v>0.245</v>
      </c>
      <c r="I124" s="362">
        <v>6.5000000000000002E-2</v>
      </c>
      <c r="J124" s="362">
        <v>0.17899999999999999</v>
      </c>
      <c r="K124" s="363">
        <v>0.23400000000000001</v>
      </c>
      <c r="L124" s="360">
        <v>1.1599999999999999</v>
      </c>
      <c r="M124" s="360">
        <v>0.27700000000000002</v>
      </c>
      <c r="N124" s="362">
        <v>0.53200000000000003</v>
      </c>
      <c r="O124" s="363">
        <v>137</v>
      </c>
      <c r="P124" s="360">
        <v>96</v>
      </c>
      <c r="Q124" s="360">
        <v>90</v>
      </c>
      <c r="R124" s="363">
        <v>5.84</v>
      </c>
      <c r="S124" s="360">
        <v>4.03</v>
      </c>
      <c r="T124" s="360">
        <v>1.81</v>
      </c>
      <c r="U124" s="363">
        <v>3.72</v>
      </c>
      <c r="V124" s="360">
        <v>3.76</v>
      </c>
      <c r="W124" s="191" t="str">
        <f t="shared" si="11"/>
        <v>Aaron Nola</v>
      </c>
      <c r="X124" s="192">
        <f t="shared" si="9"/>
        <v>4.0959807972073357</v>
      </c>
      <c r="Y124" s="192">
        <f t="shared" si="12"/>
        <v>0.88844963611760219</v>
      </c>
      <c r="Z124" s="158">
        <f>RANK(X124,$X$6:$X1343,1)</f>
        <v>74</v>
      </c>
      <c r="AA124" s="158">
        <v>4.875</v>
      </c>
      <c r="AB124" s="158">
        <v>8</v>
      </c>
      <c r="AC124" s="158">
        <v>2.2873999999999999</v>
      </c>
      <c r="AD124" s="190">
        <f t="shared" si="10"/>
        <v>1.8053382463222021</v>
      </c>
      <c r="AE124" s="158"/>
      <c r="AF124" s="158"/>
      <c r="AG124" s="158"/>
      <c r="AH124" s="158"/>
    </row>
    <row r="125" spans="1:34" ht="15.75" customHeight="1" thickBot="1">
      <c r="A125" s="357">
        <v>120</v>
      </c>
      <c r="B125" s="375" t="s">
        <v>183</v>
      </c>
      <c r="C125" s="375" t="s">
        <v>88</v>
      </c>
      <c r="D125" s="360">
        <v>8.57</v>
      </c>
      <c r="E125" s="360">
        <v>2.0099999999999998</v>
      </c>
      <c r="F125" s="360">
        <v>4.2699999999999996</v>
      </c>
      <c r="G125" s="360">
        <v>0.55000000000000004</v>
      </c>
      <c r="H125" s="361">
        <v>0.251</v>
      </c>
      <c r="I125" s="362">
        <v>5.8999999999999997E-2</v>
      </c>
      <c r="J125" s="362">
        <v>0.193</v>
      </c>
      <c r="K125" s="363">
        <v>0.154</v>
      </c>
      <c r="L125" s="360">
        <v>0.77</v>
      </c>
      <c r="M125" s="360">
        <v>0.192</v>
      </c>
      <c r="N125" s="362">
        <v>0.92</v>
      </c>
      <c r="O125" s="363">
        <v>31</v>
      </c>
      <c r="P125" s="360">
        <v>68</v>
      </c>
      <c r="Q125" s="360">
        <v>95</v>
      </c>
      <c r="R125" s="363">
        <v>1.28</v>
      </c>
      <c r="S125" s="360">
        <v>2.75</v>
      </c>
      <c r="T125" s="360">
        <v>-1.47</v>
      </c>
      <c r="U125" s="363">
        <v>3.93</v>
      </c>
      <c r="V125" s="360">
        <v>3.74</v>
      </c>
      <c r="W125" s="191" t="str">
        <f t="shared" si="11"/>
        <v>Cade Horton</v>
      </c>
      <c r="X125" s="192">
        <f t="shared" si="9"/>
        <v>1.2891302525466664</v>
      </c>
      <c r="Y125" s="192">
        <f t="shared" si="12"/>
        <v>0.27962223469508679</v>
      </c>
      <c r="Z125" s="158">
        <f>RANK(X125,$X$6:$X1344,1)</f>
        <v>2</v>
      </c>
      <c r="AA125" s="158">
        <v>1</v>
      </c>
      <c r="AB125" s="158">
        <v>8</v>
      </c>
      <c r="AC125" s="158">
        <v>1.5609</v>
      </c>
      <c r="AD125" s="190">
        <f t="shared" si="10"/>
        <v>0.37032579411737476</v>
      </c>
      <c r="AE125" s="158"/>
      <c r="AF125" s="158"/>
      <c r="AG125" s="158"/>
      <c r="AH125" s="158"/>
    </row>
    <row r="126" spans="1:34" ht="15.75" customHeight="1" thickBot="1">
      <c r="A126" s="357">
        <v>121</v>
      </c>
      <c r="B126" s="375" t="s">
        <v>184</v>
      </c>
      <c r="C126" s="375" t="s">
        <v>70</v>
      </c>
      <c r="D126" s="360">
        <v>10.64</v>
      </c>
      <c r="E126" s="360">
        <v>3.68</v>
      </c>
      <c r="F126" s="360">
        <v>2.89</v>
      </c>
      <c r="G126" s="360">
        <v>1.23</v>
      </c>
      <c r="H126" s="361">
        <v>0.28299999999999997</v>
      </c>
      <c r="I126" s="362">
        <v>9.8000000000000004E-2</v>
      </c>
      <c r="J126" s="362">
        <v>0.185</v>
      </c>
      <c r="K126" s="363">
        <v>0.22900000000000001</v>
      </c>
      <c r="L126" s="360">
        <v>1.27</v>
      </c>
      <c r="M126" s="360">
        <v>0.29599999999999999</v>
      </c>
      <c r="N126" s="362">
        <v>0.67200000000000004</v>
      </c>
      <c r="O126" s="363">
        <v>98</v>
      </c>
      <c r="P126" s="360">
        <v>91</v>
      </c>
      <c r="Q126" s="360">
        <v>87</v>
      </c>
      <c r="R126" s="363">
        <v>4.09</v>
      </c>
      <c r="S126" s="360">
        <v>3.77</v>
      </c>
      <c r="T126" s="360">
        <v>0.32</v>
      </c>
      <c r="U126" s="363">
        <v>3.61</v>
      </c>
      <c r="V126" s="360">
        <v>3.73</v>
      </c>
      <c r="W126" s="191" t="str">
        <f t="shared" si="11"/>
        <v>Chad Patrick</v>
      </c>
      <c r="X126" s="192">
        <f t="shared" si="9"/>
        <v>4.5341351235598868</v>
      </c>
      <c r="Y126" s="192">
        <f t="shared" si="12"/>
        <v>0.98348866854585226</v>
      </c>
      <c r="Z126" s="158">
        <f>RANK(X126,$X$6:$X1345,1)</f>
        <v>97</v>
      </c>
      <c r="AA126" s="158">
        <v>2.25</v>
      </c>
      <c r="AB126" s="158">
        <v>8</v>
      </c>
      <c r="AC126" s="158">
        <v>2.1398999999999999</v>
      </c>
      <c r="AD126" s="190">
        <f t="shared" si="10"/>
        <v>0.83323303676409322</v>
      </c>
      <c r="AE126" s="158"/>
      <c r="AF126" s="158"/>
      <c r="AG126" s="158"/>
      <c r="AH126" s="158"/>
    </row>
    <row r="127" spans="1:34" ht="15.75" customHeight="1" thickBot="1">
      <c r="A127" s="357">
        <v>122</v>
      </c>
      <c r="B127" s="375" t="s">
        <v>185</v>
      </c>
      <c r="C127" s="375" t="s">
        <v>64</v>
      </c>
      <c r="D127" s="360">
        <v>9</v>
      </c>
      <c r="E127" s="360">
        <v>3.14</v>
      </c>
      <c r="F127" s="360">
        <v>2.87</v>
      </c>
      <c r="G127" s="360">
        <v>0.68</v>
      </c>
      <c r="H127" s="361">
        <v>0.246</v>
      </c>
      <c r="I127" s="362">
        <v>8.5999999999999993E-2</v>
      </c>
      <c r="J127" s="362">
        <v>0.16</v>
      </c>
      <c r="K127" s="363">
        <v>0.21099999999999999</v>
      </c>
      <c r="L127" s="360">
        <v>1.1200000000000001</v>
      </c>
      <c r="M127" s="360">
        <v>0.26900000000000002</v>
      </c>
      <c r="N127" s="362">
        <v>0.82899999999999996</v>
      </c>
      <c r="O127" s="363">
        <v>50</v>
      </c>
      <c r="P127" s="360">
        <v>78</v>
      </c>
      <c r="Q127" s="360">
        <v>82</v>
      </c>
      <c r="R127" s="363">
        <v>2.0499999999999998</v>
      </c>
      <c r="S127" s="360">
        <v>3.29</v>
      </c>
      <c r="T127" s="360">
        <v>-1.25</v>
      </c>
      <c r="U127" s="363">
        <v>3.45</v>
      </c>
      <c r="V127" s="360">
        <v>3.7</v>
      </c>
      <c r="W127" s="191" t="str">
        <f t="shared" si="11"/>
        <v>Hunter Brown</v>
      </c>
      <c r="X127" s="192">
        <f t="shared" si="9"/>
        <v>3.2113153170242823</v>
      </c>
      <c r="Y127" s="192">
        <f t="shared" si="12"/>
        <v>0.69655891131480918</v>
      </c>
      <c r="Z127" s="158">
        <f>RANK(X127,$X$6:$X1346,1)</f>
        <v>33</v>
      </c>
      <c r="AA127" s="158">
        <v>1.5</v>
      </c>
      <c r="AB127" s="158">
        <v>8</v>
      </c>
      <c r="AC127" s="158">
        <v>1.8673999999999999</v>
      </c>
      <c r="AD127" s="190">
        <f t="shared" si="10"/>
        <v>0.55548869117606214</v>
      </c>
      <c r="AE127" s="158"/>
      <c r="AF127" s="158"/>
      <c r="AG127" s="158"/>
      <c r="AH127" s="158"/>
    </row>
    <row r="128" spans="1:34" ht="15.75" customHeight="1" thickBot="1">
      <c r="A128" s="357">
        <v>123</v>
      </c>
      <c r="B128" s="375" t="s">
        <v>186</v>
      </c>
      <c r="C128" s="375" t="s">
        <v>108</v>
      </c>
      <c r="D128" s="360">
        <v>9.3000000000000007</v>
      </c>
      <c r="E128" s="360">
        <v>2.5499999999999998</v>
      </c>
      <c r="F128" s="360">
        <v>3.65</v>
      </c>
      <c r="G128" s="360">
        <v>0.9</v>
      </c>
      <c r="H128" s="361">
        <v>0.252</v>
      </c>
      <c r="I128" s="362">
        <v>6.9000000000000006E-2</v>
      </c>
      <c r="J128" s="362">
        <v>0.183</v>
      </c>
      <c r="K128" s="363">
        <v>0.21099999999999999</v>
      </c>
      <c r="L128" s="360">
        <v>1.07</v>
      </c>
      <c r="M128" s="360">
        <v>0.26500000000000001</v>
      </c>
      <c r="N128" s="362">
        <v>0.79500000000000004</v>
      </c>
      <c r="O128" s="363">
        <v>68</v>
      </c>
      <c r="P128" s="360">
        <v>81</v>
      </c>
      <c r="Q128" s="360">
        <v>92</v>
      </c>
      <c r="R128" s="363">
        <v>3</v>
      </c>
      <c r="S128" s="360">
        <v>3.52</v>
      </c>
      <c r="T128" s="360">
        <v>-0.52</v>
      </c>
      <c r="U128" s="363">
        <v>3.81</v>
      </c>
      <c r="V128" s="360">
        <v>3.69</v>
      </c>
      <c r="W128" s="191" t="str">
        <f t="shared" si="11"/>
        <v>Brady Singer</v>
      </c>
      <c r="X128" s="192">
        <f t="shared" si="9"/>
        <v>3.3039491685368234</v>
      </c>
      <c r="Y128" s="192">
        <f t="shared" si="12"/>
        <v>0.71665190387097599</v>
      </c>
      <c r="Z128" s="158">
        <f>RANK(X128,$X$6:$X1347,1)</f>
        <v>43</v>
      </c>
      <c r="AA128" s="158">
        <v>2.5</v>
      </c>
      <c r="AB128" s="158">
        <v>8</v>
      </c>
      <c r="AC128" s="158">
        <v>1.998</v>
      </c>
      <c r="AD128" s="190">
        <f t="shared" si="10"/>
        <v>0.92581448529343691</v>
      </c>
      <c r="AE128" s="158"/>
      <c r="AF128" s="158"/>
      <c r="AG128" s="158"/>
      <c r="AH128" s="158"/>
    </row>
    <row r="129" spans="1:34" ht="15.75" customHeight="1" thickBot="1">
      <c r="A129" s="357">
        <v>124</v>
      </c>
      <c r="B129" s="375" t="s">
        <v>187</v>
      </c>
      <c r="C129" s="375" t="s">
        <v>137</v>
      </c>
      <c r="D129" s="360">
        <v>8.5500000000000007</v>
      </c>
      <c r="E129" s="360">
        <v>1.68</v>
      </c>
      <c r="F129" s="360">
        <v>5.0999999999999996</v>
      </c>
      <c r="G129" s="360">
        <v>1.84</v>
      </c>
      <c r="H129" s="361">
        <v>0.23599999999999999</v>
      </c>
      <c r="I129" s="362">
        <v>4.5999999999999999E-2</v>
      </c>
      <c r="J129" s="362">
        <v>0.19</v>
      </c>
      <c r="K129" s="363">
        <v>0.245</v>
      </c>
      <c r="L129" s="360">
        <v>1.1200000000000001</v>
      </c>
      <c r="M129" s="360">
        <v>0.27500000000000002</v>
      </c>
      <c r="N129" s="362">
        <v>0.77300000000000002</v>
      </c>
      <c r="O129" s="363">
        <v>114</v>
      </c>
      <c r="P129" s="360">
        <v>114</v>
      </c>
      <c r="Q129" s="360">
        <v>94</v>
      </c>
      <c r="R129" s="363">
        <v>4.3600000000000003</v>
      </c>
      <c r="S129" s="360">
        <v>4.57</v>
      </c>
      <c r="T129" s="360">
        <v>-0.21</v>
      </c>
      <c r="U129" s="363">
        <v>3.92</v>
      </c>
      <c r="V129" s="360">
        <v>3.69</v>
      </c>
      <c r="W129" s="191" t="str">
        <f t="shared" si="11"/>
        <v>Luis Castillo</v>
      </c>
      <c r="X129" s="192">
        <f t="shared" si="9"/>
        <v>4.3586739140257951</v>
      </c>
      <c r="Y129" s="192">
        <f t="shared" si="12"/>
        <v>0.94542978705168024</v>
      </c>
      <c r="Z129" s="158">
        <f>RANK(X129,$X$6:$X1348,1)</f>
        <v>88</v>
      </c>
      <c r="AA129" s="158">
        <v>2</v>
      </c>
      <c r="AB129" s="158">
        <v>8</v>
      </c>
      <c r="AC129" s="158">
        <v>2.5939000000000001</v>
      </c>
      <c r="AD129" s="190">
        <f t="shared" si="10"/>
        <v>0.74065158823474952</v>
      </c>
      <c r="AE129" s="158"/>
      <c r="AF129" s="158"/>
      <c r="AG129" s="158"/>
      <c r="AH129" s="158"/>
    </row>
    <row r="130" spans="1:34" ht="15.75" customHeight="1" thickBot="1">
      <c r="A130" s="357">
        <v>125</v>
      </c>
      <c r="B130" s="375" t="s">
        <v>188</v>
      </c>
      <c r="C130" s="375" t="s">
        <v>56</v>
      </c>
      <c r="D130" s="360">
        <v>8.17</v>
      </c>
      <c r="E130" s="360">
        <v>2.11</v>
      </c>
      <c r="F130" s="360">
        <v>3.88</v>
      </c>
      <c r="G130" s="360">
        <v>1.1100000000000001</v>
      </c>
      <c r="H130" s="361">
        <v>0.22800000000000001</v>
      </c>
      <c r="I130" s="362">
        <v>5.8999999999999997E-2</v>
      </c>
      <c r="J130" s="362">
        <v>0.17</v>
      </c>
      <c r="K130" s="363">
        <v>0.20799999999999999</v>
      </c>
      <c r="L130" s="360">
        <v>1</v>
      </c>
      <c r="M130" s="360">
        <v>0.24199999999999999</v>
      </c>
      <c r="N130" s="362">
        <v>0.74099999999999999</v>
      </c>
      <c r="O130" s="363">
        <v>78</v>
      </c>
      <c r="P130" s="360">
        <v>91</v>
      </c>
      <c r="Q130" s="360">
        <v>86</v>
      </c>
      <c r="R130" s="363">
        <v>3.34</v>
      </c>
      <c r="S130" s="360">
        <v>3.74</v>
      </c>
      <c r="T130" s="360">
        <v>-0.4</v>
      </c>
      <c r="U130" s="363">
        <v>3.54</v>
      </c>
      <c r="V130" s="360">
        <v>3.68</v>
      </c>
      <c r="W130" s="191" t="str">
        <f t="shared" si="11"/>
        <v>Sandy Alcantara</v>
      </c>
      <c r="X130" s="192">
        <f t="shared" si="9"/>
        <v>2.9872966183216989</v>
      </c>
      <c r="Y130" s="192">
        <f t="shared" si="12"/>
        <v>0.6479675381615102</v>
      </c>
      <c r="Z130" s="158">
        <f>RANK(X130,$X$6:$X1349,1)</f>
        <v>24</v>
      </c>
      <c r="AA130" s="158">
        <v>3.25</v>
      </c>
      <c r="AB130" s="158">
        <v>8</v>
      </c>
      <c r="AC130" s="158">
        <v>2.1227999999999998</v>
      </c>
      <c r="AD130" s="190">
        <f t="shared" si="10"/>
        <v>1.203558830881468</v>
      </c>
      <c r="AE130" s="158"/>
      <c r="AF130" s="158"/>
      <c r="AG130" s="158"/>
      <c r="AH130" s="158"/>
    </row>
    <row r="131" spans="1:34" ht="15.75" customHeight="1" thickBot="1">
      <c r="A131" s="357">
        <v>126</v>
      </c>
      <c r="B131" s="375" t="s">
        <v>189</v>
      </c>
      <c r="C131" s="375" t="s">
        <v>72</v>
      </c>
      <c r="D131" s="360">
        <v>8.9600000000000009</v>
      </c>
      <c r="E131" s="360">
        <v>2.63</v>
      </c>
      <c r="F131" s="360">
        <v>3.4</v>
      </c>
      <c r="G131" s="360">
        <v>0.53</v>
      </c>
      <c r="H131" s="361">
        <v>0.254</v>
      </c>
      <c r="I131" s="362">
        <v>7.4999999999999997E-2</v>
      </c>
      <c r="J131" s="362">
        <v>0.17899999999999999</v>
      </c>
      <c r="K131" s="363">
        <v>0.19500000000000001</v>
      </c>
      <c r="L131" s="360">
        <v>1</v>
      </c>
      <c r="M131" s="360">
        <v>0.253</v>
      </c>
      <c r="N131" s="362">
        <v>0.85399999999999998</v>
      </c>
      <c r="O131" s="363">
        <v>46</v>
      </c>
      <c r="P131" s="360">
        <v>68</v>
      </c>
      <c r="Q131" s="360">
        <v>87</v>
      </c>
      <c r="R131" s="363">
        <v>1.84</v>
      </c>
      <c r="S131" s="360">
        <v>2.86</v>
      </c>
      <c r="T131" s="360">
        <v>-1.01</v>
      </c>
      <c r="U131" s="363">
        <v>3.62</v>
      </c>
      <c r="V131" s="360">
        <v>3.68</v>
      </c>
      <c r="W131" s="191" t="str">
        <f t="shared" si="11"/>
        <v>Trevor Rogers</v>
      </c>
      <c r="X131" s="192">
        <f t="shared" si="9"/>
        <v>2.4440927323971011</v>
      </c>
      <c r="Y131" s="192">
        <f t="shared" si="12"/>
        <v>0.53014245091588086</v>
      </c>
      <c r="Z131" s="158">
        <f>RANK(X131,$X$6:$X1350,1)</f>
        <v>9</v>
      </c>
      <c r="AA131" s="158">
        <v>0.875</v>
      </c>
      <c r="AB131" s="158">
        <v>8</v>
      </c>
      <c r="AC131" s="158">
        <v>1.6233</v>
      </c>
      <c r="AD131" s="190">
        <f t="shared" si="10"/>
        <v>0.32403506985270292</v>
      </c>
      <c r="AE131" s="158"/>
      <c r="AF131" s="158"/>
      <c r="AG131" s="158"/>
      <c r="AH131" s="158"/>
    </row>
    <row r="132" spans="1:34" ht="15.75" customHeight="1" thickBot="1">
      <c r="A132" s="357">
        <v>127</v>
      </c>
      <c r="B132" s="375" t="s">
        <v>190</v>
      </c>
      <c r="C132" s="375" t="s">
        <v>56</v>
      </c>
      <c r="D132" s="360">
        <v>10.34</v>
      </c>
      <c r="E132" s="360">
        <v>2.98</v>
      </c>
      <c r="F132" s="360">
        <v>3.47</v>
      </c>
      <c r="G132" s="360">
        <v>1.75</v>
      </c>
      <c r="H132" s="361">
        <v>0.28100000000000003</v>
      </c>
      <c r="I132" s="362">
        <v>8.1000000000000003E-2</v>
      </c>
      <c r="J132" s="362">
        <v>0.2</v>
      </c>
      <c r="K132" s="363">
        <v>0.214</v>
      </c>
      <c r="L132" s="360">
        <v>1.1299999999999999</v>
      </c>
      <c r="M132" s="360">
        <v>0.252</v>
      </c>
      <c r="N132" s="362">
        <v>0.6</v>
      </c>
      <c r="O132" s="363">
        <v>123</v>
      </c>
      <c r="P132" s="360">
        <v>107</v>
      </c>
      <c r="Q132" s="360">
        <v>96</v>
      </c>
      <c r="R132" s="363">
        <v>5.26</v>
      </c>
      <c r="S132" s="360">
        <v>4.42</v>
      </c>
      <c r="T132" s="360">
        <v>0.84</v>
      </c>
      <c r="U132" s="363">
        <v>3.96</v>
      </c>
      <c r="V132" s="360">
        <v>3.68</v>
      </c>
      <c r="W132" s="191" t="str">
        <f t="shared" si="11"/>
        <v>Eury Pérez</v>
      </c>
      <c r="X132" s="192">
        <f t="shared" si="9"/>
        <v>4.3881731264036228</v>
      </c>
      <c r="Y132" s="192">
        <f t="shared" si="12"/>
        <v>0.95182839236758066</v>
      </c>
      <c r="Z132" s="158">
        <f>RANK(X132,$X$6:$X1351,1)</f>
        <v>89</v>
      </c>
      <c r="AA132" s="158">
        <v>2.75</v>
      </c>
      <c r="AB132" s="158">
        <v>8</v>
      </c>
      <c r="AC132" s="158">
        <v>2.5087999999999999</v>
      </c>
      <c r="AD132" s="190">
        <f t="shared" si="10"/>
        <v>1.0183959338227806</v>
      </c>
      <c r="AE132" s="158"/>
      <c r="AF132" s="158"/>
      <c r="AG132" s="158"/>
      <c r="AH132" s="158"/>
    </row>
    <row r="133" spans="1:34" ht="15.75" customHeight="1" thickBot="1">
      <c r="A133" s="357">
        <v>128</v>
      </c>
      <c r="B133" s="375" t="s">
        <v>191</v>
      </c>
      <c r="C133" s="375" t="s">
        <v>100</v>
      </c>
      <c r="D133" s="360">
        <v>11.41</v>
      </c>
      <c r="E133" s="360">
        <v>3.8</v>
      </c>
      <c r="F133" s="360">
        <v>3</v>
      </c>
      <c r="G133" s="360">
        <v>1.33</v>
      </c>
      <c r="H133" s="361">
        <v>0.28699999999999998</v>
      </c>
      <c r="I133" s="362">
        <v>9.6000000000000002E-2</v>
      </c>
      <c r="J133" s="362">
        <v>0.191</v>
      </c>
      <c r="K133" s="363">
        <v>0.253</v>
      </c>
      <c r="L133" s="360">
        <v>1.42</v>
      </c>
      <c r="M133" s="360">
        <v>0.33600000000000002</v>
      </c>
      <c r="N133" s="362">
        <v>0.66400000000000003</v>
      </c>
      <c r="O133" s="363">
        <v>133</v>
      </c>
      <c r="P133" s="360">
        <v>94</v>
      </c>
      <c r="Q133" s="360">
        <v>84</v>
      </c>
      <c r="R133" s="363">
        <v>5.51</v>
      </c>
      <c r="S133" s="360">
        <v>3.98</v>
      </c>
      <c r="T133" s="360">
        <v>1.53</v>
      </c>
      <c r="U133" s="363">
        <v>3.52</v>
      </c>
      <c r="V133" s="360">
        <v>3.62</v>
      </c>
      <c r="W133" s="191" t="str">
        <f t="shared" si="11"/>
        <v>Shane Baz</v>
      </c>
      <c r="X133" s="192">
        <f t="shared" si="9"/>
        <v>5.5098781868760298</v>
      </c>
      <c r="Y133" s="192">
        <f t="shared" si="12"/>
        <v>1.1951348193624183</v>
      </c>
      <c r="Z133" s="158">
        <f>RANK(X133,$X$6:$X1352,1)</f>
        <v>123</v>
      </c>
      <c r="AA133" s="158">
        <v>3.375</v>
      </c>
      <c r="AB133" s="158">
        <v>8</v>
      </c>
      <c r="AC133" s="158">
        <v>2.2589999999999999</v>
      </c>
      <c r="AD133" s="190">
        <f t="shared" si="10"/>
        <v>1.2498495551461399</v>
      </c>
      <c r="AE133" s="158"/>
      <c r="AF133" s="158"/>
      <c r="AG133" s="158"/>
      <c r="AH133" s="158"/>
    </row>
    <row r="134" spans="1:34" ht="15.75" customHeight="1" thickBot="1">
      <c r="A134" s="357">
        <v>129</v>
      </c>
      <c r="B134" s="375" t="s">
        <v>192</v>
      </c>
      <c r="C134" s="375" t="s">
        <v>68</v>
      </c>
      <c r="D134" s="360">
        <v>8.6199999999999992</v>
      </c>
      <c r="E134" s="360">
        <v>1.55</v>
      </c>
      <c r="F134" s="360">
        <v>5.55</v>
      </c>
      <c r="G134" s="360">
        <v>1.1299999999999999</v>
      </c>
      <c r="H134" s="361">
        <v>0.22800000000000001</v>
      </c>
      <c r="I134" s="362">
        <v>4.1000000000000002E-2</v>
      </c>
      <c r="J134" s="362">
        <v>0.187</v>
      </c>
      <c r="K134" s="363">
        <v>0.28100000000000003</v>
      </c>
      <c r="L134" s="360">
        <v>1.29</v>
      </c>
      <c r="M134" s="360">
        <v>0.34200000000000003</v>
      </c>
      <c r="N134" s="362">
        <v>0.75900000000000001</v>
      </c>
      <c r="O134" s="363">
        <v>96</v>
      </c>
      <c r="P134" s="360">
        <v>84</v>
      </c>
      <c r="Q134" s="360">
        <v>86</v>
      </c>
      <c r="R134" s="363">
        <v>4.0999999999999996</v>
      </c>
      <c r="S134" s="360">
        <v>3.51</v>
      </c>
      <c r="T134" s="360">
        <v>0.59</v>
      </c>
      <c r="U134" s="363">
        <v>3.55</v>
      </c>
      <c r="V134" s="360">
        <v>3.61</v>
      </c>
      <c r="W134" s="191" t="str">
        <f t="shared" ref="W134:W165" si="13">B134</f>
        <v>Ranger Suarez</v>
      </c>
      <c r="X134" s="192">
        <f t="shared" si="9"/>
        <v>4.4719877443395113</v>
      </c>
      <c r="Y134" s="192">
        <f t="shared" ref="Y134:Y165" si="14">X134/$X$4</f>
        <v>0.97000842554968114</v>
      </c>
      <c r="Z134" s="158">
        <f>RANK(X134,$X$6:$X1353,1)</f>
        <v>95</v>
      </c>
      <c r="AA134" s="158">
        <v>2.5</v>
      </c>
      <c r="AB134" s="158">
        <v>8</v>
      </c>
      <c r="AC134" s="158">
        <v>1.9923</v>
      </c>
      <c r="AD134" s="190">
        <f t="shared" si="10"/>
        <v>0.92581448529343691</v>
      </c>
      <c r="AE134" s="158"/>
      <c r="AF134" s="158"/>
      <c r="AG134" s="158"/>
      <c r="AH134" s="158"/>
    </row>
    <row r="135" spans="1:34" ht="15.75" customHeight="1" thickBot="1">
      <c r="A135" s="357">
        <v>130</v>
      </c>
      <c r="B135" s="375" t="s">
        <v>193</v>
      </c>
      <c r="C135" s="358" t="s">
        <v>34</v>
      </c>
      <c r="D135" s="360">
        <v>9.57</v>
      </c>
      <c r="E135" s="360">
        <v>2.7</v>
      </c>
      <c r="F135" s="360">
        <v>3.55</v>
      </c>
      <c r="G135" s="360">
        <v>1.47</v>
      </c>
      <c r="H135" s="361">
        <v>0.25700000000000001</v>
      </c>
      <c r="I135" s="362">
        <v>7.1999999999999995E-2</v>
      </c>
      <c r="J135" s="362">
        <v>0.184</v>
      </c>
      <c r="K135" s="363">
        <v>0.25700000000000001</v>
      </c>
      <c r="L135" s="360">
        <v>1.28</v>
      </c>
      <c r="M135" s="360">
        <v>0.316</v>
      </c>
      <c r="N135" s="362">
        <v>0.70699999999999996</v>
      </c>
      <c r="O135" s="363">
        <v>122</v>
      </c>
      <c r="P135" s="360">
        <v>102</v>
      </c>
      <c r="Q135" s="360">
        <v>90</v>
      </c>
      <c r="R135" s="363">
        <v>4.91</v>
      </c>
      <c r="S135" s="360">
        <v>4.0999999999999996</v>
      </c>
      <c r="T135" s="360">
        <v>0.81</v>
      </c>
      <c r="U135" s="363">
        <v>3.69</v>
      </c>
      <c r="V135" s="360">
        <v>3.61</v>
      </c>
      <c r="W135" s="191" t="str">
        <f t="shared" si="13"/>
        <v>Mike Burrows</v>
      </c>
      <c r="X135" s="192">
        <f t="shared" ref="X135:X173" si="15">($X$3 + ($J$3*J135) + (L135*$L$3) + (S135*$S$3))</f>
        <v>4.809430870515893</v>
      </c>
      <c r="Y135" s="192">
        <f t="shared" si="14"/>
        <v>1.043202426572879</v>
      </c>
      <c r="Z135" s="158">
        <f>RANK(X135,$X$6:$X1354,1)</f>
        <v>105</v>
      </c>
      <c r="AA135" s="158">
        <v>3.7143000000000002</v>
      </c>
      <c r="AB135" s="158">
        <v>7</v>
      </c>
      <c r="AC135" s="158">
        <v>2.3271999999999999</v>
      </c>
      <c r="AD135" s="190">
        <f t="shared" ref="AD135:AD173" si="16">IF(AB135&gt;=5, AA135/$AA$4, 1)</f>
        <v>1.3755010970901651</v>
      </c>
      <c r="AE135" s="158"/>
      <c r="AF135" s="158"/>
      <c r="AG135" s="158"/>
      <c r="AH135" s="158"/>
    </row>
    <row r="136" spans="1:34" ht="15.75" customHeight="1" thickBot="1">
      <c r="A136" s="357">
        <v>131</v>
      </c>
      <c r="B136" s="375" t="s">
        <v>194</v>
      </c>
      <c r="C136" s="375" t="s">
        <v>132</v>
      </c>
      <c r="D136" s="360">
        <v>10.47</v>
      </c>
      <c r="E136" s="360">
        <v>2.78</v>
      </c>
      <c r="F136" s="360">
        <v>3.76</v>
      </c>
      <c r="G136" s="360">
        <v>1.96</v>
      </c>
      <c r="H136" s="361">
        <v>0.27400000000000002</v>
      </c>
      <c r="I136" s="362">
        <v>7.2999999999999995E-2</v>
      </c>
      <c r="J136" s="362">
        <v>0.20100000000000001</v>
      </c>
      <c r="K136" s="363">
        <v>0.23699999999999999</v>
      </c>
      <c r="L136" s="360">
        <v>1.24</v>
      </c>
      <c r="M136" s="360">
        <v>0.28100000000000003</v>
      </c>
      <c r="N136" s="362">
        <v>0.77100000000000002</v>
      </c>
      <c r="O136" s="363">
        <v>107</v>
      </c>
      <c r="P136" s="360">
        <v>111</v>
      </c>
      <c r="Q136" s="360">
        <v>94</v>
      </c>
      <c r="R136" s="363">
        <v>4.42</v>
      </c>
      <c r="S136" s="360">
        <v>4.67</v>
      </c>
      <c r="T136" s="360">
        <v>-0.25</v>
      </c>
      <c r="U136" s="363">
        <v>3.92</v>
      </c>
      <c r="V136" s="360">
        <v>3.58</v>
      </c>
      <c r="W136" s="191" t="str">
        <f t="shared" si="13"/>
        <v>Joe Ryan</v>
      </c>
      <c r="X136" s="192">
        <f t="shared" si="15"/>
        <v>5.1429287833994772</v>
      </c>
      <c r="Y136" s="192">
        <f t="shared" si="14"/>
        <v>1.1155406805875014</v>
      </c>
      <c r="Z136" s="158">
        <f>RANK(X136,$X$6:$X1355,1)</f>
        <v>115</v>
      </c>
      <c r="AA136" s="158">
        <v>2.5</v>
      </c>
      <c r="AB136" s="158">
        <v>8</v>
      </c>
      <c r="AC136" s="158">
        <v>2.6507000000000001</v>
      </c>
      <c r="AD136" s="190">
        <f t="shared" si="16"/>
        <v>0.92581448529343691</v>
      </c>
      <c r="AE136" s="158"/>
      <c r="AF136" s="158"/>
      <c r="AG136" s="158"/>
      <c r="AH136" s="158"/>
    </row>
    <row r="137" spans="1:34" ht="15.75" customHeight="1" thickBot="1">
      <c r="A137" s="357">
        <v>132</v>
      </c>
      <c r="B137" s="375" t="s">
        <v>195</v>
      </c>
      <c r="C137" s="375" t="s">
        <v>44</v>
      </c>
      <c r="D137" s="360">
        <v>9.0500000000000007</v>
      </c>
      <c r="E137" s="360">
        <v>1.65</v>
      </c>
      <c r="F137" s="360">
        <v>5.5</v>
      </c>
      <c r="G137" s="360">
        <v>1.48</v>
      </c>
      <c r="H137" s="361">
        <v>0.247</v>
      </c>
      <c r="I137" s="362">
        <v>4.4999999999999998E-2</v>
      </c>
      <c r="J137" s="362">
        <v>0.20200000000000001</v>
      </c>
      <c r="K137" s="363">
        <v>0.25600000000000001</v>
      </c>
      <c r="L137" s="360">
        <v>1.17</v>
      </c>
      <c r="M137" s="360">
        <v>0.30599999999999999</v>
      </c>
      <c r="N137" s="362">
        <v>0.71199999999999997</v>
      </c>
      <c r="O137" s="363">
        <v>112</v>
      </c>
      <c r="P137" s="360">
        <v>94</v>
      </c>
      <c r="Q137" s="360">
        <v>86</v>
      </c>
      <c r="R137" s="363">
        <v>4.6100000000000003</v>
      </c>
      <c r="S137" s="360">
        <v>3.92</v>
      </c>
      <c r="T137" s="360">
        <v>0.69</v>
      </c>
      <c r="U137" s="363">
        <v>3.61</v>
      </c>
      <c r="V137" s="360">
        <v>3.56</v>
      </c>
      <c r="W137" s="191" t="str">
        <f t="shared" si="13"/>
        <v>Casey Mize</v>
      </c>
      <c r="X137" s="192">
        <f t="shared" si="15"/>
        <v>4.2613387502481936</v>
      </c>
      <c r="Y137" s="192">
        <f t="shared" si="14"/>
        <v>0.92431704382333846</v>
      </c>
      <c r="Z137" s="158">
        <f>RANK(X137,$X$6:$X1356,1)</f>
        <v>78</v>
      </c>
      <c r="AA137" s="158">
        <v>2.875</v>
      </c>
      <c r="AB137" s="158">
        <v>8</v>
      </c>
      <c r="AC137" s="158">
        <v>2.2250000000000001</v>
      </c>
      <c r="AD137" s="190">
        <f t="shared" si="16"/>
        <v>1.0646866580874526</v>
      </c>
      <c r="AE137" s="158"/>
      <c r="AF137" s="158"/>
      <c r="AG137" s="158"/>
      <c r="AH137" s="158"/>
    </row>
    <row r="138" spans="1:34" ht="15.75" customHeight="1" thickBot="1">
      <c r="A138" s="357">
        <v>133</v>
      </c>
      <c r="B138" s="375" t="s">
        <v>196</v>
      </c>
      <c r="C138" s="375" t="s">
        <v>70</v>
      </c>
      <c r="D138" s="360">
        <v>12.23</v>
      </c>
      <c r="E138" s="360">
        <v>4.33</v>
      </c>
      <c r="F138" s="360">
        <v>2.82</v>
      </c>
      <c r="G138" s="360">
        <v>1.27</v>
      </c>
      <c r="H138" s="361">
        <v>0.318</v>
      </c>
      <c r="I138" s="362">
        <v>0.113</v>
      </c>
      <c r="J138" s="362">
        <v>0.20499999999999999</v>
      </c>
      <c r="K138" s="363">
        <v>0.24399999999999999</v>
      </c>
      <c r="L138" s="360">
        <v>1.39</v>
      </c>
      <c r="M138" s="360">
        <v>0.34599999999999997</v>
      </c>
      <c r="N138" s="362">
        <v>0.66700000000000004</v>
      </c>
      <c r="O138" s="363">
        <v>134</v>
      </c>
      <c r="P138" s="360">
        <v>96</v>
      </c>
      <c r="Q138" s="360">
        <v>96</v>
      </c>
      <c r="R138" s="363">
        <v>5.6</v>
      </c>
      <c r="S138" s="360">
        <v>3.94</v>
      </c>
      <c r="T138" s="360">
        <v>1.67</v>
      </c>
      <c r="U138" s="363">
        <v>3.9</v>
      </c>
      <c r="V138" s="360">
        <v>3.56</v>
      </c>
      <c r="W138" s="191" t="str">
        <f t="shared" si="13"/>
        <v>Jacob Misiorowski</v>
      </c>
      <c r="X138" s="192">
        <f t="shared" si="15"/>
        <v>5.442148837842673</v>
      </c>
      <c r="Y138" s="192">
        <f t="shared" si="14"/>
        <v>1.1804438043205032</v>
      </c>
      <c r="Z138" s="158">
        <f>RANK(X138,$X$6:$X1357,1)</f>
        <v>121</v>
      </c>
      <c r="AA138" s="158">
        <v>1.25</v>
      </c>
      <c r="AB138" s="158">
        <v>8</v>
      </c>
      <c r="AC138" s="158">
        <v>2.2363</v>
      </c>
      <c r="AD138" s="190">
        <f t="shared" si="16"/>
        <v>0.46290724264671845</v>
      </c>
      <c r="AE138" s="158"/>
      <c r="AF138" s="158"/>
      <c r="AG138" s="158"/>
      <c r="AH138" s="158"/>
    </row>
    <row r="139" spans="1:34" ht="15.75" customHeight="1" thickBot="1">
      <c r="A139" s="357">
        <v>134</v>
      </c>
      <c r="B139" s="375" t="s">
        <v>197</v>
      </c>
      <c r="C139" s="375" t="s">
        <v>49</v>
      </c>
      <c r="D139" s="360">
        <v>9.31</v>
      </c>
      <c r="E139" s="360">
        <v>1.86</v>
      </c>
      <c r="F139" s="360">
        <v>5</v>
      </c>
      <c r="G139" s="360">
        <v>2.23</v>
      </c>
      <c r="H139" s="361">
        <v>0.25900000000000001</v>
      </c>
      <c r="I139" s="362">
        <v>5.1999999999999998E-2</v>
      </c>
      <c r="J139" s="362">
        <v>0.20699999999999999</v>
      </c>
      <c r="K139" s="363">
        <v>0.24</v>
      </c>
      <c r="L139" s="360">
        <v>1.1000000000000001</v>
      </c>
      <c r="M139" s="360">
        <v>0.26500000000000001</v>
      </c>
      <c r="N139" s="362">
        <v>0.746</v>
      </c>
      <c r="O139" s="363">
        <v>120</v>
      </c>
      <c r="P139" s="360">
        <v>125</v>
      </c>
      <c r="Q139" s="360">
        <v>95</v>
      </c>
      <c r="R139" s="363">
        <v>4.84</v>
      </c>
      <c r="S139" s="360">
        <v>5.16</v>
      </c>
      <c r="T139" s="360">
        <v>-0.32</v>
      </c>
      <c r="U139" s="363">
        <v>3.91</v>
      </c>
      <c r="V139" s="360">
        <v>3.55</v>
      </c>
      <c r="W139" s="191" t="str">
        <f t="shared" si="13"/>
        <v>Yu Darvish</v>
      </c>
      <c r="X139" s="192">
        <f t="shared" si="15"/>
        <v>4.8100219984130241</v>
      </c>
      <c r="Y139" s="192">
        <f t="shared" si="14"/>
        <v>1.0433306467455574</v>
      </c>
      <c r="Z139" s="158">
        <f>RANK(X139,$X$6:$X1358,1)</f>
        <v>106</v>
      </c>
      <c r="AA139" s="158">
        <v>3.875</v>
      </c>
      <c r="AB139" s="158">
        <v>8</v>
      </c>
      <c r="AC139" s="158">
        <v>2.9287999999999998</v>
      </c>
      <c r="AD139" s="190">
        <f t="shared" si="16"/>
        <v>1.4350124522048273</v>
      </c>
      <c r="AE139" s="158"/>
      <c r="AF139" s="158"/>
      <c r="AG139" s="158"/>
      <c r="AH139" s="158"/>
    </row>
    <row r="140" spans="1:34" ht="15.75" customHeight="1" thickBot="1">
      <c r="A140" s="357">
        <v>135</v>
      </c>
      <c r="B140" s="375" t="s">
        <v>198</v>
      </c>
      <c r="C140" s="375" t="s">
        <v>82</v>
      </c>
      <c r="D140" s="360">
        <v>9.7899999999999991</v>
      </c>
      <c r="E140" s="360">
        <v>2.97</v>
      </c>
      <c r="F140" s="360">
        <v>3.3</v>
      </c>
      <c r="G140" s="360">
        <v>0.3</v>
      </c>
      <c r="H140" s="361">
        <v>0.26400000000000001</v>
      </c>
      <c r="I140" s="362">
        <v>0.08</v>
      </c>
      <c r="J140" s="362">
        <v>0.184</v>
      </c>
      <c r="K140" s="363">
        <v>0.23699999999999999</v>
      </c>
      <c r="L140" s="360">
        <v>1.22</v>
      </c>
      <c r="M140" s="360">
        <v>0.32500000000000001</v>
      </c>
      <c r="N140" s="362">
        <v>0.82</v>
      </c>
      <c r="O140" s="363">
        <v>55</v>
      </c>
      <c r="P140" s="360">
        <v>61</v>
      </c>
      <c r="Q140" s="360">
        <v>79</v>
      </c>
      <c r="R140" s="363">
        <v>2.37</v>
      </c>
      <c r="S140" s="360">
        <v>2.48</v>
      </c>
      <c r="T140" s="360">
        <v>-0.1</v>
      </c>
      <c r="U140" s="363">
        <v>3.27</v>
      </c>
      <c r="V140" s="360">
        <v>3.52</v>
      </c>
      <c r="W140" s="191" t="str">
        <f t="shared" si="13"/>
        <v>Braxton Ashcraft</v>
      </c>
      <c r="X140" s="192">
        <f t="shared" si="15"/>
        <v>3.3606573453727795</v>
      </c>
      <c r="Y140" s="192">
        <f t="shared" si="14"/>
        <v>0.72895234217116256</v>
      </c>
      <c r="Z140" s="158">
        <f>RANK(X140,$X$6:$X1359,1)</f>
        <v>46</v>
      </c>
      <c r="AA140" s="158">
        <v>2.125</v>
      </c>
      <c r="AB140" s="158">
        <v>8</v>
      </c>
      <c r="AC140" s="158">
        <v>1.4076</v>
      </c>
      <c r="AD140" s="190">
        <f t="shared" si="16"/>
        <v>0.78694231249942137</v>
      </c>
      <c r="AE140" s="158"/>
      <c r="AF140" s="158"/>
      <c r="AG140" s="158"/>
      <c r="AH140" s="158"/>
    </row>
    <row r="141" spans="1:34" ht="15.75" customHeight="1" thickBot="1">
      <c r="A141" s="357">
        <v>136</v>
      </c>
      <c r="B141" s="375" t="s">
        <v>199</v>
      </c>
      <c r="C141" s="375" t="s">
        <v>93</v>
      </c>
      <c r="D141" s="360">
        <v>8.26</v>
      </c>
      <c r="E141" s="360">
        <v>1.56</v>
      </c>
      <c r="F141" s="360">
        <v>5.29</v>
      </c>
      <c r="G141" s="360">
        <v>1.79</v>
      </c>
      <c r="H141" s="361">
        <v>0.23300000000000001</v>
      </c>
      <c r="I141" s="362">
        <v>4.3999999999999997E-2</v>
      </c>
      <c r="J141" s="362">
        <v>0.189</v>
      </c>
      <c r="K141" s="363">
        <v>0.22500000000000001</v>
      </c>
      <c r="L141" s="360">
        <v>1.02</v>
      </c>
      <c r="M141" s="360">
        <v>0.245</v>
      </c>
      <c r="N141" s="362">
        <v>0.84399999999999997</v>
      </c>
      <c r="O141" s="363">
        <v>88</v>
      </c>
      <c r="P141" s="360">
        <v>106</v>
      </c>
      <c r="Q141" s="360">
        <v>80</v>
      </c>
      <c r="R141" s="363">
        <v>3.57</v>
      </c>
      <c r="S141" s="360">
        <v>4.47</v>
      </c>
      <c r="T141" s="360">
        <v>-0.9</v>
      </c>
      <c r="U141" s="363">
        <v>3.35</v>
      </c>
      <c r="V141" s="360">
        <v>3.52</v>
      </c>
      <c r="W141" s="191" t="str">
        <f t="shared" si="13"/>
        <v>Shane Bieber</v>
      </c>
      <c r="X141" s="192">
        <f t="shared" si="15"/>
        <v>3.7611325873256756</v>
      </c>
      <c r="Y141" s="192">
        <f t="shared" si="14"/>
        <v>0.81581849233225401</v>
      </c>
      <c r="Z141" s="158">
        <f>RANK(X141,$X$6:$X1360,1)</f>
        <v>58</v>
      </c>
      <c r="AA141" s="158">
        <v>2.3332999999999999</v>
      </c>
      <c r="AB141" s="158">
        <v>6</v>
      </c>
      <c r="AC141" s="158">
        <v>2.5371999999999999</v>
      </c>
      <c r="AD141" s="190">
        <f t="shared" si="16"/>
        <v>0.86408117541407059</v>
      </c>
      <c r="AE141" s="158"/>
      <c r="AF141" s="158"/>
      <c r="AG141" s="158"/>
      <c r="AH141" s="158"/>
    </row>
    <row r="142" spans="1:34" ht="15.75" customHeight="1" thickBot="1">
      <c r="A142" s="357">
        <v>137</v>
      </c>
      <c r="B142" s="375" t="s">
        <v>200</v>
      </c>
      <c r="C142" s="375" t="s">
        <v>42</v>
      </c>
      <c r="D142" s="360">
        <v>9.0399999999999991</v>
      </c>
      <c r="E142" s="360">
        <v>2.66</v>
      </c>
      <c r="F142" s="360">
        <v>3.4</v>
      </c>
      <c r="G142" s="360">
        <v>0.53</v>
      </c>
      <c r="H142" s="361">
        <v>0.24099999999999999</v>
      </c>
      <c r="I142" s="362">
        <v>7.0999999999999994E-2</v>
      </c>
      <c r="J142" s="362">
        <v>0.17</v>
      </c>
      <c r="K142" s="363">
        <v>0.23300000000000001</v>
      </c>
      <c r="L142" s="360">
        <v>1.18</v>
      </c>
      <c r="M142" s="360">
        <v>0.30099999999999999</v>
      </c>
      <c r="N142" s="362">
        <v>0.77800000000000002</v>
      </c>
      <c r="O142" s="363">
        <v>76</v>
      </c>
      <c r="P142" s="360">
        <v>68</v>
      </c>
      <c r="Q142" s="360">
        <v>79</v>
      </c>
      <c r="R142" s="363">
        <v>3.06</v>
      </c>
      <c r="S142" s="360">
        <v>2.94</v>
      </c>
      <c r="T142" s="360">
        <v>0.11</v>
      </c>
      <c r="U142" s="363">
        <v>3.31</v>
      </c>
      <c r="V142" s="360">
        <v>3.52</v>
      </c>
      <c r="W142" s="191" t="str">
        <f t="shared" si="13"/>
        <v>Max Fried</v>
      </c>
      <c r="X142" s="192">
        <f t="shared" si="15"/>
        <v>3.3599234500470847</v>
      </c>
      <c r="Y142" s="192">
        <f t="shared" si="14"/>
        <v>0.72879315464872441</v>
      </c>
      <c r="Z142" s="158">
        <f>RANK(X142,$X$6:$X1361,1)</f>
        <v>45</v>
      </c>
      <c r="AA142" s="158">
        <v>3.75</v>
      </c>
      <c r="AB142" s="158">
        <v>8</v>
      </c>
      <c r="AC142" s="158">
        <v>1.6687000000000001</v>
      </c>
      <c r="AD142" s="190">
        <f t="shared" si="16"/>
        <v>1.3887217279401554</v>
      </c>
      <c r="AE142" s="158"/>
      <c r="AF142" s="158"/>
      <c r="AG142" s="158"/>
      <c r="AH142" s="158"/>
    </row>
    <row r="143" spans="1:34" ht="15.75" customHeight="1" thickBot="1">
      <c r="A143" s="357">
        <v>138</v>
      </c>
      <c r="B143" s="375" t="s">
        <v>201</v>
      </c>
      <c r="C143" s="375" t="s">
        <v>80</v>
      </c>
      <c r="D143" s="360">
        <v>8.6199999999999992</v>
      </c>
      <c r="E143" s="360">
        <v>1.36</v>
      </c>
      <c r="F143" s="360">
        <v>6.33</v>
      </c>
      <c r="G143" s="360">
        <v>0.91</v>
      </c>
      <c r="H143" s="361">
        <v>0.23</v>
      </c>
      <c r="I143" s="362">
        <v>3.5999999999999997E-2</v>
      </c>
      <c r="J143" s="362">
        <v>0.19400000000000001</v>
      </c>
      <c r="K143" s="363">
        <v>0.28899999999999998</v>
      </c>
      <c r="L143" s="360">
        <v>1.31</v>
      </c>
      <c r="M143" s="360">
        <v>0.35899999999999999</v>
      </c>
      <c r="N143" s="362">
        <v>0.86199999999999999</v>
      </c>
      <c r="O143" s="363">
        <v>67</v>
      </c>
      <c r="P143" s="360">
        <v>72</v>
      </c>
      <c r="Q143" s="360">
        <v>75</v>
      </c>
      <c r="R143" s="363">
        <v>2.72</v>
      </c>
      <c r="S143" s="360">
        <v>2.98</v>
      </c>
      <c r="T143" s="360">
        <v>-0.26</v>
      </c>
      <c r="U143" s="363">
        <v>3.15</v>
      </c>
      <c r="V143" s="360">
        <v>3.44</v>
      </c>
      <c r="W143" s="191" t="str">
        <f t="shared" si="13"/>
        <v>Parker Messick</v>
      </c>
      <c r="X143" s="192">
        <f t="shared" si="15"/>
        <v>4.2617348822654009</v>
      </c>
      <c r="Y143" s="192">
        <f t="shared" si="14"/>
        <v>0.92440296789475551</v>
      </c>
      <c r="Z143" s="158">
        <f>RANK(X143,$X$6:$X1362,1)</f>
        <v>79</v>
      </c>
      <c r="AA143" s="158">
        <v>2.5</v>
      </c>
      <c r="AB143" s="158">
        <v>4</v>
      </c>
      <c r="AC143" s="158">
        <v>1.6914</v>
      </c>
      <c r="AD143" s="190">
        <f t="shared" si="16"/>
        <v>1</v>
      </c>
      <c r="AE143" s="158"/>
      <c r="AF143" s="158"/>
      <c r="AG143" s="158"/>
      <c r="AH143" s="158"/>
    </row>
    <row r="144" spans="1:34" ht="15.75" customHeight="1" thickBot="1">
      <c r="A144" s="357">
        <v>139</v>
      </c>
      <c r="B144" s="375" t="s">
        <v>202</v>
      </c>
      <c r="C144" s="375" t="s">
        <v>53</v>
      </c>
      <c r="D144" s="360">
        <v>10.31</v>
      </c>
      <c r="E144" s="360">
        <v>2.73</v>
      </c>
      <c r="F144" s="360">
        <v>3.78</v>
      </c>
      <c r="G144" s="360">
        <v>1.52</v>
      </c>
      <c r="H144" s="361">
        <v>0.27200000000000002</v>
      </c>
      <c r="I144" s="362">
        <v>7.1999999999999995E-2</v>
      </c>
      <c r="J144" s="362">
        <v>0.2</v>
      </c>
      <c r="K144" s="363">
        <v>0.246</v>
      </c>
      <c r="L144" s="360">
        <v>1.26</v>
      </c>
      <c r="M144" s="360">
        <v>0.30499999999999999</v>
      </c>
      <c r="N144" s="362">
        <v>0.73799999999999999</v>
      </c>
      <c r="O144" s="363">
        <v>99</v>
      </c>
      <c r="P144" s="360">
        <v>97</v>
      </c>
      <c r="Q144" s="360">
        <v>77</v>
      </c>
      <c r="R144" s="363">
        <v>4.0999999999999996</v>
      </c>
      <c r="S144" s="360">
        <v>3.94</v>
      </c>
      <c r="T144" s="360">
        <v>0.15</v>
      </c>
      <c r="U144" s="363">
        <v>3.16</v>
      </c>
      <c r="V144" s="360">
        <v>3.4</v>
      </c>
      <c r="W144" s="191" t="str">
        <f t="shared" si="13"/>
        <v>Sonny Gray</v>
      </c>
      <c r="X144" s="192">
        <f t="shared" si="15"/>
        <v>4.7259389613788194</v>
      </c>
      <c r="Y144" s="192">
        <f t="shared" si="14"/>
        <v>1.0250923914032386</v>
      </c>
      <c r="Z144" s="158">
        <f>RANK(X144,$X$6:$X1363,1)</f>
        <v>102</v>
      </c>
      <c r="AA144" s="158">
        <v>3.5</v>
      </c>
      <c r="AB144" s="158">
        <v>8</v>
      </c>
      <c r="AC144" s="158">
        <v>2.2363</v>
      </c>
      <c r="AD144" s="190">
        <f t="shared" si="16"/>
        <v>1.2961402794108117</v>
      </c>
      <c r="AE144" s="158"/>
      <c r="AF144" s="158"/>
      <c r="AG144" s="158"/>
      <c r="AH144" s="158"/>
    </row>
    <row r="145" spans="1:34" ht="15.75" customHeight="1" thickBot="1">
      <c r="A145" s="357">
        <v>140</v>
      </c>
      <c r="B145" s="375" t="s">
        <v>203</v>
      </c>
      <c r="C145" s="375" t="s">
        <v>132</v>
      </c>
      <c r="D145" s="360">
        <v>11.15</v>
      </c>
      <c r="E145" s="360">
        <v>3.23</v>
      </c>
      <c r="F145" s="360">
        <v>3.45</v>
      </c>
      <c r="G145" s="360">
        <v>1.47</v>
      </c>
      <c r="H145" s="361">
        <v>0.311</v>
      </c>
      <c r="I145" s="362">
        <v>0.09</v>
      </c>
      <c r="J145" s="362">
        <v>0.221</v>
      </c>
      <c r="K145" s="363">
        <v>0.16400000000000001</v>
      </c>
      <c r="L145" s="360">
        <v>0.95</v>
      </c>
      <c r="M145" s="360">
        <v>0.19400000000000001</v>
      </c>
      <c r="N145" s="362">
        <v>0.73899999999999999</v>
      </c>
      <c r="O145" s="363">
        <v>85</v>
      </c>
      <c r="P145" s="360">
        <v>94</v>
      </c>
      <c r="Q145" s="360">
        <v>87</v>
      </c>
      <c r="R145" s="363">
        <v>3.52</v>
      </c>
      <c r="S145" s="360">
        <v>3.95</v>
      </c>
      <c r="T145" s="360">
        <v>-0.43</v>
      </c>
      <c r="U145" s="363">
        <v>3.64</v>
      </c>
      <c r="V145" s="360">
        <v>3.37</v>
      </c>
      <c r="W145" s="191" t="str">
        <f t="shared" si="13"/>
        <v>Simeon Woods Richardson</v>
      </c>
      <c r="X145" s="192">
        <f t="shared" si="15"/>
        <v>3.2980222862784561</v>
      </c>
      <c r="Y145" s="192">
        <f t="shared" si="14"/>
        <v>0.71536631767160996</v>
      </c>
      <c r="Z145" s="158">
        <f>RANK(X145,$X$6:$X1364,1)</f>
        <v>42</v>
      </c>
      <c r="AA145" s="158">
        <v>3.25</v>
      </c>
      <c r="AB145" s="158">
        <v>8</v>
      </c>
      <c r="AC145" s="158">
        <v>2.242</v>
      </c>
      <c r="AD145" s="190">
        <f t="shared" si="16"/>
        <v>1.203558830881468</v>
      </c>
      <c r="AE145" s="158"/>
      <c r="AF145" s="158"/>
      <c r="AG145" s="158"/>
      <c r="AH145" s="158"/>
    </row>
    <row r="146" spans="1:34" ht="15.75" customHeight="1" thickBot="1">
      <c r="A146" s="357">
        <v>141</v>
      </c>
      <c r="B146" s="375" t="s">
        <v>204</v>
      </c>
      <c r="C146" s="375" t="s">
        <v>56</v>
      </c>
      <c r="D146" s="360">
        <v>11.13</v>
      </c>
      <c r="E146" s="360">
        <v>3.09</v>
      </c>
      <c r="F146" s="360">
        <v>3.6</v>
      </c>
      <c r="G146" s="360">
        <v>1.44</v>
      </c>
      <c r="H146" s="361">
        <v>0.28999999999999998</v>
      </c>
      <c r="I146" s="362">
        <v>8.1000000000000003E-2</v>
      </c>
      <c r="J146" s="362">
        <v>0.21</v>
      </c>
      <c r="K146" s="363">
        <v>0.22800000000000001</v>
      </c>
      <c r="L146" s="360">
        <v>1.21</v>
      </c>
      <c r="M146" s="360">
        <v>0.29199999999999998</v>
      </c>
      <c r="N146" s="362">
        <v>0.74199999999999999</v>
      </c>
      <c r="O146" s="363">
        <v>92</v>
      </c>
      <c r="P146" s="360">
        <v>98</v>
      </c>
      <c r="Q146" s="360">
        <v>80</v>
      </c>
      <c r="R146" s="363">
        <v>3.92</v>
      </c>
      <c r="S146" s="360">
        <v>4.05</v>
      </c>
      <c r="T146" s="360">
        <v>-0.14000000000000001</v>
      </c>
      <c r="U146" s="363">
        <v>3.27</v>
      </c>
      <c r="V146" s="360">
        <v>3.37</v>
      </c>
      <c r="W146" s="191" t="str">
        <f t="shared" si="13"/>
        <v>Edward Cabrera</v>
      </c>
      <c r="X146" s="192">
        <f t="shared" si="15"/>
        <v>4.6265487896318085</v>
      </c>
      <c r="Y146" s="192">
        <f t="shared" si="14"/>
        <v>1.0035339011919311</v>
      </c>
      <c r="Z146" s="158">
        <f>RANK(X146,$X$6:$X1365,1)</f>
        <v>101</v>
      </c>
      <c r="AA146" s="158">
        <v>2.875</v>
      </c>
      <c r="AB146" s="158">
        <v>8</v>
      </c>
      <c r="AC146" s="158">
        <v>2.2988</v>
      </c>
      <c r="AD146" s="190">
        <f t="shared" si="16"/>
        <v>1.0646866580874526</v>
      </c>
      <c r="AE146" s="158"/>
      <c r="AF146" s="158"/>
      <c r="AG146" s="158"/>
      <c r="AH146" s="158"/>
    </row>
    <row r="147" spans="1:34" ht="15.75" customHeight="1" thickBot="1">
      <c r="A147" s="357">
        <v>142</v>
      </c>
      <c r="B147" s="375" t="s">
        <v>205</v>
      </c>
      <c r="C147" s="375" t="s">
        <v>86</v>
      </c>
      <c r="D147" s="360">
        <v>10.1</v>
      </c>
      <c r="E147" s="360">
        <v>2.02</v>
      </c>
      <c r="F147" s="360">
        <v>5</v>
      </c>
      <c r="G147" s="360">
        <v>1.84</v>
      </c>
      <c r="H147" s="361">
        <v>0.28599999999999998</v>
      </c>
      <c r="I147" s="362">
        <v>5.7000000000000002E-2</v>
      </c>
      <c r="J147" s="362">
        <v>0.22900000000000001</v>
      </c>
      <c r="K147" s="363">
        <v>0.189</v>
      </c>
      <c r="L147" s="360">
        <v>0.92</v>
      </c>
      <c r="M147" s="360">
        <v>0.20899999999999999</v>
      </c>
      <c r="N147" s="362">
        <v>0.75</v>
      </c>
      <c r="O147" s="363">
        <v>100</v>
      </c>
      <c r="P147" s="360">
        <v>102</v>
      </c>
      <c r="Q147" s="360">
        <v>85</v>
      </c>
      <c r="R147" s="363">
        <v>4.04</v>
      </c>
      <c r="S147" s="360">
        <v>4.28</v>
      </c>
      <c r="T147" s="360">
        <v>-0.24</v>
      </c>
      <c r="U147" s="363">
        <v>3.58</v>
      </c>
      <c r="V147" s="360">
        <v>3.36</v>
      </c>
      <c r="W147" s="191" t="str">
        <f t="shared" si="13"/>
        <v>Jacob deGrom</v>
      </c>
      <c r="X147" s="192">
        <f t="shared" si="15"/>
        <v>3.4403145541625846</v>
      </c>
      <c r="Y147" s="192">
        <f t="shared" si="14"/>
        <v>0.74623060143734332</v>
      </c>
      <c r="Z147" s="158">
        <f>RANK(X147,$X$6:$X1366,1)</f>
        <v>48</v>
      </c>
      <c r="AA147" s="158">
        <v>1.75</v>
      </c>
      <c r="AB147" s="158">
        <v>8</v>
      </c>
      <c r="AC147" s="158">
        <v>2.4293</v>
      </c>
      <c r="AD147" s="190">
        <f t="shared" si="16"/>
        <v>0.64807013970540583</v>
      </c>
      <c r="AE147" s="158"/>
      <c r="AF147" s="158"/>
      <c r="AG147" s="158"/>
      <c r="AH147" s="158"/>
    </row>
    <row r="148" spans="1:34" ht="15.75" customHeight="1" thickBot="1">
      <c r="A148" s="357">
        <v>143</v>
      </c>
      <c r="B148" s="375" t="s">
        <v>206</v>
      </c>
      <c r="C148" s="375" t="s">
        <v>42</v>
      </c>
      <c r="D148" s="360">
        <v>10.88</v>
      </c>
      <c r="E148" s="360">
        <v>3.11</v>
      </c>
      <c r="F148" s="360">
        <v>3.5</v>
      </c>
      <c r="G148" s="360">
        <v>0.71</v>
      </c>
      <c r="H148" s="361">
        <v>0.30399999999999999</v>
      </c>
      <c r="I148" s="362">
        <v>8.6999999999999994E-2</v>
      </c>
      <c r="J148" s="362">
        <v>0.217</v>
      </c>
      <c r="K148" s="363">
        <v>0.18099999999999999</v>
      </c>
      <c r="L148" s="360">
        <v>0.99</v>
      </c>
      <c r="M148" s="360">
        <v>0.25</v>
      </c>
      <c r="N148" s="362">
        <v>0.85199999999999998</v>
      </c>
      <c r="O148" s="363">
        <v>56</v>
      </c>
      <c r="P148" s="360">
        <v>69</v>
      </c>
      <c r="Q148" s="360">
        <v>79</v>
      </c>
      <c r="R148" s="363">
        <v>2.2599999999999998</v>
      </c>
      <c r="S148" s="360">
        <v>3</v>
      </c>
      <c r="T148" s="360">
        <v>-0.74</v>
      </c>
      <c r="U148" s="363">
        <v>3.36</v>
      </c>
      <c r="V148" s="360">
        <v>3.34</v>
      </c>
      <c r="W148" s="191" t="str">
        <f t="shared" si="13"/>
        <v>Cam Schlittler</v>
      </c>
      <c r="X148" s="192">
        <f t="shared" si="15"/>
        <v>2.805515380426157</v>
      </c>
      <c r="Y148" s="192">
        <f t="shared" si="14"/>
        <v>0.60853779406421959</v>
      </c>
      <c r="Z148" s="158">
        <f>RANK(X148,$X$6:$X1367,1)</f>
        <v>17</v>
      </c>
      <c r="AA148" s="158">
        <v>4.5</v>
      </c>
      <c r="AB148" s="158">
        <v>8</v>
      </c>
      <c r="AC148" s="158">
        <v>1.7028000000000001</v>
      </c>
      <c r="AD148" s="190">
        <f t="shared" si="16"/>
        <v>1.6664660735281864</v>
      </c>
      <c r="AE148" s="158"/>
      <c r="AF148" s="158"/>
      <c r="AG148" s="158"/>
      <c r="AH148" s="158"/>
    </row>
    <row r="149" spans="1:34" ht="15.75" customHeight="1" thickBot="1">
      <c r="A149" s="357">
        <v>144</v>
      </c>
      <c r="B149" s="375" t="s">
        <v>207</v>
      </c>
      <c r="C149" s="375" t="s">
        <v>60</v>
      </c>
      <c r="D149" s="360">
        <v>11.06</v>
      </c>
      <c r="E149" s="360">
        <v>2.93</v>
      </c>
      <c r="F149" s="360">
        <v>3.78</v>
      </c>
      <c r="G149" s="360">
        <v>1.3</v>
      </c>
      <c r="H149" s="361">
        <v>0.30399999999999999</v>
      </c>
      <c r="I149" s="362">
        <v>0.08</v>
      </c>
      <c r="J149" s="362">
        <v>0.223</v>
      </c>
      <c r="K149" s="363">
        <v>0.214</v>
      </c>
      <c r="L149" s="360">
        <v>1.1200000000000001</v>
      </c>
      <c r="M149" s="360">
        <v>0.27700000000000002</v>
      </c>
      <c r="N149" s="362">
        <v>0.748</v>
      </c>
      <c r="O149" s="363">
        <v>85</v>
      </c>
      <c r="P149" s="360">
        <v>83</v>
      </c>
      <c r="Q149" s="360">
        <v>79</v>
      </c>
      <c r="R149" s="363">
        <v>3.58</v>
      </c>
      <c r="S149" s="360">
        <v>3.53</v>
      </c>
      <c r="T149" s="360">
        <v>0.05</v>
      </c>
      <c r="U149" s="363">
        <v>3.32</v>
      </c>
      <c r="V149" s="360">
        <v>3.32</v>
      </c>
      <c r="W149" s="191" t="str">
        <f t="shared" si="13"/>
        <v>Jacob Lopez</v>
      </c>
      <c r="X149" s="192">
        <f t="shared" si="15"/>
        <v>3.9021107232738776</v>
      </c>
      <c r="Y149" s="192">
        <f t="shared" si="14"/>
        <v>0.84639773080649572</v>
      </c>
      <c r="Z149" s="158">
        <f>RANK(X149,$X$6:$X1368,1)</f>
        <v>66</v>
      </c>
      <c r="AA149" s="158">
        <v>3</v>
      </c>
      <c r="AB149" s="158">
        <v>8</v>
      </c>
      <c r="AC149" s="158">
        <v>2.0036</v>
      </c>
      <c r="AD149" s="190">
        <f t="shared" si="16"/>
        <v>1.1109773823521243</v>
      </c>
      <c r="AE149" s="158"/>
      <c r="AF149" s="158"/>
      <c r="AG149" s="158"/>
      <c r="AH149" s="158"/>
    </row>
    <row r="150" spans="1:34" ht="15.75" customHeight="1" thickBot="1">
      <c r="A150" s="357">
        <v>145</v>
      </c>
      <c r="B150" s="375" t="s">
        <v>208</v>
      </c>
      <c r="C150" s="375" t="s">
        <v>100</v>
      </c>
      <c r="D150" s="360">
        <v>10.87</v>
      </c>
      <c r="E150" s="360">
        <v>2.4500000000000002</v>
      </c>
      <c r="F150" s="360">
        <v>4.43</v>
      </c>
      <c r="G150" s="360">
        <v>0.35</v>
      </c>
      <c r="H150" s="361">
        <v>0.29499999999999998</v>
      </c>
      <c r="I150" s="362">
        <v>6.7000000000000004E-2</v>
      </c>
      <c r="J150" s="362">
        <v>0.22900000000000001</v>
      </c>
      <c r="K150" s="363">
        <v>0.20399999999999999</v>
      </c>
      <c r="L150" s="360">
        <v>1.05</v>
      </c>
      <c r="M150" s="360">
        <v>0.28799999999999998</v>
      </c>
      <c r="N150" s="362">
        <v>0.50800000000000001</v>
      </c>
      <c r="O150" s="363">
        <v>76</v>
      </c>
      <c r="P150" s="360">
        <v>47</v>
      </c>
      <c r="Q150" s="360">
        <v>75</v>
      </c>
      <c r="R150" s="363">
        <v>3.16</v>
      </c>
      <c r="S150" s="360">
        <v>2.04</v>
      </c>
      <c r="T150" s="360">
        <v>1.1100000000000001</v>
      </c>
      <c r="U150" s="363">
        <v>3.16</v>
      </c>
      <c r="V150" s="360">
        <v>3.28</v>
      </c>
      <c r="W150" s="191" t="str">
        <f t="shared" si="13"/>
        <v>Ian Seymour</v>
      </c>
      <c r="X150" s="192">
        <f t="shared" si="15"/>
        <v>2.5424441720142896</v>
      </c>
      <c r="Y150" s="192">
        <f t="shared" si="14"/>
        <v>0.55147563216495066</v>
      </c>
      <c r="Z150" s="158">
        <f>RANK(X150,$X$6:$X1369,1)</f>
        <v>11</v>
      </c>
      <c r="AA150" s="158">
        <v>2.1429</v>
      </c>
      <c r="AB150" s="158">
        <v>7</v>
      </c>
      <c r="AC150" s="158">
        <v>1.1578999999999999</v>
      </c>
      <c r="AD150" s="190">
        <f t="shared" si="16"/>
        <v>0.79357114421412245</v>
      </c>
      <c r="AE150" s="158"/>
      <c r="AF150" s="158"/>
      <c r="AG150" s="158"/>
      <c r="AH150" s="158"/>
    </row>
    <row r="151" spans="1:34" ht="15.75" customHeight="1" thickBot="1">
      <c r="A151" s="357">
        <v>146</v>
      </c>
      <c r="B151" s="375" t="s">
        <v>209</v>
      </c>
      <c r="C151" s="375" t="s">
        <v>93</v>
      </c>
      <c r="D151" s="360">
        <v>9.1999999999999993</v>
      </c>
      <c r="E151" s="360">
        <v>1.53</v>
      </c>
      <c r="F151" s="360">
        <v>6</v>
      </c>
      <c r="G151" s="360">
        <v>0.83</v>
      </c>
      <c r="H151" s="361">
        <v>0.26400000000000001</v>
      </c>
      <c r="I151" s="362">
        <v>4.3999999999999997E-2</v>
      </c>
      <c r="J151" s="362">
        <v>0.22</v>
      </c>
      <c r="K151" s="363">
        <v>0.20499999999999999</v>
      </c>
      <c r="L151" s="360">
        <v>0.93</v>
      </c>
      <c r="M151" s="360">
        <v>0.25800000000000001</v>
      </c>
      <c r="N151" s="362">
        <v>0.73499999999999999</v>
      </c>
      <c r="O151" s="363">
        <v>76</v>
      </c>
      <c r="P151" s="360">
        <v>64</v>
      </c>
      <c r="Q151" s="360">
        <v>72</v>
      </c>
      <c r="R151" s="363">
        <v>3.07</v>
      </c>
      <c r="S151" s="360">
        <v>2.78</v>
      </c>
      <c r="T151" s="360">
        <v>0.28000000000000003</v>
      </c>
      <c r="U151" s="363">
        <v>3.07</v>
      </c>
      <c r="V151" s="360">
        <v>3.27</v>
      </c>
      <c r="W151" s="191" t="str">
        <f t="shared" si="13"/>
        <v>Kevin Gausman</v>
      </c>
      <c r="X151" s="192">
        <f t="shared" si="15"/>
        <v>2.3645057082679006</v>
      </c>
      <c r="Y151" s="192">
        <f t="shared" si="14"/>
        <v>0.51287941524064506</v>
      </c>
      <c r="Z151" s="158">
        <f>RANK(X151,$X$6:$X1370,1)</f>
        <v>7</v>
      </c>
      <c r="AA151" s="158">
        <v>1.875</v>
      </c>
      <c r="AB151" s="158">
        <v>8</v>
      </c>
      <c r="AC151" s="158">
        <v>1.5779000000000001</v>
      </c>
      <c r="AD151" s="190">
        <f t="shared" si="16"/>
        <v>0.69436086397007768</v>
      </c>
      <c r="AE151" s="158"/>
      <c r="AF151" s="158"/>
      <c r="AG151" s="158"/>
      <c r="AH151" s="158"/>
    </row>
    <row r="152" spans="1:34" ht="15.75" customHeight="1" thickBot="1">
      <c r="A152" s="357">
        <v>147</v>
      </c>
      <c r="B152" s="375" t="s">
        <v>210</v>
      </c>
      <c r="C152" s="375" t="s">
        <v>137</v>
      </c>
      <c r="D152" s="360">
        <v>10.55</v>
      </c>
      <c r="E152" s="360">
        <v>1.83</v>
      </c>
      <c r="F152" s="360">
        <v>5.77</v>
      </c>
      <c r="G152" s="360">
        <v>1.55</v>
      </c>
      <c r="H152" s="361">
        <v>0.28399999999999997</v>
      </c>
      <c r="I152" s="362">
        <v>4.9000000000000002E-2</v>
      </c>
      <c r="J152" s="362">
        <v>0.23499999999999999</v>
      </c>
      <c r="K152" s="363">
        <v>0.223</v>
      </c>
      <c r="L152" s="360">
        <v>1.06</v>
      </c>
      <c r="M152" s="360">
        <v>0.27300000000000002</v>
      </c>
      <c r="N152" s="362">
        <v>0.81299999999999994</v>
      </c>
      <c r="O152" s="363">
        <v>98</v>
      </c>
      <c r="P152" s="360">
        <v>95</v>
      </c>
      <c r="Q152" s="360">
        <v>84</v>
      </c>
      <c r="R152" s="363">
        <v>3.66</v>
      </c>
      <c r="S152" s="360">
        <v>3.81</v>
      </c>
      <c r="T152" s="360">
        <v>-0.15</v>
      </c>
      <c r="U152" s="363">
        <v>3.53</v>
      </c>
      <c r="V152" s="360">
        <v>3.21</v>
      </c>
      <c r="W152" s="191" t="str">
        <f t="shared" si="13"/>
        <v>Logan Gilbert</v>
      </c>
      <c r="X152" s="192">
        <f t="shared" si="15"/>
        <v>3.8867482899810315</v>
      </c>
      <c r="Y152" s="192">
        <f t="shared" si="14"/>
        <v>0.84306550125155844</v>
      </c>
      <c r="Z152" s="158">
        <f>RANK(X152,$X$6:$X1371,1)</f>
        <v>65</v>
      </c>
      <c r="AA152" s="158">
        <v>2</v>
      </c>
      <c r="AB152" s="158">
        <v>8</v>
      </c>
      <c r="AC152" s="158">
        <v>2.1625999999999999</v>
      </c>
      <c r="AD152" s="190">
        <f t="shared" si="16"/>
        <v>0.74065158823474952</v>
      </c>
      <c r="AE152" s="158"/>
      <c r="AF152" s="158"/>
      <c r="AG152" s="158"/>
      <c r="AH152" s="158"/>
    </row>
    <row r="153" spans="1:34" ht="15.75" customHeight="1" thickBot="1">
      <c r="A153" s="357">
        <v>148</v>
      </c>
      <c r="B153" s="375" t="s">
        <v>211</v>
      </c>
      <c r="C153" s="375" t="s">
        <v>91</v>
      </c>
      <c r="D153" s="360">
        <v>11.57</v>
      </c>
      <c r="E153" s="360">
        <v>1.93</v>
      </c>
      <c r="F153" s="360">
        <v>6</v>
      </c>
      <c r="G153" s="360">
        <v>2.17</v>
      </c>
      <c r="H153" s="361">
        <v>0.28100000000000003</v>
      </c>
      <c r="I153" s="362">
        <v>4.7E-2</v>
      </c>
      <c r="J153" s="362">
        <v>0.23400000000000001</v>
      </c>
      <c r="K153" s="363">
        <v>0.28699999999999998</v>
      </c>
      <c r="L153" s="360">
        <v>1.42</v>
      </c>
      <c r="M153" s="360">
        <v>0.36</v>
      </c>
      <c r="N153" s="362">
        <v>0.60299999999999998</v>
      </c>
      <c r="O153" s="363">
        <v>184</v>
      </c>
      <c r="P153" s="360">
        <v>117</v>
      </c>
      <c r="Q153" s="360">
        <v>83</v>
      </c>
      <c r="R153" s="363">
        <v>7.47</v>
      </c>
      <c r="S153" s="360">
        <v>4.82</v>
      </c>
      <c r="T153" s="360">
        <v>2.65</v>
      </c>
      <c r="U153" s="363">
        <v>3.42</v>
      </c>
      <c r="V153" s="360">
        <v>3.18</v>
      </c>
      <c r="W153" s="191" t="str">
        <f t="shared" si="13"/>
        <v>Sean Manaea</v>
      </c>
      <c r="X153" s="192">
        <f t="shared" si="15"/>
        <v>6.4561038289614388</v>
      </c>
      <c r="Y153" s="192">
        <f t="shared" si="14"/>
        <v>1.400378415223293</v>
      </c>
      <c r="Z153" s="158">
        <f>RANK(X153,$X$6:$X1372,1)</f>
        <v>146</v>
      </c>
      <c r="AA153" s="158">
        <v>3.3332999999999999</v>
      </c>
      <c r="AB153" s="158">
        <v>6</v>
      </c>
      <c r="AC153" s="158">
        <v>2.7357999999999998</v>
      </c>
      <c r="AD153" s="190">
        <f t="shared" si="16"/>
        <v>1.2344069695314452</v>
      </c>
      <c r="AE153" s="158"/>
      <c r="AF153" s="158"/>
      <c r="AG153" s="158"/>
      <c r="AH153" s="158"/>
    </row>
    <row r="154" spans="1:34" ht="15.75" customHeight="1" thickBot="1">
      <c r="A154" s="357">
        <v>149</v>
      </c>
      <c r="B154" s="375" t="s">
        <v>212</v>
      </c>
      <c r="C154" s="375" t="s">
        <v>137</v>
      </c>
      <c r="D154" s="360">
        <v>10.35</v>
      </c>
      <c r="E154" s="360">
        <v>1.95</v>
      </c>
      <c r="F154" s="360">
        <v>5.31</v>
      </c>
      <c r="G154" s="360">
        <v>1.05</v>
      </c>
      <c r="H154" s="361">
        <v>0.27400000000000002</v>
      </c>
      <c r="I154" s="362">
        <v>5.1999999999999998E-2</v>
      </c>
      <c r="J154" s="362">
        <v>0.222</v>
      </c>
      <c r="K154" s="363">
        <v>0.255</v>
      </c>
      <c r="L154" s="360">
        <v>1.22</v>
      </c>
      <c r="M154" s="360">
        <v>0.33300000000000002</v>
      </c>
      <c r="N154" s="362">
        <v>0.72899999999999998</v>
      </c>
      <c r="O154" s="363">
        <v>106</v>
      </c>
      <c r="P154" s="360">
        <v>80</v>
      </c>
      <c r="Q154" s="360">
        <v>72</v>
      </c>
      <c r="R154" s="363">
        <v>4.05</v>
      </c>
      <c r="S154" s="360">
        <v>3.19</v>
      </c>
      <c r="T154" s="360">
        <v>0.86</v>
      </c>
      <c r="U154" s="363">
        <v>3.02</v>
      </c>
      <c r="V154" s="360">
        <v>3.17</v>
      </c>
      <c r="W154" s="191" t="str">
        <f t="shared" si="13"/>
        <v>George Kirby</v>
      </c>
      <c r="X154" s="192">
        <f t="shared" si="15"/>
        <v>4.1741620573293119</v>
      </c>
      <c r="Y154" s="192">
        <f t="shared" si="14"/>
        <v>0.90540775080259872</v>
      </c>
      <c r="Z154" s="158">
        <f>RANK(X154,$X$6:$X1373,1)</f>
        <v>77</v>
      </c>
      <c r="AA154" s="158">
        <v>2.75</v>
      </c>
      <c r="AB154" s="158">
        <v>8</v>
      </c>
      <c r="AC154" s="158">
        <v>1.8106</v>
      </c>
      <c r="AD154" s="190">
        <f t="shared" si="16"/>
        <v>1.0183959338227806</v>
      </c>
      <c r="AE154" s="158"/>
      <c r="AF154" s="158"/>
      <c r="AG154" s="158"/>
      <c r="AH154" s="158"/>
    </row>
    <row r="155" spans="1:34" ht="15.75" customHeight="1" thickBot="1">
      <c r="A155" s="357">
        <v>150</v>
      </c>
      <c r="B155" s="375" t="s">
        <v>213</v>
      </c>
      <c r="C155" s="375" t="s">
        <v>143</v>
      </c>
      <c r="D155" s="360">
        <v>10.52</v>
      </c>
      <c r="E155" s="360">
        <v>2.84</v>
      </c>
      <c r="F155" s="360">
        <v>3.7</v>
      </c>
      <c r="G155" s="360">
        <v>0.71</v>
      </c>
      <c r="H155" s="361">
        <v>0.307</v>
      </c>
      <c r="I155" s="362">
        <v>8.3000000000000004E-2</v>
      </c>
      <c r="J155" s="362">
        <v>0.224</v>
      </c>
      <c r="K155" s="363">
        <v>0.159</v>
      </c>
      <c r="L155" s="360">
        <v>0.87</v>
      </c>
      <c r="M155" s="360">
        <v>0.21299999999999999</v>
      </c>
      <c r="N155" s="362">
        <v>0.81599999999999995</v>
      </c>
      <c r="O155" s="363">
        <v>54</v>
      </c>
      <c r="P155" s="360">
        <v>67</v>
      </c>
      <c r="Q155" s="360">
        <v>71</v>
      </c>
      <c r="R155" s="363">
        <v>2.27</v>
      </c>
      <c r="S155" s="360">
        <v>2.81</v>
      </c>
      <c r="T155" s="360">
        <v>-0.53</v>
      </c>
      <c r="U155" s="363">
        <v>2.89</v>
      </c>
      <c r="V155" s="360">
        <v>3.14</v>
      </c>
      <c r="W155" s="191" t="str">
        <f t="shared" si="13"/>
        <v>Yoshinobu Yamamoto</v>
      </c>
      <c r="X155" s="192">
        <f t="shared" si="15"/>
        <v>2.1073030134056805</v>
      </c>
      <c r="Y155" s="192">
        <f t="shared" si="14"/>
        <v>0.45709017892034626</v>
      </c>
      <c r="Z155" s="158">
        <f>RANK(X155,$X$6:$X1374,1)</f>
        <v>5</v>
      </c>
      <c r="AA155" s="158">
        <v>1.375</v>
      </c>
      <c r="AB155" s="158">
        <v>8</v>
      </c>
      <c r="AC155" s="158">
        <v>1.595</v>
      </c>
      <c r="AD155" s="190">
        <f t="shared" si="16"/>
        <v>0.5091979669113903</v>
      </c>
      <c r="AE155" s="158"/>
      <c r="AF155" s="158"/>
      <c r="AG155" s="158"/>
      <c r="AH155" s="158"/>
    </row>
    <row r="156" spans="1:34" ht="15.75" customHeight="1" thickBot="1">
      <c r="A156" s="357">
        <v>151</v>
      </c>
      <c r="B156" s="375" t="s">
        <v>214</v>
      </c>
      <c r="C156" s="375" t="s">
        <v>44</v>
      </c>
      <c r="D156" s="360">
        <v>10.11</v>
      </c>
      <c r="E156" s="360">
        <v>1.86</v>
      </c>
      <c r="F156" s="360">
        <v>5.43</v>
      </c>
      <c r="G156" s="360">
        <v>1.2</v>
      </c>
      <c r="H156" s="361">
        <v>0.28799999999999998</v>
      </c>
      <c r="I156" s="362">
        <v>5.2999999999999999E-2</v>
      </c>
      <c r="J156" s="362">
        <v>0.23499999999999999</v>
      </c>
      <c r="K156" s="363">
        <v>0.20499999999999999</v>
      </c>
      <c r="L156" s="360">
        <v>0.96</v>
      </c>
      <c r="M156" s="360">
        <v>0.25600000000000001</v>
      </c>
      <c r="N156" s="362">
        <v>0.76800000000000002</v>
      </c>
      <c r="O156" s="363">
        <v>55</v>
      </c>
      <c r="P156" s="360">
        <v>77</v>
      </c>
      <c r="Q156" s="360">
        <v>74</v>
      </c>
      <c r="R156" s="363">
        <v>2.2599999999999998</v>
      </c>
      <c r="S156" s="360">
        <v>3.27</v>
      </c>
      <c r="T156" s="360">
        <v>-1.01</v>
      </c>
      <c r="U156" s="363">
        <v>3.13</v>
      </c>
      <c r="V156" s="360">
        <v>3.12</v>
      </c>
      <c r="W156" s="191" t="str">
        <f t="shared" si="13"/>
        <v>Tarik Skubal</v>
      </c>
      <c r="X156" s="192">
        <f t="shared" si="15"/>
        <v>2.9885883781819458</v>
      </c>
      <c r="Y156" s="192">
        <f t="shared" si="14"/>
        <v>0.64824773077827491</v>
      </c>
      <c r="Z156" s="158">
        <f>RANK(X156,$X$6:$X1375,1)</f>
        <v>25</v>
      </c>
      <c r="AA156" s="158">
        <v>1.5</v>
      </c>
      <c r="AB156" s="158">
        <v>8</v>
      </c>
      <c r="AC156" s="158">
        <v>1.8561000000000001</v>
      </c>
      <c r="AD156" s="190">
        <f t="shared" si="16"/>
        <v>0.55548869117606214</v>
      </c>
      <c r="AE156" s="158"/>
      <c r="AF156" s="158"/>
      <c r="AG156" s="158"/>
      <c r="AH156" s="158"/>
    </row>
    <row r="157" spans="1:34" ht="15.75" customHeight="1" thickBot="1">
      <c r="A157" s="357">
        <v>152</v>
      </c>
      <c r="B157" s="375" t="s">
        <v>215</v>
      </c>
      <c r="C157" s="375" t="s">
        <v>70</v>
      </c>
      <c r="D157" s="360">
        <v>11.48</v>
      </c>
      <c r="E157" s="360">
        <v>2.34</v>
      </c>
      <c r="F157" s="360">
        <v>4.91</v>
      </c>
      <c r="G157" s="360">
        <v>1.06</v>
      </c>
      <c r="H157" s="361">
        <v>0.312</v>
      </c>
      <c r="I157" s="362">
        <v>6.4000000000000001E-2</v>
      </c>
      <c r="J157" s="362">
        <v>0.249</v>
      </c>
      <c r="K157" s="363">
        <v>0.2</v>
      </c>
      <c r="L157" s="360">
        <v>1.02</v>
      </c>
      <c r="M157" s="360">
        <v>0.26700000000000002</v>
      </c>
      <c r="N157" s="362">
        <v>0.63200000000000001</v>
      </c>
      <c r="O157" s="363">
        <v>92</v>
      </c>
      <c r="P157" s="360">
        <v>74</v>
      </c>
      <c r="Q157" s="360">
        <v>82</v>
      </c>
      <c r="R157" s="363">
        <v>3.83</v>
      </c>
      <c r="S157" s="360">
        <v>3.04</v>
      </c>
      <c r="T157" s="360">
        <v>0.79</v>
      </c>
      <c r="U157" s="363">
        <v>3.36</v>
      </c>
      <c r="V157" s="360">
        <v>3.05</v>
      </c>
      <c r="W157" s="191" t="str">
        <f t="shared" si="13"/>
        <v>Brandon Woodruff</v>
      </c>
      <c r="X157" s="192">
        <f t="shared" si="15"/>
        <v>3.2546063118271533</v>
      </c>
      <c r="Y157" s="192">
        <f t="shared" si="14"/>
        <v>0.70594905997126856</v>
      </c>
      <c r="Z157" s="158">
        <f>RANK(X157,$X$6:$X1376,1)</f>
        <v>38</v>
      </c>
      <c r="AA157" s="158">
        <v>2.625</v>
      </c>
      <c r="AB157" s="158">
        <v>8</v>
      </c>
      <c r="AC157" s="158">
        <v>1.7255</v>
      </c>
      <c r="AD157" s="190">
        <f t="shared" si="16"/>
        <v>0.97210520955810875</v>
      </c>
      <c r="AE157" s="158"/>
      <c r="AF157" s="158"/>
      <c r="AG157" s="158"/>
      <c r="AH157" s="158"/>
    </row>
    <row r="158" spans="1:34" ht="15.75" customHeight="1" thickBot="1">
      <c r="A158" s="357">
        <v>153</v>
      </c>
      <c r="B158" s="375" t="s">
        <v>216</v>
      </c>
      <c r="C158" s="375" t="s">
        <v>91</v>
      </c>
      <c r="D158" s="360">
        <v>10.69</v>
      </c>
      <c r="E158" s="360">
        <v>3</v>
      </c>
      <c r="F158" s="360">
        <v>3.56</v>
      </c>
      <c r="G158" s="360">
        <v>0.75</v>
      </c>
      <c r="H158" s="361">
        <v>0.30299999999999999</v>
      </c>
      <c r="I158" s="362">
        <v>8.5000000000000006E-2</v>
      </c>
      <c r="J158" s="362">
        <v>0.218</v>
      </c>
      <c r="K158" s="363">
        <v>0.2</v>
      </c>
      <c r="L158" s="360">
        <v>1.04</v>
      </c>
      <c r="M158" s="360">
        <v>0.27500000000000002</v>
      </c>
      <c r="N158" s="362">
        <v>0.84099999999999997</v>
      </c>
      <c r="O158" s="363">
        <v>51</v>
      </c>
      <c r="P158" s="360">
        <v>73</v>
      </c>
      <c r="Q158" s="360">
        <v>68</v>
      </c>
      <c r="R158" s="363">
        <v>2.06</v>
      </c>
      <c r="S158" s="360">
        <v>2.97</v>
      </c>
      <c r="T158" s="360">
        <v>-0.91</v>
      </c>
      <c r="U158" s="363">
        <v>2.78</v>
      </c>
      <c r="V158" s="360">
        <v>3.04</v>
      </c>
      <c r="W158" s="191" t="str">
        <f t="shared" si="13"/>
        <v>Nolan McLean</v>
      </c>
      <c r="X158" s="192">
        <f t="shared" si="15"/>
        <v>3.0522659957706475</v>
      </c>
      <c r="Y158" s="192">
        <f t="shared" si="14"/>
        <v>0.6620598942078717</v>
      </c>
      <c r="Z158" s="158">
        <f>RANK(X158,$X$6:$X1377,1)</f>
        <v>27</v>
      </c>
      <c r="AA158" s="158">
        <v>1.8332999999999999</v>
      </c>
      <c r="AB158" s="158">
        <v>6</v>
      </c>
      <c r="AC158" s="158">
        <v>1.6858</v>
      </c>
      <c r="AD158" s="190">
        <f t="shared" si="16"/>
        <v>0.67891827835538321</v>
      </c>
      <c r="AE158" s="158"/>
      <c r="AF158" s="158"/>
      <c r="AG158" s="158"/>
      <c r="AH158" s="158"/>
    </row>
    <row r="159" spans="1:34" ht="15.75" customHeight="1" thickBot="1">
      <c r="A159" s="357">
        <v>154</v>
      </c>
      <c r="B159" s="375" t="s">
        <v>217</v>
      </c>
      <c r="C159" s="375" t="s">
        <v>108</v>
      </c>
      <c r="D159" s="360">
        <v>10.73</v>
      </c>
      <c r="E159" s="360">
        <v>1.63</v>
      </c>
      <c r="F159" s="360">
        <v>6.6</v>
      </c>
      <c r="G159" s="360">
        <v>1.63</v>
      </c>
      <c r="H159" s="361">
        <v>0.28899999999999998</v>
      </c>
      <c r="I159" s="362">
        <v>4.3999999999999997E-2</v>
      </c>
      <c r="J159" s="362">
        <v>0.246</v>
      </c>
      <c r="K159" s="363">
        <v>0.24299999999999999</v>
      </c>
      <c r="L159" s="360">
        <v>1.1200000000000001</v>
      </c>
      <c r="M159" s="360">
        <v>0.30399999999999999</v>
      </c>
      <c r="N159" s="362">
        <v>0.76900000000000002</v>
      </c>
      <c r="O159" s="363">
        <v>96</v>
      </c>
      <c r="P159" s="360">
        <v>89</v>
      </c>
      <c r="Q159" s="360">
        <v>75</v>
      </c>
      <c r="R159" s="363">
        <v>4.2300000000000004</v>
      </c>
      <c r="S159" s="360">
        <v>3.86</v>
      </c>
      <c r="T159" s="360">
        <v>0.37</v>
      </c>
      <c r="U159" s="363">
        <v>3.07</v>
      </c>
      <c r="V159" s="360">
        <v>2.99</v>
      </c>
      <c r="W159" s="191" t="str">
        <f t="shared" si="13"/>
        <v>Nick Lodolo</v>
      </c>
      <c r="X159" s="192">
        <f t="shared" si="15"/>
        <v>4.3244733051683522</v>
      </c>
      <c r="Y159" s="192">
        <f t="shared" si="14"/>
        <v>0.93801141279682221</v>
      </c>
      <c r="Z159" s="158">
        <f>RANK(X159,$X$6:$X1378,1)</f>
        <v>84</v>
      </c>
      <c r="AA159" s="158">
        <v>1.875</v>
      </c>
      <c r="AB159" s="158">
        <v>8</v>
      </c>
      <c r="AC159" s="158">
        <v>2.1909000000000001</v>
      </c>
      <c r="AD159" s="190">
        <f t="shared" si="16"/>
        <v>0.69436086397007768</v>
      </c>
      <c r="AE159" s="158"/>
      <c r="AF159" s="158"/>
      <c r="AG159" s="158"/>
      <c r="AH159" s="158"/>
    </row>
    <row r="160" spans="1:34" ht="13.5" customHeight="1" thickBot="1">
      <c r="A160" s="357">
        <v>155</v>
      </c>
      <c r="B160" s="375" t="s">
        <v>218</v>
      </c>
      <c r="C160" s="375" t="s">
        <v>143</v>
      </c>
      <c r="D160" s="360">
        <v>11.69</v>
      </c>
      <c r="E160" s="360">
        <v>3.1</v>
      </c>
      <c r="F160" s="360">
        <v>3.78</v>
      </c>
      <c r="G160" s="360">
        <v>0.52</v>
      </c>
      <c r="H160" s="361">
        <v>0.32700000000000001</v>
      </c>
      <c r="I160" s="362">
        <v>8.6999999999999994E-2</v>
      </c>
      <c r="J160" s="362">
        <v>0.24</v>
      </c>
      <c r="K160" s="363">
        <v>0.216</v>
      </c>
      <c r="L160" s="360">
        <v>1.1299999999999999</v>
      </c>
      <c r="M160" s="360">
        <v>0.31900000000000001</v>
      </c>
      <c r="N160" s="362">
        <v>0.82099999999999995</v>
      </c>
      <c r="O160" s="363">
        <v>58</v>
      </c>
      <c r="P160" s="360">
        <v>55</v>
      </c>
      <c r="Q160" s="360">
        <v>59</v>
      </c>
      <c r="R160" s="363">
        <v>2.41</v>
      </c>
      <c r="S160" s="360">
        <v>2.31</v>
      </c>
      <c r="T160" s="360">
        <v>0.09</v>
      </c>
      <c r="U160" s="363">
        <v>2.42</v>
      </c>
      <c r="V160" s="360">
        <v>2.97</v>
      </c>
      <c r="W160" s="191" t="str">
        <f t="shared" si="13"/>
        <v>Blake Snell</v>
      </c>
      <c r="X160" s="192">
        <f t="shared" si="15"/>
        <v>3.2384325651965571</v>
      </c>
      <c r="Y160" s="192">
        <f t="shared" si="14"/>
        <v>0.70244085033356496</v>
      </c>
      <c r="Z160" s="158">
        <f>RANK(X160,$X$6:$X1379,1)</f>
        <v>36</v>
      </c>
      <c r="AA160" s="158">
        <v>2.375</v>
      </c>
      <c r="AB160" s="158">
        <v>8</v>
      </c>
      <c r="AC160" s="158">
        <v>1.3111999999999999</v>
      </c>
      <c r="AD160" s="190">
        <f t="shared" si="16"/>
        <v>0.87952376102876506</v>
      </c>
      <c r="AE160" s="158"/>
      <c r="AF160" s="158"/>
      <c r="AG160" s="158"/>
      <c r="AH160" s="158"/>
    </row>
    <row r="161" spans="1:34" ht="13.5" customHeight="1" thickBot="1">
      <c r="A161" s="357">
        <v>156</v>
      </c>
      <c r="B161" s="375" t="s">
        <v>219</v>
      </c>
      <c r="C161" s="375" t="s">
        <v>126</v>
      </c>
      <c r="D161" s="360">
        <v>9.68</v>
      </c>
      <c r="E161" s="360">
        <v>1.66</v>
      </c>
      <c r="F161" s="360">
        <v>5.85</v>
      </c>
      <c r="G161" s="360">
        <v>0.51</v>
      </c>
      <c r="H161" s="361">
        <v>0.25900000000000001</v>
      </c>
      <c r="I161" s="362">
        <v>4.3999999999999997E-2</v>
      </c>
      <c r="J161" s="362">
        <v>0.215</v>
      </c>
      <c r="K161" s="363">
        <v>0.27400000000000002</v>
      </c>
      <c r="L161" s="360">
        <v>1.26</v>
      </c>
      <c r="M161" s="360">
        <v>0.36499999999999999</v>
      </c>
      <c r="N161" s="362">
        <v>0.68300000000000005</v>
      </c>
      <c r="O161" s="363">
        <v>85</v>
      </c>
      <c r="P161" s="360">
        <v>62</v>
      </c>
      <c r="Q161" s="360">
        <v>68</v>
      </c>
      <c r="R161" s="363">
        <v>3.57</v>
      </c>
      <c r="S161" s="360">
        <v>2.39</v>
      </c>
      <c r="T161" s="360">
        <v>1.18</v>
      </c>
      <c r="U161" s="363">
        <v>2.75</v>
      </c>
      <c r="V161" s="360">
        <v>2.96</v>
      </c>
      <c r="W161" s="191" t="str">
        <f t="shared" si="13"/>
        <v>Logan Webb</v>
      </c>
      <c r="X161" s="192">
        <f t="shared" si="15"/>
        <v>3.7620936487997785</v>
      </c>
      <c r="Y161" s="192">
        <f t="shared" si="14"/>
        <v>0.81602695393381608</v>
      </c>
      <c r="Z161" s="158">
        <f>RANK(X161,$X$6:$X1380,1)</f>
        <v>59</v>
      </c>
      <c r="AA161" s="158">
        <v>2.25</v>
      </c>
      <c r="AB161" s="158">
        <v>8</v>
      </c>
      <c r="AC161" s="158">
        <v>1.3566</v>
      </c>
      <c r="AD161" s="190">
        <f t="shared" si="16"/>
        <v>0.83323303676409322</v>
      </c>
      <c r="AE161" s="158"/>
      <c r="AF161" s="158"/>
      <c r="AG161" s="158"/>
      <c r="AH161" s="158"/>
    </row>
    <row r="162" spans="1:34" ht="13.5" customHeight="1" thickBot="1">
      <c r="A162" s="357">
        <v>157</v>
      </c>
      <c r="B162" s="375" t="s">
        <v>220</v>
      </c>
      <c r="C162" s="358" t="s">
        <v>34</v>
      </c>
      <c r="D162" s="360">
        <v>12.38</v>
      </c>
      <c r="E162" s="360">
        <v>3.21</v>
      </c>
      <c r="F162" s="360">
        <v>3.85</v>
      </c>
      <c r="G162" s="360">
        <v>1.29</v>
      </c>
      <c r="H162" s="361">
        <v>0.34699999999999998</v>
      </c>
      <c r="I162" s="362">
        <v>0.09</v>
      </c>
      <c r="J162" s="362">
        <v>0.25700000000000001</v>
      </c>
      <c r="K162" s="363">
        <v>0.16900000000000001</v>
      </c>
      <c r="L162" s="360">
        <v>0.96</v>
      </c>
      <c r="M162" s="360">
        <v>0.224</v>
      </c>
      <c r="N162" s="362">
        <v>0.93600000000000005</v>
      </c>
      <c r="O162" s="363">
        <v>53</v>
      </c>
      <c r="P162" s="360">
        <v>82</v>
      </c>
      <c r="Q162" s="360">
        <v>74</v>
      </c>
      <c r="R162" s="363">
        <v>2.25</v>
      </c>
      <c r="S162" s="360">
        <v>3.35</v>
      </c>
      <c r="T162" s="360">
        <v>-1.1000000000000001</v>
      </c>
      <c r="U162" s="363">
        <v>3.02</v>
      </c>
      <c r="V162" s="360">
        <v>2.95</v>
      </c>
      <c r="W162" s="191" t="str">
        <f t="shared" si="13"/>
        <v>Freddy Peralta</v>
      </c>
      <c r="X162" s="192">
        <f t="shared" si="15"/>
        <v>3.2271439827803827</v>
      </c>
      <c r="Y162" s="192">
        <f t="shared" si="14"/>
        <v>0.69999227026532551</v>
      </c>
      <c r="Z162" s="158">
        <f>RANK(X162,$X$6:$X1381,1)</f>
        <v>35</v>
      </c>
      <c r="AA162" s="158">
        <v>2.875</v>
      </c>
      <c r="AB162" s="158">
        <v>8</v>
      </c>
      <c r="AC162" s="158">
        <v>1.9015</v>
      </c>
      <c r="AD162" s="190">
        <f t="shared" si="16"/>
        <v>1.0646866580874526</v>
      </c>
      <c r="AE162" s="158"/>
      <c r="AF162" s="158"/>
      <c r="AG162" s="158"/>
      <c r="AH162" s="158"/>
    </row>
    <row r="163" spans="1:34" ht="13.5" customHeight="1" thickBot="1">
      <c r="A163" s="357">
        <v>158</v>
      </c>
      <c r="B163" s="375" t="s">
        <v>221</v>
      </c>
      <c r="C163" s="375" t="s">
        <v>108</v>
      </c>
      <c r="D163" s="360">
        <v>11.06</v>
      </c>
      <c r="E163" s="360">
        <v>2.25</v>
      </c>
      <c r="F163" s="360">
        <v>4.92</v>
      </c>
      <c r="G163" s="360">
        <v>1.1299999999999999</v>
      </c>
      <c r="H163" s="361">
        <v>0.32200000000000001</v>
      </c>
      <c r="I163" s="362">
        <v>6.6000000000000003E-2</v>
      </c>
      <c r="J163" s="362">
        <v>0.25700000000000001</v>
      </c>
      <c r="K163" s="363">
        <v>0.18099999999999999</v>
      </c>
      <c r="L163" s="360">
        <v>0.9</v>
      </c>
      <c r="M163" s="360">
        <v>0.23599999999999999</v>
      </c>
      <c r="N163" s="362">
        <v>0.751</v>
      </c>
      <c r="O163" s="363">
        <v>64</v>
      </c>
      <c r="P163" s="360">
        <v>71</v>
      </c>
      <c r="Q163" s="360">
        <v>73</v>
      </c>
      <c r="R163" s="363">
        <v>2.81</v>
      </c>
      <c r="S163" s="360">
        <v>3.05</v>
      </c>
      <c r="T163" s="360">
        <v>-0.24</v>
      </c>
      <c r="U163" s="363">
        <v>3</v>
      </c>
      <c r="V163" s="360">
        <v>2.94</v>
      </c>
      <c r="W163" s="191" t="str">
        <f t="shared" si="13"/>
        <v>Hunter Greene</v>
      </c>
      <c r="X163" s="192">
        <f t="shared" si="15"/>
        <v>2.7050976204798878</v>
      </c>
      <c r="Y163" s="192">
        <f t="shared" si="14"/>
        <v>0.58675641209464691</v>
      </c>
      <c r="Z163" s="158">
        <f>RANK(X163,$X$6:$X1382,1)</f>
        <v>13</v>
      </c>
      <c r="AA163" s="158">
        <v>1.75</v>
      </c>
      <c r="AB163" s="158">
        <v>8</v>
      </c>
      <c r="AC163" s="158">
        <v>1.7312000000000001</v>
      </c>
      <c r="AD163" s="190">
        <f t="shared" si="16"/>
        <v>0.64807013970540583</v>
      </c>
      <c r="AE163" s="158"/>
      <c r="AF163" s="158"/>
      <c r="AG163" s="158"/>
      <c r="AH163" s="158"/>
    </row>
    <row r="164" spans="1:34" ht="13.5" customHeight="1" thickBot="1">
      <c r="A164" s="357">
        <v>159</v>
      </c>
      <c r="B164" s="375" t="s">
        <v>222</v>
      </c>
      <c r="C164" s="375" t="s">
        <v>86</v>
      </c>
      <c r="D164" s="360">
        <v>8.81</v>
      </c>
      <c r="E164" s="360">
        <v>0.28000000000000003</v>
      </c>
      <c r="F164" s="360">
        <v>31</v>
      </c>
      <c r="G164" s="360">
        <v>1.99</v>
      </c>
      <c r="H164" s="361">
        <v>0.254</v>
      </c>
      <c r="I164" s="362">
        <v>8.0000000000000002E-3</v>
      </c>
      <c r="J164" s="362">
        <v>0.246</v>
      </c>
      <c r="K164" s="363">
        <v>0.218</v>
      </c>
      <c r="L164" s="360">
        <v>0.85</v>
      </c>
      <c r="M164" s="360">
        <v>0.23499999999999999</v>
      </c>
      <c r="N164" s="362">
        <v>0.83299999999999996</v>
      </c>
      <c r="O164" s="363">
        <v>98</v>
      </c>
      <c r="P164" s="360">
        <v>104</v>
      </c>
      <c r="Q164" s="360">
        <v>72</v>
      </c>
      <c r="R164" s="363">
        <v>3.69</v>
      </c>
      <c r="S164" s="360">
        <v>4.3099999999999996</v>
      </c>
      <c r="T164" s="360">
        <v>-0.62</v>
      </c>
      <c r="U164" s="363">
        <v>3.07</v>
      </c>
      <c r="V164" s="360">
        <v>2.94</v>
      </c>
      <c r="W164" s="191" t="str">
        <f t="shared" si="13"/>
        <v>Nathan Eovaldi</v>
      </c>
      <c r="X164" s="192">
        <f t="shared" si="15"/>
        <v>3.2389835332378758</v>
      </c>
      <c r="Y164" s="192">
        <f t="shared" si="14"/>
        <v>0.70256035952563833</v>
      </c>
      <c r="Z164" s="158">
        <f>RANK(X164,$X$6:$X1383,1)</f>
        <v>37</v>
      </c>
      <c r="AA164" s="158">
        <v>2.25</v>
      </c>
      <c r="AB164" s="158">
        <v>8</v>
      </c>
      <c r="AC164" s="158">
        <v>2.4464000000000001</v>
      </c>
      <c r="AD164" s="190">
        <f t="shared" si="16"/>
        <v>0.83323303676409322</v>
      </c>
      <c r="AE164" s="158"/>
      <c r="AF164" s="158"/>
      <c r="AG164" s="158"/>
      <c r="AH164" s="158"/>
    </row>
    <row r="165" spans="1:34" ht="15.75" customHeight="1" thickBot="1">
      <c r="A165" s="357">
        <v>160</v>
      </c>
      <c r="B165" s="375" t="s">
        <v>223</v>
      </c>
      <c r="C165" s="375" t="s">
        <v>82</v>
      </c>
      <c r="D165" s="360">
        <v>11.55</v>
      </c>
      <c r="E165" s="360">
        <v>1.95</v>
      </c>
      <c r="F165" s="360">
        <v>5.92</v>
      </c>
      <c r="G165" s="360">
        <v>0.81</v>
      </c>
      <c r="H165" s="361">
        <v>0.313</v>
      </c>
      <c r="I165" s="362">
        <v>5.2999999999999999E-2</v>
      </c>
      <c r="J165" s="362">
        <v>0.26</v>
      </c>
      <c r="K165" s="363">
        <v>0.24299999999999999</v>
      </c>
      <c r="L165" s="360">
        <v>1.1599999999999999</v>
      </c>
      <c r="M165" s="360">
        <v>0.34100000000000003</v>
      </c>
      <c r="N165" s="362">
        <v>0.77600000000000002</v>
      </c>
      <c r="O165" s="363">
        <v>70</v>
      </c>
      <c r="P165" s="360">
        <v>60</v>
      </c>
      <c r="Q165" s="360">
        <v>72</v>
      </c>
      <c r="R165" s="363">
        <v>3.09</v>
      </c>
      <c r="S165" s="360">
        <v>2.4500000000000002</v>
      </c>
      <c r="T165" s="360">
        <v>0.64</v>
      </c>
      <c r="U165" s="363">
        <v>2.98</v>
      </c>
      <c r="V165" s="360">
        <v>2.9</v>
      </c>
      <c r="W165" s="191" t="str">
        <f t="shared" si="13"/>
        <v>Paul Skenes</v>
      </c>
      <c r="X165" s="192">
        <f t="shared" si="15"/>
        <v>3.6582444696603433</v>
      </c>
      <c r="Y165" s="192">
        <f t="shared" si="14"/>
        <v>0.79350127083480115</v>
      </c>
      <c r="Z165" s="158">
        <f>RANK(X165,$X$6:$X1384,1)</f>
        <v>56</v>
      </c>
      <c r="AA165" s="158">
        <v>3.875</v>
      </c>
      <c r="AB165" s="158">
        <v>8</v>
      </c>
      <c r="AC165" s="158">
        <v>1.3906000000000001</v>
      </c>
      <c r="AD165" s="190">
        <f t="shared" si="16"/>
        <v>1.4350124522048273</v>
      </c>
      <c r="AE165" s="158"/>
      <c r="AF165" s="158"/>
      <c r="AG165" s="158"/>
      <c r="AH165" s="158"/>
    </row>
    <row r="166" spans="1:34" ht="15.75" customHeight="1" thickBot="1">
      <c r="A166" s="357">
        <v>161</v>
      </c>
      <c r="B166" s="375" t="s">
        <v>224</v>
      </c>
      <c r="C166" s="375" t="s">
        <v>68</v>
      </c>
      <c r="D166" s="360">
        <v>10.91</v>
      </c>
      <c r="E166" s="360">
        <v>1.87</v>
      </c>
      <c r="F166" s="360">
        <v>5.85</v>
      </c>
      <c r="G166" s="360">
        <v>0.86</v>
      </c>
      <c r="H166" s="361">
        <v>0.315</v>
      </c>
      <c r="I166" s="362">
        <v>5.3999999999999999E-2</v>
      </c>
      <c r="J166" s="362">
        <v>0.26100000000000001</v>
      </c>
      <c r="K166" s="363">
        <v>0.19900000000000001</v>
      </c>
      <c r="L166" s="360">
        <v>0.93</v>
      </c>
      <c r="M166" s="360">
        <v>0.27100000000000002</v>
      </c>
      <c r="N166" s="362">
        <v>0.71699999999999997</v>
      </c>
      <c r="O166" s="363">
        <v>74</v>
      </c>
      <c r="P166" s="360">
        <v>64</v>
      </c>
      <c r="Q166" s="360">
        <v>70</v>
      </c>
      <c r="R166" s="363">
        <v>3.16</v>
      </c>
      <c r="S166" s="360">
        <v>2.67</v>
      </c>
      <c r="T166" s="360">
        <v>0.49</v>
      </c>
      <c r="U166" s="363">
        <v>2.88</v>
      </c>
      <c r="V166" s="360">
        <v>2.87</v>
      </c>
      <c r="W166" s="191" t="str">
        <f t="shared" ref="W166:W173" si="17">B166</f>
        <v>Jesús Luzardo</v>
      </c>
      <c r="X166" s="192">
        <f t="shared" si="15"/>
        <v>2.6271876811557968</v>
      </c>
      <c r="Y166" s="192">
        <f t="shared" ref="Y166:Y173" si="18">X166/$X$4</f>
        <v>0.56985714897075068</v>
      </c>
      <c r="Z166" s="158">
        <f>RANK(X166,$X$6:$X1385,1)</f>
        <v>12</v>
      </c>
      <c r="AA166" s="158">
        <v>2.5</v>
      </c>
      <c r="AB166" s="158">
        <v>8</v>
      </c>
      <c r="AC166" s="158">
        <v>1.5155000000000001</v>
      </c>
      <c r="AD166" s="190">
        <f t="shared" si="16"/>
        <v>0.92581448529343691</v>
      </c>
      <c r="AE166" s="158"/>
      <c r="AF166" s="158"/>
      <c r="AG166" s="158"/>
      <c r="AH166" s="158"/>
    </row>
    <row r="167" spans="1:34" ht="15.75" customHeight="1" thickBot="1">
      <c r="A167" s="357">
        <v>162</v>
      </c>
      <c r="B167" s="375" t="s">
        <v>225</v>
      </c>
      <c r="C167" s="375" t="s">
        <v>143</v>
      </c>
      <c r="D167" s="360">
        <v>12.13</v>
      </c>
      <c r="E167" s="360">
        <v>2.15</v>
      </c>
      <c r="F167" s="360">
        <v>5.64</v>
      </c>
      <c r="G167" s="360">
        <v>1.37</v>
      </c>
      <c r="H167" s="361">
        <v>0.34100000000000003</v>
      </c>
      <c r="I167" s="362">
        <v>0.06</v>
      </c>
      <c r="J167" s="362">
        <v>0.28000000000000003</v>
      </c>
      <c r="K167" s="363">
        <v>0.189</v>
      </c>
      <c r="L167" s="360">
        <v>0.93</v>
      </c>
      <c r="M167" s="360">
        <v>0.25</v>
      </c>
      <c r="N167" s="362">
        <v>0.73899999999999999</v>
      </c>
      <c r="O167" s="363">
        <v>73</v>
      </c>
      <c r="P167" s="360">
        <v>77</v>
      </c>
      <c r="Q167" s="360">
        <v>69</v>
      </c>
      <c r="R167" s="363">
        <v>3.13</v>
      </c>
      <c r="S167" s="360">
        <v>3.26</v>
      </c>
      <c r="T167" s="360">
        <v>-0.12</v>
      </c>
      <c r="U167" s="363">
        <v>2.8</v>
      </c>
      <c r="V167" s="360">
        <v>2.69</v>
      </c>
      <c r="W167" s="191" t="str">
        <f t="shared" si="17"/>
        <v>Emmet Sheehan</v>
      </c>
      <c r="X167" s="192">
        <f t="shared" si="15"/>
        <v>3.1989255547613475</v>
      </c>
      <c r="Y167" s="192">
        <f t="shared" si="18"/>
        <v>0.69387147689578244</v>
      </c>
      <c r="Z167" s="158">
        <f>RANK(X167,$X$6:$X1386,1)</f>
        <v>32</v>
      </c>
      <c r="AA167" s="158">
        <v>2.875</v>
      </c>
      <c r="AB167" s="158">
        <v>8</v>
      </c>
      <c r="AC167" s="158">
        <v>1.8504</v>
      </c>
      <c r="AD167" s="190">
        <f t="shared" si="16"/>
        <v>1.0646866580874526</v>
      </c>
      <c r="AE167" s="158"/>
      <c r="AF167" s="158"/>
      <c r="AG167" s="158"/>
      <c r="AH167" s="158"/>
    </row>
    <row r="168" spans="1:34" ht="15.75" customHeight="1" thickBot="1">
      <c r="A168" s="357">
        <v>163</v>
      </c>
      <c r="B168" s="375" t="s">
        <v>226</v>
      </c>
      <c r="C168" s="375" t="s">
        <v>68</v>
      </c>
      <c r="D168" s="360">
        <v>9.66</v>
      </c>
      <c r="E168" s="360">
        <v>1.28</v>
      </c>
      <c r="F168" s="360">
        <v>7.55</v>
      </c>
      <c r="G168" s="360">
        <v>0.23</v>
      </c>
      <c r="H168" s="361">
        <v>0.27800000000000002</v>
      </c>
      <c r="I168" s="362">
        <v>3.6999999999999998E-2</v>
      </c>
      <c r="J168" s="362">
        <v>0.24099999999999999</v>
      </c>
      <c r="K168" s="363">
        <v>0.222</v>
      </c>
      <c r="L168" s="360">
        <v>0.97</v>
      </c>
      <c r="M168" s="360">
        <v>0.30499999999999999</v>
      </c>
      <c r="N168" s="362">
        <v>0.76200000000000001</v>
      </c>
      <c r="O168" s="363">
        <v>52</v>
      </c>
      <c r="P168" s="360">
        <v>43</v>
      </c>
      <c r="Q168" s="360">
        <v>60</v>
      </c>
      <c r="R168" s="363">
        <v>2.21</v>
      </c>
      <c r="S168" s="360">
        <v>1.74</v>
      </c>
      <c r="T168" s="360">
        <v>0.47</v>
      </c>
      <c r="U168" s="363">
        <v>2.4300000000000002</v>
      </c>
      <c r="V168" s="360">
        <v>2.65</v>
      </c>
      <c r="W168" s="191" t="str">
        <f t="shared" si="17"/>
        <v>Cristopher Sánchez</v>
      </c>
      <c r="X168" s="192">
        <f t="shared" si="15"/>
        <v>2.0160745890421436</v>
      </c>
      <c r="Y168" s="192">
        <f t="shared" si="18"/>
        <v>0.43730203428728837</v>
      </c>
      <c r="Z168" s="158">
        <f>RANK(X168,$X$6:$X1387,1)</f>
        <v>4</v>
      </c>
      <c r="AA168" s="158">
        <v>0</v>
      </c>
      <c r="AB168" s="158">
        <v>1</v>
      </c>
      <c r="AC168" s="158">
        <v>0.98760000000000003</v>
      </c>
      <c r="AD168" s="190">
        <f t="shared" si="16"/>
        <v>1</v>
      </c>
      <c r="AE168" s="158"/>
      <c r="AF168" s="158"/>
      <c r="AG168" s="158"/>
      <c r="AH168" s="158"/>
    </row>
    <row r="169" spans="1:34" ht="15.75" customHeight="1" thickBot="1">
      <c r="A169" s="357">
        <v>164</v>
      </c>
      <c r="B169" s="375" t="s">
        <v>227</v>
      </c>
      <c r="C169" s="375" t="s">
        <v>72</v>
      </c>
      <c r="D169" s="360">
        <v>13.22</v>
      </c>
      <c r="E169" s="360">
        <v>2.81</v>
      </c>
      <c r="F169" s="360">
        <v>4.7</v>
      </c>
      <c r="G169" s="360">
        <v>0.84</v>
      </c>
      <c r="H169" s="361">
        <v>0.373</v>
      </c>
      <c r="I169" s="362">
        <v>7.9000000000000001E-2</v>
      </c>
      <c r="J169" s="362">
        <v>0.29399999999999998</v>
      </c>
      <c r="K169" s="363">
        <v>0.2</v>
      </c>
      <c r="L169" s="360">
        <v>1.03</v>
      </c>
      <c r="M169" s="360">
        <v>0.308</v>
      </c>
      <c r="N169" s="362">
        <v>0.83899999999999997</v>
      </c>
      <c r="O169" s="363">
        <v>63</v>
      </c>
      <c r="P169" s="360">
        <v>58</v>
      </c>
      <c r="Q169" s="360">
        <v>63</v>
      </c>
      <c r="R169" s="363">
        <v>2.5299999999999998</v>
      </c>
      <c r="S169" s="360">
        <v>2.4500000000000002</v>
      </c>
      <c r="T169" s="360">
        <v>0.08</v>
      </c>
      <c r="U169" s="363">
        <v>2.67</v>
      </c>
      <c r="V169" s="360">
        <v>2.63</v>
      </c>
      <c r="W169" s="191" t="str">
        <f t="shared" si="17"/>
        <v>Kyle Bradish</v>
      </c>
      <c r="X169" s="192">
        <f t="shared" si="15"/>
        <v>3.2653628912907928</v>
      </c>
      <c r="Y169" s="192">
        <f t="shared" si="18"/>
        <v>0.70828224452058497</v>
      </c>
      <c r="Z169" s="158">
        <f>RANK(X169,$X$6:$X1388,1)</f>
        <v>39</v>
      </c>
      <c r="AA169" s="158">
        <v>1.5</v>
      </c>
      <c r="AB169" s="158">
        <v>2</v>
      </c>
      <c r="AC169" s="158">
        <v>1.3906000000000001</v>
      </c>
      <c r="AD169" s="190">
        <f t="shared" si="16"/>
        <v>1</v>
      </c>
      <c r="AE169" s="158"/>
      <c r="AF169" s="158"/>
      <c r="AG169" s="158"/>
      <c r="AH169" s="158"/>
    </row>
    <row r="170" spans="1:34" ht="15.75" customHeight="1" thickBot="1">
      <c r="A170" s="357">
        <v>165</v>
      </c>
      <c r="B170" s="375" t="s">
        <v>228</v>
      </c>
      <c r="C170" s="375" t="s">
        <v>137</v>
      </c>
      <c r="D170" s="360">
        <v>11.91</v>
      </c>
      <c r="E170" s="360">
        <v>1.84</v>
      </c>
      <c r="F170" s="360">
        <v>6.45</v>
      </c>
      <c r="G170" s="360">
        <v>1.01</v>
      </c>
      <c r="H170" s="361">
        <v>0.34499999999999997</v>
      </c>
      <c r="I170" s="362">
        <v>5.2999999999999999E-2</v>
      </c>
      <c r="J170" s="362">
        <v>0.29099999999999998</v>
      </c>
      <c r="K170" s="363">
        <v>0.17</v>
      </c>
      <c r="L170" s="360">
        <v>0.82</v>
      </c>
      <c r="M170" s="360">
        <v>0.23100000000000001</v>
      </c>
      <c r="N170" s="362">
        <v>0.82</v>
      </c>
      <c r="O170" s="363">
        <v>66</v>
      </c>
      <c r="P170" s="360">
        <v>65</v>
      </c>
      <c r="Q170" s="360">
        <v>57</v>
      </c>
      <c r="R170" s="363">
        <v>2.52</v>
      </c>
      <c r="S170" s="360">
        <v>2.61</v>
      </c>
      <c r="T170" s="360">
        <v>-0.1</v>
      </c>
      <c r="U170" s="363">
        <v>2.42</v>
      </c>
      <c r="V170" s="360">
        <v>2.57</v>
      </c>
      <c r="W170" s="191" t="str">
        <f t="shared" si="17"/>
        <v>Bryan Woo</v>
      </c>
      <c r="X170" s="192">
        <f t="shared" si="15"/>
        <v>2.2628291149657436</v>
      </c>
      <c r="Y170" s="192">
        <f t="shared" si="18"/>
        <v>0.49082498266552915</v>
      </c>
      <c r="Z170" s="158">
        <f>RANK(X170,$X$6:$X1389,1)</f>
        <v>6</v>
      </c>
      <c r="AA170" s="158">
        <v>2.125</v>
      </c>
      <c r="AB170" s="158">
        <v>8</v>
      </c>
      <c r="AC170" s="158">
        <v>1.4814000000000001</v>
      </c>
      <c r="AD170" s="190">
        <f t="shared" si="16"/>
        <v>0.78694231249942137</v>
      </c>
      <c r="AE170" s="158"/>
      <c r="AF170" s="158"/>
      <c r="AG170" s="158"/>
      <c r="AH170" s="158"/>
    </row>
    <row r="171" spans="1:34" ht="15.75" customHeight="1" thickBot="1">
      <c r="A171" s="357">
        <v>166</v>
      </c>
      <c r="B171" s="375" t="s">
        <v>229</v>
      </c>
      <c r="C171" s="375" t="s">
        <v>51</v>
      </c>
      <c r="D171" s="360">
        <v>11.31</v>
      </c>
      <c r="E171" s="360">
        <v>1.29</v>
      </c>
      <c r="F171" s="360">
        <v>8.8000000000000007</v>
      </c>
      <c r="G171" s="360">
        <v>1.54</v>
      </c>
      <c r="H171" s="361">
        <v>0.32200000000000001</v>
      </c>
      <c r="I171" s="362">
        <v>3.6999999999999998E-2</v>
      </c>
      <c r="J171" s="362">
        <v>0.28599999999999998</v>
      </c>
      <c r="K171" s="363">
        <v>0.2</v>
      </c>
      <c r="L171" s="360">
        <v>0.89</v>
      </c>
      <c r="M171" s="360">
        <v>0.25</v>
      </c>
      <c r="N171" s="362">
        <v>0.85099999999999998</v>
      </c>
      <c r="O171" s="363">
        <v>72</v>
      </c>
      <c r="P171" s="360">
        <v>80</v>
      </c>
      <c r="Q171" s="360">
        <v>57</v>
      </c>
      <c r="R171" s="363">
        <v>3.09</v>
      </c>
      <c r="S171" s="360">
        <v>3.39</v>
      </c>
      <c r="T171" s="360">
        <v>-0.31</v>
      </c>
      <c r="U171" s="363">
        <v>2.4300000000000002</v>
      </c>
      <c r="V171" s="360">
        <v>2.54</v>
      </c>
      <c r="W171" s="191" t="str">
        <f t="shared" si="17"/>
        <v>Garrett Crochet</v>
      </c>
      <c r="X171" s="192">
        <f t="shared" si="15"/>
        <v>3.1323192523631023</v>
      </c>
      <c r="Y171" s="192">
        <f t="shared" si="18"/>
        <v>0.67942405927868643</v>
      </c>
      <c r="Z171" s="158">
        <f>RANK(X171,$X$6:$X1390,1)</f>
        <v>29</v>
      </c>
      <c r="AA171" s="158">
        <v>1.625</v>
      </c>
      <c r="AB171" s="158">
        <v>8</v>
      </c>
      <c r="AC171" s="158">
        <v>1.9241999999999999</v>
      </c>
      <c r="AD171" s="190">
        <f t="shared" si="16"/>
        <v>0.60177941544073399</v>
      </c>
      <c r="AE171" s="158"/>
      <c r="AF171" s="158"/>
      <c r="AG171" s="158"/>
      <c r="AH171" s="158"/>
    </row>
    <row r="172" spans="1:34" ht="15.75" customHeight="1" thickBot="1">
      <c r="A172" s="357">
        <v>167</v>
      </c>
      <c r="B172" s="375" t="s">
        <v>230</v>
      </c>
      <c r="C172" s="375" t="s">
        <v>76</v>
      </c>
      <c r="D172" s="360">
        <v>11.78</v>
      </c>
      <c r="E172" s="360">
        <v>1.72</v>
      </c>
      <c r="F172" s="360">
        <v>6.86</v>
      </c>
      <c r="G172" s="360">
        <v>0.98</v>
      </c>
      <c r="H172" s="361">
        <v>0.34</v>
      </c>
      <c r="I172" s="362">
        <v>0.05</v>
      </c>
      <c r="J172" s="362">
        <v>0.29099999999999998</v>
      </c>
      <c r="K172" s="363">
        <v>0.17799999999999999</v>
      </c>
      <c r="L172" s="360">
        <v>0.82</v>
      </c>
      <c r="M172" s="360">
        <v>0.247</v>
      </c>
      <c r="N172" s="362">
        <v>0.85</v>
      </c>
      <c r="O172" s="363">
        <v>58</v>
      </c>
      <c r="P172" s="360">
        <v>73</v>
      </c>
      <c r="Q172" s="360">
        <v>65</v>
      </c>
      <c r="R172" s="363">
        <v>2.4500000000000002</v>
      </c>
      <c r="S172" s="360">
        <v>2.89</v>
      </c>
      <c r="T172" s="360">
        <v>-0.44</v>
      </c>
      <c r="U172" s="363">
        <v>2.62</v>
      </c>
      <c r="V172" s="360">
        <v>2.5</v>
      </c>
      <c r="W172" s="191" t="str">
        <f t="shared" si="17"/>
        <v>Chris Sale</v>
      </c>
      <c r="X172" s="192">
        <f t="shared" si="15"/>
        <v>2.4594076040535717</v>
      </c>
      <c r="Y172" s="192">
        <f t="shared" si="18"/>
        <v>0.53346436398726449</v>
      </c>
      <c r="Z172" s="158">
        <f>RANK(X172,$X$6:$X1391,1)</f>
        <v>10</v>
      </c>
      <c r="AA172" s="158">
        <v>2.375</v>
      </c>
      <c r="AB172" s="158">
        <v>8</v>
      </c>
      <c r="AC172" s="158">
        <v>1.6404000000000001</v>
      </c>
      <c r="AD172" s="190">
        <f t="shared" si="16"/>
        <v>0.87952376102876506</v>
      </c>
      <c r="AE172" s="158"/>
      <c r="AF172" s="158"/>
      <c r="AG172" s="158"/>
      <c r="AH172" s="158"/>
    </row>
    <row r="173" spans="1:34" ht="15.75" customHeight="1" thickBot="1">
      <c r="A173" s="357">
        <v>168</v>
      </c>
      <c r="B173" s="375" t="s">
        <v>231</v>
      </c>
      <c r="C173" s="375" t="s">
        <v>143</v>
      </c>
      <c r="D173" s="360">
        <v>12.66</v>
      </c>
      <c r="E173" s="360">
        <v>1.1299999999999999</v>
      </c>
      <c r="F173" s="360">
        <v>11.25</v>
      </c>
      <c r="G173" s="360">
        <v>0.56000000000000005</v>
      </c>
      <c r="H173" s="361">
        <v>0.36</v>
      </c>
      <c r="I173" s="362">
        <v>3.2000000000000001E-2</v>
      </c>
      <c r="J173" s="362">
        <v>0.32800000000000001</v>
      </c>
      <c r="K173" s="363">
        <v>0.215</v>
      </c>
      <c r="L173" s="360">
        <v>0.94</v>
      </c>
      <c r="M173" s="360">
        <v>0.32400000000000001</v>
      </c>
      <c r="N173" s="362">
        <v>0.69899999999999995</v>
      </c>
      <c r="O173" s="363">
        <v>74</v>
      </c>
      <c r="P173" s="360">
        <v>37</v>
      </c>
      <c r="Q173" s="360">
        <v>50</v>
      </c>
      <c r="R173" s="363">
        <v>3.09</v>
      </c>
      <c r="S173" s="360">
        <v>1.51</v>
      </c>
      <c r="T173" s="360">
        <v>1.58</v>
      </c>
      <c r="U173" s="363">
        <v>2.0499999999999998</v>
      </c>
      <c r="V173" s="360">
        <v>2.2400000000000002</v>
      </c>
      <c r="W173" s="191" t="str">
        <f t="shared" si="17"/>
        <v>Shohei Ohtani</v>
      </c>
      <c r="X173" s="192">
        <f t="shared" si="15"/>
        <v>2.4201569441211292</v>
      </c>
      <c r="Y173" s="192">
        <f t="shared" si="18"/>
        <v>0.52495059493880347</v>
      </c>
      <c r="Z173" s="158">
        <f>RANK(X173,$X$6:$X1392,1)</f>
        <v>8</v>
      </c>
      <c r="AA173" s="158">
        <v>2</v>
      </c>
      <c r="AB173" s="158">
        <v>2</v>
      </c>
      <c r="AC173" s="158">
        <v>0.85709999999999997</v>
      </c>
      <c r="AD173" s="190">
        <f t="shared" si="16"/>
        <v>1</v>
      </c>
      <c r="AE173" s="158"/>
      <c r="AF173" s="158"/>
      <c r="AG173" s="158"/>
      <c r="AH173" s="158"/>
    </row>
    <row r="174" spans="1:34" ht="15.75" customHeight="1" thickBot="1">
      <c r="A174" s="357"/>
      <c r="B174" s="359"/>
      <c r="C174" s="359"/>
      <c r="D174" s="360"/>
      <c r="E174" s="360"/>
      <c r="F174" s="360"/>
      <c r="G174" s="360"/>
      <c r="H174" s="361"/>
      <c r="I174" s="362"/>
      <c r="J174" s="362"/>
      <c r="K174" s="363"/>
      <c r="L174" s="360"/>
      <c r="M174" s="360"/>
      <c r="N174" s="362"/>
      <c r="O174" s="363"/>
      <c r="P174" s="360"/>
      <c r="Q174" s="360"/>
      <c r="R174" s="363"/>
      <c r="S174" s="360"/>
      <c r="T174" s="360"/>
      <c r="U174" s="363"/>
      <c r="V174" s="360"/>
      <c r="W174" s="191"/>
      <c r="X174" s="192"/>
      <c r="Y174" s="192"/>
      <c r="Z174" s="158"/>
      <c r="AA174" s="158"/>
      <c r="AB174" s="158"/>
      <c r="AC174" s="158"/>
      <c r="AD174" s="190"/>
      <c r="AE174" s="158"/>
      <c r="AF174" s="158"/>
      <c r="AG174" s="158"/>
      <c r="AH174" s="158"/>
    </row>
    <row r="175" spans="1:34" ht="15.75" customHeight="1" thickBot="1">
      <c r="A175" s="357"/>
      <c r="B175" s="359"/>
      <c r="C175" s="359"/>
      <c r="D175" s="360"/>
      <c r="E175" s="360"/>
      <c r="F175" s="360"/>
      <c r="G175" s="360"/>
      <c r="H175" s="361"/>
      <c r="I175" s="362"/>
      <c r="J175" s="362"/>
      <c r="K175" s="363"/>
      <c r="L175" s="360"/>
      <c r="M175" s="360"/>
      <c r="N175" s="362"/>
      <c r="O175" s="363"/>
      <c r="P175" s="360"/>
      <c r="Q175" s="360"/>
      <c r="R175" s="363"/>
      <c r="S175" s="360"/>
      <c r="T175" s="360"/>
      <c r="U175" s="363"/>
      <c r="V175" s="360"/>
      <c r="W175" s="191"/>
      <c r="X175" s="192"/>
      <c r="Y175" s="192"/>
      <c r="Z175" s="158"/>
      <c r="AA175" s="158"/>
      <c r="AB175" s="158"/>
      <c r="AC175" s="158"/>
      <c r="AD175" s="190"/>
      <c r="AE175" s="158"/>
      <c r="AF175" s="158"/>
      <c r="AG175" s="158"/>
      <c r="AH175" s="158"/>
    </row>
    <row r="176" spans="1:34" ht="15.75" customHeight="1" thickBot="1">
      <c r="A176" s="357"/>
      <c r="B176" s="359"/>
      <c r="C176" s="359"/>
      <c r="D176" s="360"/>
      <c r="E176" s="360"/>
      <c r="F176" s="360"/>
      <c r="G176" s="360"/>
      <c r="H176" s="361"/>
      <c r="I176" s="362"/>
      <c r="J176" s="362"/>
      <c r="K176" s="363"/>
      <c r="L176" s="360"/>
      <c r="M176" s="360"/>
      <c r="N176" s="362"/>
      <c r="O176" s="363"/>
      <c r="P176" s="360"/>
      <c r="Q176" s="360"/>
      <c r="R176" s="363"/>
      <c r="S176" s="360"/>
      <c r="T176" s="360"/>
      <c r="U176" s="363"/>
      <c r="V176" s="360"/>
      <c r="W176" s="191"/>
      <c r="X176" s="192"/>
      <c r="Y176" s="192"/>
      <c r="Z176" s="158"/>
      <c r="AA176" s="158"/>
      <c r="AB176" s="158"/>
      <c r="AC176" s="158"/>
      <c r="AD176" s="190"/>
      <c r="AE176" s="158"/>
      <c r="AF176" s="158"/>
      <c r="AG176" s="158"/>
      <c r="AH176" s="158"/>
    </row>
    <row r="177" spans="1:34" ht="15.75" customHeight="1" thickBot="1">
      <c r="A177" s="357"/>
      <c r="B177" s="359"/>
      <c r="C177" s="359"/>
      <c r="D177" s="360"/>
      <c r="E177" s="360"/>
      <c r="F177" s="360"/>
      <c r="G177" s="360"/>
      <c r="H177" s="361"/>
      <c r="I177" s="362"/>
      <c r="J177" s="362"/>
      <c r="K177" s="363"/>
      <c r="L177" s="360"/>
      <c r="M177" s="360"/>
      <c r="N177" s="362"/>
      <c r="O177" s="363"/>
      <c r="P177" s="360"/>
      <c r="Q177" s="360"/>
      <c r="R177" s="363"/>
      <c r="S177" s="360"/>
      <c r="T177" s="360"/>
      <c r="U177" s="363"/>
      <c r="V177" s="360"/>
      <c r="W177" s="191"/>
      <c r="X177" s="192"/>
      <c r="Y177" s="192"/>
      <c r="Z177" s="158"/>
      <c r="AA177" s="158"/>
      <c r="AB177" s="158"/>
      <c r="AC177" s="158"/>
      <c r="AD177" s="190"/>
      <c r="AE177" s="158"/>
      <c r="AF177" s="158"/>
      <c r="AG177" s="158"/>
      <c r="AH177" s="158"/>
    </row>
    <row r="178" spans="1:34" ht="15.75" customHeight="1" thickBot="1">
      <c r="A178" s="357"/>
      <c r="B178" s="359"/>
      <c r="C178" s="359"/>
      <c r="D178" s="360"/>
      <c r="E178" s="360"/>
      <c r="F178" s="360"/>
      <c r="G178" s="360"/>
      <c r="H178" s="361"/>
      <c r="I178" s="362"/>
      <c r="J178" s="362"/>
      <c r="K178" s="363"/>
      <c r="L178" s="360"/>
      <c r="M178" s="360"/>
      <c r="N178" s="362"/>
      <c r="O178" s="363"/>
      <c r="P178" s="360"/>
      <c r="Q178" s="360"/>
      <c r="R178" s="363"/>
      <c r="S178" s="360"/>
      <c r="T178" s="360"/>
      <c r="U178" s="363"/>
      <c r="V178" s="360"/>
      <c r="W178" s="191"/>
      <c r="X178" s="192"/>
      <c r="Y178" s="192"/>
      <c r="Z178" s="158"/>
      <c r="AA178" s="158"/>
      <c r="AB178" s="158"/>
      <c r="AC178" s="158"/>
      <c r="AD178" s="190"/>
      <c r="AE178" s="158"/>
      <c r="AF178" s="158"/>
      <c r="AG178" s="158"/>
      <c r="AH178" s="158"/>
    </row>
    <row r="179" spans="1:34" ht="15.75" customHeight="1" thickBot="1">
      <c r="A179" s="357"/>
      <c r="B179" s="359"/>
      <c r="C179" s="359"/>
      <c r="D179" s="360"/>
      <c r="E179" s="360"/>
      <c r="F179" s="360"/>
      <c r="G179" s="360"/>
      <c r="H179" s="361"/>
      <c r="I179" s="362"/>
      <c r="J179" s="362"/>
      <c r="K179" s="363"/>
      <c r="L179" s="360"/>
      <c r="M179" s="360"/>
      <c r="N179" s="362"/>
      <c r="O179" s="363"/>
      <c r="P179" s="360"/>
      <c r="Q179" s="360"/>
      <c r="R179" s="363"/>
      <c r="S179" s="360"/>
      <c r="T179" s="360"/>
      <c r="U179" s="363"/>
      <c r="V179" s="360"/>
      <c r="W179" s="191"/>
      <c r="X179" s="192"/>
      <c r="Y179" s="192"/>
      <c r="Z179" s="158"/>
      <c r="AA179" s="158"/>
      <c r="AB179" s="158"/>
      <c r="AC179" s="158"/>
      <c r="AD179" s="190"/>
      <c r="AE179" s="158"/>
      <c r="AF179" s="158"/>
      <c r="AG179" s="158"/>
      <c r="AH179" s="158"/>
    </row>
    <row r="180" spans="1:34" ht="15.75" customHeight="1" thickBot="1">
      <c r="A180" s="357"/>
      <c r="B180" s="359"/>
      <c r="C180" s="359"/>
      <c r="D180" s="360"/>
      <c r="E180" s="360"/>
      <c r="F180" s="360"/>
      <c r="G180" s="360"/>
      <c r="H180" s="361"/>
      <c r="I180" s="362"/>
      <c r="J180" s="362"/>
      <c r="K180" s="363"/>
      <c r="L180" s="360"/>
      <c r="M180" s="360"/>
      <c r="N180" s="362"/>
      <c r="O180" s="363"/>
      <c r="P180" s="360"/>
      <c r="Q180" s="360"/>
      <c r="R180" s="363"/>
      <c r="S180" s="360"/>
      <c r="T180" s="360"/>
      <c r="U180" s="363"/>
      <c r="V180" s="360"/>
      <c r="W180" s="191"/>
      <c r="X180" s="192"/>
      <c r="Y180" s="192"/>
      <c r="Z180" s="158"/>
      <c r="AA180" s="158"/>
      <c r="AB180" s="158"/>
      <c r="AC180" s="158"/>
      <c r="AD180" s="190"/>
      <c r="AE180" s="158"/>
      <c r="AF180" s="158"/>
      <c r="AG180" s="158"/>
      <c r="AH180" s="158"/>
    </row>
    <row r="181" spans="1:34" ht="15.75" customHeight="1" thickBot="1">
      <c r="A181" s="357"/>
      <c r="B181" s="359"/>
      <c r="C181" s="359"/>
      <c r="D181" s="360"/>
      <c r="E181" s="360"/>
      <c r="F181" s="360"/>
      <c r="G181" s="360"/>
      <c r="H181" s="361"/>
      <c r="I181" s="362"/>
      <c r="J181" s="362"/>
      <c r="K181" s="363"/>
      <c r="L181" s="360"/>
      <c r="M181" s="360"/>
      <c r="N181" s="362"/>
      <c r="O181" s="363"/>
      <c r="P181" s="360"/>
      <c r="Q181" s="360"/>
      <c r="R181" s="363"/>
      <c r="S181" s="360"/>
      <c r="T181" s="360"/>
      <c r="U181" s="363"/>
      <c r="V181" s="360"/>
      <c r="W181" s="191"/>
      <c r="X181" s="192"/>
      <c r="Y181" s="192"/>
      <c r="Z181" s="158"/>
      <c r="AA181" s="158"/>
      <c r="AB181" s="158"/>
      <c r="AC181" s="158"/>
      <c r="AD181" s="190"/>
      <c r="AE181" s="158"/>
      <c r="AF181" s="158"/>
      <c r="AG181" s="158"/>
      <c r="AH181" s="158"/>
    </row>
    <row r="182" spans="1:34" ht="15.75" customHeight="1" thickBot="1">
      <c r="A182" s="357"/>
      <c r="B182" s="359"/>
      <c r="C182" s="359"/>
      <c r="D182" s="360"/>
      <c r="E182" s="360"/>
      <c r="F182" s="360"/>
      <c r="G182" s="360"/>
      <c r="H182" s="361"/>
      <c r="I182" s="362"/>
      <c r="J182" s="362"/>
      <c r="K182" s="363"/>
      <c r="L182" s="360"/>
      <c r="M182" s="360"/>
      <c r="N182" s="362"/>
      <c r="O182" s="363"/>
      <c r="P182" s="360"/>
      <c r="Q182" s="360"/>
      <c r="R182" s="363"/>
      <c r="S182" s="360"/>
      <c r="T182" s="360"/>
      <c r="U182" s="363"/>
      <c r="V182" s="360"/>
      <c r="W182" s="191"/>
      <c r="X182" s="192"/>
      <c r="Y182" s="192"/>
      <c r="Z182" s="158"/>
      <c r="AA182" s="158"/>
      <c r="AB182" s="158"/>
      <c r="AC182" s="158"/>
      <c r="AD182" s="190"/>
      <c r="AE182" s="158"/>
      <c r="AF182" s="158"/>
      <c r="AG182" s="158"/>
      <c r="AH182" s="158"/>
    </row>
    <row r="183" spans="1:34" ht="15.75" customHeight="1" thickBot="1">
      <c r="A183" s="357"/>
      <c r="B183" s="359"/>
      <c r="C183" s="359"/>
      <c r="D183" s="360"/>
      <c r="E183" s="360"/>
      <c r="F183" s="360"/>
      <c r="G183" s="360"/>
      <c r="H183" s="361"/>
      <c r="I183" s="362"/>
      <c r="J183" s="362"/>
      <c r="K183" s="363"/>
      <c r="L183" s="360"/>
      <c r="M183" s="360"/>
      <c r="N183" s="362"/>
      <c r="O183" s="363"/>
      <c r="P183" s="360"/>
      <c r="Q183" s="360"/>
      <c r="R183" s="363"/>
      <c r="S183" s="360"/>
      <c r="T183" s="360"/>
      <c r="U183" s="363"/>
      <c r="V183" s="360"/>
      <c r="W183" s="191"/>
      <c r="X183" s="192"/>
      <c r="Y183" s="192"/>
      <c r="Z183" s="158"/>
      <c r="AA183" s="158"/>
      <c r="AB183" s="158"/>
      <c r="AC183" s="158"/>
      <c r="AD183" s="190"/>
      <c r="AE183" s="158"/>
      <c r="AF183" s="158"/>
      <c r="AG183" s="158"/>
      <c r="AH183" s="158"/>
    </row>
    <row r="184" spans="1:34" ht="15.75" customHeight="1" thickBot="1">
      <c r="A184" s="357"/>
      <c r="B184" s="359"/>
      <c r="C184" s="359"/>
      <c r="D184" s="360"/>
      <c r="E184" s="360"/>
      <c r="F184" s="360"/>
      <c r="G184" s="360"/>
      <c r="H184" s="361"/>
      <c r="I184" s="362"/>
      <c r="J184" s="362"/>
      <c r="K184" s="363"/>
      <c r="L184" s="360"/>
      <c r="M184" s="360"/>
      <c r="N184" s="362"/>
      <c r="O184" s="363"/>
      <c r="P184" s="360"/>
      <c r="Q184" s="360"/>
      <c r="R184" s="363"/>
      <c r="S184" s="360"/>
      <c r="T184" s="360"/>
      <c r="U184" s="363"/>
      <c r="V184" s="360"/>
      <c r="W184" s="191"/>
      <c r="X184" s="192"/>
      <c r="Y184" s="192"/>
      <c r="Z184" s="158"/>
      <c r="AA184" s="158"/>
      <c r="AB184" s="158"/>
      <c r="AC184" s="158"/>
      <c r="AD184" s="190"/>
      <c r="AE184" s="158"/>
      <c r="AF184" s="158"/>
      <c r="AG184" s="158"/>
      <c r="AH184" s="158"/>
    </row>
    <row r="185" spans="1:34" ht="15.75" customHeight="1" thickBot="1">
      <c r="A185" s="357"/>
      <c r="B185" s="359"/>
      <c r="C185" s="359"/>
      <c r="D185" s="360"/>
      <c r="E185" s="360"/>
      <c r="F185" s="360"/>
      <c r="G185" s="360"/>
      <c r="H185" s="361"/>
      <c r="I185" s="362"/>
      <c r="J185" s="362"/>
      <c r="K185" s="363"/>
      <c r="L185" s="360"/>
      <c r="M185" s="360"/>
      <c r="N185" s="362"/>
      <c r="O185" s="363"/>
      <c r="P185" s="360"/>
      <c r="Q185" s="360"/>
      <c r="R185" s="363"/>
      <c r="S185" s="360"/>
      <c r="T185" s="360"/>
      <c r="U185" s="363"/>
      <c r="V185" s="360"/>
      <c r="W185" s="191"/>
      <c r="X185" s="192"/>
      <c r="Y185" s="192"/>
      <c r="Z185" s="158"/>
      <c r="AA185" s="158"/>
      <c r="AB185" s="158"/>
      <c r="AC185" s="158"/>
      <c r="AD185" s="190"/>
      <c r="AE185" s="158"/>
      <c r="AF185" s="158"/>
      <c r="AG185" s="158"/>
      <c r="AH185" s="158"/>
    </row>
    <row r="186" spans="1:34" ht="15.75" customHeight="1" thickBot="1">
      <c r="A186" s="357"/>
      <c r="B186" s="359"/>
      <c r="C186" s="359"/>
      <c r="D186" s="360"/>
      <c r="E186" s="360"/>
      <c r="F186" s="360"/>
      <c r="G186" s="360"/>
      <c r="H186" s="361"/>
      <c r="I186" s="362"/>
      <c r="J186" s="362"/>
      <c r="K186" s="363"/>
      <c r="L186" s="360"/>
      <c r="M186" s="360"/>
      <c r="N186" s="362"/>
      <c r="O186" s="363"/>
      <c r="P186" s="360"/>
      <c r="Q186" s="360"/>
      <c r="R186" s="363"/>
      <c r="S186" s="360"/>
      <c r="T186" s="360"/>
      <c r="U186" s="363"/>
      <c r="V186" s="360"/>
      <c r="W186" s="191"/>
      <c r="X186" s="192"/>
      <c r="Y186" s="192"/>
      <c r="Z186" s="158"/>
      <c r="AA186" s="158"/>
      <c r="AB186" s="158"/>
      <c r="AC186" s="158"/>
      <c r="AD186" s="190"/>
      <c r="AE186" s="158"/>
      <c r="AF186" s="158"/>
      <c r="AG186" s="158"/>
      <c r="AH186" s="158"/>
    </row>
    <row r="187" spans="1:34" ht="15.75" customHeight="1" thickBot="1">
      <c r="A187" s="357"/>
      <c r="B187" s="359"/>
      <c r="C187" s="359"/>
      <c r="D187" s="360"/>
      <c r="E187" s="360"/>
      <c r="F187" s="360"/>
      <c r="G187" s="360"/>
      <c r="H187" s="361"/>
      <c r="I187" s="362"/>
      <c r="J187" s="362"/>
      <c r="K187" s="363"/>
      <c r="L187" s="360"/>
      <c r="M187" s="360"/>
      <c r="N187" s="362"/>
      <c r="O187" s="363"/>
      <c r="P187" s="360"/>
      <c r="Q187" s="360"/>
      <c r="R187" s="363"/>
      <c r="S187" s="360"/>
      <c r="T187" s="360"/>
      <c r="U187" s="363"/>
      <c r="V187" s="360"/>
      <c r="W187" s="191"/>
      <c r="X187" s="192"/>
      <c r="Y187" s="192"/>
      <c r="Z187" s="158"/>
      <c r="AA187" s="158"/>
      <c r="AB187" s="158"/>
      <c r="AC187" s="158"/>
      <c r="AD187" s="190"/>
      <c r="AE187" s="158"/>
      <c r="AF187" s="158"/>
      <c r="AG187" s="158"/>
      <c r="AH187" s="158"/>
    </row>
    <row r="188" spans="1:34" ht="15.75" customHeight="1" thickBot="1">
      <c r="A188" s="357"/>
      <c r="B188" s="359"/>
      <c r="C188" s="359"/>
      <c r="D188" s="360"/>
      <c r="E188" s="360"/>
      <c r="F188" s="360"/>
      <c r="G188" s="360"/>
      <c r="H188" s="361"/>
      <c r="I188" s="362"/>
      <c r="J188" s="362"/>
      <c r="K188" s="363"/>
      <c r="L188" s="360"/>
      <c r="M188" s="360"/>
      <c r="N188" s="362"/>
      <c r="O188" s="363"/>
      <c r="P188" s="360"/>
      <c r="Q188" s="360"/>
      <c r="R188" s="363"/>
      <c r="S188" s="360"/>
      <c r="T188" s="360"/>
      <c r="U188" s="363"/>
      <c r="V188" s="360"/>
      <c r="W188" s="191"/>
      <c r="X188" s="192"/>
      <c r="Y188" s="192"/>
      <c r="Z188" s="158"/>
      <c r="AA188" s="158"/>
      <c r="AB188" s="158"/>
      <c r="AC188" s="158"/>
      <c r="AD188" s="190"/>
      <c r="AE188" s="158"/>
      <c r="AF188" s="158"/>
      <c r="AG188" s="158"/>
      <c r="AH188" s="158"/>
    </row>
    <row r="189" spans="1:34" ht="15.75" customHeight="1" thickBot="1">
      <c r="A189" s="357"/>
      <c r="B189" s="359"/>
      <c r="C189" s="359"/>
      <c r="D189" s="360"/>
      <c r="E189" s="360"/>
      <c r="F189" s="360"/>
      <c r="G189" s="360"/>
      <c r="H189" s="361"/>
      <c r="I189" s="362"/>
      <c r="J189" s="362"/>
      <c r="K189" s="363"/>
      <c r="L189" s="360"/>
      <c r="M189" s="360"/>
      <c r="N189" s="362"/>
      <c r="O189" s="363"/>
      <c r="P189" s="360"/>
      <c r="Q189" s="360"/>
      <c r="R189" s="363"/>
      <c r="S189" s="360"/>
      <c r="T189" s="360"/>
      <c r="U189" s="363"/>
      <c r="V189" s="360"/>
      <c r="W189" s="191"/>
      <c r="X189" s="192"/>
      <c r="Y189" s="192"/>
      <c r="Z189" s="158"/>
      <c r="AA189" s="158"/>
      <c r="AB189" s="158"/>
      <c r="AC189" s="158"/>
      <c r="AD189" s="190"/>
      <c r="AE189" s="158"/>
      <c r="AF189" s="158"/>
      <c r="AG189" s="158"/>
      <c r="AH189" s="158"/>
    </row>
    <row r="190" spans="1:34" ht="15.75" customHeight="1" thickBot="1">
      <c r="A190" s="357"/>
      <c r="B190" s="359"/>
      <c r="C190" s="359"/>
      <c r="D190" s="360"/>
      <c r="E190" s="360"/>
      <c r="F190" s="360"/>
      <c r="G190" s="360"/>
      <c r="H190" s="361"/>
      <c r="I190" s="362"/>
      <c r="J190" s="362"/>
      <c r="K190" s="363"/>
      <c r="L190" s="360"/>
      <c r="M190" s="360"/>
      <c r="N190" s="362"/>
      <c r="O190" s="363"/>
      <c r="P190" s="360"/>
      <c r="Q190" s="360"/>
      <c r="R190" s="363"/>
      <c r="S190" s="360"/>
      <c r="T190" s="360"/>
      <c r="U190" s="363"/>
      <c r="V190" s="360"/>
      <c r="W190" s="191"/>
      <c r="X190" s="192"/>
      <c r="Y190" s="192"/>
      <c r="Z190" s="158"/>
      <c r="AA190" s="158"/>
      <c r="AB190" s="158"/>
      <c r="AC190" s="158"/>
      <c r="AD190" s="190"/>
      <c r="AE190" s="158"/>
      <c r="AF190" s="158"/>
      <c r="AG190" s="158"/>
      <c r="AH190" s="158"/>
    </row>
    <row r="191" spans="1:34" ht="15.75" customHeight="1" thickBot="1">
      <c r="A191" s="357"/>
      <c r="B191" s="359"/>
      <c r="C191" s="359"/>
      <c r="D191" s="360"/>
      <c r="E191" s="360"/>
      <c r="F191" s="360"/>
      <c r="G191" s="360"/>
      <c r="H191" s="361"/>
      <c r="I191" s="362"/>
      <c r="J191" s="362"/>
      <c r="K191" s="363"/>
      <c r="L191" s="360"/>
      <c r="M191" s="360"/>
      <c r="N191" s="362"/>
      <c r="O191" s="363"/>
      <c r="P191" s="360"/>
      <c r="Q191" s="360"/>
      <c r="R191" s="363"/>
      <c r="S191" s="360"/>
      <c r="T191" s="360"/>
      <c r="U191" s="363"/>
      <c r="V191" s="360"/>
      <c r="W191" s="191"/>
      <c r="X191" s="192"/>
      <c r="Y191" s="192"/>
      <c r="Z191" s="158"/>
      <c r="AA191" s="158"/>
      <c r="AB191" s="158"/>
      <c r="AC191" s="158"/>
      <c r="AD191" s="190"/>
      <c r="AE191" s="158"/>
      <c r="AF191" s="158"/>
      <c r="AG191" s="158"/>
      <c r="AH191" s="158"/>
    </row>
    <row r="192" spans="1:34" ht="15.75" customHeight="1" thickBot="1">
      <c r="A192" s="357"/>
      <c r="B192" s="359"/>
      <c r="C192" s="359"/>
      <c r="D192" s="360"/>
      <c r="E192" s="360"/>
      <c r="F192" s="360"/>
      <c r="G192" s="360"/>
      <c r="H192" s="361"/>
      <c r="I192" s="362"/>
      <c r="J192" s="362"/>
      <c r="K192" s="363"/>
      <c r="L192" s="360"/>
      <c r="M192" s="360"/>
      <c r="N192" s="362"/>
      <c r="O192" s="363"/>
      <c r="P192" s="360"/>
      <c r="Q192" s="360"/>
      <c r="R192" s="363"/>
      <c r="S192" s="360"/>
      <c r="T192" s="360"/>
      <c r="U192" s="363"/>
      <c r="V192" s="360"/>
      <c r="W192" s="191"/>
      <c r="X192" s="192"/>
      <c r="Y192" s="192"/>
      <c r="Z192" s="158"/>
      <c r="AA192" s="158"/>
      <c r="AB192" s="158"/>
      <c r="AC192" s="158"/>
      <c r="AD192" s="190"/>
      <c r="AE192" s="158"/>
      <c r="AF192" s="158"/>
      <c r="AG192" s="158"/>
      <c r="AH192" s="158"/>
    </row>
    <row r="193" spans="1:34" ht="15.75" customHeight="1" thickBot="1">
      <c r="A193" s="357"/>
      <c r="B193" s="359"/>
      <c r="C193" s="359"/>
      <c r="D193" s="360"/>
      <c r="E193" s="360"/>
      <c r="F193" s="360"/>
      <c r="G193" s="360"/>
      <c r="H193" s="361"/>
      <c r="I193" s="362"/>
      <c r="J193" s="362"/>
      <c r="K193" s="363"/>
      <c r="L193" s="360"/>
      <c r="M193" s="360"/>
      <c r="N193" s="362"/>
      <c r="O193" s="363"/>
      <c r="P193" s="360"/>
      <c r="Q193" s="360"/>
      <c r="R193" s="363"/>
      <c r="S193" s="360"/>
      <c r="T193" s="360"/>
      <c r="U193" s="363"/>
      <c r="V193" s="360"/>
      <c r="W193" s="191"/>
      <c r="X193" s="192"/>
      <c r="Y193" s="192"/>
      <c r="Z193" s="158"/>
      <c r="AA193" s="158"/>
      <c r="AB193" s="158"/>
      <c r="AC193" s="158"/>
      <c r="AD193" s="190"/>
      <c r="AE193" s="158"/>
      <c r="AF193" s="158"/>
      <c r="AG193" s="158"/>
      <c r="AH193" s="158"/>
    </row>
    <row r="194" spans="1:34" ht="15.75" customHeight="1" thickBot="1">
      <c r="A194" s="357"/>
      <c r="B194" s="359"/>
      <c r="C194" s="359"/>
      <c r="D194" s="360"/>
      <c r="E194" s="360"/>
      <c r="F194" s="360"/>
      <c r="G194" s="360"/>
      <c r="H194" s="361"/>
      <c r="I194" s="362"/>
      <c r="J194" s="362"/>
      <c r="K194" s="363"/>
      <c r="L194" s="360"/>
      <c r="M194" s="360"/>
      <c r="N194" s="362"/>
      <c r="O194" s="363"/>
      <c r="P194" s="360"/>
      <c r="Q194" s="360"/>
      <c r="R194" s="363"/>
      <c r="S194" s="360"/>
      <c r="T194" s="360"/>
      <c r="U194" s="363"/>
      <c r="V194" s="360"/>
      <c r="W194" s="191"/>
      <c r="X194" s="192"/>
      <c r="Y194" s="192"/>
      <c r="Z194" s="158"/>
      <c r="AA194" s="158"/>
      <c r="AB194" s="158"/>
      <c r="AC194" s="158"/>
      <c r="AD194" s="190"/>
      <c r="AE194" s="158"/>
      <c r="AF194" s="158"/>
      <c r="AG194" s="158"/>
      <c r="AH194" s="158"/>
    </row>
    <row r="195" spans="1:34" ht="15.75" customHeight="1" thickBot="1">
      <c r="A195" s="357"/>
      <c r="B195" s="359"/>
      <c r="C195" s="359"/>
      <c r="D195" s="360"/>
      <c r="E195" s="360"/>
      <c r="F195" s="360"/>
      <c r="G195" s="360"/>
      <c r="H195" s="361"/>
      <c r="I195" s="362"/>
      <c r="J195" s="362"/>
      <c r="K195" s="363"/>
      <c r="L195" s="360"/>
      <c r="M195" s="360"/>
      <c r="N195" s="362"/>
      <c r="O195" s="363"/>
      <c r="P195" s="360"/>
      <c r="Q195" s="360"/>
      <c r="R195" s="363"/>
      <c r="S195" s="360"/>
      <c r="T195" s="360"/>
      <c r="U195" s="363"/>
      <c r="V195" s="360"/>
      <c r="W195" s="191"/>
      <c r="X195" s="192"/>
      <c r="Y195" s="192"/>
      <c r="Z195" s="158"/>
      <c r="AA195" s="158"/>
      <c r="AB195" s="158"/>
      <c r="AC195" s="158"/>
      <c r="AD195" s="190"/>
      <c r="AE195" s="158"/>
      <c r="AF195" s="158"/>
      <c r="AG195" s="158"/>
      <c r="AH195" s="158"/>
    </row>
    <row r="196" spans="1:34" ht="15.75" customHeight="1" thickBot="1">
      <c r="A196" s="357"/>
      <c r="B196" s="359"/>
      <c r="C196" s="359"/>
      <c r="D196" s="360"/>
      <c r="E196" s="360"/>
      <c r="F196" s="360"/>
      <c r="G196" s="360"/>
      <c r="H196" s="361"/>
      <c r="I196" s="362"/>
      <c r="J196" s="362"/>
      <c r="K196" s="363"/>
      <c r="L196" s="360"/>
      <c r="M196" s="360"/>
      <c r="N196" s="362"/>
      <c r="O196" s="363"/>
      <c r="P196" s="360"/>
      <c r="Q196" s="360"/>
      <c r="R196" s="363"/>
      <c r="S196" s="360"/>
      <c r="T196" s="360"/>
      <c r="U196" s="363"/>
      <c r="V196" s="360"/>
      <c r="W196" s="191"/>
      <c r="X196" s="192"/>
      <c r="Y196" s="192"/>
      <c r="Z196" s="158"/>
      <c r="AA196" s="158"/>
      <c r="AB196" s="158"/>
      <c r="AC196" s="158"/>
      <c r="AD196" s="190"/>
      <c r="AE196" s="158"/>
      <c r="AF196" s="158"/>
      <c r="AG196" s="158"/>
      <c r="AH196" s="158"/>
    </row>
    <row r="197" spans="1:34" ht="15.75" customHeight="1" thickBot="1">
      <c r="A197" s="357"/>
      <c r="B197" s="359"/>
      <c r="C197" s="359"/>
      <c r="D197" s="360"/>
      <c r="E197" s="360"/>
      <c r="F197" s="360"/>
      <c r="G197" s="360"/>
      <c r="H197" s="361"/>
      <c r="I197" s="362"/>
      <c r="J197" s="362"/>
      <c r="K197" s="363"/>
      <c r="L197" s="360"/>
      <c r="M197" s="360"/>
      <c r="N197" s="362"/>
      <c r="O197" s="363"/>
      <c r="P197" s="360"/>
      <c r="Q197" s="360"/>
      <c r="R197" s="363"/>
      <c r="S197" s="360"/>
      <c r="T197" s="360"/>
      <c r="U197" s="363"/>
      <c r="V197" s="360"/>
      <c r="W197" s="191"/>
      <c r="X197" s="192"/>
      <c r="Y197" s="192"/>
      <c r="Z197" s="158"/>
      <c r="AA197" s="158"/>
      <c r="AB197" s="158"/>
      <c r="AC197" s="158"/>
      <c r="AD197" s="190"/>
      <c r="AE197" s="158"/>
      <c r="AF197" s="158"/>
      <c r="AG197" s="158"/>
      <c r="AH197" s="158"/>
    </row>
    <row r="198" spans="1:34" ht="15.75" customHeight="1" thickBot="1">
      <c r="A198" s="357"/>
      <c r="B198" s="359"/>
      <c r="C198" s="359"/>
      <c r="D198" s="360"/>
      <c r="E198" s="360"/>
      <c r="F198" s="360"/>
      <c r="G198" s="360"/>
      <c r="H198" s="361"/>
      <c r="I198" s="362"/>
      <c r="J198" s="362"/>
      <c r="K198" s="363"/>
      <c r="L198" s="360"/>
      <c r="M198" s="360"/>
      <c r="N198" s="362"/>
      <c r="O198" s="363"/>
      <c r="P198" s="360"/>
      <c r="Q198" s="360"/>
      <c r="R198" s="363"/>
      <c r="S198" s="360"/>
      <c r="T198" s="360"/>
      <c r="U198" s="363"/>
      <c r="V198" s="360"/>
      <c r="W198" s="191"/>
      <c r="X198" s="192"/>
      <c r="Y198" s="192"/>
      <c r="Z198" s="158"/>
      <c r="AA198" s="158"/>
      <c r="AB198" s="158"/>
      <c r="AC198" s="158"/>
      <c r="AD198" s="190"/>
      <c r="AE198" s="158"/>
      <c r="AF198" s="158"/>
      <c r="AG198" s="158"/>
      <c r="AH198" s="158"/>
    </row>
    <row r="199" spans="1:34" ht="15.75" customHeight="1" thickBot="1">
      <c r="A199" s="357"/>
      <c r="B199" s="359"/>
      <c r="C199" s="359"/>
      <c r="D199" s="360"/>
      <c r="E199" s="360"/>
      <c r="F199" s="360"/>
      <c r="G199" s="360"/>
      <c r="H199" s="361"/>
      <c r="I199" s="362"/>
      <c r="J199" s="362"/>
      <c r="K199" s="363"/>
      <c r="L199" s="360"/>
      <c r="M199" s="360"/>
      <c r="N199" s="362"/>
      <c r="O199" s="363"/>
      <c r="P199" s="360"/>
      <c r="Q199" s="360"/>
      <c r="R199" s="363"/>
      <c r="S199" s="360"/>
      <c r="T199" s="360"/>
      <c r="U199" s="363"/>
      <c r="V199" s="360"/>
      <c r="W199" s="191"/>
      <c r="X199" s="192"/>
      <c r="Y199" s="192"/>
      <c r="Z199" s="158"/>
      <c r="AA199" s="158"/>
      <c r="AB199" s="158"/>
      <c r="AC199" s="158"/>
      <c r="AD199" s="190"/>
      <c r="AE199" s="158"/>
      <c r="AF199" s="158"/>
      <c r="AG199" s="158"/>
      <c r="AH199" s="158"/>
    </row>
    <row r="200" spans="1:34" ht="15.75" customHeight="1" thickBot="1">
      <c r="A200" s="357"/>
      <c r="B200" s="359"/>
      <c r="C200" s="359"/>
      <c r="D200" s="360"/>
      <c r="E200" s="360"/>
      <c r="F200" s="360"/>
      <c r="G200" s="360"/>
      <c r="H200" s="361"/>
      <c r="I200" s="362"/>
      <c r="J200" s="362"/>
      <c r="K200" s="363"/>
      <c r="L200" s="360"/>
      <c r="M200" s="360"/>
      <c r="N200" s="362"/>
      <c r="O200" s="363"/>
      <c r="P200" s="360"/>
      <c r="Q200" s="360"/>
      <c r="R200" s="363"/>
      <c r="S200" s="360"/>
      <c r="T200" s="360"/>
      <c r="U200" s="363"/>
      <c r="V200" s="360"/>
      <c r="W200" s="191"/>
      <c r="X200" s="192"/>
      <c r="Y200" s="192"/>
      <c r="Z200" s="158"/>
      <c r="AA200" s="158"/>
      <c r="AB200" s="158"/>
      <c r="AC200" s="158"/>
      <c r="AD200" s="190"/>
      <c r="AE200" s="158"/>
      <c r="AF200" s="158"/>
      <c r="AG200" s="158"/>
      <c r="AH200" s="158"/>
    </row>
    <row r="201" spans="1:34" ht="15.75" customHeight="1" thickBot="1">
      <c r="A201" s="357"/>
      <c r="B201" s="359"/>
      <c r="C201" s="359"/>
      <c r="D201" s="360"/>
      <c r="E201" s="360"/>
      <c r="F201" s="360"/>
      <c r="G201" s="360"/>
      <c r="H201" s="361"/>
      <c r="I201" s="362"/>
      <c r="J201" s="362"/>
      <c r="K201" s="363"/>
      <c r="L201" s="360"/>
      <c r="M201" s="360"/>
      <c r="N201" s="362"/>
      <c r="O201" s="363"/>
      <c r="P201" s="360"/>
      <c r="Q201" s="360"/>
      <c r="R201" s="363"/>
      <c r="S201" s="360"/>
      <c r="T201" s="360"/>
      <c r="U201" s="363"/>
      <c r="V201" s="360"/>
      <c r="W201" s="191"/>
      <c r="X201" s="192"/>
      <c r="Y201" s="192"/>
      <c r="Z201" s="158"/>
      <c r="AA201" s="158"/>
      <c r="AB201" s="158"/>
      <c r="AC201" s="158"/>
      <c r="AD201" s="190"/>
      <c r="AE201" s="158"/>
      <c r="AF201" s="158"/>
      <c r="AG201" s="158"/>
      <c r="AH201" s="158"/>
    </row>
    <row r="202" spans="1:34" ht="15.75" customHeight="1" thickBot="1">
      <c r="A202" s="357"/>
      <c r="B202" s="359"/>
      <c r="C202" s="359"/>
      <c r="D202" s="360"/>
      <c r="E202" s="360"/>
      <c r="F202" s="360"/>
      <c r="G202" s="360"/>
      <c r="H202" s="361"/>
      <c r="I202" s="362"/>
      <c r="J202" s="362"/>
      <c r="K202" s="363"/>
      <c r="L202" s="360"/>
      <c r="M202" s="360"/>
      <c r="N202" s="362"/>
      <c r="O202" s="363"/>
      <c r="P202" s="360"/>
      <c r="Q202" s="360"/>
      <c r="R202" s="363"/>
      <c r="S202" s="360"/>
      <c r="T202" s="360"/>
      <c r="U202" s="363"/>
      <c r="V202" s="360"/>
      <c r="W202" s="191"/>
      <c r="X202" s="192"/>
      <c r="Y202" s="192"/>
      <c r="Z202" s="158"/>
      <c r="AA202" s="158"/>
      <c r="AB202" s="158"/>
      <c r="AC202" s="158"/>
      <c r="AD202" s="190"/>
      <c r="AE202" s="158"/>
      <c r="AF202" s="158"/>
      <c r="AG202" s="158"/>
      <c r="AH202" s="158"/>
    </row>
    <row r="203" spans="1:34" ht="15.75" customHeight="1" thickBot="1">
      <c r="A203" s="357"/>
      <c r="B203" s="359"/>
      <c r="C203" s="359"/>
      <c r="D203" s="360"/>
      <c r="E203" s="360"/>
      <c r="F203" s="360"/>
      <c r="G203" s="360"/>
      <c r="H203" s="361"/>
      <c r="I203" s="362"/>
      <c r="J203" s="362"/>
      <c r="K203" s="363"/>
      <c r="L203" s="360"/>
      <c r="M203" s="360"/>
      <c r="N203" s="362"/>
      <c r="O203" s="363"/>
      <c r="P203" s="360"/>
      <c r="Q203" s="360"/>
      <c r="R203" s="363"/>
      <c r="S203" s="360"/>
      <c r="T203" s="360"/>
      <c r="U203" s="363"/>
      <c r="V203" s="360"/>
      <c r="W203" s="191"/>
      <c r="X203" s="192"/>
      <c r="Y203" s="192"/>
      <c r="Z203" s="158"/>
      <c r="AA203" s="158"/>
      <c r="AB203" s="158"/>
      <c r="AC203" s="158"/>
      <c r="AD203" s="190"/>
      <c r="AE203" s="158"/>
      <c r="AF203" s="158"/>
      <c r="AG203" s="158"/>
      <c r="AH203" s="158"/>
    </row>
    <row r="204" spans="1:34" ht="15.75" customHeight="1" thickBot="1">
      <c r="A204" s="357"/>
      <c r="B204" s="359"/>
      <c r="C204" s="359"/>
      <c r="D204" s="360"/>
      <c r="E204" s="360"/>
      <c r="F204" s="360"/>
      <c r="G204" s="360"/>
      <c r="H204" s="361"/>
      <c r="I204" s="362"/>
      <c r="J204" s="362"/>
      <c r="K204" s="363"/>
      <c r="L204" s="360"/>
      <c r="M204" s="360"/>
      <c r="N204" s="362"/>
      <c r="O204" s="363"/>
      <c r="P204" s="360"/>
      <c r="Q204" s="360"/>
      <c r="R204" s="363"/>
      <c r="S204" s="360"/>
      <c r="T204" s="360"/>
      <c r="U204" s="363"/>
      <c r="V204" s="360"/>
      <c r="W204" s="191"/>
      <c r="X204" s="192"/>
      <c r="Y204" s="192"/>
      <c r="Z204" s="158"/>
      <c r="AA204" s="158"/>
      <c r="AB204" s="158"/>
      <c r="AC204" s="158"/>
      <c r="AD204" s="190"/>
      <c r="AE204" s="158"/>
      <c r="AF204" s="158"/>
      <c r="AG204" s="158"/>
      <c r="AH204" s="158"/>
    </row>
    <row r="205" spans="1:34" ht="15.75" customHeight="1" thickBot="1">
      <c r="A205" s="357"/>
      <c r="B205" s="359"/>
      <c r="C205" s="359"/>
      <c r="D205" s="360"/>
      <c r="E205" s="360"/>
      <c r="F205" s="360"/>
      <c r="G205" s="360"/>
      <c r="H205" s="361"/>
      <c r="I205" s="362"/>
      <c r="J205" s="362"/>
      <c r="K205" s="363"/>
      <c r="L205" s="360"/>
      <c r="M205" s="360"/>
      <c r="N205" s="362"/>
      <c r="O205" s="363"/>
      <c r="P205" s="360"/>
      <c r="Q205" s="360"/>
      <c r="R205" s="363"/>
      <c r="S205" s="360"/>
      <c r="T205" s="360"/>
      <c r="U205" s="363"/>
      <c r="V205" s="360"/>
      <c r="W205" s="191"/>
      <c r="X205" s="192"/>
      <c r="Y205" s="192"/>
      <c r="Z205" s="158"/>
      <c r="AA205" s="158"/>
      <c r="AB205" s="158"/>
      <c r="AC205" s="158"/>
      <c r="AD205" s="190"/>
      <c r="AE205" s="158"/>
      <c r="AF205" s="158"/>
      <c r="AG205" s="158"/>
      <c r="AH205" s="158"/>
    </row>
    <row r="206" spans="1:34" ht="15.75" customHeight="1">
      <c r="A206" s="169"/>
      <c r="B206" s="170"/>
      <c r="C206" s="170"/>
      <c r="D206" s="169"/>
      <c r="E206" s="169"/>
      <c r="F206" s="169"/>
      <c r="G206" s="169"/>
      <c r="H206" s="171"/>
      <c r="I206" s="172"/>
      <c r="J206" s="172"/>
      <c r="K206" s="173"/>
      <c r="L206" s="169"/>
      <c r="M206" s="169"/>
      <c r="N206" s="172"/>
      <c r="O206" s="173"/>
      <c r="P206" s="169"/>
      <c r="Q206" s="169"/>
      <c r="R206" s="173"/>
      <c r="S206" s="169"/>
      <c r="T206" s="169"/>
      <c r="U206" s="173"/>
      <c r="V206" s="169"/>
      <c r="W206" s="191"/>
      <c r="X206" s="192"/>
      <c r="Y206" s="192"/>
      <c r="Z206" s="158"/>
      <c r="AA206" s="158"/>
      <c r="AB206" s="158"/>
      <c r="AC206" s="158"/>
      <c r="AD206" s="190"/>
      <c r="AE206" s="158"/>
      <c r="AF206" s="158"/>
      <c r="AG206" s="158"/>
      <c r="AH206" s="158"/>
    </row>
    <row r="207" spans="1:34" ht="15.75" customHeight="1">
      <c r="A207" s="169"/>
      <c r="B207" s="170"/>
      <c r="C207" s="170"/>
      <c r="D207" s="169"/>
      <c r="E207" s="169"/>
      <c r="F207" s="169"/>
      <c r="G207" s="169"/>
      <c r="H207" s="171"/>
      <c r="I207" s="172"/>
      <c r="J207" s="172"/>
      <c r="K207" s="173"/>
      <c r="L207" s="169"/>
      <c r="M207" s="169"/>
      <c r="N207" s="172"/>
      <c r="O207" s="173"/>
      <c r="P207" s="169"/>
      <c r="Q207" s="169"/>
      <c r="R207" s="173"/>
      <c r="S207" s="169"/>
      <c r="T207" s="169"/>
      <c r="U207" s="173"/>
      <c r="V207" s="169"/>
      <c r="W207" s="191"/>
      <c r="X207" s="192"/>
      <c r="Y207" s="192"/>
      <c r="Z207" s="158"/>
      <c r="AA207" s="158"/>
      <c r="AB207" s="158"/>
      <c r="AC207" s="158"/>
      <c r="AD207" s="190"/>
      <c r="AE207" s="158"/>
      <c r="AF207" s="158"/>
      <c r="AG207" s="158"/>
      <c r="AH207" s="158"/>
    </row>
    <row r="208" spans="1:34" ht="15.75" customHeight="1">
      <c r="A208" s="169"/>
      <c r="B208" s="170"/>
      <c r="C208" s="170"/>
      <c r="D208" s="169"/>
      <c r="E208" s="169"/>
      <c r="F208" s="169"/>
      <c r="G208" s="169"/>
      <c r="H208" s="171"/>
      <c r="I208" s="172"/>
      <c r="J208" s="172"/>
      <c r="K208" s="173"/>
      <c r="L208" s="169"/>
      <c r="M208" s="169"/>
      <c r="N208" s="172"/>
      <c r="O208" s="173"/>
      <c r="P208" s="169"/>
      <c r="Q208" s="169"/>
      <c r="R208" s="173"/>
      <c r="S208" s="169"/>
      <c r="T208" s="169"/>
      <c r="U208" s="173"/>
      <c r="V208" s="169"/>
      <c r="W208" s="191"/>
      <c r="X208" s="192"/>
      <c r="Y208" s="192"/>
      <c r="Z208" s="158"/>
      <c r="AA208" s="158"/>
      <c r="AB208" s="158"/>
      <c r="AC208" s="158"/>
      <c r="AD208" s="190"/>
      <c r="AE208" s="158"/>
      <c r="AF208" s="158"/>
      <c r="AG208" s="158"/>
      <c r="AH208" s="158"/>
    </row>
    <row r="209" spans="1:34" ht="15.75" customHeight="1">
      <c r="A209" s="169"/>
      <c r="B209" s="170"/>
      <c r="C209" s="170"/>
      <c r="D209" s="169"/>
      <c r="E209" s="169"/>
      <c r="F209" s="169"/>
      <c r="G209" s="169"/>
      <c r="H209" s="171"/>
      <c r="I209" s="172"/>
      <c r="J209" s="172"/>
      <c r="K209" s="173"/>
      <c r="L209" s="169"/>
      <c r="M209" s="169"/>
      <c r="N209" s="172"/>
      <c r="O209" s="173"/>
      <c r="P209" s="169"/>
      <c r="Q209" s="169"/>
      <c r="R209" s="173"/>
      <c r="S209" s="169"/>
      <c r="T209" s="169"/>
      <c r="U209" s="173"/>
      <c r="V209" s="169"/>
      <c r="W209" s="191"/>
      <c r="X209" s="192"/>
      <c r="Y209" s="192"/>
      <c r="Z209" s="158"/>
      <c r="AA209" s="158"/>
      <c r="AB209" s="158"/>
      <c r="AC209" s="158"/>
      <c r="AD209" s="190"/>
      <c r="AE209" s="158"/>
      <c r="AF209" s="158"/>
      <c r="AG209" s="158"/>
      <c r="AH209" s="158"/>
    </row>
    <row r="210" spans="1:34" ht="15.75" customHeight="1">
      <c r="A210" s="169"/>
      <c r="B210" s="170"/>
      <c r="C210" s="170"/>
      <c r="D210" s="169"/>
      <c r="E210" s="169"/>
      <c r="F210" s="169"/>
      <c r="G210" s="169"/>
      <c r="H210" s="171"/>
      <c r="I210" s="172"/>
      <c r="J210" s="172"/>
      <c r="K210" s="173"/>
      <c r="L210" s="169"/>
      <c r="M210" s="169"/>
      <c r="N210" s="172"/>
      <c r="O210" s="173"/>
      <c r="P210" s="169"/>
      <c r="Q210" s="169"/>
      <c r="R210" s="173"/>
      <c r="S210" s="169"/>
      <c r="T210" s="169"/>
      <c r="U210" s="173"/>
      <c r="V210" s="169"/>
      <c r="W210" s="191"/>
      <c r="X210" s="192"/>
      <c r="Y210" s="192"/>
      <c r="Z210" s="158"/>
      <c r="AA210" s="158"/>
      <c r="AB210" s="158"/>
      <c r="AC210" s="158"/>
      <c r="AD210" s="190"/>
      <c r="AE210" s="158"/>
      <c r="AF210" s="158"/>
      <c r="AG210" s="158"/>
      <c r="AH210" s="158"/>
    </row>
    <row r="211" spans="1:34" ht="15.75" customHeight="1">
      <c r="A211" s="169"/>
      <c r="B211" s="170"/>
      <c r="C211" s="170"/>
      <c r="D211" s="169"/>
      <c r="E211" s="169"/>
      <c r="F211" s="169"/>
      <c r="G211" s="169"/>
      <c r="H211" s="171"/>
      <c r="I211" s="172"/>
      <c r="J211" s="172"/>
      <c r="K211" s="173"/>
      <c r="L211" s="169"/>
      <c r="M211" s="169"/>
      <c r="N211" s="172"/>
      <c r="O211" s="173"/>
      <c r="P211" s="169"/>
      <c r="Q211" s="169"/>
      <c r="R211" s="173"/>
      <c r="S211" s="169"/>
      <c r="T211" s="169"/>
      <c r="U211" s="173"/>
      <c r="V211" s="169"/>
      <c r="W211" s="191"/>
      <c r="X211" s="192"/>
      <c r="Y211" s="192"/>
      <c r="Z211" s="158"/>
      <c r="AA211" s="158"/>
      <c r="AB211" s="158"/>
      <c r="AC211" s="158"/>
      <c r="AD211" s="190"/>
      <c r="AE211" s="158"/>
      <c r="AF211" s="158"/>
      <c r="AG211" s="158"/>
      <c r="AH211" s="158"/>
    </row>
    <row r="212" spans="1:34" ht="15.75" customHeight="1">
      <c r="A212" s="169"/>
      <c r="B212" s="170"/>
      <c r="C212" s="170"/>
      <c r="D212" s="169"/>
      <c r="E212" s="169"/>
      <c r="F212" s="169"/>
      <c r="G212" s="169"/>
      <c r="H212" s="171"/>
      <c r="I212" s="172"/>
      <c r="J212" s="172"/>
      <c r="K212" s="173"/>
      <c r="L212" s="169"/>
      <c r="M212" s="169"/>
      <c r="N212" s="172"/>
      <c r="O212" s="173"/>
      <c r="P212" s="169"/>
      <c r="Q212" s="169"/>
      <c r="R212" s="173"/>
      <c r="S212" s="169"/>
      <c r="T212" s="169"/>
      <c r="U212" s="173"/>
      <c r="V212" s="169"/>
      <c r="W212" s="191"/>
      <c r="X212" s="192"/>
      <c r="Y212" s="192"/>
      <c r="Z212" s="158"/>
      <c r="AA212" s="158"/>
      <c r="AB212" s="158"/>
      <c r="AC212" s="158"/>
      <c r="AD212" s="190"/>
      <c r="AE212" s="158"/>
      <c r="AF212" s="158"/>
      <c r="AG212" s="158"/>
      <c r="AH212" s="158"/>
    </row>
    <row r="213" spans="1:34" ht="15.75" customHeight="1">
      <c r="A213" s="169"/>
      <c r="B213" s="170"/>
      <c r="C213" s="170"/>
      <c r="D213" s="169"/>
      <c r="E213" s="169"/>
      <c r="F213" s="169"/>
      <c r="G213" s="169"/>
      <c r="H213" s="171"/>
      <c r="I213" s="172"/>
      <c r="J213" s="172"/>
      <c r="K213" s="173"/>
      <c r="L213" s="169"/>
      <c r="M213" s="169"/>
      <c r="N213" s="172"/>
      <c r="O213" s="173"/>
      <c r="P213" s="169"/>
      <c r="Q213" s="169"/>
      <c r="R213" s="173"/>
      <c r="S213" s="169"/>
      <c r="T213" s="169"/>
      <c r="U213" s="173"/>
      <c r="V213" s="169"/>
      <c r="W213" s="191"/>
      <c r="X213" s="192"/>
      <c r="Y213" s="192"/>
      <c r="Z213" s="158"/>
      <c r="AA213" s="158"/>
      <c r="AB213" s="158"/>
      <c r="AC213" s="158"/>
      <c r="AD213" s="190"/>
      <c r="AE213" s="158"/>
      <c r="AF213" s="158"/>
      <c r="AG213" s="158"/>
      <c r="AH213" s="158"/>
    </row>
    <row r="214" spans="1:34" ht="15.75" customHeight="1">
      <c r="A214" s="169"/>
      <c r="B214" s="170"/>
      <c r="C214" s="170"/>
      <c r="D214" s="169"/>
      <c r="E214" s="169"/>
      <c r="F214" s="169"/>
      <c r="G214" s="169"/>
      <c r="H214" s="171"/>
      <c r="I214" s="172"/>
      <c r="J214" s="172"/>
      <c r="K214" s="173"/>
      <c r="L214" s="169"/>
      <c r="M214" s="169"/>
      <c r="N214" s="172"/>
      <c r="O214" s="173"/>
      <c r="P214" s="169"/>
      <c r="Q214" s="169"/>
      <c r="R214" s="173"/>
      <c r="S214" s="169"/>
      <c r="T214" s="169"/>
      <c r="U214" s="173"/>
      <c r="V214" s="169"/>
      <c r="W214" s="191"/>
      <c r="X214" s="192"/>
      <c r="Y214" s="192"/>
      <c r="Z214" s="158"/>
      <c r="AA214" s="158"/>
      <c r="AB214" s="158"/>
      <c r="AC214" s="158"/>
      <c r="AD214" s="190"/>
      <c r="AE214" s="158"/>
      <c r="AF214" s="158"/>
      <c r="AG214" s="158"/>
      <c r="AH214" s="158"/>
    </row>
    <row r="215" spans="1:34" ht="15.75" customHeight="1">
      <c r="A215" s="169"/>
      <c r="B215" s="170"/>
      <c r="C215" s="170"/>
      <c r="D215" s="169"/>
      <c r="E215" s="169"/>
      <c r="F215" s="169"/>
      <c r="G215" s="169"/>
      <c r="H215" s="171"/>
      <c r="I215" s="172"/>
      <c r="J215" s="172"/>
      <c r="K215" s="173"/>
      <c r="L215" s="169"/>
      <c r="M215" s="169"/>
      <c r="N215" s="172"/>
      <c r="O215" s="173"/>
      <c r="P215" s="169"/>
      <c r="Q215" s="169"/>
      <c r="R215" s="173"/>
      <c r="S215" s="169"/>
      <c r="T215" s="169"/>
      <c r="U215" s="173"/>
      <c r="V215" s="169"/>
      <c r="W215" s="191"/>
      <c r="X215" s="192"/>
      <c r="Y215" s="192"/>
      <c r="Z215" s="158"/>
      <c r="AA215" s="158"/>
      <c r="AB215" s="158"/>
      <c r="AC215" s="158"/>
      <c r="AD215" s="190"/>
      <c r="AE215" s="158"/>
      <c r="AF215" s="158"/>
      <c r="AG215" s="158"/>
      <c r="AH215" s="158"/>
    </row>
    <row r="216" spans="1:34" ht="15.75" customHeight="1">
      <c r="A216" s="169"/>
      <c r="B216" s="170"/>
      <c r="C216" s="170"/>
      <c r="D216" s="169"/>
      <c r="E216" s="169"/>
      <c r="F216" s="169"/>
      <c r="G216" s="169"/>
      <c r="H216" s="171"/>
      <c r="I216" s="172"/>
      <c r="J216" s="172"/>
      <c r="K216" s="173"/>
      <c r="L216" s="169"/>
      <c r="M216" s="169"/>
      <c r="N216" s="172"/>
      <c r="O216" s="173"/>
      <c r="P216" s="169"/>
      <c r="Q216" s="169"/>
      <c r="R216" s="173"/>
      <c r="S216" s="169"/>
      <c r="T216" s="169"/>
      <c r="U216" s="173"/>
      <c r="V216" s="169"/>
      <c r="W216" s="191"/>
      <c r="X216" s="192"/>
      <c r="Y216" s="192"/>
      <c r="Z216" s="158"/>
      <c r="AA216" s="158"/>
      <c r="AB216" s="158"/>
      <c r="AC216" s="158"/>
      <c r="AD216" s="190"/>
      <c r="AE216" s="158"/>
      <c r="AF216" s="158"/>
      <c r="AG216" s="158"/>
      <c r="AH216" s="158"/>
    </row>
    <row r="217" spans="1:34" ht="15.75" customHeight="1">
      <c r="A217" s="169"/>
      <c r="B217" s="170"/>
      <c r="C217" s="170"/>
      <c r="D217" s="169"/>
      <c r="E217" s="169"/>
      <c r="F217" s="169"/>
      <c r="G217" s="169"/>
      <c r="H217" s="171"/>
      <c r="I217" s="172"/>
      <c r="J217" s="172"/>
      <c r="K217" s="173"/>
      <c r="L217" s="169"/>
      <c r="M217" s="169"/>
      <c r="N217" s="172"/>
      <c r="O217" s="173"/>
      <c r="P217" s="169"/>
      <c r="Q217" s="169"/>
      <c r="R217" s="173"/>
      <c r="S217" s="169"/>
      <c r="T217" s="169"/>
      <c r="U217" s="173"/>
      <c r="V217" s="169"/>
      <c r="W217" s="191"/>
      <c r="X217" s="192"/>
      <c r="Y217" s="192"/>
      <c r="Z217" s="158"/>
      <c r="AA217" s="158"/>
      <c r="AB217" s="158"/>
      <c r="AC217" s="158"/>
      <c r="AD217" s="190"/>
      <c r="AE217" s="158"/>
      <c r="AF217" s="158"/>
      <c r="AG217" s="158"/>
      <c r="AH217" s="158"/>
    </row>
    <row r="218" spans="1:34" ht="15.75" customHeight="1">
      <c r="A218" s="169"/>
      <c r="B218" s="170"/>
      <c r="C218" s="170"/>
      <c r="D218" s="169"/>
      <c r="E218" s="169"/>
      <c r="F218" s="169"/>
      <c r="G218" s="169"/>
      <c r="H218" s="171"/>
      <c r="I218" s="172"/>
      <c r="J218" s="172"/>
      <c r="K218" s="173"/>
      <c r="L218" s="169"/>
      <c r="M218" s="169"/>
      <c r="N218" s="172"/>
      <c r="O218" s="173"/>
      <c r="P218" s="169"/>
      <c r="Q218" s="169"/>
      <c r="R218" s="173"/>
      <c r="S218" s="169"/>
      <c r="T218" s="169"/>
      <c r="U218" s="173"/>
      <c r="V218" s="169"/>
      <c r="W218" s="191"/>
      <c r="X218" s="192"/>
      <c r="Y218" s="192"/>
      <c r="Z218" s="158"/>
      <c r="AA218" s="158"/>
      <c r="AB218" s="158"/>
      <c r="AC218" s="158"/>
      <c r="AD218" s="190"/>
      <c r="AE218" s="158"/>
      <c r="AF218" s="158"/>
      <c r="AG218" s="158"/>
      <c r="AH218" s="158"/>
    </row>
    <row r="219" spans="1:34" ht="15.75" customHeight="1">
      <c r="A219" s="169"/>
      <c r="B219" s="170"/>
      <c r="C219" s="170"/>
      <c r="D219" s="169"/>
      <c r="E219" s="169"/>
      <c r="F219" s="169"/>
      <c r="G219" s="169"/>
      <c r="H219" s="171"/>
      <c r="I219" s="172"/>
      <c r="J219" s="172"/>
      <c r="K219" s="173"/>
      <c r="L219" s="169"/>
      <c r="M219" s="169"/>
      <c r="N219" s="172"/>
      <c r="O219" s="173"/>
      <c r="P219" s="169"/>
      <c r="Q219" s="169"/>
      <c r="R219" s="173"/>
      <c r="S219" s="169"/>
      <c r="T219" s="169"/>
      <c r="U219" s="173"/>
      <c r="V219" s="169"/>
      <c r="W219" s="191"/>
      <c r="X219" s="192"/>
      <c r="Y219" s="192"/>
      <c r="Z219" s="158"/>
      <c r="AA219" s="158"/>
      <c r="AB219" s="158"/>
      <c r="AC219" s="158"/>
      <c r="AD219" s="190"/>
      <c r="AE219" s="158"/>
      <c r="AF219" s="158"/>
      <c r="AG219" s="158"/>
      <c r="AH219" s="158"/>
    </row>
    <row r="220" spans="1:34" ht="15.75" customHeight="1">
      <c r="A220" s="169"/>
      <c r="B220" s="170"/>
      <c r="C220" s="170"/>
      <c r="D220" s="169"/>
      <c r="E220" s="169"/>
      <c r="F220" s="169"/>
      <c r="G220" s="169"/>
      <c r="H220" s="171"/>
      <c r="I220" s="172"/>
      <c r="J220" s="172"/>
      <c r="K220" s="173"/>
      <c r="L220" s="169"/>
      <c r="M220" s="169"/>
      <c r="N220" s="172"/>
      <c r="O220" s="173"/>
      <c r="P220" s="169"/>
      <c r="Q220" s="169"/>
      <c r="R220" s="173"/>
      <c r="S220" s="169"/>
      <c r="T220" s="169"/>
      <c r="U220" s="173"/>
      <c r="V220" s="169"/>
      <c r="W220" s="191"/>
      <c r="X220" s="192"/>
      <c r="Y220" s="192"/>
      <c r="Z220" s="158"/>
      <c r="AA220" s="158"/>
      <c r="AB220" s="158"/>
      <c r="AC220" s="158"/>
      <c r="AD220" s="190"/>
      <c r="AE220" s="158"/>
      <c r="AF220" s="158"/>
      <c r="AG220" s="158"/>
      <c r="AH220" s="158"/>
    </row>
    <row r="221" spans="1:34" ht="15.75" customHeight="1">
      <c r="A221" s="169"/>
      <c r="B221" s="170"/>
      <c r="C221" s="170"/>
      <c r="D221" s="169"/>
      <c r="E221" s="169"/>
      <c r="F221" s="169"/>
      <c r="G221" s="169"/>
      <c r="H221" s="171"/>
      <c r="I221" s="172"/>
      <c r="J221" s="172"/>
      <c r="K221" s="173"/>
      <c r="L221" s="169"/>
      <c r="M221" s="169"/>
      <c r="N221" s="172"/>
      <c r="O221" s="173"/>
      <c r="P221" s="169"/>
      <c r="Q221" s="169"/>
      <c r="R221" s="173"/>
      <c r="S221" s="169"/>
      <c r="T221" s="169"/>
      <c r="U221" s="173"/>
      <c r="V221" s="169"/>
      <c r="W221" s="191"/>
      <c r="X221" s="192"/>
      <c r="Y221" s="192"/>
      <c r="Z221" s="158"/>
      <c r="AA221" s="158"/>
      <c r="AB221" s="158"/>
      <c r="AC221" s="158"/>
      <c r="AD221" s="190"/>
      <c r="AE221" s="158"/>
      <c r="AF221" s="158"/>
      <c r="AG221" s="158"/>
      <c r="AH221" s="158"/>
    </row>
    <row r="222" spans="1:34" ht="15.75" customHeight="1">
      <c r="A222" s="169"/>
      <c r="B222" s="170"/>
      <c r="C222" s="170"/>
      <c r="D222" s="169"/>
      <c r="E222" s="169"/>
      <c r="F222" s="169"/>
      <c r="G222" s="169"/>
      <c r="H222" s="171"/>
      <c r="I222" s="172"/>
      <c r="J222" s="172"/>
      <c r="K222" s="173"/>
      <c r="L222" s="169"/>
      <c r="M222" s="169"/>
      <c r="N222" s="172"/>
      <c r="O222" s="173"/>
      <c r="P222" s="169"/>
      <c r="Q222" s="169"/>
      <c r="R222" s="173"/>
      <c r="S222" s="169"/>
      <c r="T222" s="169"/>
      <c r="U222" s="173"/>
      <c r="V222" s="169"/>
      <c r="W222" s="191"/>
      <c r="X222" s="192"/>
      <c r="Y222" s="192"/>
      <c r="Z222" s="158"/>
      <c r="AA222" s="158"/>
      <c r="AB222" s="158"/>
      <c r="AC222" s="158"/>
      <c r="AD222" s="190"/>
      <c r="AE222" s="158"/>
      <c r="AF222" s="158"/>
      <c r="AG222" s="158"/>
      <c r="AH222" s="158"/>
    </row>
    <row r="223" spans="1:34" ht="15.75" customHeight="1">
      <c r="A223" s="169"/>
      <c r="B223" s="170"/>
      <c r="C223" s="170"/>
      <c r="D223" s="169"/>
      <c r="E223" s="169"/>
      <c r="F223" s="169"/>
      <c r="G223" s="169"/>
      <c r="H223" s="171"/>
      <c r="I223" s="172"/>
      <c r="J223" s="172"/>
      <c r="K223" s="173"/>
      <c r="L223" s="169"/>
      <c r="M223" s="169"/>
      <c r="N223" s="172"/>
      <c r="O223" s="173"/>
      <c r="P223" s="169"/>
      <c r="Q223" s="169"/>
      <c r="R223" s="173"/>
      <c r="S223" s="169"/>
      <c r="T223" s="169"/>
      <c r="U223" s="173"/>
      <c r="V223" s="169"/>
      <c r="W223" s="191"/>
      <c r="X223" s="192"/>
      <c r="Y223" s="192"/>
      <c r="Z223" s="158"/>
      <c r="AA223" s="158"/>
      <c r="AB223" s="158"/>
      <c r="AC223" s="158"/>
      <c r="AD223" s="190"/>
      <c r="AE223" s="158"/>
      <c r="AF223" s="158"/>
      <c r="AG223" s="158"/>
      <c r="AH223" s="158"/>
    </row>
    <row r="224" spans="1:34" ht="15.75" customHeight="1">
      <c r="A224" s="169"/>
      <c r="B224" s="170"/>
      <c r="C224" s="170"/>
      <c r="D224" s="169"/>
      <c r="E224" s="169"/>
      <c r="F224" s="169"/>
      <c r="G224" s="169"/>
      <c r="H224" s="171"/>
      <c r="I224" s="172"/>
      <c r="J224" s="172"/>
      <c r="K224" s="173"/>
      <c r="L224" s="169"/>
      <c r="M224" s="169"/>
      <c r="N224" s="172"/>
      <c r="O224" s="173"/>
      <c r="P224" s="169"/>
      <c r="Q224" s="169"/>
      <c r="R224" s="173"/>
      <c r="S224" s="169"/>
      <c r="T224" s="169"/>
      <c r="U224" s="173"/>
      <c r="V224" s="169"/>
      <c r="W224" s="191"/>
      <c r="X224" s="192"/>
      <c r="Y224" s="192"/>
      <c r="Z224" s="158"/>
      <c r="AA224" s="158"/>
      <c r="AB224" s="158"/>
      <c r="AC224" s="158"/>
      <c r="AD224" s="190"/>
      <c r="AE224" s="158"/>
      <c r="AF224" s="158"/>
      <c r="AG224" s="158"/>
      <c r="AH224" s="158"/>
    </row>
    <row r="225" spans="1:34" ht="15.75" customHeight="1">
      <c r="A225" s="169"/>
      <c r="B225" s="170"/>
      <c r="C225" s="170"/>
      <c r="D225" s="169"/>
      <c r="E225" s="169"/>
      <c r="F225" s="169"/>
      <c r="G225" s="169"/>
      <c r="H225" s="171"/>
      <c r="I225" s="172"/>
      <c r="J225" s="172"/>
      <c r="K225" s="173"/>
      <c r="L225" s="169"/>
      <c r="M225" s="169"/>
      <c r="N225" s="172"/>
      <c r="O225" s="173"/>
      <c r="P225" s="169"/>
      <c r="Q225" s="169"/>
      <c r="R225" s="173"/>
      <c r="S225" s="169"/>
      <c r="T225" s="169"/>
      <c r="U225" s="173"/>
      <c r="V225" s="169"/>
      <c r="W225" s="191"/>
      <c r="X225" s="192"/>
      <c r="Y225" s="192"/>
      <c r="Z225" s="158"/>
      <c r="AA225" s="158"/>
      <c r="AB225" s="158"/>
      <c r="AC225" s="158"/>
      <c r="AD225" s="190"/>
      <c r="AE225" s="158"/>
      <c r="AF225" s="158"/>
      <c r="AG225" s="158"/>
      <c r="AH225" s="158"/>
    </row>
    <row r="226" spans="1:34" ht="15.75" customHeight="1">
      <c r="A226" s="169"/>
      <c r="B226" s="170"/>
      <c r="C226" s="170"/>
      <c r="D226" s="169"/>
      <c r="E226" s="169"/>
      <c r="F226" s="169"/>
      <c r="G226" s="169"/>
      <c r="H226" s="171"/>
      <c r="I226" s="172"/>
      <c r="J226" s="172"/>
      <c r="K226" s="173"/>
      <c r="L226" s="169"/>
      <c r="M226" s="169"/>
      <c r="N226" s="172"/>
      <c r="O226" s="173"/>
      <c r="P226" s="169"/>
      <c r="Q226" s="169"/>
      <c r="R226" s="173"/>
      <c r="S226" s="169"/>
      <c r="T226" s="169"/>
      <c r="U226" s="173"/>
      <c r="V226" s="169"/>
      <c r="W226" s="191"/>
      <c r="X226" s="192"/>
      <c r="Y226" s="192"/>
      <c r="Z226" s="158"/>
      <c r="AA226" s="158"/>
      <c r="AB226" s="158"/>
      <c r="AC226" s="158"/>
      <c r="AD226" s="190"/>
      <c r="AE226" s="158"/>
      <c r="AF226" s="158"/>
      <c r="AG226" s="158"/>
      <c r="AH226" s="158"/>
    </row>
    <row r="227" spans="1:34" ht="15.75" customHeight="1">
      <c r="A227" s="169"/>
      <c r="B227" s="170"/>
      <c r="C227" s="170"/>
      <c r="D227" s="169"/>
      <c r="E227" s="169"/>
      <c r="F227" s="169"/>
      <c r="G227" s="169"/>
      <c r="H227" s="171"/>
      <c r="I227" s="172"/>
      <c r="J227" s="172"/>
      <c r="K227" s="173"/>
      <c r="L227" s="169"/>
      <c r="M227" s="169"/>
      <c r="N227" s="172"/>
      <c r="O227" s="173"/>
      <c r="P227" s="169"/>
      <c r="Q227" s="169"/>
      <c r="R227" s="173"/>
      <c r="S227" s="169"/>
      <c r="T227" s="169"/>
      <c r="U227" s="173"/>
      <c r="V227" s="169"/>
      <c r="W227" s="191"/>
      <c r="X227" s="192"/>
      <c r="Y227" s="192"/>
      <c r="Z227" s="158"/>
      <c r="AA227" s="158"/>
      <c r="AB227" s="158"/>
      <c r="AC227" s="158"/>
      <c r="AD227" s="190"/>
      <c r="AE227" s="158"/>
      <c r="AF227" s="158"/>
      <c r="AG227" s="158"/>
      <c r="AH227" s="158"/>
    </row>
    <row r="228" spans="1:34" ht="15.75" customHeight="1">
      <c r="A228" s="169"/>
      <c r="B228" s="170"/>
      <c r="C228" s="170"/>
      <c r="D228" s="169"/>
      <c r="E228" s="169"/>
      <c r="F228" s="169"/>
      <c r="G228" s="169"/>
      <c r="H228" s="171"/>
      <c r="I228" s="172"/>
      <c r="J228" s="172"/>
      <c r="K228" s="173"/>
      <c r="L228" s="169"/>
      <c r="M228" s="169"/>
      <c r="N228" s="172"/>
      <c r="O228" s="173"/>
      <c r="P228" s="169"/>
      <c r="Q228" s="169"/>
      <c r="R228" s="173"/>
      <c r="S228" s="169"/>
      <c r="T228" s="169"/>
      <c r="U228" s="173"/>
      <c r="V228" s="169"/>
      <c r="W228" s="191"/>
      <c r="X228" s="192"/>
      <c r="Y228" s="192"/>
      <c r="Z228" s="158"/>
      <c r="AA228" s="158"/>
      <c r="AB228" s="158"/>
      <c r="AC228" s="158"/>
      <c r="AD228" s="190"/>
      <c r="AE228" s="158"/>
      <c r="AF228" s="158"/>
      <c r="AG228" s="158"/>
      <c r="AH228" s="158"/>
    </row>
    <row r="229" spans="1:34" ht="15.75" customHeight="1">
      <c r="A229" s="169"/>
      <c r="B229" s="170"/>
      <c r="C229" s="170"/>
      <c r="D229" s="169"/>
      <c r="E229" s="169"/>
      <c r="F229" s="169"/>
      <c r="G229" s="169"/>
      <c r="H229" s="171"/>
      <c r="I229" s="172"/>
      <c r="J229" s="172"/>
      <c r="K229" s="173"/>
      <c r="L229" s="169"/>
      <c r="M229" s="169"/>
      <c r="N229" s="172"/>
      <c r="O229" s="173"/>
      <c r="P229" s="169"/>
      <c r="Q229" s="169"/>
      <c r="R229" s="173"/>
      <c r="S229" s="169"/>
      <c r="T229" s="169"/>
      <c r="U229" s="173"/>
      <c r="V229" s="169"/>
      <c r="W229" s="191"/>
      <c r="X229" s="192"/>
      <c r="Y229" s="192"/>
      <c r="Z229" s="158"/>
      <c r="AA229" s="158"/>
      <c r="AB229" s="158"/>
      <c r="AC229" s="158"/>
      <c r="AD229" s="190"/>
      <c r="AE229" s="158"/>
      <c r="AF229" s="158"/>
      <c r="AG229" s="158"/>
      <c r="AH229" s="158"/>
    </row>
    <row r="230" spans="1:34" ht="15.75" customHeight="1">
      <c r="A230" s="169"/>
      <c r="B230" s="170"/>
      <c r="C230" s="170"/>
      <c r="D230" s="169"/>
      <c r="E230" s="169"/>
      <c r="F230" s="169"/>
      <c r="G230" s="169"/>
      <c r="H230" s="171"/>
      <c r="I230" s="172"/>
      <c r="J230" s="172"/>
      <c r="K230" s="173"/>
      <c r="L230" s="169"/>
      <c r="M230" s="169"/>
      <c r="N230" s="172"/>
      <c r="O230" s="173"/>
      <c r="P230" s="169"/>
      <c r="Q230" s="169"/>
      <c r="R230" s="173"/>
      <c r="S230" s="169"/>
      <c r="T230" s="169"/>
      <c r="U230" s="173"/>
      <c r="V230" s="169"/>
      <c r="W230" s="191"/>
      <c r="X230" s="192"/>
      <c r="Y230" s="192"/>
      <c r="Z230" s="158"/>
      <c r="AA230" s="158"/>
      <c r="AB230" s="158"/>
      <c r="AC230" s="158"/>
      <c r="AD230" s="190"/>
      <c r="AE230" s="158"/>
      <c r="AF230" s="158"/>
      <c r="AG230" s="158"/>
      <c r="AH230" s="158"/>
    </row>
    <row r="231" spans="1:34" ht="15.75" customHeight="1">
      <c r="A231" s="169"/>
      <c r="B231" s="170"/>
      <c r="C231" s="170"/>
      <c r="D231" s="169"/>
      <c r="E231" s="169"/>
      <c r="F231" s="169"/>
      <c r="G231" s="169"/>
      <c r="H231" s="171"/>
      <c r="I231" s="172"/>
      <c r="J231" s="172"/>
      <c r="K231" s="173"/>
      <c r="L231" s="169"/>
      <c r="M231" s="169"/>
      <c r="N231" s="172"/>
      <c r="O231" s="173"/>
      <c r="P231" s="169"/>
      <c r="Q231" s="169"/>
      <c r="R231" s="173"/>
      <c r="S231" s="169"/>
      <c r="T231" s="169"/>
      <c r="U231" s="173"/>
      <c r="V231" s="169"/>
      <c r="W231" s="191"/>
      <c r="X231" s="192"/>
      <c r="Y231" s="192"/>
      <c r="Z231" s="158"/>
      <c r="AA231" s="158"/>
      <c r="AB231" s="158"/>
      <c r="AC231" s="158"/>
      <c r="AD231" s="190"/>
      <c r="AE231" s="158"/>
      <c r="AF231" s="158"/>
      <c r="AG231" s="158"/>
      <c r="AH231" s="158"/>
    </row>
    <row r="232" spans="1:34" ht="15.75" customHeight="1">
      <c r="A232" s="169"/>
      <c r="B232" s="170"/>
      <c r="C232" s="170"/>
      <c r="D232" s="169"/>
      <c r="E232" s="169"/>
      <c r="F232" s="169"/>
      <c r="G232" s="169"/>
      <c r="H232" s="171"/>
      <c r="I232" s="172"/>
      <c r="J232" s="172"/>
      <c r="K232" s="173"/>
      <c r="L232" s="169"/>
      <c r="M232" s="169"/>
      <c r="N232" s="172"/>
      <c r="O232" s="173"/>
      <c r="P232" s="169"/>
      <c r="Q232" s="169"/>
      <c r="R232" s="173"/>
      <c r="S232" s="169"/>
      <c r="T232" s="169"/>
      <c r="U232" s="173"/>
      <c r="V232" s="169"/>
      <c r="W232" s="191"/>
      <c r="X232" s="192"/>
      <c r="Y232" s="192"/>
      <c r="Z232" s="158"/>
      <c r="AA232" s="158"/>
      <c r="AB232" s="158"/>
      <c r="AC232" s="158"/>
      <c r="AD232" s="190"/>
      <c r="AE232" s="158"/>
      <c r="AF232" s="158"/>
      <c r="AG232" s="158"/>
      <c r="AH232" s="158"/>
    </row>
    <row r="233" spans="1:34" ht="15.75" customHeight="1">
      <c r="A233" s="169"/>
      <c r="B233" s="170"/>
      <c r="C233" s="170"/>
      <c r="D233" s="169"/>
      <c r="E233" s="169"/>
      <c r="F233" s="169"/>
      <c r="G233" s="169"/>
      <c r="H233" s="171"/>
      <c r="I233" s="172"/>
      <c r="J233" s="172"/>
      <c r="K233" s="173"/>
      <c r="L233" s="169"/>
      <c r="M233" s="169"/>
      <c r="N233" s="172"/>
      <c r="O233" s="173"/>
      <c r="P233" s="169"/>
      <c r="Q233" s="169"/>
      <c r="R233" s="173"/>
      <c r="S233" s="169"/>
      <c r="T233" s="169"/>
      <c r="U233" s="173"/>
      <c r="V233" s="169"/>
      <c r="W233" s="191"/>
      <c r="X233" s="192"/>
      <c r="Y233" s="192"/>
      <c r="Z233" s="158"/>
      <c r="AA233" s="158"/>
      <c r="AB233" s="158"/>
      <c r="AC233" s="158"/>
      <c r="AD233" s="190"/>
      <c r="AE233" s="158"/>
      <c r="AF233" s="158"/>
      <c r="AG233" s="158"/>
      <c r="AH233" s="158"/>
    </row>
    <row r="234" spans="1:34" ht="15.75" customHeight="1">
      <c r="A234" s="169"/>
      <c r="B234" s="170"/>
      <c r="C234" s="170"/>
      <c r="D234" s="169"/>
      <c r="E234" s="169"/>
      <c r="F234" s="169"/>
      <c r="G234" s="169"/>
      <c r="H234" s="171"/>
      <c r="I234" s="172"/>
      <c r="J234" s="172"/>
      <c r="K234" s="173"/>
      <c r="L234" s="169"/>
      <c r="M234" s="169"/>
      <c r="N234" s="172"/>
      <c r="O234" s="173"/>
      <c r="P234" s="169"/>
      <c r="Q234" s="169"/>
      <c r="R234" s="173"/>
      <c r="S234" s="169"/>
      <c r="T234" s="169"/>
      <c r="U234" s="173"/>
      <c r="V234" s="169"/>
      <c r="W234" s="191"/>
      <c r="X234" s="192"/>
      <c r="Y234" s="192"/>
      <c r="Z234" s="158"/>
      <c r="AA234" s="158"/>
      <c r="AB234" s="158"/>
      <c r="AC234" s="158"/>
      <c r="AD234" s="190"/>
      <c r="AE234" s="158"/>
      <c r="AF234" s="158"/>
      <c r="AG234" s="158"/>
      <c r="AH234" s="158"/>
    </row>
    <row r="235" spans="1:34" ht="15.75" customHeight="1">
      <c r="A235" s="169"/>
      <c r="B235" s="170"/>
      <c r="C235" s="170"/>
      <c r="D235" s="169"/>
      <c r="E235" s="169"/>
      <c r="F235" s="169"/>
      <c r="G235" s="169"/>
      <c r="H235" s="171"/>
      <c r="I235" s="172"/>
      <c r="J235" s="172"/>
      <c r="K235" s="173"/>
      <c r="L235" s="169"/>
      <c r="M235" s="169"/>
      <c r="N235" s="172"/>
      <c r="O235" s="173"/>
      <c r="P235" s="169"/>
      <c r="Q235" s="169"/>
      <c r="R235" s="173"/>
      <c r="S235" s="169"/>
      <c r="T235" s="169"/>
      <c r="U235" s="173"/>
      <c r="V235" s="169"/>
      <c r="W235" s="191"/>
      <c r="X235" s="192"/>
      <c r="Y235" s="192"/>
      <c r="Z235" s="158"/>
      <c r="AA235" s="158"/>
      <c r="AB235" s="158"/>
      <c r="AC235" s="158"/>
      <c r="AD235" s="190"/>
      <c r="AE235" s="158"/>
      <c r="AF235" s="158"/>
      <c r="AG235" s="158"/>
      <c r="AH235" s="158"/>
    </row>
    <row r="236" spans="1:34" ht="15.75" customHeight="1">
      <c r="A236" s="169"/>
      <c r="B236" s="170"/>
      <c r="C236" s="170"/>
      <c r="D236" s="169"/>
      <c r="E236" s="169"/>
      <c r="F236" s="169"/>
      <c r="G236" s="169"/>
      <c r="H236" s="171"/>
      <c r="I236" s="172"/>
      <c r="J236" s="172"/>
      <c r="K236" s="173"/>
      <c r="L236" s="169"/>
      <c r="M236" s="169"/>
      <c r="N236" s="172"/>
      <c r="O236" s="173"/>
      <c r="P236" s="169"/>
      <c r="Q236" s="169"/>
      <c r="R236" s="173"/>
      <c r="S236" s="169"/>
      <c r="T236" s="169"/>
      <c r="U236" s="173"/>
      <c r="V236" s="169"/>
      <c r="W236" s="191"/>
      <c r="X236" s="192"/>
      <c r="Y236" s="192"/>
      <c r="Z236" s="158"/>
      <c r="AA236" s="158"/>
      <c r="AB236" s="158"/>
      <c r="AC236" s="158"/>
      <c r="AD236" s="190"/>
      <c r="AE236" s="158"/>
      <c r="AF236" s="158"/>
      <c r="AG236" s="158"/>
      <c r="AH236" s="158"/>
    </row>
    <row r="237" spans="1:34" ht="15.75" customHeight="1">
      <c r="A237" s="169"/>
      <c r="B237" s="170"/>
      <c r="C237" s="170"/>
      <c r="D237" s="169"/>
      <c r="E237" s="169"/>
      <c r="F237" s="169"/>
      <c r="G237" s="169"/>
      <c r="H237" s="171"/>
      <c r="I237" s="172"/>
      <c r="J237" s="172"/>
      <c r="K237" s="173"/>
      <c r="L237" s="169"/>
      <c r="M237" s="169"/>
      <c r="N237" s="172"/>
      <c r="O237" s="173"/>
      <c r="P237" s="169"/>
      <c r="Q237" s="169"/>
      <c r="R237" s="173"/>
      <c r="S237" s="169"/>
      <c r="T237" s="169"/>
      <c r="U237" s="173"/>
      <c r="V237" s="169"/>
      <c r="W237" s="191"/>
      <c r="X237" s="192"/>
      <c r="Y237" s="192"/>
      <c r="Z237" s="158"/>
      <c r="AA237" s="158"/>
      <c r="AB237" s="158"/>
      <c r="AC237" s="158"/>
      <c r="AD237" s="190"/>
      <c r="AE237" s="158"/>
      <c r="AF237" s="158"/>
      <c r="AG237" s="158"/>
      <c r="AH237" s="158"/>
    </row>
    <row r="238" spans="1:34" ht="15.75" customHeight="1">
      <c r="A238" s="169"/>
      <c r="B238" s="170"/>
      <c r="C238" s="170"/>
      <c r="D238" s="169"/>
      <c r="E238" s="169"/>
      <c r="F238" s="169"/>
      <c r="G238" s="169"/>
      <c r="H238" s="171"/>
      <c r="I238" s="172"/>
      <c r="J238" s="172"/>
      <c r="K238" s="173"/>
      <c r="L238" s="169"/>
      <c r="M238" s="169"/>
      <c r="N238" s="172"/>
      <c r="O238" s="173"/>
      <c r="P238" s="169"/>
      <c r="Q238" s="169"/>
      <c r="R238" s="173"/>
      <c r="S238" s="169"/>
      <c r="T238" s="169"/>
      <c r="U238" s="173"/>
      <c r="V238" s="169"/>
      <c r="W238" s="191"/>
      <c r="X238" s="192"/>
      <c r="Y238" s="192"/>
      <c r="Z238" s="158"/>
      <c r="AA238" s="158"/>
      <c r="AB238" s="158"/>
      <c r="AC238" s="158"/>
      <c r="AD238" s="190"/>
      <c r="AE238" s="158"/>
      <c r="AF238" s="158"/>
      <c r="AG238" s="158"/>
      <c r="AH238" s="158"/>
    </row>
    <row r="239" spans="1:34" ht="15.75" customHeight="1">
      <c r="A239" s="169"/>
      <c r="B239" s="170"/>
      <c r="C239" s="170"/>
      <c r="D239" s="169"/>
      <c r="E239" s="169"/>
      <c r="F239" s="169"/>
      <c r="G239" s="169"/>
      <c r="H239" s="171"/>
      <c r="I239" s="172"/>
      <c r="J239" s="172"/>
      <c r="K239" s="173"/>
      <c r="L239" s="169"/>
      <c r="M239" s="169"/>
      <c r="N239" s="172"/>
      <c r="O239" s="173"/>
      <c r="P239" s="169"/>
      <c r="Q239" s="169"/>
      <c r="R239" s="173"/>
      <c r="S239" s="169"/>
      <c r="T239" s="169"/>
      <c r="U239" s="173"/>
      <c r="V239" s="169"/>
      <c r="W239" s="191"/>
      <c r="X239" s="192"/>
      <c r="Y239" s="192"/>
      <c r="Z239" s="158"/>
      <c r="AA239" s="158"/>
      <c r="AB239" s="158"/>
      <c r="AC239" s="158"/>
      <c r="AD239" s="190"/>
      <c r="AE239" s="158"/>
      <c r="AF239" s="158"/>
      <c r="AG239" s="158"/>
      <c r="AH239" s="158"/>
    </row>
    <row r="240" spans="1:34" ht="15.75" customHeight="1">
      <c r="A240" s="169"/>
      <c r="B240" s="170"/>
      <c r="C240" s="170"/>
      <c r="D240" s="169"/>
      <c r="E240" s="169"/>
      <c r="F240" s="169"/>
      <c r="G240" s="169"/>
      <c r="H240" s="171"/>
      <c r="I240" s="172"/>
      <c r="J240" s="172"/>
      <c r="K240" s="173"/>
      <c r="L240" s="169"/>
      <c r="M240" s="169"/>
      <c r="N240" s="172"/>
      <c r="O240" s="173"/>
      <c r="P240" s="169"/>
      <c r="Q240" s="169"/>
      <c r="R240" s="173"/>
      <c r="S240" s="169"/>
      <c r="T240" s="169"/>
      <c r="U240" s="173"/>
      <c r="V240" s="169"/>
      <c r="W240" s="191"/>
      <c r="X240" s="192"/>
      <c r="Y240" s="192"/>
      <c r="Z240" s="158"/>
      <c r="AA240" s="158"/>
      <c r="AB240" s="158"/>
      <c r="AC240" s="158"/>
      <c r="AD240" s="190"/>
      <c r="AE240" s="158"/>
      <c r="AF240" s="158"/>
      <c r="AG240" s="158"/>
      <c r="AH240" s="158"/>
    </row>
    <row r="241" spans="1:34" ht="15.75" customHeight="1">
      <c r="A241" s="169"/>
      <c r="B241" s="170"/>
      <c r="C241" s="170"/>
      <c r="D241" s="169"/>
      <c r="E241" s="169"/>
      <c r="F241" s="169"/>
      <c r="G241" s="169"/>
      <c r="H241" s="171"/>
      <c r="I241" s="172"/>
      <c r="J241" s="172"/>
      <c r="K241" s="173"/>
      <c r="L241" s="169"/>
      <c r="M241" s="169"/>
      <c r="N241" s="172"/>
      <c r="O241" s="173"/>
      <c r="P241" s="169"/>
      <c r="Q241" s="169"/>
      <c r="R241" s="173"/>
      <c r="S241" s="169"/>
      <c r="T241" s="169"/>
      <c r="U241" s="173"/>
      <c r="V241" s="169"/>
      <c r="W241" s="191"/>
      <c r="X241" s="192"/>
      <c r="Y241" s="192"/>
      <c r="Z241" s="158"/>
      <c r="AA241" s="158"/>
      <c r="AB241" s="158"/>
      <c r="AC241" s="158"/>
      <c r="AD241" s="190"/>
      <c r="AE241" s="158"/>
      <c r="AF241" s="158"/>
      <c r="AG241" s="158"/>
      <c r="AH241" s="158"/>
    </row>
    <row r="242" spans="1:34" ht="15.75" customHeight="1">
      <c r="A242" s="169"/>
      <c r="B242" s="170"/>
      <c r="C242" s="170"/>
      <c r="D242" s="169"/>
      <c r="E242" s="169"/>
      <c r="F242" s="169"/>
      <c r="G242" s="169"/>
      <c r="H242" s="171"/>
      <c r="I242" s="172"/>
      <c r="J242" s="172"/>
      <c r="K242" s="173"/>
      <c r="L242" s="169"/>
      <c r="M242" s="169"/>
      <c r="N242" s="172"/>
      <c r="O242" s="173"/>
      <c r="P242" s="169"/>
      <c r="Q242" s="169"/>
      <c r="R242" s="173"/>
      <c r="S242" s="169"/>
      <c r="T242" s="169"/>
      <c r="U242" s="173"/>
      <c r="V242" s="169"/>
      <c r="W242" s="191"/>
      <c r="X242" s="192"/>
      <c r="Y242" s="192"/>
      <c r="Z242" s="158"/>
      <c r="AA242" s="158"/>
      <c r="AB242" s="158"/>
      <c r="AC242" s="158"/>
      <c r="AD242" s="190"/>
      <c r="AE242" s="158"/>
      <c r="AF242" s="158"/>
      <c r="AG242" s="158"/>
      <c r="AH242" s="158"/>
    </row>
    <row r="243" spans="1:34" ht="15.75" customHeight="1">
      <c r="A243" s="169"/>
      <c r="B243" s="170"/>
      <c r="C243" s="170"/>
      <c r="D243" s="169"/>
      <c r="E243" s="169"/>
      <c r="F243" s="169"/>
      <c r="G243" s="169"/>
      <c r="H243" s="171"/>
      <c r="I243" s="172"/>
      <c r="J243" s="172"/>
      <c r="K243" s="173"/>
      <c r="L243" s="169"/>
      <c r="M243" s="169"/>
      <c r="N243" s="172"/>
      <c r="O243" s="173"/>
      <c r="P243" s="169"/>
      <c r="Q243" s="169"/>
      <c r="R243" s="173"/>
      <c r="S243" s="169"/>
      <c r="T243" s="169"/>
      <c r="U243" s="173"/>
      <c r="V243" s="169"/>
      <c r="W243" s="191"/>
      <c r="X243" s="192"/>
      <c r="Y243" s="192"/>
      <c r="Z243" s="158"/>
      <c r="AA243" s="158"/>
      <c r="AB243" s="158"/>
      <c r="AC243" s="158"/>
      <c r="AD243" s="190"/>
      <c r="AE243" s="158"/>
      <c r="AF243" s="158"/>
      <c r="AG243" s="158"/>
      <c r="AH243" s="158"/>
    </row>
    <row r="244" spans="1:34" ht="15.75" customHeight="1">
      <c r="A244" s="169"/>
      <c r="B244" s="170"/>
      <c r="C244" s="170"/>
      <c r="D244" s="169"/>
      <c r="E244" s="169"/>
      <c r="F244" s="169"/>
      <c r="G244" s="169"/>
      <c r="H244" s="171"/>
      <c r="I244" s="172"/>
      <c r="J244" s="172"/>
      <c r="K244" s="173"/>
      <c r="L244" s="169"/>
      <c r="M244" s="169"/>
      <c r="N244" s="172"/>
      <c r="O244" s="173"/>
      <c r="P244" s="169"/>
      <c r="Q244" s="169"/>
      <c r="R244" s="173"/>
      <c r="S244" s="169"/>
      <c r="T244" s="169"/>
      <c r="U244" s="173"/>
      <c r="V244" s="169"/>
      <c r="W244" s="191"/>
      <c r="X244" s="192"/>
      <c r="Y244" s="192"/>
      <c r="Z244" s="158"/>
      <c r="AA244" s="158"/>
      <c r="AB244" s="158"/>
      <c r="AC244" s="158"/>
      <c r="AD244" s="190"/>
      <c r="AE244" s="158"/>
      <c r="AF244" s="158"/>
      <c r="AG244" s="158"/>
      <c r="AH244" s="158"/>
    </row>
    <row r="245" spans="1:34" ht="15.75" customHeight="1">
      <c r="A245" s="169"/>
      <c r="B245" s="170"/>
      <c r="C245" s="170"/>
      <c r="D245" s="169"/>
      <c r="E245" s="169"/>
      <c r="F245" s="169"/>
      <c r="G245" s="169"/>
      <c r="H245" s="171"/>
      <c r="I245" s="172"/>
      <c r="J245" s="172"/>
      <c r="K245" s="173"/>
      <c r="L245" s="169"/>
      <c r="M245" s="169"/>
      <c r="N245" s="172"/>
      <c r="O245" s="173"/>
      <c r="P245" s="169"/>
      <c r="Q245" s="169"/>
      <c r="R245" s="173"/>
      <c r="S245" s="169"/>
      <c r="T245" s="169"/>
      <c r="U245" s="173"/>
      <c r="V245" s="169"/>
      <c r="W245" s="191"/>
      <c r="X245" s="192"/>
      <c r="Y245" s="192"/>
      <c r="Z245" s="158"/>
      <c r="AA245" s="158"/>
      <c r="AB245" s="158"/>
      <c r="AC245" s="158"/>
      <c r="AD245" s="190"/>
      <c r="AE245" s="158"/>
      <c r="AF245" s="158"/>
      <c r="AG245" s="158"/>
      <c r="AH245" s="158"/>
    </row>
    <row r="246" spans="1:34" ht="15.75" customHeight="1">
      <c r="A246" s="169"/>
      <c r="B246" s="170"/>
      <c r="C246" s="170"/>
      <c r="D246" s="169"/>
      <c r="E246" s="169"/>
      <c r="F246" s="169"/>
      <c r="G246" s="169"/>
      <c r="H246" s="171"/>
      <c r="I246" s="172"/>
      <c r="J246" s="172"/>
      <c r="K246" s="173"/>
      <c r="L246" s="169"/>
      <c r="M246" s="169"/>
      <c r="N246" s="172"/>
      <c r="O246" s="173"/>
      <c r="P246" s="169"/>
      <c r="Q246" s="169"/>
      <c r="R246" s="173"/>
      <c r="S246" s="169"/>
      <c r="T246" s="169"/>
      <c r="U246" s="173"/>
      <c r="V246" s="169"/>
      <c r="W246" s="191"/>
      <c r="X246" s="192"/>
      <c r="Y246" s="192"/>
      <c r="Z246" s="158"/>
      <c r="AA246" s="158"/>
      <c r="AB246" s="158"/>
      <c r="AC246" s="158"/>
      <c r="AD246" s="190"/>
      <c r="AE246" s="158"/>
      <c r="AF246" s="158"/>
      <c r="AG246" s="158"/>
      <c r="AH246" s="158"/>
    </row>
    <row r="247" spans="1:34" ht="15.75" customHeight="1">
      <c r="A247" s="169"/>
      <c r="B247" s="170"/>
      <c r="C247" s="170"/>
      <c r="D247" s="169"/>
      <c r="E247" s="169"/>
      <c r="F247" s="169"/>
      <c r="G247" s="169"/>
      <c r="H247" s="171"/>
      <c r="I247" s="172"/>
      <c r="J247" s="172"/>
      <c r="K247" s="173"/>
      <c r="L247" s="169"/>
      <c r="M247" s="169"/>
      <c r="N247" s="172"/>
      <c r="O247" s="173"/>
      <c r="P247" s="169"/>
      <c r="Q247" s="169"/>
      <c r="R247" s="173"/>
      <c r="S247" s="169"/>
      <c r="T247" s="169"/>
      <c r="U247" s="173"/>
      <c r="V247" s="169"/>
      <c r="W247" s="191"/>
      <c r="X247" s="192"/>
      <c r="Y247" s="192"/>
      <c r="Z247" s="158"/>
      <c r="AA247" s="158"/>
      <c r="AB247" s="158"/>
      <c r="AC247" s="158"/>
      <c r="AD247" s="190"/>
      <c r="AE247" s="158"/>
      <c r="AF247" s="158"/>
      <c r="AG247" s="158"/>
      <c r="AH247" s="158"/>
    </row>
    <row r="248" spans="1:34" ht="15.75" customHeight="1">
      <c r="A248" s="169"/>
      <c r="B248" s="170"/>
      <c r="C248" s="170"/>
      <c r="D248" s="169"/>
      <c r="E248" s="169"/>
      <c r="F248" s="169"/>
      <c r="G248" s="169"/>
      <c r="H248" s="171"/>
      <c r="I248" s="172"/>
      <c r="J248" s="172"/>
      <c r="K248" s="173"/>
      <c r="L248" s="169"/>
      <c r="M248" s="169"/>
      <c r="N248" s="172"/>
      <c r="O248" s="173"/>
      <c r="P248" s="169"/>
      <c r="Q248" s="169"/>
      <c r="R248" s="173"/>
      <c r="S248" s="169"/>
      <c r="T248" s="169"/>
      <c r="U248" s="173"/>
      <c r="V248" s="169"/>
      <c r="W248" s="191"/>
      <c r="X248" s="192"/>
      <c r="Y248" s="192"/>
      <c r="Z248" s="158"/>
      <c r="AA248" s="158"/>
      <c r="AB248" s="158"/>
      <c r="AC248" s="158"/>
      <c r="AD248" s="190"/>
      <c r="AE248" s="158"/>
      <c r="AF248" s="158"/>
      <c r="AG248" s="158"/>
      <c r="AH248" s="158"/>
    </row>
    <row r="249" spans="1:34" ht="15.75" customHeight="1">
      <c r="A249" s="179"/>
      <c r="B249" s="180"/>
      <c r="C249" s="180"/>
      <c r="D249" s="179"/>
      <c r="E249" s="179"/>
      <c r="F249" s="179"/>
      <c r="G249" s="179"/>
      <c r="H249" s="181"/>
      <c r="I249" s="181"/>
      <c r="J249" s="181"/>
      <c r="K249" s="179"/>
      <c r="L249" s="179"/>
      <c r="M249" s="179"/>
      <c r="N249" s="181"/>
      <c r="O249" s="179"/>
      <c r="P249" s="179"/>
      <c r="Q249" s="179"/>
      <c r="R249" s="179"/>
      <c r="S249" s="179"/>
      <c r="T249" s="179"/>
      <c r="U249" s="179"/>
      <c r="V249" s="179"/>
      <c r="W249" s="192"/>
      <c r="X249" s="192"/>
      <c r="Y249" s="192"/>
      <c r="Z249" s="158"/>
      <c r="AA249" s="158"/>
      <c r="AB249" s="158"/>
      <c r="AC249" s="158"/>
      <c r="AD249" s="158"/>
      <c r="AE249" s="158"/>
      <c r="AF249" s="158"/>
      <c r="AG249" s="158"/>
      <c r="AH249" s="158"/>
    </row>
    <row r="250" spans="1:34" ht="15.75" customHeight="1">
      <c r="A250" s="179"/>
      <c r="B250" s="180"/>
      <c r="C250" s="180"/>
      <c r="D250" s="179"/>
      <c r="E250" s="179"/>
      <c r="F250" s="179"/>
      <c r="G250" s="179"/>
      <c r="H250" s="181"/>
      <c r="I250" s="181"/>
      <c r="J250" s="181"/>
      <c r="K250" s="179"/>
      <c r="L250" s="179"/>
      <c r="M250" s="179"/>
      <c r="N250" s="181"/>
      <c r="O250" s="179"/>
      <c r="P250" s="179"/>
      <c r="Q250" s="179"/>
      <c r="R250" s="179"/>
      <c r="S250" s="179"/>
      <c r="T250" s="179"/>
      <c r="U250" s="179"/>
      <c r="V250" s="179"/>
      <c r="W250" s="192"/>
      <c r="X250" s="192"/>
      <c r="Y250" s="192"/>
      <c r="Z250" s="158"/>
      <c r="AA250" s="158"/>
      <c r="AB250" s="158"/>
      <c r="AC250" s="158"/>
      <c r="AD250" s="158"/>
      <c r="AE250" s="158"/>
      <c r="AF250" s="158"/>
      <c r="AG250" s="158"/>
      <c r="AH250" s="158"/>
    </row>
    <row r="251" spans="1:34" ht="15.75" customHeight="1">
      <c r="A251" s="179"/>
      <c r="B251" s="180"/>
      <c r="C251" s="180"/>
      <c r="D251" s="179"/>
      <c r="E251" s="179"/>
      <c r="F251" s="179"/>
      <c r="G251" s="179"/>
      <c r="H251" s="181"/>
      <c r="I251" s="181"/>
      <c r="J251" s="181"/>
      <c r="K251" s="179"/>
      <c r="L251" s="179"/>
      <c r="M251" s="179"/>
      <c r="N251" s="181"/>
      <c r="O251" s="179"/>
      <c r="P251" s="179"/>
      <c r="Q251" s="179"/>
      <c r="R251" s="179"/>
      <c r="S251" s="179"/>
      <c r="T251" s="179"/>
      <c r="U251" s="179"/>
      <c r="V251" s="179"/>
      <c r="W251" s="192"/>
      <c r="X251" s="192"/>
      <c r="Y251" s="192"/>
      <c r="Z251" s="158"/>
      <c r="AA251" s="158"/>
      <c r="AB251" s="158"/>
      <c r="AC251" s="158"/>
      <c r="AD251" s="158"/>
      <c r="AE251" s="158"/>
      <c r="AF251" s="158"/>
      <c r="AG251" s="158"/>
      <c r="AH251" s="158"/>
    </row>
    <row r="252" spans="1:34" ht="15.75" customHeight="1">
      <c r="A252" s="179"/>
      <c r="B252" s="180"/>
      <c r="C252" s="180"/>
      <c r="D252" s="179"/>
      <c r="E252" s="179"/>
      <c r="F252" s="179"/>
      <c r="G252" s="179"/>
      <c r="H252" s="181"/>
      <c r="I252" s="181"/>
      <c r="J252" s="181"/>
      <c r="K252" s="179"/>
      <c r="L252" s="179"/>
      <c r="M252" s="179"/>
      <c r="N252" s="181"/>
      <c r="O252" s="179"/>
      <c r="P252" s="179"/>
      <c r="Q252" s="179"/>
      <c r="R252" s="179"/>
      <c r="S252" s="179"/>
      <c r="T252" s="179"/>
      <c r="U252" s="179"/>
      <c r="V252" s="179"/>
      <c r="W252" s="192"/>
      <c r="X252" s="192"/>
      <c r="Y252" s="192"/>
      <c r="Z252" s="158"/>
      <c r="AA252" s="158"/>
      <c r="AB252" s="158"/>
      <c r="AC252" s="158"/>
      <c r="AD252" s="158"/>
      <c r="AE252" s="158"/>
      <c r="AF252" s="158"/>
      <c r="AG252" s="158"/>
      <c r="AH252" s="158"/>
    </row>
    <row r="253" spans="1:34" ht="15.75" customHeight="1">
      <c r="A253" s="179"/>
      <c r="B253" s="180"/>
      <c r="C253" s="180"/>
      <c r="D253" s="179"/>
      <c r="E253" s="179"/>
      <c r="F253" s="179"/>
      <c r="G253" s="179"/>
      <c r="H253" s="181"/>
      <c r="I253" s="181"/>
      <c r="J253" s="181"/>
      <c r="K253" s="179"/>
      <c r="L253" s="179"/>
      <c r="M253" s="179"/>
      <c r="N253" s="181"/>
      <c r="O253" s="179"/>
      <c r="P253" s="179"/>
      <c r="Q253" s="179"/>
      <c r="R253" s="179"/>
      <c r="S253" s="179"/>
      <c r="T253" s="179"/>
      <c r="U253" s="179"/>
      <c r="V253" s="179"/>
      <c r="W253" s="192"/>
      <c r="X253" s="192"/>
      <c r="Y253" s="192"/>
      <c r="Z253" s="158"/>
      <c r="AA253" s="158"/>
      <c r="AB253" s="158"/>
      <c r="AC253" s="158"/>
      <c r="AD253" s="158"/>
      <c r="AE253" s="158"/>
      <c r="AF253" s="158"/>
      <c r="AG253" s="158"/>
      <c r="AH253" s="158"/>
    </row>
    <row r="254" spans="1:34" ht="15.75" customHeight="1">
      <c r="A254" s="179"/>
      <c r="B254" s="180"/>
      <c r="C254" s="180"/>
      <c r="D254" s="179"/>
      <c r="E254" s="179"/>
      <c r="F254" s="179"/>
      <c r="G254" s="179"/>
      <c r="H254" s="181"/>
      <c r="I254" s="181"/>
      <c r="J254" s="181"/>
      <c r="K254" s="179"/>
      <c r="L254" s="179"/>
      <c r="M254" s="179"/>
      <c r="N254" s="181"/>
      <c r="O254" s="179"/>
      <c r="P254" s="179"/>
      <c r="Q254" s="179"/>
      <c r="R254" s="179"/>
      <c r="S254" s="179"/>
      <c r="T254" s="179"/>
      <c r="U254" s="179"/>
      <c r="V254" s="179"/>
      <c r="W254" s="192"/>
      <c r="X254" s="192"/>
      <c r="Y254" s="192"/>
      <c r="Z254" s="158"/>
      <c r="AA254" s="158"/>
      <c r="AB254" s="158"/>
      <c r="AC254" s="158"/>
      <c r="AD254" s="158"/>
      <c r="AE254" s="158"/>
      <c r="AF254" s="158"/>
      <c r="AG254" s="158"/>
      <c r="AH254" s="158"/>
    </row>
    <row r="255" spans="1:34" ht="15.75" customHeight="1">
      <c r="A255" s="179"/>
      <c r="B255" s="180"/>
      <c r="C255" s="180"/>
      <c r="D255" s="179"/>
      <c r="E255" s="179"/>
      <c r="F255" s="179"/>
      <c r="G255" s="179"/>
      <c r="H255" s="181"/>
      <c r="I255" s="181"/>
      <c r="J255" s="181"/>
      <c r="K255" s="179"/>
      <c r="L255" s="179"/>
      <c r="M255" s="179"/>
      <c r="N255" s="181"/>
      <c r="O255" s="179"/>
      <c r="P255" s="179"/>
      <c r="Q255" s="179"/>
      <c r="R255" s="179"/>
      <c r="S255" s="179"/>
      <c r="T255" s="179"/>
      <c r="U255" s="179"/>
      <c r="V255" s="179"/>
      <c r="W255" s="192"/>
      <c r="X255" s="192"/>
      <c r="Y255" s="192"/>
      <c r="Z255" s="158"/>
      <c r="AA255" s="158"/>
      <c r="AB255" s="158"/>
      <c r="AC255" s="158"/>
      <c r="AD255" s="158"/>
      <c r="AE255" s="158"/>
      <c r="AF255" s="158"/>
      <c r="AG255" s="158"/>
      <c r="AH255" s="158"/>
    </row>
    <row r="256" spans="1:34" ht="15.75" customHeight="1">
      <c r="A256" s="179"/>
      <c r="B256" s="180"/>
      <c r="C256" s="180"/>
      <c r="D256" s="179"/>
      <c r="E256" s="179"/>
      <c r="F256" s="179"/>
      <c r="G256" s="179"/>
      <c r="H256" s="181"/>
      <c r="I256" s="181"/>
      <c r="J256" s="181"/>
      <c r="K256" s="179"/>
      <c r="L256" s="179"/>
      <c r="M256" s="179"/>
      <c r="N256" s="181"/>
      <c r="O256" s="179"/>
      <c r="P256" s="179"/>
      <c r="Q256" s="179"/>
      <c r="R256" s="179"/>
      <c r="S256" s="179"/>
      <c r="T256" s="179"/>
      <c r="U256" s="179"/>
      <c r="V256" s="179"/>
      <c r="W256" s="192"/>
      <c r="X256" s="192"/>
      <c r="Y256" s="192"/>
      <c r="Z256" s="158"/>
      <c r="AA256" s="158"/>
      <c r="AB256" s="158"/>
      <c r="AC256" s="158"/>
      <c r="AD256" s="158"/>
      <c r="AE256" s="158"/>
      <c r="AF256" s="158"/>
      <c r="AG256" s="158"/>
      <c r="AH256" s="158"/>
    </row>
    <row r="257" spans="1:34" ht="15.75" customHeight="1">
      <c r="A257" s="179"/>
      <c r="B257" s="180"/>
      <c r="C257" s="180"/>
      <c r="D257" s="179"/>
      <c r="E257" s="179"/>
      <c r="F257" s="179"/>
      <c r="G257" s="179"/>
      <c r="H257" s="181"/>
      <c r="I257" s="181"/>
      <c r="J257" s="181"/>
      <c r="K257" s="179"/>
      <c r="L257" s="179"/>
      <c r="M257" s="179"/>
      <c r="N257" s="181"/>
      <c r="O257" s="179"/>
      <c r="P257" s="179"/>
      <c r="Q257" s="179"/>
      <c r="R257" s="179"/>
      <c r="S257" s="179"/>
      <c r="T257" s="179"/>
      <c r="U257" s="179"/>
      <c r="V257" s="179"/>
      <c r="W257" s="192"/>
      <c r="X257" s="192"/>
      <c r="Y257" s="192"/>
      <c r="Z257" s="158"/>
      <c r="AA257" s="158"/>
      <c r="AB257" s="158"/>
      <c r="AC257" s="158"/>
      <c r="AD257" s="158"/>
      <c r="AE257" s="158"/>
      <c r="AF257" s="158"/>
      <c r="AG257" s="158"/>
      <c r="AH257" s="158"/>
    </row>
    <row r="258" spans="1:34" ht="15.75" customHeight="1">
      <c r="A258" s="179"/>
      <c r="B258" s="180"/>
      <c r="C258" s="180"/>
      <c r="D258" s="179"/>
      <c r="E258" s="179"/>
      <c r="F258" s="179"/>
      <c r="G258" s="179"/>
      <c r="H258" s="181"/>
      <c r="I258" s="181"/>
      <c r="J258" s="181"/>
      <c r="K258" s="179"/>
      <c r="L258" s="179"/>
      <c r="M258" s="179"/>
      <c r="N258" s="181"/>
      <c r="O258" s="179"/>
      <c r="P258" s="179"/>
      <c r="Q258" s="179"/>
      <c r="R258" s="179"/>
      <c r="S258" s="179"/>
      <c r="T258" s="179"/>
      <c r="U258" s="179"/>
      <c r="V258" s="179"/>
      <c r="W258" s="192"/>
      <c r="X258" s="192"/>
      <c r="Y258" s="192"/>
      <c r="Z258" s="158"/>
      <c r="AA258" s="158"/>
      <c r="AB258" s="158"/>
      <c r="AC258" s="158"/>
      <c r="AD258" s="158"/>
      <c r="AE258" s="158"/>
      <c r="AF258" s="158"/>
      <c r="AG258" s="158"/>
      <c r="AH258" s="158"/>
    </row>
    <row r="259" spans="1:34" ht="15.75" customHeight="1">
      <c r="A259" s="179"/>
      <c r="B259" s="180"/>
      <c r="C259" s="180"/>
      <c r="D259" s="179"/>
      <c r="E259" s="179"/>
      <c r="F259" s="179"/>
      <c r="G259" s="179"/>
      <c r="H259" s="181"/>
      <c r="I259" s="181"/>
      <c r="J259" s="181"/>
      <c r="K259" s="179"/>
      <c r="L259" s="179"/>
      <c r="M259" s="179"/>
      <c r="N259" s="181"/>
      <c r="O259" s="179"/>
      <c r="P259" s="179"/>
      <c r="Q259" s="179"/>
      <c r="R259" s="179"/>
      <c r="S259" s="179"/>
      <c r="T259" s="179"/>
      <c r="U259" s="179"/>
      <c r="V259" s="179"/>
      <c r="W259" s="192"/>
      <c r="X259" s="192"/>
      <c r="Y259" s="192"/>
      <c r="Z259" s="158"/>
      <c r="AA259" s="158"/>
      <c r="AB259" s="158"/>
      <c r="AC259" s="158"/>
      <c r="AD259" s="158"/>
      <c r="AE259" s="158"/>
      <c r="AF259" s="158"/>
      <c r="AG259" s="158"/>
      <c r="AH259" s="158"/>
    </row>
    <row r="260" spans="1:34" ht="15.75" customHeight="1">
      <c r="A260" s="179"/>
      <c r="B260" s="180"/>
      <c r="C260" s="180"/>
      <c r="D260" s="179"/>
      <c r="E260" s="179"/>
      <c r="F260" s="179"/>
      <c r="G260" s="179"/>
      <c r="H260" s="181"/>
      <c r="I260" s="181"/>
      <c r="J260" s="181"/>
      <c r="K260" s="179"/>
      <c r="L260" s="179"/>
      <c r="M260" s="179"/>
      <c r="N260" s="181"/>
      <c r="O260" s="179"/>
      <c r="P260" s="179"/>
      <c r="Q260" s="179"/>
      <c r="R260" s="179"/>
      <c r="S260" s="179"/>
      <c r="T260" s="179"/>
      <c r="U260" s="179"/>
      <c r="V260" s="179"/>
      <c r="W260" s="192"/>
      <c r="X260" s="192"/>
      <c r="Y260" s="192"/>
      <c r="Z260" s="158"/>
      <c r="AA260" s="158"/>
      <c r="AB260" s="158"/>
      <c r="AC260" s="158"/>
      <c r="AD260" s="158"/>
      <c r="AE260" s="158"/>
      <c r="AF260" s="158"/>
      <c r="AG260" s="158"/>
      <c r="AH260" s="158"/>
    </row>
    <row r="261" spans="1:34" ht="15.75" customHeight="1">
      <c r="A261" s="179"/>
      <c r="B261" s="180"/>
      <c r="C261" s="180"/>
      <c r="D261" s="179"/>
      <c r="E261" s="179"/>
      <c r="F261" s="179"/>
      <c r="G261" s="179"/>
      <c r="H261" s="181"/>
      <c r="I261" s="181"/>
      <c r="J261" s="181"/>
      <c r="K261" s="179"/>
      <c r="L261" s="179"/>
      <c r="M261" s="179"/>
      <c r="N261" s="181"/>
      <c r="O261" s="179"/>
      <c r="P261" s="179"/>
      <c r="Q261" s="179"/>
      <c r="R261" s="179"/>
      <c r="S261" s="179"/>
      <c r="T261" s="179"/>
      <c r="U261" s="179"/>
      <c r="V261" s="179"/>
      <c r="W261" s="192"/>
      <c r="X261" s="192"/>
      <c r="Y261" s="192"/>
      <c r="Z261" s="158"/>
      <c r="AA261" s="158"/>
      <c r="AB261" s="158"/>
      <c r="AC261" s="158"/>
      <c r="AD261" s="158"/>
      <c r="AE261" s="158"/>
      <c r="AF261" s="158"/>
      <c r="AG261" s="158"/>
      <c r="AH261" s="158"/>
    </row>
    <row r="262" spans="1:34" ht="15.75" customHeight="1">
      <c r="A262" s="179"/>
      <c r="B262" s="180"/>
      <c r="C262" s="180"/>
      <c r="D262" s="179"/>
      <c r="E262" s="179"/>
      <c r="F262" s="179"/>
      <c r="G262" s="179"/>
      <c r="H262" s="181"/>
      <c r="I262" s="181"/>
      <c r="J262" s="181"/>
      <c r="K262" s="179"/>
      <c r="L262" s="179"/>
      <c r="M262" s="179"/>
      <c r="N262" s="181"/>
      <c r="O262" s="179"/>
      <c r="P262" s="179"/>
      <c r="Q262" s="179"/>
      <c r="R262" s="179"/>
      <c r="S262" s="179"/>
      <c r="T262" s="179"/>
      <c r="U262" s="179"/>
      <c r="V262" s="179"/>
      <c r="W262" s="192"/>
      <c r="X262" s="192"/>
      <c r="Y262" s="192"/>
      <c r="Z262" s="158"/>
      <c r="AA262" s="158"/>
      <c r="AB262" s="158"/>
      <c r="AC262" s="158"/>
      <c r="AD262" s="158"/>
      <c r="AE262" s="158"/>
      <c r="AF262" s="158"/>
      <c r="AG262" s="158"/>
      <c r="AH262" s="158"/>
    </row>
    <row r="263" spans="1:34" ht="15.75" customHeight="1">
      <c r="A263" s="179"/>
      <c r="B263" s="180"/>
      <c r="C263" s="180"/>
      <c r="D263" s="179"/>
      <c r="E263" s="179"/>
      <c r="F263" s="179"/>
      <c r="G263" s="179"/>
      <c r="H263" s="181"/>
      <c r="I263" s="181"/>
      <c r="J263" s="181"/>
      <c r="K263" s="179"/>
      <c r="L263" s="179"/>
      <c r="M263" s="179"/>
      <c r="N263" s="181"/>
      <c r="O263" s="179"/>
      <c r="P263" s="179"/>
      <c r="Q263" s="179"/>
      <c r="R263" s="179"/>
      <c r="S263" s="179"/>
      <c r="T263" s="179"/>
      <c r="U263" s="179"/>
      <c r="V263" s="179"/>
      <c r="W263" s="192"/>
      <c r="X263" s="192"/>
      <c r="Y263" s="192"/>
      <c r="Z263" s="158"/>
      <c r="AA263" s="158"/>
      <c r="AB263" s="158"/>
      <c r="AC263" s="158"/>
      <c r="AD263" s="158"/>
      <c r="AE263" s="158"/>
      <c r="AF263" s="158"/>
      <c r="AG263" s="158"/>
      <c r="AH263" s="158"/>
    </row>
    <row r="264" spans="1:34" ht="15.75" customHeight="1">
      <c r="A264" s="179"/>
      <c r="B264" s="180"/>
      <c r="C264" s="180"/>
      <c r="D264" s="179"/>
      <c r="E264" s="179"/>
      <c r="F264" s="179"/>
      <c r="G264" s="179"/>
      <c r="H264" s="181"/>
      <c r="I264" s="181"/>
      <c r="J264" s="181"/>
      <c r="K264" s="179"/>
      <c r="L264" s="179"/>
      <c r="M264" s="179"/>
      <c r="N264" s="181"/>
      <c r="O264" s="179"/>
      <c r="P264" s="179"/>
      <c r="Q264" s="179"/>
      <c r="R264" s="179"/>
      <c r="S264" s="179"/>
      <c r="T264" s="179"/>
      <c r="U264" s="179"/>
      <c r="V264" s="179"/>
      <c r="W264" s="192"/>
      <c r="X264" s="192"/>
      <c r="Y264" s="192"/>
      <c r="Z264" s="158"/>
      <c r="AA264" s="158"/>
      <c r="AB264" s="158"/>
      <c r="AC264" s="158"/>
      <c r="AD264" s="158"/>
      <c r="AE264" s="158"/>
      <c r="AF264" s="158"/>
      <c r="AG264" s="158"/>
      <c r="AH264" s="158"/>
    </row>
    <row r="265" spans="1:34" ht="15.75" customHeight="1">
      <c r="A265" s="179"/>
      <c r="B265" s="180"/>
      <c r="C265" s="180"/>
      <c r="D265" s="179"/>
      <c r="E265" s="179"/>
      <c r="F265" s="179"/>
      <c r="G265" s="179"/>
      <c r="H265" s="181"/>
      <c r="I265" s="181"/>
      <c r="J265" s="181"/>
      <c r="K265" s="179"/>
      <c r="L265" s="179"/>
      <c r="M265" s="179"/>
      <c r="N265" s="181"/>
      <c r="O265" s="179"/>
      <c r="P265" s="179"/>
      <c r="Q265" s="179"/>
      <c r="R265" s="179"/>
      <c r="S265" s="179"/>
      <c r="T265" s="179"/>
      <c r="U265" s="179"/>
      <c r="V265" s="179"/>
      <c r="W265" s="192"/>
      <c r="X265" s="192"/>
      <c r="Y265" s="192"/>
      <c r="Z265" s="158"/>
      <c r="AA265" s="158"/>
      <c r="AB265" s="158"/>
      <c r="AC265" s="158"/>
      <c r="AD265" s="158"/>
      <c r="AE265" s="158"/>
      <c r="AF265" s="158"/>
      <c r="AG265" s="158"/>
      <c r="AH265" s="158"/>
    </row>
    <row r="266" spans="1:34" ht="15.75" customHeight="1">
      <c r="A266" s="179"/>
      <c r="B266" s="180"/>
      <c r="C266" s="180"/>
      <c r="D266" s="179"/>
      <c r="E266" s="179"/>
      <c r="F266" s="179"/>
      <c r="G266" s="179"/>
      <c r="H266" s="181"/>
      <c r="I266" s="181"/>
      <c r="J266" s="181"/>
      <c r="K266" s="179"/>
      <c r="L266" s="179"/>
      <c r="M266" s="179"/>
      <c r="N266" s="181"/>
      <c r="O266" s="179"/>
      <c r="P266" s="179"/>
      <c r="Q266" s="179"/>
      <c r="R266" s="179"/>
      <c r="S266" s="179"/>
      <c r="T266" s="179"/>
      <c r="U266" s="179"/>
      <c r="V266" s="179"/>
      <c r="W266" s="192"/>
      <c r="X266" s="192"/>
      <c r="Y266" s="192"/>
      <c r="Z266" s="158"/>
      <c r="AA266" s="158"/>
      <c r="AB266" s="158"/>
      <c r="AC266" s="158"/>
      <c r="AD266" s="158"/>
      <c r="AE266" s="158"/>
      <c r="AF266" s="158"/>
      <c r="AG266" s="158"/>
      <c r="AH266" s="158"/>
    </row>
    <row r="267" spans="1:34" ht="15.75" customHeight="1">
      <c r="A267" s="179"/>
      <c r="B267" s="180"/>
      <c r="C267" s="180"/>
      <c r="D267" s="179"/>
      <c r="E267" s="179"/>
      <c r="F267" s="179"/>
      <c r="G267" s="179"/>
      <c r="H267" s="181"/>
      <c r="I267" s="181"/>
      <c r="J267" s="181"/>
      <c r="K267" s="179"/>
      <c r="L267" s="179"/>
      <c r="M267" s="179"/>
      <c r="N267" s="181"/>
      <c r="O267" s="179"/>
      <c r="P267" s="179"/>
      <c r="Q267" s="179"/>
      <c r="R267" s="179"/>
      <c r="S267" s="179"/>
      <c r="T267" s="179"/>
      <c r="U267" s="179"/>
      <c r="V267" s="179"/>
      <c r="W267" s="192"/>
      <c r="X267" s="192"/>
      <c r="Y267" s="192"/>
      <c r="Z267" s="158"/>
      <c r="AA267" s="158"/>
      <c r="AB267" s="158"/>
      <c r="AC267" s="158"/>
      <c r="AD267" s="158"/>
      <c r="AE267" s="158"/>
      <c r="AF267" s="158"/>
      <c r="AG267" s="158"/>
      <c r="AH267" s="158"/>
    </row>
    <row r="268" spans="1:34" ht="15.75" customHeight="1">
      <c r="A268" s="179"/>
      <c r="B268" s="180"/>
      <c r="C268" s="180"/>
      <c r="D268" s="179"/>
      <c r="E268" s="179"/>
      <c r="F268" s="179"/>
      <c r="G268" s="179"/>
      <c r="H268" s="181"/>
      <c r="I268" s="181"/>
      <c r="J268" s="181"/>
      <c r="K268" s="179"/>
      <c r="L268" s="179"/>
      <c r="M268" s="179"/>
      <c r="N268" s="181"/>
      <c r="O268" s="179"/>
      <c r="P268" s="179"/>
      <c r="Q268" s="179"/>
      <c r="R268" s="179"/>
      <c r="S268" s="179"/>
      <c r="T268" s="179"/>
      <c r="U268" s="179"/>
      <c r="V268" s="179"/>
      <c r="W268" s="192"/>
      <c r="X268" s="192"/>
      <c r="Y268" s="192"/>
      <c r="Z268" s="158"/>
      <c r="AA268" s="158"/>
      <c r="AB268" s="158"/>
      <c r="AC268" s="158"/>
      <c r="AD268" s="158"/>
      <c r="AE268" s="158"/>
      <c r="AF268" s="158"/>
      <c r="AG268" s="158"/>
      <c r="AH268" s="158"/>
    </row>
    <row r="269" spans="1:34" ht="15.75" customHeight="1">
      <c r="A269" s="179"/>
      <c r="B269" s="180"/>
      <c r="C269" s="180"/>
      <c r="D269" s="179"/>
      <c r="E269" s="179"/>
      <c r="F269" s="179"/>
      <c r="G269" s="179"/>
      <c r="H269" s="181"/>
      <c r="I269" s="181"/>
      <c r="J269" s="181"/>
      <c r="K269" s="179"/>
      <c r="L269" s="179"/>
      <c r="M269" s="179"/>
      <c r="N269" s="181"/>
      <c r="O269" s="179"/>
      <c r="P269" s="179"/>
      <c r="Q269" s="179"/>
      <c r="R269" s="179"/>
      <c r="S269" s="179"/>
      <c r="T269" s="179"/>
      <c r="U269" s="179"/>
      <c r="V269" s="179"/>
      <c r="W269" s="192"/>
      <c r="X269" s="192"/>
      <c r="Y269" s="192"/>
      <c r="Z269" s="158"/>
      <c r="AA269" s="158"/>
      <c r="AB269" s="158"/>
      <c r="AC269" s="158"/>
      <c r="AD269" s="158"/>
      <c r="AE269" s="158"/>
      <c r="AF269" s="158"/>
      <c r="AG269" s="158"/>
      <c r="AH269" s="158"/>
    </row>
    <row r="270" spans="1:34" ht="15.75" customHeight="1">
      <c r="A270" s="179"/>
      <c r="B270" s="180"/>
      <c r="C270" s="180"/>
      <c r="D270" s="179"/>
      <c r="E270" s="179"/>
      <c r="F270" s="179"/>
      <c r="G270" s="179"/>
      <c r="H270" s="181"/>
      <c r="I270" s="181"/>
      <c r="J270" s="181"/>
      <c r="K270" s="179"/>
      <c r="L270" s="179"/>
      <c r="M270" s="179"/>
      <c r="N270" s="181"/>
      <c r="O270" s="179"/>
      <c r="P270" s="179"/>
      <c r="Q270" s="179"/>
      <c r="R270" s="179"/>
      <c r="S270" s="179"/>
      <c r="T270" s="179"/>
      <c r="U270" s="179"/>
      <c r="V270" s="179"/>
      <c r="W270" s="192"/>
      <c r="X270" s="192"/>
      <c r="Y270" s="192"/>
      <c r="Z270" s="158"/>
      <c r="AA270" s="158"/>
      <c r="AB270" s="158"/>
      <c r="AC270" s="158"/>
      <c r="AD270" s="158"/>
      <c r="AE270" s="158"/>
      <c r="AF270" s="158"/>
      <c r="AG270" s="158"/>
      <c r="AH270" s="158"/>
    </row>
    <row r="271" spans="1:34" ht="15.75" customHeight="1">
      <c r="A271" s="179"/>
      <c r="B271" s="180"/>
      <c r="C271" s="180"/>
      <c r="D271" s="179"/>
      <c r="E271" s="179"/>
      <c r="F271" s="179"/>
      <c r="G271" s="179"/>
      <c r="H271" s="181"/>
      <c r="I271" s="181"/>
      <c r="J271" s="181"/>
      <c r="K271" s="179"/>
      <c r="L271" s="179"/>
      <c r="M271" s="179"/>
      <c r="N271" s="181"/>
      <c r="O271" s="179"/>
      <c r="P271" s="179"/>
      <c r="Q271" s="179"/>
      <c r="R271" s="179"/>
      <c r="S271" s="179"/>
      <c r="T271" s="179"/>
      <c r="U271" s="179"/>
      <c r="V271" s="179"/>
      <c r="W271" s="192"/>
      <c r="X271" s="192"/>
      <c r="Y271" s="192"/>
      <c r="Z271" s="158"/>
      <c r="AA271" s="158"/>
      <c r="AB271" s="158"/>
      <c r="AC271" s="158"/>
      <c r="AD271" s="158"/>
      <c r="AE271" s="158"/>
      <c r="AF271" s="158"/>
      <c r="AG271" s="158"/>
      <c r="AH271" s="158"/>
    </row>
    <row r="272" spans="1:34" ht="15.75" customHeight="1">
      <c r="A272" s="179"/>
      <c r="B272" s="180"/>
      <c r="C272" s="180"/>
      <c r="D272" s="179"/>
      <c r="E272" s="179"/>
      <c r="F272" s="179"/>
      <c r="G272" s="179"/>
      <c r="H272" s="181"/>
      <c r="I272" s="181"/>
      <c r="J272" s="181"/>
      <c r="K272" s="179"/>
      <c r="L272" s="179"/>
      <c r="M272" s="179"/>
      <c r="N272" s="181"/>
      <c r="O272" s="179"/>
      <c r="P272" s="179"/>
      <c r="Q272" s="179"/>
      <c r="R272" s="179"/>
      <c r="S272" s="179"/>
      <c r="T272" s="179"/>
      <c r="U272" s="179"/>
      <c r="V272" s="179"/>
      <c r="W272" s="192"/>
      <c r="X272" s="192"/>
      <c r="Y272" s="192"/>
      <c r="Z272" s="158"/>
      <c r="AA272" s="158"/>
      <c r="AB272" s="158"/>
      <c r="AC272" s="158"/>
      <c r="AD272" s="158"/>
      <c r="AE272" s="158"/>
      <c r="AF272" s="158"/>
      <c r="AG272" s="158"/>
      <c r="AH272" s="158"/>
    </row>
    <row r="273" spans="1:34" ht="15.75" customHeight="1">
      <c r="A273" s="179"/>
      <c r="B273" s="180"/>
      <c r="C273" s="180"/>
      <c r="D273" s="179"/>
      <c r="E273" s="179"/>
      <c r="F273" s="179"/>
      <c r="G273" s="179"/>
      <c r="H273" s="181"/>
      <c r="I273" s="181"/>
      <c r="J273" s="181"/>
      <c r="K273" s="179"/>
      <c r="L273" s="179"/>
      <c r="M273" s="179"/>
      <c r="N273" s="181"/>
      <c r="O273" s="179"/>
      <c r="P273" s="179"/>
      <c r="Q273" s="179"/>
      <c r="R273" s="179"/>
      <c r="S273" s="179"/>
      <c r="T273" s="179"/>
      <c r="U273" s="179"/>
      <c r="V273" s="179"/>
      <c r="W273" s="192"/>
      <c r="X273" s="192"/>
      <c r="Y273" s="192"/>
      <c r="Z273" s="158"/>
      <c r="AA273" s="158"/>
      <c r="AB273" s="158"/>
      <c r="AC273" s="158"/>
      <c r="AD273" s="158"/>
      <c r="AE273" s="158"/>
      <c r="AF273" s="158"/>
      <c r="AG273" s="158"/>
      <c r="AH273" s="158"/>
    </row>
    <row r="274" spans="1:34" ht="15.75" customHeight="1">
      <c r="A274" s="179"/>
      <c r="B274" s="180"/>
      <c r="C274" s="180"/>
      <c r="D274" s="179"/>
      <c r="E274" s="179"/>
      <c r="F274" s="179"/>
      <c r="G274" s="179"/>
      <c r="H274" s="181"/>
      <c r="I274" s="181"/>
      <c r="J274" s="181"/>
      <c r="K274" s="179"/>
      <c r="L274" s="179"/>
      <c r="M274" s="179"/>
      <c r="N274" s="181"/>
      <c r="O274" s="179"/>
      <c r="P274" s="179"/>
      <c r="Q274" s="179"/>
      <c r="R274" s="179"/>
      <c r="S274" s="179"/>
      <c r="T274" s="179"/>
      <c r="U274" s="179"/>
      <c r="V274" s="179"/>
      <c r="W274" s="192"/>
      <c r="X274" s="192"/>
      <c r="Y274" s="192"/>
      <c r="Z274" s="158"/>
      <c r="AA274" s="158"/>
      <c r="AB274" s="158"/>
      <c r="AC274" s="158"/>
      <c r="AD274" s="158"/>
      <c r="AE274" s="158"/>
      <c r="AF274" s="158"/>
      <c r="AG274" s="158"/>
      <c r="AH274" s="158"/>
    </row>
    <row r="275" spans="1:34" ht="15.75" customHeight="1">
      <c r="A275" s="179"/>
      <c r="B275" s="180"/>
      <c r="C275" s="180"/>
      <c r="D275" s="179"/>
      <c r="E275" s="179"/>
      <c r="F275" s="179"/>
      <c r="G275" s="179"/>
      <c r="H275" s="181"/>
      <c r="I275" s="181"/>
      <c r="J275" s="181"/>
      <c r="K275" s="179"/>
      <c r="L275" s="179"/>
      <c r="M275" s="179"/>
      <c r="N275" s="181"/>
      <c r="O275" s="179"/>
      <c r="P275" s="179"/>
      <c r="Q275" s="179"/>
      <c r="R275" s="179"/>
      <c r="S275" s="179"/>
      <c r="T275" s="179"/>
      <c r="U275" s="179"/>
      <c r="V275" s="179"/>
      <c r="W275" s="192"/>
      <c r="X275" s="192"/>
      <c r="Y275" s="192"/>
      <c r="Z275" s="158"/>
      <c r="AA275" s="158"/>
      <c r="AB275" s="158"/>
      <c r="AC275" s="158"/>
      <c r="AD275" s="158"/>
      <c r="AE275" s="158"/>
      <c r="AF275" s="158"/>
      <c r="AG275" s="158"/>
      <c r="AH275" s="158"/>
    </row>
    <row r="276" spans="1:34" ht="15.75" customHeight="1">
      <c r="A276" s="179"/>
      <c r="B276" s="180"/>
      <c r="C276" s="180"/>
      <c r="D276" s="179"/>
      <c r="E276" s="179"/>
      <c r="F276" s="179"/>
      <c r="G276" s="179"/>
      <c r="H276" s="181"/>
      <c r="I276" s="181"/>
      <c r="J276" s="181"/>
      <c r="K276" s="179"/>
      <c r="L276" s="179"/>
      <c r="M276" s="179"/>
      <c r="N276" s="181"/>
      <c r="O276" s="179"/>
      <c r="P276" s="179"/>
      <c r="Q276" s="179"/>
      <c r="R276" s="179"/>
      <c r="S276" s="179"/>
      <c r="T276" s="179"/>
      <c r="U276" s="179"/>
      <c r="V276" s="179"/>
      <c r="W276" s="192"/>
      <c r="X276" s="192"/>
      <c r="Y276" s="192"/>
      <c r="Z276" s="158"/>
      <c r="AA276" s="158"/>
      <c r="AB276" s="158"/>
      <c r="AC276" s="158"/>
      <c r="AD276" s="158"/>
      <c r="AE276" s="158"/>
      <c r="AF276" s="158"/>
      <c r="AG276" s="158"/>
      <c r="AH276" s="158"/>
    </row>
    <row r="277" spans="1:34" ht="15.75" customHeight="1">
      <c r="A277" s="179"/>
      <c r="B277" s="180"/>
      <c r="C277" s="180"/>
      <c r="D277" s="179"/>
      <c r="E277" s="179"/>
      <c r="F277" s="179"/>
      <c r="G277" s="179"/>
      <c r="H277" s="181"/>
      <c r="I277" s="181"/>
      <c r="J277" s="181"/>
      <c r="K277" s="179"/>
      <c r="L277" s="179"/>
      <c r="M277" s="179"/>
      <c r="N277" s="181"/>
      <c r="O277" s="179"/>
      <c r="P277" s="179"/>
      <c r="Q277" s="179"/>
      <c r="R277" s="179"/>
      <c r="S277" s="179"/>
      <c r="T277" s="179"/>
      <c r="U277" s="179"/>
      <c r="V277" s="179"/>
      <c r="W277" s="192"/>
      <c r="X277" s="192"/>
      <c r="Y277" s="192"/>
      <c r="Z277" s="158"/>
      <c r="AA277" s="158"/>
      <c r="AB277" s="158"/>
      <c r="AC277" s="158"/>
      <c r="AD277" s="158"/>
      <c r="AE277" s="158"/>
      <c r="AF277" s="158"/>
      <c r="AG277" s="158"/>
      <c r="AH277" s="158"/>
    </row>
    <row r="278" spans="1:34" ht="15.75" customHeight="1">
      <c r="A278" s="179"/>
      <c r="B278" s="180"/>
      <c r="C278" s="180"/>
      <c r="D278" s="179"/>
      <c r="E278" s="179"/>
      <c r="F278" s="179"/>
      <c r="G278" s="179"/>
      <c r="H278" s="181"/>
      <c r="I278" s="181"/>
      <c r="J278" s="181"/>
      <c r="K278" s="179"/>
      <c r="L278" s="179"/>
      <c r="M278" s="179"/>
      <c r="N278" s="181"/>
      <c r="O278" s="179"/>
      <c r="P278" s="179"/>
      <c r="Q278" s="179"/>
      <c r="R278" s="179"/>
      <c r="S278" s="179"/>
      <c r="T278" s="179"/>
      <c r="U278" s="179"/>
      <c r="V278" s="179"/>
      <c r="W278" s="192"/>
      <c r="X278" s="192"/>
      <c r="Y278" s="192"/>
      <c r="Z278" s="158"/>
      <c r="AA278" s="158"/>
      <c r="AB278" s="158"/>
      <c r="AC278" s="158"/>
      <c r="AD278" s="158"/>
      <c r="AE278" s="158"/>
      <c r="AF278" s="158"/>
      <c r="AG278" s="158"/>
      <c r="AH278" s="158"/>
    </row>
    <row r="279" spans="1:34" ht="15.75" customHeight="1">
      <c r="A279" s="179"/>
      <c r="B279" s="180"/>
      <c r="C279" s="180"/>
      <c r="D279" s="179"/>
      <c r="E279" s="179"/>
      <c r="F279" s="179"/>
      <c r="G279" s="179"/>
      <c r="H279" s="181"/>
      <c r="I279" s="181"/>
      <c r="J279" s="181"/>
      <c r="K279" s="179"/>
      <c r="L279" s="179"/>
      <c r="M279" s="179"/>
      <c r="N279" s="181"/>
      <c r="O279" s="179"/>
      <c r="P279" s="179"/>
      <c r="Q279" s="179"/>
      <c r="R279" s="179"/>
      <c r="S279" s="179"/>
      <c r="T279" s="179"/>
      <c r="U279" s="179"/>
      <c r="V279" s="179"/>
      <c r="W279" s="192"/>
      <c r="X279" s="192"/>
      <c r="Y279" s="192"/>
      <c r="Z279" s="158"/>
      <c r="AA279" s="158"/>
      <c r="AB279" s="158"/>
      <c r="AC279" s="158"/>
      <c r="AD279" s="158"/>
      <c r="AE279" s="158"/>
      <c r="AF279" s="158"/>
      <c r="AG279" s="158"/>
      <c r="AH279" s="158"/>
    </row>
    <row r="280" spans="1:34" ht="15.75" customHeight="1">
      <c r="A280" s="179"/>
      <c r="B280" s="180"/>
      <c r="C280" s="180"/>
      <c r="D280" s="179"/>
      <c r="E280" s="179"/>
      <c r="F280" s="179"/>
      <c r="G280" s="179"/>
      <c r="H280" s="181"/>
      <c r="I280" s="181"/>
      <c r="J280" s="181"/>
      <c r="K280" s="179"/>
      <c r="L280" s="179"/>
      <c r="M280" s="179"/>
      <c r="N280" s="181"/>
      <c r="O280" s="179"/>
      <c r="P280" s="179"/>
      <c r="Q280" s="179"/>
      <c r="R280" s="179"/>
      <c r="S280" s="179"/>
      <c r="T280" s="179"/>
      <c r="U280" s="179"/>
      <c r="V280" s="179"/>
      <c r="W280" s="192"/>
      <c r="X280" s="192"/>
      <c r="Y280" s="192"/>
      <c r="Z280" s="158"/>
      <c r="AA280" s="158"/>
      <c r="AB280" s="158"/>
      <c r="AC280" s="158"/>
      <c r="AD280" s="158"/>
      <c r="AE280" s="158"/>
      <c r="AF280" s="158"/>
      <c r="AG280" s="158"/>
      <c r="AH280" s="158"/>
    </row>
    <row r="281" spans="1:34" ht="15.75" customHeight="1">
      <c r="A281" s="179"/>
      <c r="B281" s="180"/>
      <c r="C281" s="180"/>
      <c r="D281" s="179"/>
      <c r="E281" s="179"/>
      <c r="F281" s="179"/>
      <c r="G281" s="179"/>
      <c r="H281" s="181"/>
      <c r="I281" s="181"/>
      <c r="J281" s="181"/>
      <c r="K281" s="179"/>
      <c r="L281" s="179"/>
      <c r="M281" s="179"/>
      <c r="N281" s="181"/>
      <c r="O281" s="179"/>
      <c r="P281" s="179"/>
      <c r="Q281" s="179"/>
      <c r="R281" s="179"/>
      <c r="S281" s="179"/>
      <c r="T281" s="179"/>
      <c r="U281" s="179"/>
      <c r="V281" s="179"/>
      <c r="W281" s="192"/>
      <c r="X281" s="192"/>
      <c r="Y281" s="192"/>
      <c r="Z281" s="158"/>
      <c r="AA281" s="158"/>
      <c r="AB281" s="158"/>
      <c r="AC281" s="158"/>
      <c r="AD281" s="158"/>
      <c r="AE281" s="158"/>
      <c r="AF281" s="158"/>
      <c r="AG281" s="158"/>
      <c r="AH281" s="158"/>
    </row>
    <row r="282" spans="1:34" ht="15.75" customHeight="1">
      <c r="A282" s="179"/>
      <c r="B282" s="180"/>
      <c r="C282" s="180"/>
      <c r="D282" s="179"/>
      <c r="E282" s="179"/>
      <c r="F282" s="179"/>
      <c r="G282" s="179"/>
      <c r="H282" s="181"/>
      <c r="I282" s="181"/>
      <c r="J282" s="181"/>
      <c r="K282" s="179"/>
      <c r="L282" s="179"/>
      <c r="M282" s="179"/>
      <c r="N282" s="181"/>
      <c r="O282" s="179"/>
      <c r="P282" s="179"/>
      <c r="Q282" s="179"/>
      <c r="R282" s="179"/>
      <c r="S282" s="179"/>
      <c r="T282" s="179"/>
      <c r="U282" s="179"/>
      <c r="V282" s="179"/>
      <c r="W282" s="192"/>
      <c r="X282" s="192"/>
      <c r="Y282" s="192"/>
      <c r="Z282" s="158"/>
      <c r="AA282" s="158"/>
      <c r="AB282" s="158"/>
      <c r="AC282" s="158"/>
      <c r="AD282" s="158"/>
      <c r="AE282" s="158"/>
      <c r="AF282" s="158"/>
      <c r="AG282" s="158"/>
      <c r="AH282" s="158"/>
    </row>
    <row r="283" spans="1:34" ht="15.75" customHeight="1">
      <c r="A283" s="179"/>
      <c r="B283" s="180"/>
      <c r="C283" s="180"/>
      <c r="D283" s="179"/>
      <c r="E283" s="179"/>
      <c r="F283" s="179"/>
      <c r="G283" s="179"/>
      <c r="H283" s="181"/>
      <c r="I283" s="181"/>
      <c r="J283" s="181"/>
      <c r="K283" s="179"/>
      <c r="L283" s="179"/>
      <c r="M283" s="179"/>
      <c r="N283" s="181"/>
      <c r="O283" s="179"/>
      <c r="P283" s="179"/>
      <c r="Q283" s="179"/>
      <c r="R283" s="179"/>
      <c r="S283" s="179"/>
      <c r="T283" s="179"/>
      <c r="U283" s="179"/>
      <c r="V283" s="179"/>
      <c r="W283" s="192"/>
      <c r="X283" s="192"/>
      <c r="Y283" s="192"/>
      <c r="Z283" s="158"/>
      <c r="AA283" s="158"/>
      <c r="AB283" s="158"/>
      <c r="AC283" s="158"/>
      <c r="AD283" s="158"/>
      <c r="AE283" s="158"/>
      <c r="AF283" s="158"/>
      <c r="AG283" s="158"/>
      <c r="AH283" s="158"/>
    </row>
    <row r="284" spans="1:34" ht="15.75" customHeight="1">
      <c r="A284" s="179"/>
      <c r="B284" s="180"/>
      <c r="C284" s="180"/>
      <c r="D284" s="179"/>
      <c r="E284" s="179"/>
      <c r="F284" s="179"/>
      <c r="G284" s="179"/>
      <c r="H284" s="181"/>
      <c r="I284" s="181"/>
      <c r="J284" s="181"/>
      <c r="K284" s="179"/>
      <c r="L284" s="179"/>
      <c r="M284" s="179"/>
      <c r="N284" s="181"/>
      <c r="O284" s="179"/>
      <c r="P284" s="179"/>
      <c r="Q284" s="179"/>
      <c r="R284" s="179"/>
      <c r="S284" s="179"/>
      <c r="T284" s="179"/>
      <c r="U284" s="179"/>
      <c r="V284" s="179"/>
      <c r="W284" s="192"/>
      <c r="X284" s="192"/>
      <c r="Y284" s="192"/>
      <c r="Z284" s="158"/>
      <c r="AA284" s="158"/>
      <c r="AB284" s="158"/>
      <c r="AC284" s="158"/>
      <c r="AD284" s="158"/>
      <c r="AE284" s="158"/>
      <c r="AF284" s="158"/>
      <c r="AG284" s="158"/>
      <c r="AH284" s="158"/>
    </row>
    <row r="285" spans="1:34" ht="15.75" customHeight="1">
      <c r="A285" s="179"/>
      <c r="B285" s="180"/>
      <c r="C285" s="180"/>
      <c r="D285" s="179"/>
      <c r="E285" s="179"/>
      <c r="F285" s="179"/>
      <c r="G285" s="179"/>
      <c r="H285" s="181"/>
      <c r="I285" s="181"/>
      <c r="J285" s="181"/>
      <c r="K285" s="179"/>
      <c r="L285" s="179"/>
      <c r="M285" s="179"/>
      <c r="N285" s="181"/>
      <c r="O285" s="179"/>
      <c r="P285" s="179"/>
      <c r="Q285" s="179"/>
      <c r="R285" s="179"/>
      <c r="S285" s="179"/>
      <c r="T285" s="179"/>
      <c r="U285" s="179"/>
      <c r="V285" s="179"/>
      <c r="W285" s="192"/>
      <c r="X285" s="192"/>
      <c r="Y285" s="192"/>
      <c r="Z285" s="158"/>
      <c r="AA285" s="158"/>
      <c r="AB285" s="158"/>
      <c r="AC285" s="158"/>
      <c r="AD285" s="158"/>
      <c r="AE285" s="158"/>
      <c r="AF285" s="158"/>
      <c r="AG285" s="158"/>
      <c r="AH285" s="158"/>
    </row>
    <row r="286" spans="1:34" ht="15.75" customHeight="1">
      <c r="A286" s="179"/>
      <c r="B286" s="180"/>
      <c r="C286" s="180"/>
      <c r="D286" s="179"/>
      <c r="E286" s="179"/>
      <c r="F286" s="179"/>
      <c r="G286" s="179"/>
      <c r="H286" s="181"/>
      <c r="I286" s="181"/>
      <c r="J286" s="181"/>
      <c r="K286" s="179"/>
      <c r="L286" s="179"/>
      <c r="M286" s="179"/>
      <c r="N286" s="181"/>
      <c r="O286" s="179"/>
      <c r="P286" s="179"/>
      <c r="Q286" s="179"/>
      <c r="R286" s="179"/>
      <c r="S286" s="179"/>
      <c r="T286" s="179"/>
      <c r="U286" s="179"/>
      <c r="V286" s="179"/>
      <c r="W286" s="192"/>
      <c r="X286" s="192"/>
      <c r="Y286" s="192"/>
      <c r="Z286" s="158"/>
      <c r="AA286" s="158"/>
      <c r="AB286" s="158"/>
      <c r="AC286" s="158"/>
      <c r="AD286" s="158"/>
      <c r="AE286" s="158"/>
      <c r="AF286" s="158"/>
      <c r="AG286" s="158"/>
      <c r="AH286" s="158"/>
    </row>
    <row r="287" spans="1:34" ht="15.75" customHeight="1">
      <c r="A287" s="179"/>
      <c r="B287" s="180"/>
      <c r="C287" s="180"/>
      <c r="D287" s="179"/>
      <c r="E287" s="179"/>
      <c r="F287" s="179"/>
      <c r="G287" s="179"/>
      <c r="H287" s="181"/>
      <c r="I287" s="181"/>
      <c r="J287" s="181"/>
      <c r="K287" s="179"/>
      <c r="L287" s="179"/>
      <c r="M287" s="179"/>
      <c r="N287" s="181"/>
      <c r="O287" s="179"/>
      <c r="P287" s="179"/>
      <c r="Q287" s="179"/>
      <c r="R287" s="179"/>
      <c r="S287" s="179"/>
      <c r="T287" s="179"/>
      <c r="U287" s="179"/>
      <c r="V287" s="179"/>
      <c r="W287" s="192"/>
      <c r="X287" s="192"/>
      <c r="Y287" s="192"/>
      <c r="Z287" s="158"/>
      <c r="AA287" s="158"/>
      <c r="AB287" s="158"/>
      <c r="AC287" s="158"/>
      <c r="AD287" s="158"/>
      <c r="AE287" s="158"/>
      <c r="AF287" s="158"/>
      <c r="AG287" s="158"/>
      <c r="AH287" s="158"/>
    </row>
    <row r="288" spans="1:34" ht="15.75" customHeight="1">
      <c r="A288" s="179"/>
      <c r="B288" s="180"/>
      <c r="C288" s="180"/>
      <c r="D288" s="179"/>
      <c r="E288" s="179"/>
      <c r="F288" s="179"/>
      <c r="G288" s="179"/>
      <c r="H288" s="181"/>
      <c r="I288" s="181"/>
      <c r="J288" s="181"/>
      <c r="K288" s="179"/>
      <c r="L288" s="179"/>
      <c r="M288" s="179"/>
      <c r="N288" s="181"/>
      <c r="O288" s="179"/>
      <c r="P288" s="179"/>
      <c r="Q288" s="179"/>
      <c r="R288" s="179"/>
      <c r="S288" s="179"/>
      <c r="T288" s="179"/>
      <c r="U288" s="179"/>
      <c r="V288" s="179"/>
      <c r="W288" s="192"/>
      <c r="X288" s="192"/>
      <c r="Y288" s="192"/>
      <c r="Z288" s="158"/>
      <c r="AA288" s="158"/>
      <c r="AB288" s="158"/>
      <c r="AC288" s="158"/>
      <c r="AD288" s="158"/>
      <c r="AE288" s="158"/>
      <c r="AF288" s="158"/>
      <c r="AG288" s="158"/>
      <c r="AH288" s="158"/>
    </row>
    <row r="289" spans="1:34" ht="15.75" customHeight="1">
      <c r="A289" s="179"/>
      <c r="B289" s="180"/>
      <c r="C289" s="180"/>
      <c r="D289" s="179"/>
      <c r="E289" s="179"/>
      <c r="F289" s="179"/>
      <c r="G289" s="179"/>
      <c r="H289" s="181"/>
      <c r="I289" s="181"/>
      <c r="J289" s="181"/>
      <c r="K289" s="179"/>
      <c r="L289" s="179"/>
      <c r="M289" s="179"/>
      <c r="N289" s="181"/>
      <c r="O289" s="179"/>
      <c r="P289" s="179"/>
      <c r="Q289" s="179"/>
      <c r="R289" s="179"/>
      <c r="S289" s="179"/>
      <c r="T289" s="179"/>
      <c r="U289" s="179"/>
      <c r="V289" s="179"/>
      <c r="W289" s="192"/>
      <c r="X289" s="192"/>
      <c r="Y289" s="192"/>
      <c r="Z289" s="158"/>
      <c r="AA289" s="158"/>
      <c r="AB289" s="158"/>
      <c r="AC289" s="158"/>
      <c r="AD289" s="158"/>
      <c r="AE289" s="158"/>
      <c r="AF289" s="158"/>
      <c r="AG289" s="158"/>
      <c r="AH289" s="158"/>
    </row>
    <row r="290" spans="1:34" ht="15.75" customHeight="1">
      <c r="A290" s="179"/>
      <c r="B290" s="180"/>
      <c r="C290" s="180"/>
      <c r="D290" s="179"/>
      <c r="E290" s="179"/>
      <c r="F290" s="179"/>
      <c r="G290" s="179"/>
      <c r="H290" s="181"/>
      <c r="I290" s="181"/>
      <c r="J290" s="181"/>
      <c r="K290" s="179"/>
      <c r="L290" s="179"/>
      <c r="M290" s="179"/>
      <c r="N290" s="181"/>
      <c r="O290" s="179"/>
      <c r="P290" s="179"/>
      <c r="Q290" s="179"/>
      <c r="R290" s="179"/>
      <c r="S290" s="179"/>
      <c r="T290" s="179"/>
      <c r="U290" s="179"/>
      <c r="V290" s="179"/>
      <c r="W290" s="192"/>
      <c r="X290" s="192"/>
      <c r="Y290" s="192"/>
      <c r="Z290" s="158"/>
      <c r="AA290" s="158"/>
      <c r="AB290" s="158"/>
      <c r="AC290" s="158"/>
      <c r="AD290" s="158"/>
      <c r="AE290" s="158"/>
      <c r="AF290" s="158"/>
      <c r="AG290" s="158"/>
      <c r="AH290" s="158"/>
    </row>
    <row r="291" spans="1:34" ht="15.75" customHeight="1">
      <c r="A291" s="179"/>
      <c r="B291" s="180"/>
      <c r="C291" s="180"/>
      <c r="D291" s="179"/>
      <c r="E291" s="179"/>
      <c r="F291" s="179"/>
      <c r="G291" s="179"/>
      <c r="H291" s="181"/>
      <c r="I291" s="181"/>
      <c r="J291" s="181"/>
      <c r="K291" s="179"/>
      <c r="L291" s="179"/>
      <c r="M291" s="179"/>
      <c r="N291" s="181"/>
      <c r="O291" s="179"/>
      <c r="P291" s="179"/>
      <c r="Q291" s="179"/>
      <c r="R291" s="179"/>
      <c r="S291" s="179"/>
      <c r="T291" s="179"/>
      <c r="U291" s="179"/>
      <c r="V291" s="179"/>
      <c r="W291" s="192"/>
      <c r="X291" s="192"/>
      <c r="Y291" s="192"/>
      <c r="Z291" s="158"/>
      <c r="AA291" s="158"/>
      <c r="AB291" s="158"/>
      <c r="AC291" s="158"/>
      <c r="AD291" s="158"/>
      <c r="AE291" s="158"/>
      <c r="AF291" s="158"/>
      <c r="AG291" s="158"/>
      <c r="AH291" s="158"/>
    </row>
    <row r="292" spans="1:34" ht="15.75" customHeight="1">
      <c r="A292" s="179"/>
      <c r="B292" s="180"/>
      <c r="C292" s="180"/>
      <c r="D292" s="179"/>
      <c r="E292" s="179"/>
      <c r="F292" s="179"/>
      <c r="G292" s="179"/>
      <c r="H292" s="181"/>
      <c r="I292" s="181"/>
      <c r="J292" s="181"/>
      <c r="K292" s="179"/>
      <c r="L292" s="179"/>
      <c r="M292" s="179"/>
      <c r="N292" s="181"/>
      <c r="O292" s="179"/>
      <c r="P292" s="179"/>
      <c r="Q292" s="179"/>
      <c r="R292" s="179"/>
      <c r="S292" s="179"/>
      <c r="T292" s="179"/>
      <c r="U292" s="179"/>
      <c r="V292" s="179"/>
      <c r="W292" s="192"/>
      <c r="X292" s="192"/>
      <c r="Y292" s="192"/>
      <c r="Z292" s="158"/>
      <c r="AA292" s="158"/>
      <c r="AB292" s="158"/>
      <c r="AC292" s="158"/>
      <c r="AD292" s="158"/>
      <c r="AE292" s="158"/>
      <c r="AF292" s="158"/>
      <c r="AG292" s="158"/>
      <c r="AH292" s="158"/>
    </row>
    <row r="293" spans="1:34" ht="15.75" customHeight="1">
      <c r="A293" s="179"/>
      <c r="B293" s="180"/>
      <c r="C293" s="180"/>
      <c r="D293" s="179"/>
      <c r="E293" s="179"/>
      <c r="F293" s="179"/>
      <c r="G293" s="179"/>
      <c r="H293" s="181"/>
      <c r="I293" s="181"/>
      <c r="J293" s="181"/>
      <c r="K293" s="179"/>
      <c r="L293" s="179"/>
      <c r="M293" s="179"/>
      <c r="N293" s="181"/>
      <c r="O293" s="179"/>
      <c r="P293" s="179"/>
      <c r="Q293" s="179"/>
      <c r="R293" s="179"/>
      <c r="S293" s="179"/>
      <c r="T293" s="179"/>
      <c r="U293" s="179"/>
      <c r="V293" s="179"/>
      <c r="W293" s="192"/>
      <c r="X293" s="192"/>
      <c r="Y293" s="192"/>
      <c r="Z293" s="158"/>
      <c r="AA293" s="158"/>
      <c r="AB293" s="158"/>
      <c r="AC293" s="158"/>
      <c r="AD293" s="158"/>
      <c r="AE293" s="158"/>
      <c r="AF293" s="158"/>
      <c r="AG293" s="158"/>
      <c r="AH293" s="158"/>
    </row>
    <row r="294" spans="1:34" ht="15.75" customHeight="1">
      <c r="A294" s="179"/>
      <c r="B294" s="180"/>
      <c r="C294" s="180"/>
      <c r="D294" s="179"/>
      <c r="E294" s="179"/>
      <c r="F294" s="179"/>
      <c r="G294" s="179"/>
      <c r="H294" s="181"/>
      <c r="I294" s="181"/>
      <c r="J294" s="181"/>
      <c r="K294" s="179"/>
      <c r="L294" s="179"/>
      <c r="M294" s="179"/>
      <c r="N294" s="181"/>
      <c r="O294" s="179"/>
      <c r="P294" s="179"/>
      <c r="Q294" s="179"/>
      <c r="R294" s="179"/>
      <c r="S294" s="179"/>
      <c r="T294" s="179"/>
      <c r="U294" s="179"/>
      <c r="V294" s="179"/>
      <c r="W294" s="192"/>
      <c r="X294" s="192"/>
      <c r="Y294" s="192"/>
      <c r="Z294" s="158"/>
      <c r="AA294" s="158"/>
      <c r="AB294" s="158"/>
      <c r="AC294" s="158"/>
      <c r="AD294" s="158"/>
      <c r="AE294" s="158"/>
      <c r="AF294" s="158"/>
      <c r="AG294" s="158"/>
      <c r="AH294" s="158"/>
    </row>
    <row r="295" spans="1:34" ht="15.75" customHeight="1">
      <c r="A295" s="179"/>
      <c r="B295" s="180"/>
      <c r="C295" s="180"/>
      <c r="D295" s="179"/>
      <c r="E295" s="179"/>
      <c r="F295" s="179"/>
      <c r="G295" s="179"/>
      <c r="H295" s="181"/>
      <c r="I295" s="181"/>
      <c r="J295" s="181"/>
      <c r="K295" s="179"/>
      <c r="L295" s="179"/>
      <c r="M295" s="179"/>
      <c r="N295" s="181"/>
      <c r="O295" s="179"/>
      <c r="P295" s="179"/>
      <c r="Q295" s="179"/>
      <c r="R295" s="179"/>
      <c r="S295" s="179"/>
      <c r="T295" s="179"/>
      <c r="U295" s="179"/>
      <c r="V295" s="179"/>
      <c r="W295" s="192"/>
      <c r="X295" s="192"/>
      <c r="Y295" s="192"/>
      <c r="Z295" s="158"/>
      <c r="AA295" s="158"/>
      <c r="AB295" s="158"/>
      <c r="AC295" s="158"/>
      <c r="AD295" s="158"/>
      <c r="AE295" s="158"/>
      <c r="AF295" s="158"/>
      <c r="AG295" s="158"/>
      <c r="AH295" s="158"/>
    </row>
    <row r="296" spans="1:34" ht="15.75" customHeight="1">
      <c r="A296" s="179"/>
      <c r="B296" s="180"/>
      <c r="C296" s="180"/>
      <c r="D296" s="179"/>
      <c r="E296" s="179"/>
      <c r="F296" s="179"/>
      <c r="G296" s="179"/>
      <c r="H296" s="181"/>
      <c r="I296" s="181"/>
      <c r="J296" s="181"/>
      <c r="K296" s="179"/>
      <c r="L296" s="179"/>
      <c r="M296" s="179"/>
      <c r="N296" s="181"/>
      <c r="O296" s="179"/>
      <c r="P296" s="179"/>
      <c r="Q296" s="179"/>
      <c r="R296" s="179"/>
      <c r="S296" s="179"/>
      <c r="T296" s="179"/>
      <c r="U296" s="179"/>
      <c r="V296" s="179"/>
      <c r="W296" s="192"/>
      <c r="X296" s="192"/>
      <c r="Y296" s="192"/>
      <c r="Z296" s="158"/>
      <c r="AA296" s="158"/>
      <c r="AB296" s="158"/>
      <c r="AC296" s="158"/>
      <c r="AD296" s="158"/>
      <c r="AE296" s="158"/>
      <c r="AF296" s="158"/>
      <c r="AG296" s="158"/>
      <c r="AH296" s="158"/>
    </row>
    <row r="297" spans="1:34" ht="15.75" customHeight="1">
      <c r="A297" s="179"/>
      <c r="B297" s="180"/>
      <c r="C297" s="180"/>
      <c r="D297" s="179"/>
      <c r="E297" s="179"/>
      <c r="F297" s="179"/>
      <c r="G297" s="179"/>
      <c r="H297" s="181"/>
      <c r="I297" s="181"/>
      <c r="J297" s="181"/>
      <c r="K297" s="179"/>
      <c r="L297" s="179"/>
      <c r="M297" s="179"/>
      <c r="N297" s="181"/>
      <c r="O297" s="179"/>
      <c r="P297" s="179"/>
      <c r="Q297" s="179"/>
      <c r="R297" s="179"/>
      <c r="S297" s="179"/>
      <c r="T297" s="179"/>
      <c r="U297" s="179"/>
      <c r="V297" s="179"/>
      <c r="W297" s="192"/>
      <c r="X297" s="192"/>
      <c r="Y297" s="192"/>
      <c r="Z297" s="158"/>
      <c r="AA297" s="158"/>
      <c r="AB297" s="158"/>
      <c r="AC297" s="158"/>
      <c r="AD297" s="158"/>
      <c r="AE297" s="158"/>
      <c r="AF297" s="158"/>
      <c r="AG297" s="158"/>
      <c r="AH297" s="158"/>
    </row>
    <row r="298" spans="1:34" ht="15.75" customHeight="1">
      <c r="A298" s="179"/>
      <c r="B298" s="180"/>
      <c r="C298" s="180"/>
      <c r="D298" s="179"/>
      <c r="E298" s="179"/>
      <c r="F298" s="179"/>
      <c r="G298" s="179"/>
      <c r="H298" s="181"/>
      <c r="I298" s="181"/>
      <c r="J298" s="181"/>
      <c r="K298" s="179"/>
      <c r="L298" s="179"/>
      <c r="M298" s="179"/>
      <c r="N298" s="181"/>
      <c r="O298" s="179"/>
      <c r="P298" s="179"/>
      <c r="Q298" s="179"/>
      <c r="R298" s="179"/>
      <c r="S298" s="179"/>
      <c r="T298" s="179"/>
      <c r="U298" s="179"/>
      <c r="V298" s="179"/>
      <c r="W298" s="192"/>
      <c r="X298" s="192"/>
      <c r="Y298" s="192"/>
      <c r="Z298" s="158"/>
      <c r="AA298" s="158"/>
      <c r="AB298" s="158"/>
      <c r="AC298" s="158"/>
      <c r="AD298" s="158"/>
      <c r="AE298" s="158"/>
      <c r="AF298" s="158"/>
      <c r="AG298" s="158"/>
      <c r="AH298" s="158"/>
    </row>
    <row r="299" spans="1:34" ht="15.75" customHeight="1">
      <c r="A299" s="179"/>
      <c r="B299" s="180"/>
      <c r="C299" s="180"/>
      <c r="D299" s="179"/>
      <c r="E299" s="179"/>
      <c r="F299" s="179"/>
      <c r="G299" s="179"/>
      <c r="H299" s="181"/>
      <c r="I299" s="181"/>
      <c r="J299" s="181"/>
      <c r="K299" s="179"/>
      <c r="L299" s="179"/>
      <c r="M299" s="179"/>
      <c r="N299" s="181"/>
      <c r="O299" s="179"/>
      <c r="P299" s="179"/>
      <c r="Q299" s="179"/>
      <c r="R299" s="179"/>
      <c r="S299" s="179"/>
      <c r="T299" s="179"/>
      <c r="U299" s="179"/>
      <c r="V299" s="179"/>
      <c r="W299" s="192"/>
      <c r="X299" s="192"/>
      <c r="Y299" s="192"/>
      <c r="Z299" s="158"/>
      <c r="AA299" s="158"/>
      <c r="AB299" s="158"/>
      <c r="AC299" s="158"/>
      <c r="AD299" s="158"/>
      <c r="AE299" s="158"/>
      <c r="AF299" s="158"/>
      <c r="AG299" s="158"/>
      <c r="AH299" s="158"/>
    </row>
    <row r="300" spans="1:34" ht="15.75" customHeight="1">
      <c r="A300" s="179"/>
      <c r="B300" s="180"/>
      <c r="C300" s="180"/>
      <c r="D300" s="179"/>
      <c r="E300" s="179"/>
      <c r="F300" s="179"/>
      <c r="G300" s="179"/>
      <c r="H300" s="181"/>
      <c r="I300" s="181"/>
      <c r="J300" s="181"/>
      <c r="K300" s="179"/>
      <c r="L300" s="179"/>
      <c r="M300" s="179"/>
      <c r="N300" s="181"/>
      <c r="O300" s="179"/>
      <c r="P300" s="179"/>
      <c r="Q300" s="179"/>
      <c r="R300" s="179"/>
      <c r="S300" s="179"/>
      <c r="T300" s="179"/>
      <c r="U300" s="179"/>
      <c r="V300" s="179"/>
      <c r="W300" s="192"/>
      <c r="X300" s="192"/>
      <c r="Y300" s="192"/>
      <c r="Z300" s="158"/>
      <c r="AA300" s="158"/>
      <c r="AB300" s="158"/>
      <c r="AC300" s="158"/>
      <c r="AD300" s="158"/>
      <c r="AE300" s="158"/>
      <c r="AF300" s="158"/>
      <c r="AG300" s="158"/>
      <c r="AH300" s="158"/>
    </row>
    <row r="301" spans="1:34" ht="15.75" customHeight="1">
      <c r="A301" s="179"/>
      <c r="B301" s="180"/>
      <c r="C301" s="180"/>
      <c r="D301" s="179"/>
      <c r="E301" s="179"/>
      <c r="F301" s="179"/>
      <c r="G301" s="179"/>
      <c r="H301" s="181"/>
      <c r="I301" s="181"/>
      <c r="J301" s="181"/>
      <c r="K301" s="179"/>
      <c r="L301" s="179"/>
      <c r="M301" s="179"/>
      <c r="N301" s="181"/>
      <c r="O301" s="179"/>
      <c r="P301" s="179"/>
      <c r="Q301" s="179"/>
      <c r="R301" s="179"/>
      <c r="S301" s="179"/>
      <c r="T301" s="179"/>
      <c r="U301" s="179"/>
      <c r="V301" s="179"/>
      <c r="W301" s="192"/>
      <c r="X301" s="192"/>
      <c r="Y301" s="192"/>
      <c r="Z301" s="158"/>
      <c r="AA301" s="158"/>
      <c r="AB301" s="158"/>
      <c r="AC301" s="158"/>
      <c r="AD301" s="158"/>
      <c r="AE301" s="158"/>
      <c r="AF301" s="158"/>
      <c r="AG301" s="158"/>
      <c r="AH301" s="158"/>
    </row>
    <row r="302" spans="1:34" ht="15.75" customHeight="1">
      <c r="A302" s="179"/>
      <c r="B302" s="180"/>
      <c r="C302" s="180"/>
      <c r="D302" s="179"/>
      <c r="E302" s="179"/>
      <c r="F302" s="179"/>
      <c r="G302" s="179"/>
      <c r="H302" s="181"/>
      <c r="I302" s="181"/>
      <c r="J302" s="181"/>
      <c r="K302" s="179"/>
      <c r="L302" s="179"/>
      <c r="M302" s="179"/>
      <c r="N302" s="181"/>
      <c r="O302" s="179"/>
      <c r="P302" s="179"/>
      <c r="Q302" s="179"/>
      <c r="R302" s="179"/>
      <c r="S302" s="179"/>
      <c r="T302" s="179"/>
      <c r="U302" s="179"/>
      <c r="V302" s="179"/>
      <c r="W302" s="192"/>
      <c r="X302" s="192"/>
      <c r="Y302" s="192"/>
      <c r="Z302" s="158"/>
      <c r="AA302" s="158"/>
      <c r="AB302" s="158"/>
      <c r="AC302" s="158"/>
      <c r="AD302" s="158"/>
      <c r="AE302" s="158"/>
      <c r="AF302" s="158"/>
      <c r="AG302" s="158"/>
      <c r="AH302" s="158"/>
    </row>
    <row r="303" spans="1:34" ht="15.75" customHeight="1">
      <c r="A303" s="179"/>
      <c r="B303" s="180"/>
      <c r="C303" s="180"/>
      <c r="D303" s="179"/>
      <c r="E303" s="179"/>
      <c r="F303" s="179"/>
      <c r="G303" s="179"/>
      <c r="H303" s="181"/>
      <c r="I303" s="181"/>
      <c r="J303" s="181"/>
      <c r="K303" s="179"/>
      <c r="L303" s="179"/>
      <c r="M303" s="179"/>
      <c r="N303" s="181"/>
      <c r="O303" s="179"/>
      <c r="P303" s="179"/>
      <c r="Q303" s="179"/>
      <c r="R303" s="179"/>
      <c r="S303" s="179"/>
      <c r="T303" s="179"/>
      <c r="U303" s="179"/>
      <c r="V303" s="179"/>
      <c r="W303" s="192"/>
      <c r="X303" s="192"/>
      <c r="Y303" s="192"/>
      <c r="Z303" s="158"/>
      <c r="AA303" s="158"/>
      <c r="AB303" s="158"/>
      <c r="AC303" s="158"/>
      <c r="AD303" s="158"/>
      <c r="AE303" s="158"/>
      <c r="AF303" s="158"/>
      <c r="AG303" s="158"/>
      <c r="AH303" s="158"/>
    </row>
    <row r="304" spans="1:34" ht="15.75" customHeight="1">
      <c r="A304" s="179"/>
      <c r="B304" s="180"/>
      <c r="C304" s="180"/>
      <c r="D304" s="179"/>
      <c r="E304" s="179"/>
      <c r="F304" s="179"/>
      <c r="G304" s="179"/>
      <c r="H304" s="181"/>
      <c r="I304" s="181"/>
      <c r="J304" s="181"/>
      <c r="K304" s="179"/>
      <c r="L304" s="179"/>
      <c r="M304" s="179"/>
      <c r="N304" s="181"/>
      <c r="O304" s="179"/>
      <c r="P304" s="179"/>
      <c r="Q304" s="179"/>
      <c r="R304" s="179"/>
      <c r="S304" s="179"/>
      <c r="T304" s="179"/>
      <c r="U304" s="179"/>
      <c r="V304" s="179"/>
      <c r="W304" s="192"/>
      <c r="X304" s="192"/>
      <c r="Y304" s="192"/>
      <c r="Z304" s="158"/>
      <c r="AA304" s="158"/>
      <c r="AB304" s="158"/>
      <c r="AC304" s="158"/>
      <c r="AD304" s="158"/>
      <c r="AE304" s="158"/>
      <c r="AF304" s="158"/>
      <c r="AG304" s="158"/>
      <c r="AH304" s="158"/>
    </row>
    <row r="305" spans="1:34" ht="15.75" customHeight="1">
      <c r="A305" s="179"/>
      <c r="B305" s="180"/>
      <c r="C305" s="180"/>
      <c r="D305" s="179"/>
      <c r="E305" s="179"/>
      <c r="F305" s="179"/>
      <c r="G305" s="179"/>
      <c r="H305" s="181"/>
      <c r="I305" s="181"/>
      <c r="J305" s="181"/>
      <c r="K305" s="179"/>
      <c r="L305" s="179"/>
      <c r="M305" s="179"/>
      <c r="N305" s="181"/>
      <c r="O305" s="179"/>
      <c r="P305" s="179"/>
      <c r="Q305" s="179"/>
      <c r="R305" s="179"/>
      <c r="S305" s="179"/>
      <c r="T305" s="179"/>
      <c r="U305" s="179"/>
      <c r="V305" s="179"/>
      <c r="W305" s="192"/>
      <c r="X305" s="192"/>
      <c r="Y305" s="192"/>
      <c r="Z305" s="158"/>
      <c r="AA305" s="158"/>
      <c r="AB305" s="158"/>
      <c r="AC305" s="158"/>
      <c r="AD305" s="158"/>
      <c r="AE305" s="158"/>
      <c r="AF305" s="158"/>
      <c r="AG305" s="158"/>
      <c r="AH305" s="158"/>
    </row>
    <row r="306" spans="1:34" ht="15.75" customHeight="1">
      <c r="A306" s="179"/>
      <c r="B306" s="180"/>
      <c r="C306" s="180"/>
      <c r="D306" s="179"/>
      <c r="E306" s="179"/>
      <c r="F306" s="179"/>
      <c r="G306" s="179"/>
      <c r="H306" s="181"/>
      <c r="I306" s="181"/>
      <c r="J306" s="181"/>
      <c r="K306" s="179"/>
      <c r="L306" s="179"/>
      <c r="M306" s="179"/>
      <c r="N306" s="181"/>
      <c r="O306" s="179"/>
      <c r="P306" s="179"/>
      <c r="Q306" s="179"/>
      <c r="R306" s="179"/>
      <c r="S306" s="179"/>
      <c r="T306" s="179"/>
      <c r="U306" s="179"/>
      <c r="V306" s="179"/>
      <c r="W306" s="192"/>
      <c r="X306" s="192"/>
      <c r="Y306" s="192"/>
      <c r="Z306" s="158"/>
      <c r="AA306" s="158"/>
      <c r="AB306" s="158"/>
      <c r="AC306" s="158"/>
      <c r="AD306" s="158"/>
      <c r="AE306" s="158"/>
      <c r="AF306" s="158"/>
      <c r="AG306" s="158"/>
      <c r="AH306" s="158"/>
    </row>
    <row r="307" spans="1:34" ht="15.75" customHeight="1">
      <c r="A307" s="179"/>
      <c r="B307" s="180"/>
      <c r="C307" s="180"/>
      <c r="D307" s="179"/>
      <c r="E307" s="179"/>
      <c r="F307" s="179"/>
      <c r="G307" s="179"/>
      <c r="H307" s="181"/>
      <c r="I307" s="181"/>
      <c r="J307" s="181"/>
      <c r="K307" s="179"/>
      <c r="L307" s="179"/>
      <c r="M307" s="179"/>
      <c r="N307" s="181"/>
      <c r="O307" s="179"/>
      <c r="P307" s="179"/>
      <c r="Q307" s="179"/>
      <c r="R307" s="179"/>
      <c r="S307" s="179"/>
      <c r="T307" s="179"/>
      <c r="U307" s="179"/>
      <c r="V307" s="179"/>
      <c r="W307" s="192"/>
      <c r="X307" s="192"/>
      <c r="Y307" s="192"/>
      <c r="Z307" s="158"/>
      <c r="AA307" s="158"/>
      <c r="AB307" s="158"/>
      <c r="AC307" s="158"/>
      <c r="AD307" s="158"/>
      <c r="AE307" s="158"/>
      <c r="AF307" s="158"/>
      <c r="AG307" s="158"/>
      <c r="AH307" s="158"/>
    </row>
    <row r="308" spans="1:34" ht="15.75" customHeight="1">
      <c r="A308" s="179"/>
      <c r="B308" s="180"/>
      <c r="C308" s="180"/>
      <c r="D308" s="179"/>
      <c r="E308" s="179"/>
      <c r="F308" s="179"/>
      <c r="G308" s="179"/>
      <c r="H308" s="181"/>
      <c r="I308" s="181"/>
      <c r="J308" s="181"/>
      <c r="K308" s="179"/>
      <c r="L308" s="179"/>
      <c r="M308" s="179"/>
      <c r="N308" s="181"/>
      <c r="O308" s="179"/>
      <c r="P308" s="179"/>
      <c r="Q308" s="179"/>
      <c r="R308" s="179"/>
      <c r="S308" s="179"/>
      <c r="T308" s="179"/>
      <c r="U308" s="179"/>
      <c r="V308" s="179"/>
      <c r="W308" s="192"/>
      <c r="X308" s="192"/>
      <c r="Y308" s="192"/>
      <c r="Z308" s="158"/>
      <c r="AA308" s="158"/>
      <c r="AB308" s="158"/>
      <c r="AC308" s="158"/>
      <c r="AD308" s="158"/>
      <c r="AE308" s="158"/>
      <c r="AF308" s="158"/>
      <c r="AG308" s="158"/>
      <c r="AH308" s="158"/>
    </row>
    <row r="309" spans="1:34" ht="15.75" customHeight="1">
      <c r="A309" s="179"/>
      <c r="B309" s="180"/>
      <c r="C309" s="180"/>
      <c r="D309" s="179"/>
      <c r="E309" s="179"/>
      <c r="F309" s="179"/>
      <c r="G309" s="179"/>
      <c r="H309" s="181"/>
      <c r="I309" s="181"/>
      <c r="J309" s="181"/>
      <c r="K309" s="179"/>
      <c r="L309" s="179"/>
      <c r="M309" s="179"/>
      <c r="N309" s="181"/>
      <c r="O309" s="179"/>
      <c r="P309" s="179"/>
      <c r="Q309" s="179"/>
      <c r="R309" s="179"/>
      <c r="S309" s="179"/>
      <c r="T309" s="179"/>
      <c r="U309" s="179"/>
      <c r="V309" s="179"/>
      <c r="W309" s="192"/>
      <c r="X309" s="192"/>
      <c r="Y309" s="192"/>
      <c r="Z309" s="158"/>
      <c r="AA309" s="158"/>
      <c r="AB309" s="158"/>
      <c r="AC309" s="158"/>
      <c r="AD309" s="158"/>
      <c r="AE309" s="158"/>
      <c r="AF309" s="158"/>
      <c r="AG309" s="158"/>
      <c r="AH309" s="158"/>
    </row>
    <row r="310" spans="1:34" ht="15.75" customHeight="1">
      <c r="A310" s="179"/>
      <c r="B310" s="180"/>
      <c r="C310" s="180"/>
      <c r="D310" s="179"/>
      <c r="E310" s="179"/>
      <c r="F310" s="179"/>
      <c r="G310" s="179"/>
      <c r="H310" s="181"/>
      <c r="I310" s="181"/>
      <c r="J310" s="181"/>
      <c r="K310" s="179"/>
      <c r="L310" s="179"/>
      <c r="M310" s="179"/>
      <c r="N310" s="181"/>
      <c r="O310" s="179"/>
      <c r="P310" s="179"/>
      <c r="Q310" s="179"/>
      <c r="R310" s="179"/>
      <c r="S310" s="179"/>
      <c r="T310" s="179"/>
      <c r="U310" s="179"/>
      <c r="V310" s="179"/>
      <c r="W310" s="192"/>
      <c r="X310" s="192"/>
      <c r="Y310" s="192"/>
      <c r="Z310" s="158"/>
      <c r="AA310" s="158"/>
      <c r="AB310" s="158"/>
      <c r="AC310" s="158"/>
      <c r="AD310" s="158"/>
      <c r="AE310" s="158"/>
      <c r="AF310" s="158"/>
      <c r="AG310" s="158"/>
      <c r="AH310" s="158"/>
    </row>
    <row r="311" spans="1:34" ht="15.75" customHeight="1">
      <c r="A311" s="179"/>
      <c r="B311" s="180"/>
      <c r="C311" s="180"/>
      <c r="D311" s="179"/>
      <c r="E311" s="179"/>
      <c r="F311" s="179"/>
      <c r="G311" s="179"/>
      <c r="H311" s="181"/>
      <c r="I311" s="181"/>
      <c r="J311" s="181"/>
      <c r="K311" s="179"/>
      <c r="L311" s="179"/>
      <c r="M311" s="179"/>
      <c r="N311" s="181"/>
      <c r="O311" s="179"/>
      <c r="P311" s="179"/>
      <c r="Q311" s="179"/>
      <c r="R311" s="179"/>
      <c r="S311" s="179"/>
      <c r="T311" s="179"/>
      <c r="U311" s="179"/>
      <c r="V311" s="179"/>
      <c r="W311" s="192"/>
      <c r="X311" s="192"/>
      <c r="Y311" s="192"/>
      <c r="Z311" s="158"/>
      <c r="AA311" s="158"/>
      <c r="AB311" s="158"/>
      <c r="AC311" s="158"/>
      <c r="AD311" s="158"/>
      <c r="AE311" s="158"/>
      <c r="AF311" s="158"/>
      <c r="AG311" s="158"/>
      <c r="AH311" s="158"/>
    </row>
    <row r="312" spans="1:34" ht="15.75" customHeight="1">
      <c r="A312" s="179"/>
      <c r="B312" s="180"/>
      <c r="C312" s="180"/>
      <c r="D312" s="179"/>
      <c r="E312" s="179"/>
      <c r="F312" s="179"/>
      <c r="G312" s="179"/>
      <c r="H312" s="181"/>
      <c r="I312" s="181"/>
      <c r="J312" s="181"/>
      <c r="K312" s="179"/>
      <c r="L312" s="179"/>
      <c r="M312" s="179"/>
      <c r="N312" s="181"/>
      <c r="O312" s="179"/>
      <c r="P312" s="179"/>
      <c r="Q312" s="179"/>
      <c r="R312" s="179"/>
      <c r="S312" s="179"/>
      <c r="T312" s="179"/>
      <c r="U312" s="179"/>
      <c r="V312" s="179"/>
      <c r="W312" s="192"/>
      <c r="X312" s="192"/>
      <c r="Y312" s="192"/>
      <c r="Z312" s="158"/>
      <c r="AA312" s="158"/>
      <c r="AB312" s="158"/>
      <c r="AC312" s="158"/>
      <c r="AD312" s="158"/>
      <c r="AE312" s="158"/>
      <c r="AF312" s="158"/>
      <c r="AG312" s="158"/>
      <c r="AH312" s="158"/>
    </row>
    <row r="313" spans="1:34" ht="15.75" customHeight="1">
      <c r="A313" s="179"/>
      <c r="B313" s="180"/>
      <c r="C313" s="180"/>
      <c r="D313" s="179"/>
      <c r="E313" s="179"/>
      <c r="F313" s="179"/>
      <c r="G313" s="179"/>
      <c r="H313" s="181"/>
      <c r="I313" s="181"/>
      <c r="J313" s="181"/>
      <c r="K313" s="179"/>
      <c r="L313" s="179"/>
      <c r="M313" s="179"/>
      <c r="N313" s="181"/>
      <c r="O313" s="179"/>
      <c r="P313" s="179"/>
      <c r="Q313" s="179"/>
      <c r="R313" s="179"/>
      <c r="S313" s="179"/>
      <c r="T313" s="179"/>
      <c r="U313" s="179"/>
      <c r="V313" s="179"/>
      <c r="W313" s="192"/>
      <c r="X313" s="192"/>
      <c r="Y313" s="192"/>
      <c r="Z313" s="158"/>
      <c r="AA313" s="158"/>
      <c r="AB313" s="158"/>
      <c r="AC313" s="158"/>
      <c r="AD313" s="158"/>
      <c r="AE313" s="158"/>
      <c r="AF313" s="158"/>
      <c r="AG313" s="158"/>
      <c r="AH313" s="158"/>
    </row>
    <row r="314" spans="1:34" ht="15.75" customHeight="1">
      <c r="A314" s="179"/>
      <c r="B314" s="180"/>
      <c r="C314" s="180"/>
      <c r="D314" s="179"/>
      <c r="E314" s="179"/>
      <c r="F314" s="179"/>
      <c r="G314" s="179"/>
      <c r="H314" s="181"/>
      <c r="I314" s="181"/>
      <c r="J314" s="181"/>
      <c r="K314" s="179"/>
      <c r="L314" s="179"/>
      <c r="M314" s="179"/>
      <c r="N314" s="181"/>
      <c r="O314" s="179"/>
      <c r="P314" s="179"/>
      <c r="Q314" s="179"/>
      <c r="R314" s="179"/>
      <c r="S314" s="179"/>
      <c r="T314" s="179"/>
      <c r="U314" s="179"/>
      <c r="V314" s="179"/>
      <c r="W314" s="192"/>
      <c r="X314" s="192"/>
      <c r="Y314" s="192"/>
      <c r="Z314" s="158"/>
      <c r="AA314" s="158"/>
      <c r="AB314" s="158"/>
      <c r="AC314" s="158"/>
      <c r="AD314" s="158"/>
      <c r="AE314" s="158"/>
      <c r="AF314" s="158"/>
      <c r="AG314" s="158"/>
      <c r="AH314" s="158"/>
    </row>
    <row r="315" spans="1:34" ht="15.75" customHeight="1">
      <c r="A315" s="179"/>
      <c r="B315" s="180"/>
      <c r="C315" s="180"/>
      <c r="D315" s="179"/>
      <c r="E315" s="179"/>
      <c r="F315" s="179"/>
      <c r="G315" s="179"/>
      <c r="H315" s="181"/>
      <c r="I315" s="181"/>
      <c r="J315" s="181"/>
      <c r="K315" s="179"/>
      <c r="L315" s="179"/>
      <c r="M315" s="179"/>
      <c r="N315" s="181"/>
      <c r="O315" s="179"/>
      <c r="P315" s="179"/>
      <c r="Q315" s="179"/>
      <c r="R315" s="179"/>
      <c r="S315" s="179"/>
      <c r="T315" s="179"/>
      <c r="U315" s="179"/>
      <c r="V315" s="179"/>
      <c r="W315" s="192"/>
      <c r="X315" s="192"/>
      <c r="Y315" s="192"/>
      <c r="Z315" s="158"/>
      <c r="AA315" s="158"/>
      <c r="AB315" s="158"/>
      <c r="AC315" s="158"/>
      <c r="AD315" s="158"/>
      <c r="AE315" s="158"/>
      <c r="AF315" s="158"/>
      <c r="AG315" s="158"/>
      <c r="AH315" s="158"/>
    </row>
    <row r="316" spans="1:34" ht="15.75" customHeight="1">
      <c r="A316" s="179"/>
      <c r="B316" s="180"/>
      <c r="C316" s="180"/>
      <c r="D316" s="179"/>
      <c r="E316" s="179"/>
      <c r="F316" s="179"/>
      <c r="G316" s="179"/>
      <c r="H316" s="181"/>
      <c r="I316" s="181"/>
      <c r="J316" s="181"/>
      <c r="K316" s="179"/>
      <c r="L316" s="179"/>
      <c r="M316" s="179"/>
      <c r="N316" s="181"/>
      <c r="O316" s="179"/>
      <c r="P316" s="179"/>
      <c r="Q316" s="179"/>
      <c r="R316" s="179"/>
      <c r="S316" s="179"/>
      <c r="T316" s="179"/>
      <c r="U316" s="179"/>
      <c r="V316" s="179"/>
      <c r="W316" s="192"/>
      <c r="X316" s="192"/>
      <c r="Y316" s="192"/>
      <c r="Z316" s="158"/>
      <c r="AA316" s="158"/>
      <c r="AB316" s="158"/>
      <c r="AC316" s="158"/>
      <c r="AD316" s="158"/>
      <c r="AE316" s="158"/>
      <c r="AF316" s="158"/>
      <c r="AG316" s="158"/>
      <c r="AH316" s="158"/>
    </row>
    <row r="317" spans="1:34" ht="15.75" customHeight="1">
      <c r="A317" s="179"/>
      <c r="B317" s="180"/>
      <c r="C317" s="180"/>
      <c r="D317" s="179"/>
      <c r="E317" s="179"/>
      <c r="F317" s="179"/>
      <c r="G317" s="179"/>
      <c r="H317" s="181"/>
      <c r="I317" s="181"/>
      <c r="J317" s="181"/>
      <c r="K317" s="179"/>
      <c r="L317" s="179"/>
      <c r="M317" s="179"/>
      <c r="N317" s="181"/>
      <c r="O317" s="179"/>
      <c r="P317" s="179"/>
      <c r="Q317" s="179"/>
      <c r="R317" s="179"/>
      <c r="S317" s="179"/>
      <c r="T317" s="179"/>
      <c r="U317" s="179"/>
      <c r="V317" s="179"/>
      <c r="W317" s="192"/>
      <c r="X317" s="192"/>
      <c r="Y317" s="192"/>
      <c r="Z317" s="158"/>
      <c r="AA317" s="158"/>
      <c r="AB317" s="158"/>
      <c r="AC317" s="158"/>
      <c r="AD317" s="158"/>
      <c r="AE317" s="158"/>
      <c r="AF317" s="158"/>
      <c r="AG317" s="158"/>
      <c r="AH317" s="158"/>
    </row>
    <row r="318" spans="1:34" ht="15.75" customHeight="1">
      <c r="A318" s="179"/>
      <c r="B318" s="180"/>
      <c r="C318" s="180"/>
      <c r="D318" s="179"/>
      <c r="E318" s="179"/>
      <c r="F318" s="179"/>
      <c r="G318" s="179"/>
      <c r="H318" s="181"/>
      <c r="I318" s="181"/>
      <c r="J318" s="181"/>
      <c r="K318" s="179"/>
      <c r="L318" s="179"/>
      <c r="M318" s="179"/>
      <c r="N318" s="181"/>
      <c r="O318" s="179"/>
      <c r="P318" s="179"/>
      <c r="Q318" s="179"/>
      <c r="R318" s="179"/>
      <c r="S318" s="179"/>
      <c r="T318" s="179"/>
      <c r="U318" s="179"/>
      <c r="V318" s="179"/>
      <c r="W318" s="192"/>
      <c r="X318" s="192"/>
      <c r="Y318" s="192"/>
      <c r="Z318" s="158"/>
      <c r="AA318" s="158"/>
      <c r="AB318" s="158"/>
      <c r="AC318" s="158"/>
      <c r="AD318" s="158"/>
      <c r="AE318" s="158"/>
      <c r="AF318" s="158"/>
      <c r="AG318" s="158"/>
      <c r="AH318" s="158"/>
    </row>
    <row r="319" spans="1:34" ht="15.75" customHeight="1">
      <c r="A319" s="179"/>
      <c r="B319" s="180"/>
      <c r="C319" s="180"/>
      <c r="D319" s="179"/>
      <c r="E319" s="179"/>
      <c r="F319" s="179"/>
      <c r="G319" s="179"/>
      <c r="H319" s="181"/>
      <c r="I319" s="181"/>
      <c r="J319" s="181"/>
      <c r="K319" s="179"/>
      <c r="L319" s="179"/>
      <c r="M319" s="179"/>
      <c r="N319" s="181"/>
      <c r="O319" s="179"/>
      <c r="P319" s="179"/>
      <c r="Q319" s="179"/>
      <c r="R319" s="179"/>
      <c r="S319" s="179"/>
      <c r="T319" s="179"/>
      <c r="U319" s="179"/>
      <c r="V319" s="179"/>
      <c r="W319" s="192"/>
      <c r="X319" s="192"/>
      <c r="Y319" s="192"/>
      <c r="Z319" s="158"/>
      <c r="AA319" s="158"/>
      <c r="AB319" s="158"/>
      <c r="AC319" s="158"/>
      <c r="AD319" s="158"/>
      <c r="AE319" s="158"/>
      <c r="AF319" s="158"/>
      <c r="AG319" s="158"/>
      <c r="AH319" s="158"/>
    </row>
    <row r="320" spans="1:34" ht="15.75" customHeight="1">
      <c r="A320" s="179"/>
      <c r="B320" s="180"/>
      <c r="C320" s="180"/>
      <c r="D320" s="179"/>
      <c r="E320" s="179"/>
      <c r="F320" s="179"/>
      <c r="G320" s="179"/>
      <c r="H320" s="181"/>
      <c r="I320" s="181"/>
      <c r="J320" s="181"/>
      <c r="K320" s="179"/>
      <c r="L320" s="179"/>
      <c r="M320" s="179"/>
      <c r="N320" s="181"/>
      <c r="O320" s="179"/>
      <c r="P320" s="179"/>
      <c r="Q320" s="179"/>
      <c r="R320" s="179"/>
      <c r="S320" s="179"/>
      <c r="T320" s="179"/>
      <c r="U320" s="179"/>
      <c r="V320" s="179"/>
      <c r="W320" s="192"/>
      <c r="X320" s="192"/>
      <c r="Y320" s="192"/>
      <c r="Z320" s="158"/>
      <c r="AA320" s="158"/>
      <c r="AB320" s="158"/>
      <c r="AC320" s="158"/>
      <c r="AD320" s="158"/>
      <c r="AE320" s="158"/>
      <c r="AF320" s="158"/>
      <c r="AG320" s="158"/>
      <c r="AH320" s="158"/>
    </row>
    <row r="321" spans="1:34" ht="15.75" customHeight="1">
      <c r="A321" s="179"/>
      <c r="B321" s="180"/>
      <c r="C321" s="180"/>
      <c r="D321" s="179"/>
      <c r="E321" s="179"/>
      <c r="F321" s="179"/>
      <c r="G321" s="179"/>
      <c r="H321" s="181"/>
      <c r="I321" s="181"/>
      <c r="J321" s="181"/>
      <c r="K321" s="179"/>
      <c r="L321" s="179"/>
      <c r="M321" s="179"/>
      <c r="N321" s="181"/>
      <c r="O321" s="179"/>
      <c r="P321" s="179"/>
      <c r="Q321" s="179"/>
      <c r="R321" s="179"/>
      <c r="S321" s="179"/>
      <c r="T321" s="179"/>
      <c r="U321" s="179"/>
      <c r="V321" s="179"/>
      <c r="W321" s="192"/>
      <c r="X321" s="192"/>
      <c r="Y321" s="192"/>
      <c r="Z321" s="158"/>
      <c r="AA321" s="158"/>
      <c r="AB321" s="158"/>
      <c r="AC321" s="158"/>
      <c r="AD321" s="158"/>
      <c r="AE321" s="158"/>
      <c r="AF321" s="158"/>
      <c r="AG321" s="158"/>
      <c r="AH321" s="158"/>
    </row>
    <row r="322" spans="1:34" ht="15.75" customHeight="1">
      <c r="A322" s="179"/>
      <c r="B322" s="180"/>
      <c r="C322" s="180"/>
      <c r="D322" s="179"/>
      <c r="E322" s="179"/>
      <c r="F322" s="179"/>
      <c r="G322" s="179"/>
      <c r="H322" s="181"/>
      <c r="I322" s="181"/>
      <c r="J322" s="181"/>
      <c r="K322" s="179"/>
      <c r="L322" s="179"/>
      <c r="M322" s="179"/>
      <c r="N322" s="181"/>
      <c r="O322" s="179"/>
      <c r="P322" s="179"/>
      <c r="Q322" s="179"/>
      <c r="R322" s="179"/>
      <c r="S322" s="179"/>
      <c r="T322" s="179"/>
      <c r="U322" s="179"/>
      <c r="V322" s="179"/>
      <c r="W322" s="192"/>
      <c r="X322" s="192"/>
      <c r="Y322" s="192"/>
      <c r="Z322" s="158"/>
      <c r="AA322" s="158"/>
      <c r="AB322" s="158"/>
      <c r="AC322" s="158"/>
      <c r="AD322" s="158"/>
      <c r="AE322" s="158"/>
      <c r="AF322" s="158"/>
      <c r="AG322" s="158"/>
      <c r="AH322" s="158"/>
    </row>
    <row r="323" spans="1:34" ht="15.75" customHeight="1">
      <c r="A323" s="179"/>
      <c r="B323" s="180"/>
      <c r="C323" s="180"/>
      <c r="D323" s="179"/>
      <c r="E323" s="179"/>
      <c r="F323" s="179"/>
      <c r="G323" s="179"/>
      <c r="H323" s="181"/>
      <c r="I323" s="181"/>
      <c r="J323" s="181"/>
      <c r="K323" s="179"/>
      <c r="L323" s="179"/>
      <c r="M323" s="179"/>
      <c r="N323" s="181"/>
      <c r="O323" s="179"/>
      <c r="P323" s="179"/>
      <c r="Q323" s="179"/>
      <c r="R323" s="179"/>
      <c r="S323" s="179"/>
      <c r="T323" s="179"/>
      <c r="U323" s="179"/>
      <c r="V323" s="179"/>
      <c r="W323" s="192"/>
      <c r="X323" s="192"/>
      <c r="Y323" s="192"/>
      <c r="Z323" s="158"/>
      <c r="AA323" s="158"/>
      <c r="AB323" s="158"/>
      <c r="AC323" s="158"/>
      <c r="AD323" s="158"/>
      <c r="AE323" s="158"/>
      <c r="AF323" s="158"/>
      <c r="AG323" s="158"/>
      <c r="AH323" s="158"/>
    </row>
    <row r="324" spans="1:34" ht="15.75" customHeight="1">
      <c r="A324" s="179"/>
      <c r="B324" s="180"/>
      <c r="C324" s="180"/>
      <c r="D324" s="179"/>
      <c r="E324" s="179"/>
      <c r="F324" s="179"/>
      <c r="G324" s="179"/>
      <c r="H324" s="181"/>
      <c r="I324" s="181"/>
      <c r="J324" s="181"/>
      <c r="K324" s="179"/>
      <c r="L324" s="179"/>
      <c r="M324" s="179"/>
      <c r="N324" s="181"/>
      <c r="O324" s="179"/>
      <c r="P324" s="179"/>
      <c r="Q324" s="179"/>
      <c r="R324" s="179"/>
      <c r="S324" s="179"/>
      <c r="T324" s="179"/>
      <c r="U324" s="179"/>
      <c r="V324" s="179"/>
      <c r="W324" s="192"/>
      <c r="X324" s="192"/>
      <c r="Y324" s="192"/>
      <c r="Z324" s="158"/>
      <c r="AA324" s="158"/>
      <c r="AB324" s="158"/>
      <c r="AC324" s="158"/>
      <c r="AD324" s="158"/>
      <c r="AE324" s="158"/>
      <c r="AF324" s="158"/>
      <c r="AG324" s="158"/>
      <c r="AH324" s="158"/>
    </row>
    <row r="325" spans="1:34" ht="15.75" customHeight="1">
      <c r="A325" s="179"/>
      <c r="B325" s="180"/>
      <c r="C325" s="180"/>
      <c r="D325" s="179"/>
      <c r="E325" s="179"/>
      <c r="F325" s="179"/>
      <c r="G325" s="179"/>
      <c r="H325" s="181"/>
      <c r="I325" s="181"/>
      <c r="J325" s="181"/>
      <c r="K325" s="179"/>
      <c r="L325" s="179"/>
      <c r="M325" s="179"/>
      <c r="N325" s="181"/>
      <c r="O325" s="179"/>
      <c r="P325" s="179"/>
      <c r="Q325" s="179"/>
      <c r="R325" s="179"/>
      <c r="S325" s="179"/>
      <c r="T325" s="179"/>
      <c r="U325" s="179"/>
      <c r="V325" s="179"/>
      <c r="W325" s="192"/>
      <c r="X325" s="192"/>
      <c r="Y325" s="192"/>
      <c r="Z325" s="158"/>
      <c r="AA325" s="158"/>
      <c r="AB325" s="158"/>
      <c r="AC325" s="158"/>
      <c r="AD325" s="158"/>
      <c r="AE325" s="158"/>
      <c r="AF325" s="158"/>
      <c r="AG325" s="158"/>
      <c r="AH325" s="158"/>
    </row>
    <row r="326" spans="1:34" ht="15.75" customHeight="1">
      <c r="A326" s="179"/>
      <c r="B326" s="180"/>
      <c r="C326" s="180"/>
      <c r="D326" s="179"/>
      <c r="E326" s="179"/>
      <c r="F326" s="179"/>
      <c r="G326" s="179"/>
      <c r="H326" s="181"/>
      <c r="I326" s="181"/>
      <c r="J326" s="181"/>
      <c r="K326" s="179"/>
      <c r="L326" s="179"/>
      <c r="M326" s="179"/>
      <c r="N326" s="181"/>
      <c r="O326" s="179"/>
      <c r="P326" s="179"/>
      <c r="Q326" s="179"/>
      <c r="R326" s="179"/>
      <c r="S326" s="179"/>
      <c r="T326" s="179"/>
      <c r="U326" s="179"/>
      <c r="V326" s="179"/>
      <c r="W326" s="192"/>
      <c r="X326" s="192"/>
      <c r="Y326" s="192"/>
      <c r="Z326" s="158"/>
      <c r="AA326" s="158"/>
      <c r="AB326" s="158"/>
      <c r="AC326" s="158"/>
      <c r="AD326" s="158"/>
      <c r="AE326" s="158"/>
      <c r="AF326" s="158"/>
      <c r="AG326" s="158"/>
      <c r="AH326" s="158"/>
    </row>
    <row r="327" spans="1:34" ht="15.75" customHeight="1">
      <c r="A327" s="179"/>
      <c r="B327" s="180"/>
      <c r="C327" s="180"/>
      <c r="D327" s="179"/>
      <c r="E327" s="179"/>
      <c r="F327" s="179"/>
      <c r="G327" s="179"/>
      <c r="H327" s="181"/>
      <c r="I327" s="181"/>
      <c r="J327" s="181"/>
      <c r="K327" s="179"/>
      <c r="L327" s="179"/>
      <c r="M327" s="179"/>
      <c r="N327" s="181"/>
      <c r="O327" s="179"/>
      <c r="P327" s="179"/>
      <c r="Q327" s="179"/>
      <c r="R327" s="179"/>
      <c r="S327" s="179"/>
      <c r="T327" s="179"/>
      <c r="U327" s="179"/>
      <c r="V327" s="179"/>
      <c r="W327" s="192"/>
      <c r="X327" s="192"/>
      <c r="Y327" s="192"/>
      <c r="Z327" s="158"/>
      <c r="AA327" s="158"/>
      <c r="AB327" s="158"/>
      <c r="AC327" s="158"/>
      <c r="AD327" s="158"/>
      <c r="AE327" s="158"/>
      <c r="AF327" s="158"/>
      <c r="AG327" s="158"/>
      <c r="AH327" s="158"/>
    </row>
    <row r="328" spans="1:34" ht="15.75" customHeight="1">
      <c r="A328" s="179"/>
      <c r="B328" s="180"/>
      <c r="C328" s="180"/>
      <c r="D328" s="179"/>
      <c r="E328" s="179"/>
      <c r="F328" s="179"/>
      <c r="G328" s="179"/>
      <c r="H328" s="181"/>
      <c r="I328" s="181"/>
      <c r="J328" s="181"/>
      <c r="K328" s="179"/>
      <c r="L328" s="179"/>
      <c r="M328" s="179"/>
      <c r="N328" s="181"/>
      <c r="O328" s="179"/>
      <c r="P328" s="179"/>
      <c r="Q328" s="179"/>
      <c r="R328" s="179"/>
      <c r="S328" s="179"/>
      <c r="T328" s="179"/>
      <c r="U328" s="179"/>
      <c r="V328" s="179"/>
      <c r="W328" s="192"/>
      <c r="X328" s="192"/>
      <c r="Y328" s="192"/>
      <c r="Z328" s="158"/>
      <c r="AA328" s="158"/>
      <c r="AB328" s="158"/>
      <c r="AC328" s="158"/>
      <c r="AD328" s="158"/>
      <c r="AE328" s="158"/>
      <c r="AF328" s="158"/>
      <c r="AG328" s="158"/>
      <c r="AH328" s="158"/>
    </row>
    <row r="329" spans="1:34" ht="15.75" customHeight="1">
      <c r="A329" s="179"/>
      <c r="B329" s="180"/>
      <c r="C329" s="180"/>
      <c r="D329" s="179"/>
      <c r="E329" s="179"/>
      <c r="F329" s="179"/>
      <c r="G329" s="179"/>
      <c r="H329" s="181"/>
      <c r="I329" s="181"/>
      <c r="J329" s="181"/>
      <c r="K329" s="179"/>
      <c r="L329" s="179"/>
      <c r="M329" s="179"/>
      <c r="N329" s="181"/>
      <c r="O329" s="179"/>
      <c r="P329" s="179"/>
      <c r="Q329" s="179"/>
      <c r="R329" s="179"/>
      <c r="S329" s="179"/>
      <c r="T329" s="179"/>
      <c r="U329" s="179"/>
      <c r="V329" s="179"/>
      <c r="W329" s="192"/>
      <c r="X329" s="192"/>
      <c r="Y329" s="192"/>
      <c r="Z329" s="158"/>
      <c r="AA329" s="158"/>
      <c r="AB329" s="158"/>
      <c r="AC329" s="158"/>
      <c r="AD329" s="158"/>
      <c r="AE329" s="158"/>
      <c r="AF329" s="158"/>
      <c r="AG329" s="158"/>
      <c r="AH329" s="158"/>
    </row>
    <row r="330" spans="1:34" ht="15.75" customHeight="1">
      <c r="A330" s="179"/>
      <c r="B330" s="180"/>
      <c r="C330" s="180"/>
      <c r="D330" s="179"/>
      <c r="E330" s="179"/>
      <c r="F330" s="179"/>
      <c r="G330" s="179"/>
      <c r="H330" s="181"/>
      <c r="I330" s="181"/>
      <c r="J330" s="181"/>
      <c r="K330" s="179"/>
      <c r="L330" s="179"/>
      <c r="M330" s="179"/>
      <c r="N330" s="181"/>
      <c r="O330" s="179"/>
      <c r="P330" s="179"/>
      <c r="Q330" s="179"/>
      <c r="R330" s="179"/>
      <c r="S330" s="179"/>
      <c r="T330" s="179"/>
      <c r="U330" s="179"/>
      <c r="V330" s="179"/>
      <c r="W330" s="192"/>
      <c r="X330" s="192"/>
      <c r="Y330" s="192"/>
      <c r="Z330" s="158"/>
      <c r="AA330" s="158"/>
      <c r="AB330" s="158"/>
      <c r="AC330" s="158"/>
      <c r="AD330" s="158"/>
      <c r="AE330" s="158"/>
      <c r="AF330" s="158"/>
      <c r="AG330" s="158"/>
      <c r="AH330" s="158"/>
    </row>
    <row r="331" spans="1:34" ht="15.75" customHeight="1">
      <c r="A331" s="179"/>
      <c r="B331" s="180"/>
      <c r="C331" s="180"/>
      <c r="D331" s="179"/>
      <c r="E331" s="179"/>
      <c r="F331" s="179"/>
      <c r="G331" s="179"/>
      <c r="H331" s="181"/>
      <c r="I331" s="181"/>
      <c r="J331" s="181"/>
      <c r="K331" s="179"/>
      <c r="L331" s="179"/>
      <c r="M331" s="179"/>
      <c r="N331" s="181"/>
      <c r="O331" s="179"/>
      <c r="P331" s="179"/>
      <c r="Q331" s="179"/>
      <c r="R331" s="179"/>
      <c r="S331" s="179"/>
      <c r="T331" s="179"/>
      <c r="U331" s="179"/>
      <c r="V331" s="179"/>
      <c r="W331" s="192"/>
      <c r="X331" s="192"/>
      <c r="Y331" s="192"/>
      <c r="Z331" s="158"/>
      <c r="AA331" s="158"/>
      <c r="AB331" s="158"/>
      <c r="AC331" s="158"/>
      <c r="AD331" s="158"/>
      <c r="AE331" s="158"/>
      <c r="AF331" s="158"/>
      <c r="AG331" s="158"/>
      <c r="AH331" s="158"/>
    </row>
    <row r="332" spans="1:34" ht="15.75" customHeight="1">
      <c r="A332" s="179"/>
      <c r="B332" s="180"/>
      <c r="C332" s="180"/>
      <c r="D332" s="179"/>
      <c r="E332" s="179"/>
      <c r="F332" s="179"/>
      <c r="G332" s="179"/>
      <c r="H332" s="181"/>
      <c r="I332" s="181"/>
      <c r="J332" s="181"/>
      <c r="K332" s="179"/>
      <c r="L332" s="179"/>
      <c r="M332" s="179"/>
      <c r="N332" s="181"/>
      <c r="O332" s="179"/>
      <c r="P332" s="179"/>
      <c r="Q332" s="179"/>
      <c r="R332" s="179"/>
      <c r="S332" s="179"/>
      <c r="T332" s="179"/>
      <c r="U332" s="179"/>
      <c r="V332" s="179"/>
      <c r="W332" s="192"/>
      <c r="X332" s="192"/>
      <c r="Y332" s="192"/>
      <c r="Z332" s="158"/>
      <c r="AA332" s="158"/>
      <c r="AB332" s="158"/>
      <c r="AC332" s="158"/>
      <c r="AD332" s="158"/>
      <c r="AE332" s="158"/>
      <c r="AF332" s="158"/>
      <c r="AG332" s="158"/>
      <c r="AH332" s="158"/>
    </row>
    <row r="333" spans="1:34" ht="15.75" customHeight="1">
      <c r="A333" s="179"/>
      <c r="B333" s="180"/>
      <c r="C333" s="180"/>
      <c r="D333" s="179"/>
      <c r="E333" s="179"/>
      <c r="F333" s="179"/>
      <c r="G333" s="179"/>
      <c r="H333" s="181"/>
      <c r="I333" s="181"/>
      <c r="J333" s="181"/>
      <c r="K333" s="179"/>
      <c r="L333" s="179"/>
      <c r="M333" s="179"/>
      <c r="N333" s="181"/>
      <c r="O333" s="179"/>
      <c r="P333" s="179"/>
      <c r="Q333" s="179"/>
      <c r="R333" s="179"/>
      <c r="S333" s="179"/>
      <c r="T333" s="179"/>
      <c r="U333" s="179"/>
      <c r="V333" s="179"/>
      <c r="W333" s="192"/>
      <c r="X333" s="192"/>
      <c r="Y333" s="192"/>
      <c r="Z333" s="158"/>
      <c r="AA333" s="158"/>
      <c r="AB333" s="158"/>
      <c r="AC333" s="158"/>
      <c r="AD333" s="158"/>
      <c r="AE333" s="158"/>
      <c r="AF333" s="158"/>
      <c r="AG333" s="158"/>
      <c r="AH333" s="158"/>
    </row>
    <row r="334" spans="1:34" ht="15.75" customHeight="1">
      <c r="A334" s="179"/>
      <c r="B334" s="180"/>
      <c r="C334" s="180"/>
      <c r="D334" s="179"/>
      <c r="E334" s="179"/>
      <c r="F334" s="179"/>
      <c r="G334" s="179"/>
      <c r="H334" s="181"/>
      <c r="I334" s="181"/>
      <c r="J334" s="181"/>
      <c r="K334" s="179"/>
      <c r="L334" s="179"/>
      <c r="M334" s="179"/>
      <c r="N334" s="181"/>
      <c r="O334" s="179"/>
      <c r="P334" s="179"/>
      <c r="Q334" s="179"/>
      <c r="R334" s="179"/>
      <c r="S334" s="179"/>
      <c r="T334" s="179"/>
      <c r="U334" s="179"/>
      <c r="V334" s="179"/>
      <c r="W334" s="192"/>
      <c r="X334" s="192"/>
      <c r="Y334" s="192"/>
      <c r="Z334" s="158"/>
      <c r="AA334" s="158"/>
      <c r="AB334" s="158"/>
      <c r="AC334" s="158"/>
      <c r="AD334" s="158"/>
      <c r="AE334" s="158"/>
      <c r="AF334" s="158"/>
      <c r="AG334" s="158"/>
      <c r="AH334" s="158"/>
    </row>
    <row r="335" spans="1:34" ht="15.75" customHeight="1">
      <c r="A335" s="179"/>
      <c r="B335" s="180"/>
      <c r="C335" s="180"/>
      <c r="D335" s="179"/>
      <c r="E335" s="179"/>
      <c r="F335" s="179"/>
      <c r="G335" s="179"/>
      <c r="H335" s="181"/>
      <c r="I335" s="181"/>
      <c r="J335" s="181"/>
      <c r="K335" s="179"/>
      <c r="L335" s="179"/>
      <c r="M335" s="179"/>
      <c r="N335" s="181"/>
      <c r="O335" s="179"/>
      <c r="P335" s="179"/>
      <c r="Q335" s="179"/>
      <c r="R335" s="179"/>
      <c r="S335" s="179"/>
      <c r="T335" s="179"/>
      <c r="U335" s="179"/>
      <c r="V335" s="179"/>
      <c r="W335" s="192"/>
      <c r="X335" s="192"/>
      <c r="Y335" s="192"/>
      <c r="Z335" s="158"/>
      <c r="AA335" s="158"/>
      <c r="AB335" s="158"/>
      <c r="AC335" s="158"/>
      <c r="AD335" s="158"/>
      <c r="AE335" s="158"/>
      <c r="AF335" s="158"/>
      <c r="AG335" s="158"/>
      <c r="AH335" s="158"/>
    </row>
    <row r="336" spans="1:34" ht="15.75" customHeight="1">
      <c r="A336" s="179"/>
      <c r="B336" s="180"/>
      <c r="C336" s="180"/>
      <c r="D336" s="179"/>
      <c r="E336" s="179"/>
      <c r="F336" s="179"/>
      <c r="G336" s="179"/>
      <c r="H336" s="181"/>
      <c r="I336" s="181"/>
      <c r="J336" s="181"/>
      <c r="K336" s="179"/>
      <c r="L336" s="179"/>
      <c r="M336" s="179"/>
      <c r="N336" s="181"/>
      <c r="O336" s="179"/>
      <c r="P336" s="179"/>
      <c r="Q336" s="179"/>
      <c r="R336" s="179"/>
      <c r="S336" s="179"/>
      <c r="T336" s="179"/>
      <c r="U336" s="179"/>
      <c r="V336" s="179"/>
      <c r="W336" s="192"/>
      <c r="X336" s="192"/>
      <c r="Y336" s="192"/>
      <c r="Z336" s="158"/>
      <c r="AA336" s="158"/>
      <c r="AB336" s="158"/>
      <c r="AC336" s="158"/>
      <c r="AD336" s="158"/>
      <c r="AE336" s="158"/>
      <c r="AF336" s="158"/>
      <c r="AG336" s="158"/>
      <c r="AH336" s="158"/>
    </row>
    <row r="337" spans="1:34" ht="15.75" customHeight="1">
      <c r="A337" s="179"/>
      <c r="B337" s="180"/>
      <c r="C337" s="180"/>
      <c r="D337" s="179"/>
      <c r="E337" s="179"/>
      <c r="F337" s="179"/>
      <c r="G337" s="179"/>
      <c r="H337" s="181"/>
      <c r="I337" s="181"/>
      <c r="J337" s="181"/>
      <c r="K337" s="179"/>
      <c r="L337" s="179"/>
      <c r="M337" s="179"/>
      <c r="N337" s="181"/>
      <c r="O337" s="179"/>
      <c r="P337" s="179"/>
      <c r="Q337" s="179"/>
      <c r="R337" s="179"/>
      <c r="S337" s="179"/>
      <c r="T337" s="179"/>
      <c r="U337" s="179"/>
      <c r="V337" s="179"/>
      <c r="W337" s="192"/>
      <c r="X337" s="192"/>
      <c r="Y337" s="192"/>
      <c r="Z337" s="158"/>
      <c r="AA337" s="158"/>
      <c r="AB337" s="158"/>
      <c r="AC337" s="158"/>
      <c r="AD337" s="158"/>
      <c r="AE337" s="158"/>
      <c r="AF337" s="158"/>
      <c r="AG337" s="158"/>
      <c r="AH337" s="158"/>
    </row>
    <row r="338" spans="1:34" ht="15.75" customHeight="1">
      <c r="A338" s="179"/>
      <c r="B338" s="180"/>
      <c r="C338" s="180"/>
      <c r="D338" s="179"/>
      <c r="E338" s="179"/>
      <c r="F338" s="179"/>
      <c r="G338" s="179"/>
      <c r="H338" s="181"/>
      <c r="I338" s="181"/>
      <c r="J338" s="181"/>
      <c r="K338" s="179"/>
      <c r="L338" s="179"/>
      <c r="M338" s="179"/>
      <c r="N338" s="181"/>
      <c r="O338" s="179"/>
      <c r="P338" s="179"/>
      <c r="Q338" s="179"/>
      <c r="R338" s="179"/>
      <c r="S338" s="179"/>
      <c r="T338" s="179"/>
      <c r="U338" s="179"/>
      <c r="V338" s="179"/>
      <c r="W338" s="192"/>
      <c r="X338" s="192"/>
      <c r="Y338" s="192"/>
      <c r="Z338" s="158"/>
      <c r="AA338" s="158"/>
      <c r="AB338" s="158"/>
      <c r="AC338" s="158"/>
      <c r="AD338" s="158"/>
      <c r="AE338" s="158"/>
      <c r="AF338" s="158"/>
      <c r="AG338" s="158"/>
      <c r="AH338" s="158"/>
    </row>
    <row r="339" spans="1:34" ht="15.75" customHeight="1">
      <c r="A339" s="179"/>
      <c r="B339" s="180"/>
      <c r="C339" s="180"/>
      <c r="D339" s="179"/>
      <c r="E339" s="179"/>
      <c r="F339" s="179"/>
      <c r="G339" s="179"/>
      <c r="H339" s="181"/>
      <c r="I339" s="181"/>
      <c r="J339" s="181"/>
      <c r="K339" s="179"/>
      <c r="L339" s="179"/>
      <c r="M339" s="179"/>
      <c r="N339" s="181"/>
      <c r="O339" s="179"/>
      <c r="P339" s="179"/>
      <c r="Q339" s="179"/>
      <c r="R339" s="179"/>
      <c r="S339" s="179"/>
      <c r="T339" s="179"/>
      <c r="U339" s="179"/>
      <c r="V339" s="179"/>
      <c r="W339" s="192"/>
      <c r="X339" s="192"/>
      <c r="Y339" s="192"/>
      <c r="Z339" s="158"/>
      <c r="AA339" s="158"/>
      <c r="AB339" s="158"/>
      <c r="AC339" s="158"/>
      <c r="AD339" s="158"/>
      <c r="AE339" s="158"/>
      <c r="AF339" s="158"/>
      <c r="AG339" s="158"/>
      <c r="AH339" s="158"/>
    </row>
    <row r="340" spans="1:34" ht="15.75" customHeight="1">
      <c r="A340" s="179"/>
      <c r="B340" s="180"/>
      <c r="C340" s="180"/>
      <c r="D340" s="179"/>
      <c r="E340" s="179"/>
      <c r="F340" s="179"/>
      <c r="G340" s="179"/>
      <c r="H340" s="181"/>
      <c r="I340" s="181"/>
      <c r="J340" s="181"/>
      <c r="K340" s="179"/>
      <c r="L340" s="179"/>
      <c r="M340" s="179"/>
      <c r="N340" s="181"/>
      <c r="O340" s="179"/>
      <c r="P340" s="179"/>
      <c r="Q340" s="179"/>
      <c r="R340" s="179"/>
      <c r="S340" s="179"/>
      <c r="T340" s="179"/>
      <c r="U340" s="179"/>
      <c r="V340" s="179"/>
      <c r="W340" s="192"/>
      <c r="X340" s="192"/>
      <c r="Y340" s="192"/>
      <c r="Z340" s="158"/>
      <c r="AA340" s="158"/>
      <c r="AB340" s="158"/>
      <c r="AC340" s="158"/>
      <c r="AD340" s="158"/>
      <c r="AE340" s="158"/>
      <c r="AF340" s="158"/>
      <c r="AG340" s="158"/>
      <c r="AH340" s="158"/>
    </row>
    <row r="341" spans="1:34" ht="15.75" customHeight="1">
      <c r="A341" s="179"/>
      <c r="B341" s="180"/>
      <c r="C341" s="180"/>
      <c r="D341" s="179"/>
      <c r="E341" s="179"/>
      <c r="F341" s="179"/>
      <c r="G341" s="179"/>
      <c r="H341" s="181"/>
      <c r="I341" s="181"/>
      <c r="J341" s="181"/>
      <c r="K341" s="179"/>
      <c r="L341" s="179"/>
      <c r="M341" s="179"/>
      <c r="N341" s="181"/>
      <c r="O341" s="179"/>
      <c r="P341" s="179"/>
      <c r="Q341" s="179"/>
      <c r="R341" s="179"/>
      <c r="S341" s="179"/>
      <c r="T341" s="179"/>
      <c r="U341" s="179"/>
      <c r="V341" s="179"/>
      <c r="W341" s="192"/>
      <c r="X341" s="192"/>
      <c r="Y341" s="192"/>
      <c r="Z341" s="158"/>
      <c r="AA341" s="158"/>
      <c r="AB341" s="158"/>
      <c r="AC341" s="158"/>
      <c r="AD341" s="158"/>
      <c r="AE341" s="158"/>
      <c r="AF341" s="158"/>
      <c r="AG341" s="158"/>
      <c r="AH341" s="158"/>
    </row>
    <row r="342" spans="1:34" ht="15.75" customHeight="1">
      <c r="A342" s="179"/>
      <c r="B342" s="180"/>
      <c r="C342" s="180"/>
      <c r="D342" s="179"/>
      <c r="E342" s="179"/>
      <c r="F342" s="179"/>
      <c r="G342" s="179"/>
      <c r="H342" s="181"/>
      <c r="I342" s="181"/>
      <c r="J342" s="181"/>
      <c r="K342" s="179"/>
      <c r="L342" s="179"/>
      <c r="M342" s="179"/>
      <c r="N342" s="181"/>
      <c r="O342" s="179"/>
      <c r="P342" s="179"/>
      <c r="Q342" s="179"/>
      <c r="R342" s="179"/>
      <c r="S342" s="179"/>
      <c r="T342" s="179"/>
      <c r="U342" s="179"/>
      <c r="V342" s="179"/>
      <c r="W342" s="192"/>
      <c r="X342" s="192"/>
      <c r="Y342" s="192"/>
      <c r="Z342" s="158"/>
      <c r="AA342" s="158"/>
      <c r="AB342" s="158"/>
      <c r="AC342" s="158"/>
      <c r="AD342" s="158"/>
      <c r="AE342" s="158"/>
      <c r="AF342" s="158"/>
      <c r="AG342" s="158"/>
      <c r="AH342" s="158"/>
    </row>
    <row r="343" spans="1:34" ht="15.75" customHeight="1">
      <c r="A343" s="179"/>
      <c r="B343" s="180"/>
      <c r="C343" s="180"/>
      <c r="D343" s="179"/>
      <c r="E343" s="179"/>
      <c r="F343" s="179"/>
      <c r="G343" s="179"/>
      <c r="H343" s="181"/>
      <c r="I343" s="181"/>
      <c r="J343" s="181"/>
      <c r="K343" s="179"/>
      <c r="L343" s="179"/>
      <c r="M343" s="179"/>
      <c r="N343" s="181"/>
      <c r="O343" s="179"/>
      <c r="P343" s="179"/>
      <c r="Q343" s="179"/>
      <c r="R343" s="179"/>
      <c r="S343" s="179"/>
      <c r="T343" s="179"/>
      <c r="U343" s="179"/>
      <c r="V343" s="179"/>
      <c r="W343" s="192"/>
      <c r="X343" s="192"/>
      <c r="Y343" s="192"/>
      <c r="Z343" s="158"/>
      <c r="AA343" s="158"/>
      <c r="AB343" s="158"/>
      <c r="AC343" s="158"/>
      <c r="AD343" s="158"/>
      <c r="AE343" s="158"/>
      <c r="AF343" s="158"/>
      <c r="AG343" s="158"/>
      <c r="AH343" s="158"/>
    </row>
    <row r="344" spans="1:34" ht="15.75" customHeight="1">
      <c r="A344" s="179"/>
      <c r="B344" s="180"/>
      <c r="C344" s="180"/>
      <c r="D344" s="179"/>
      <c r="E344" s="179"/>
      <c r="F344" s="179"/>
      <c r="G344" s="179"/>
      <c r="H344" s="181"/>
      <c r="I344" s="181"/>
      <c r="J344" s="181"/>
      <c r="K344" s="179"/>
      <c r="L344" s="179"/>
      <c r="M344" s="179"/>
      <c r="N344" s="181"/>
      <c r="O344" s="179"/>
      <c r="P344" s="179"/>
      <c r="Q344" s="179"/>
      <c r="R344" s="179"/>
      <c r="S344" s="179"/>
      <c r="T344" s="179"/>
      <c r="U344" s="179"/>
      <c r="V344" s="179"/>
      <c r="W344" s="192"/>
      <c r="X344" s="192"/>
      <c r="Y344" s="192"/>
      <c r="Z344" s="158"/>
      <c r="AA344" s="158"/>
      <c r="AB344" s="158"/>
      <c r="AC344" s="158"/>
      <c r="AD344" s="158"/>
      <c r="AE344" s="158"/>
      <c r="AF344" s="158"/>
      <c r="AG344" s="158"/>
      <c r="AH344" s="158"/>
    </row>
    <row r="345" spans="1:34" ht="15.75" customHeight="1">
      <c r="A345" s="179"/>
      <c r="B345" s="180"/>
      <c r="C345" s="180"/>
      <c r="D345" s="179"/>
      <c r="E345" s="179"/>
      <c r="F345" s="179"/>
      <c r="G345" s="179"/>
      <c r="H345" s="181"/>
      <c r="I345" s="181"/>
      <c r="J345" s="181"/>
      <c r="K345" s="179"/>
      <c r="L345" s="179"/>
      <c r="M345" s="179"/>
      <c r="N345" s="181"/>
      <c r="O345" s="179"/>
      <c r="P345" s="179"/>
      <c r="Q345" s="179"/>
      <c r="R345" s="179"/>
      <c r="S345" s="179"/>
      <c r="T345" s="179"/>
      <c r="U345" s="179"/>
      <c r="V345" s="179"/>
      <c r="W345" s="192"/>
      <c r="X345" s="192"/>
      <c r="Y345" s="192"/>
      <c r="Z345" s="158"/>
      <c r="AA345" s="158"/>
      <c r="AB345" s="158"/>
      <c r="AC345" s="158"/>
      <c r="AD345" s="158"/>
      <c r="AE345" s="158"/>
      <c r="AF345" s="158"/>
      <c r="AG345" s="158"/>
      <c r="AH345" s="158"/>
    </row>
    <row r="346" spans="1:34" ht="15.75" customHeight="1">
      <c r="A346" s="179"/>
      <c r="B346" s="180"/>
      <c r="C346" s="180"/>
      <c r="D346" s="179"/>
      <c r="E346" s="179"/>
      <c r="F346" s="179"/>
      <c r="G346" s="179"/>
      <c r="H346" s="181"/>
      <c r="I346" s="181"/>
      <c r="J346" s="181"/>
      <c r="K346" s="179"/>
      <c r="L346" s="179"/>
      <c r="M346" s="179"/>
      <c r="N346" s="181"/>
      <c r="O346" s="179"/>
      <c r="P346" s="179"/>
      <c r="Q346" s="179"/>
      <c r="R346" s="179"/>
      <c r="S346" s="179"/>
      <c r="T346" s="179"/>
      <c r="U346" s="179"/>
      <c r="V346" s="179"/>
      <c r="W346" s="192"/>
      <c r="X346" s="192"/>
      <c r="Y346" s="192"/>
      <c r="Z346" s="158"/>
      <c r="AA346" s="158"/>
      <c r="AB346" s="158"/>
      <c r="AC346" s="158"/>
      <c r="AD346" s="158"/>
      <c r="AE346" s="158"/>
      <c r="AF346" s="158"/>
      <c r="AG346" s="158"/>
      <c r="AH346" s="158"/>
    </row>
    <row r="347" spans="1:34" ht="15.75" customHeight="1">
      <c r="A347" s="179"/>
      <c r="B347" s="180"/>
      <c r="C347" s="180"/>
      <c r="D347" s="179"/>
      <c r="E347" s="179"/>
      <c r="F347" s="179"/>
      <c r="G347" s="179"/>
      <c r="H347" s="181"/>
      <c r="I347" s="181"/>
      <c r="J347" s="181"/>
      <c r="K347" s="179"/>
      <c r="L347" s="179"/>
      <c r="M347" s="179"/>
      <c r="N347" s="181"/>
      <c r="O347" s="179"/>
      <c r="P347" s="179"/>
      <c r="Q347" s="179"/>
      <c r="R347" s="179"/>
      <c r="S347" s="179"/>
      <c r="T347" s="179"/>
      <c r="U347" s="179"/>
      <c r="V347" s="179"/>
      <c r="W347" s="192"/>
      <c r="X347" s="192"/>
      <c r="Y347" s="192"/>
      <c r="Z347" s="158"/>
      <c r="AA347" s="158"/>
      <c r="AB347" s="158"/>
      <c r="AC347" s="158"/>
      <c r="AD347" s="158"/>
      <c r="AE347" s="158"/>
      <c r="AF347" s="158"/>
      <c r="AG347" s="158"/>
      <c r="AH347" s="158"/>
    </row>
    <row r="348" spans="1:34" ht="15.75" customHeight="1">
      <c r="A348" s="179"/>
      <c r="B348" s="180"/>
      <c r="C348" s="180"/>
      <c r="D348" s="179"/>
      <c r="E348" s="179"/>
      <c r="F348" s="179"/>
      <c r="G348" s="179"/>
      <c r="H348" s="181"/>
      <c r="I348" s="181"/>
      <c r="J348" s="181"/>
      <c r="K348" s="179"/>
      <c r="L348" s="179"/>
      <c r="M348" s="179"/>
      <c r="N348" s="181"/>
      <c r="O348" s="179"/>
      <c r="P348" s="179"/>
      <c r="Q348" s="179"/>
      <c r="R348" s="179"/>
      <c r="S348" s="179"/>
      <c r="T348" s="179"/>
      <c r="U348" s="179"/>
      <c r="V348" s="179"/>
      <c r="W348" s="192"/>
      <c r="X348" s="192"/>
      <c r="Y348" s="192"/>
      <c r="Z348" s="158"/>
      <c r="AA348" s="158"/>
      <c r="AB348" s="158"/>
      <c r="AC348" s="158"/>
      <c r="AD348" s="158"/>
      <c r="AE348" s="158"/>
      <c r="AF348" s="158"/>
      <c r="AG348" s="158"/>
      <c r="AH348" s="158"/>
    </row>
    <row r="349" spans="1:34" ht="15.75" customHeight="1">
      <c r="A349" s="179"/>
      <c r="B349" s="180"/>
      <c r="C349" s="180"/>
      <c r="D349" s="179"/>
      <c r="E349" s="179"/>
      <c r="F349" s="179"/>
      <c r="G349" s="179"/>
      <c r="H349" s="181"/>
      <c r="I349" s="181"/>
      <c r="J349" s="181"/>
      <c r="K349" s="179"/>
      <c r="L349" s="179"/>
      <c r="M349" s="179"/>
      <c r="N349" s="181"/>
      <c r="O349" s="179"/>
      <c r="P349" s="179"/>
      <c r="Q349" s="179"/>
      <c r="R349" s="179"/>
      <c r="S349" s="179"/>
      <c r="T349" s="179"/>
      <c r="U349" s="179"/>
      <c r="V349" s="179"/>
      <c r="W349" s="192"/>
      <c r="X349" s="192"/>
      <c r="Y349" s="192"/>
      <c r="Z349" s="158"/>
      <c r="AA349" s="158"/>
      <c r="AB349" s="158"/>
      <c r="AC349" s="158"/>
      <c r="AD349" s="158"/>
      <c r="AE349" s="158"/>
      <c r="AF349" s="158"/>
      <c r="AG349" s="158"/>
      <c r="AH349" s="158"/>
    </row>
    <row r="350" spans="1:34" ht="15.75" customHeight="1">
      <c r="A350" s="179"/>
      <c r="B350" s="180"/>
      <c r="C350" s="180"/>
      <c r="D350" s="179"/>
      <c r="E350" s="179"/>
      <c r="F350" s="179"/>
      <c r="G350" s="179"/>
      <c r="H350" s="181"/>
      <c r="I350" s="181"/>
      <c r="J350" s="181"/>
      <c r="K350" s="179"/>
      <c r="L350" s="179"/>
      <c r="M350" s="179"/>
      <c r="N350" s="181"/>
      <c r="O350" s="179"/>
      <c r="P350" s="179"/>
      <c r="Q350" s="179"/>
      <c r="R350" s="179"/>
      <c r="S350" s="179"/>
      <c r="T350" s="179"/>
      <c r="U350" s="179"/>
      <c r="V350" s="179"/>
      <c r="W350" s="192"/>
      <c r="X350" s="192"/>
      <c r="Y350" s="192"/>
      <c r="Z350" s="158"/>
      <c r="AA350" s="158"/>
      <c r="AB350" s="158"/>
      <c r="AC350" s="158"/>
      <c r="AD350" s="158"/>
      <c r="AE350" s="158"/>
      <c r="AF350" s="158"/>
      <c r="AG350" s="158"/>
      <c r="AH350" s="158"/>
    </row>
    <row r="351" spans="1:34" ht="15.75" customHeight="1">
      <c r="A351" s="179"/>
      <c r="B351" s="180"/>
      <c r="C351" s="180"/>
      <c r="D351" s="179"/>
      <c r="E351" s="179"/>
      <c r="F351" s="179"/>
      <c r="G351" s="179"/>
      <c r="H351" s="181"/>
      <c r="I351" s="181"/>
      <c r="J351" s="181"/>
      <c r="K351" s="179"/>
      <c r="L351" s="179"/>
      <c r="M351" s="179"/>
      <c r="N351" s="181"/>
      <c r="O351" s="179"/>
      <c r="P351" s="179"/>
      <c r="Q351" s="179"/>
      <c r="R351" s="179"/>
      <c r="S351" s="179"/>
      <c r="T351" s="179"/>
      <c r="U351" s="179"/>
      <c r="V351" s="179"/>
      <c r="W351" s="192"/>
      <c r="X351" s="192"/>
      <c r="Y351" s="192"/>
      <c r="Z351" s="158"/>
      <c r="AA351" s="158"/>
      <c r="AB351" s="158"/>
      <c r="AC351" s="158"/>
      <c r="AD351" s="158"/>
      <c r="AE351" s="158"/>
      <c r="AF351" s="158"/>
      <c r="AG351" s="158"/>
      <c r="AH351" s="158"/>
    </row>
    <row r="352" spans="1:34" ht="15.75" customHeight="1">
      <c r="A352" s="179"/>
      <c r="B352" s="180"/>
      <c r="C352" s="180"/>
      <c r="D352" s="179"/>
      <c r="E352" s="179"/>
      <c r="F352" s="179"/>
      <c r="G352" s="179"/>
      <c r="H352" s="181"/>
      <c r="I352" s="181"/>
      <c r="J352" s="181"/>
      <c r="K352" s="179"/>
      <c r="L352" s="179"/>
      <c r="M352" s="179"/>
      <c r="N352" s="181"/>
      <c r="O352" s="179"/>
      <c r="P352" s="179"/>
      <c r="Q352" s="179"/>
      <c r="R352" s="179"/>
      <c r="S352" s="179"/>
      <c r="T352" s="179"/>
      <c r="U352" s="179"/>
      <c r="V352" s="179"/>
      <c r="W352" s="192"/>
      <c r="X352" s="192"/>
      <c r="Y352" s="192"/>
      <c r="Z352" s="158"/>
      <c r="AA352" s="158"/>
      <c r="AB352" s="158"/>
      <c r="AC352" s="158"/>
      <c r="AD352" s="158"/>
      <c r="AE352" s="158"/>
      <c r="AF352" s="158"/>
      <c r="AG352" s="158"/>
      <c r="AH352" s="158"/>
    </row>
    <row r="353" spans="1:34" ht="15.75" customHeight="1">
      <c r="A353" s="179"/>
      <c r="B353" s="180"/>
      <c r="C353" s="180"/>
      <c r="D353" s="179"/>
      <c r="E353" s="179"/>
      <c r="F353" s="179"/>
      <c r="G353" s="179"/>
      <c r="H353" s="181"/>
      <c r="I353" s="181"/>
      <c r="J353" s="181"/>
      <c r="K353" s="179"/>
      <c r="L353" s="179"/>
      <c r="M353" s="179"/>
      <c r="N353" s="181"/>
      <c r="O353" s="179"/>
      <c r="P353" s="179"/>
      <c r="Q353" s="179"/>
      <c r="R353" s="179"/>
      <c r="S353" s="179"/>
      <c r="T353" s="179"/>
      <c r="U353" s="179"/>
      <c r="V353" s="179"/>
      <c r="W353" s="192"/>
      <c r="X353" s="192"/>
      <c r="Y353" s="192"/>
      <c r="Z353" s="158"/>
      <c r="AA353" s="158"/>
      <c r="AB353" s="158"/>
      <c r="AC353" s="158"/>
      <c r="AD353" s="158"/>
      <c r="AE353" s="158"/>
      <c r="AF353" s="158"/>
      <c r="AG353" s="158"/>
      <c r="AH353" s="158"/>
    </row>
    <row r="354" spans="1:34" ht="15.75" customHeight="1">
      <c r="A354" s="179"/>
      <c r="B354" s="180"/>
      <c r="C354" s="180"/>
      <c r="D354" s="179"/>
      <c r="E354" s="179"/>
      <c r="F354" s="179"/>
      <c r="G354" s="179"/>
      <c r="H354" s="181"/>
      <c r="I354" s="181"/>
      <c r="J354" s="181"/>
      <c r="K354" s="179"/>
      <c r="L354" s="179"/>
      <c r="M354" s="179"/>
      <c r="N354" s="181"/>
      <c r="O354" s="179"/>
      <c r="P354" s="179"/>
      <c r="Q354" s="179"/>
      <c r="R354" s="179"/>
      <c r="S354" s="179"/>
      <c r="T354" s="179"/>
      <c r="U354" s="179"/>
      <c r="V354" s="179"/>
      <c r="W354" s="192"/>
      <c r="X354" s="192"/>
      <c r="Y354" s="192"/>
      <c r="Z354" s="158"/>
      <c r="AA354" s="158"/>
      <c r="AB354" s="158"/>
      <c r="AC354" s="158"/>
      <c r="AD354" s="158"/>
      <c r="AE354" s="158"/>
      <c r="AF354" s="158"/>
      <c r="AG354" s="158"/>
      <c r="AH354" s="158"/>
    </row>
    <row r="355" spans="1:34" ht="15.75" customHeight="1">
      <c r="A355" s="179"/>
      <c r="B355" s="180"/>
      <c r="C355" s="180"/>
      <c r="D355" s="179"/>
      <c r="E355" s="179"/>
      <c r="F355" s="179"/>
      <c r="G355" s="179"/>
      <c r="H355" s="181"/>
      <c r="I355" s="181"/>
      <c r="J355" s="181"/>
      <c r="K355" s="179"/>
      <c r="L355" s="179"/>
      <c r="M355" s="179"/>
      <c r="N355" s="181"/>
      <c r="O355" s="179"/>
      <c r="P355" s="179"/>
      <c r="Q355" s="179"/>
      <c r="R355" s="179"/>
      <c r="S355" s="179"/>
      <c r="T355" s="179"/>
      <c r="U355" s="179"/>
      <c r="V355" s="179"/>
      <c r="W355" s="192"/>
      <c r="X355" s="192"/>
      <c r="Y355" s="192"/>
      <c r="Z355" s="158"/>
      <c r="AA355" s="158"/>
      <c r="AB355" s="158"/>
      <c r="AC355" s="158"/>
      <c r="AD355" s="158"/>
      <c r="AE355" s="158"/>
      <c r="AF355" s="158"/>
      <c r="AG355" s="158"/>
      <c r="AH355" s="158"/>
    </row>
    <row r="356" spans="1:34" ht="15.75" customHeight="1">
      <c r="A356" s="179"/>
      <c r="B356" s="180"/>
      <c r="C356" s="180"/>
      <c r="D356" s="179"/>
      <c r="E356" s="179"/>
      <c r="F356" s="179"/>
      <c r="G356" s="179"/>
      <c r="H356" s="181"/>
      <c r="I356" s="181"/>
      <c r="J356" s="181"/>
      <c r="K356" s="179"/>
      <c r="L356" s="179"/>
      <c r="M356" s="179"/>
      <c r="N356" s="181"/>
      <c r="O356" s="179"/>
      <c r="P356" s="179"/>
      <c r="Q356" s="179"/>
      <c r="R356" s="179"/>
      <c r="S356" s="179"/>
      <c r="T356" s="179"/>
      <c r="U356" s="179"/>
      <c r="V356" s="179"/>
      <c r="W356" s="192"/>
      <c r="X356" s="192"/>
      <c r="Y356" s="192"/>
      <c r="Z356" s="158"/>
      <c r="AA356" s="158"/>
      <c r="AB356" s="158"/>
      <c r="AC356" s="158"/>
      <c r="AD356" s="158"/>
      <c r="AE356" s="158"/>
      <c r="AF356" s="158"/>
      <c r="AG356" s="158"/>
      <c r="AH356" s="158"/>
    </row>
    <row r="357" spans="1:34" ht="15.75" customHeight="1">
      <c r="A357" s="179"/>
      <c r="B357" s="180"/>
      <c r="C357" s="180"/>
      <c r="D357" s="179"/>
      <c r="E357" s="179"/>
      <c r="F357" s="179"/>
      <c r="G357" s="179"/>
      <c r="H357" s="181"/>
      <c r="I357" s="181"/>
      <c r="J357" s="181"/>
      <c r="K357" s="179"/>
      <c r="L357" s="179"/>
      <c r="M357" s="179"/>
      <c r="N357" s="181"/>
      <c r="O357" s="179"/>
      <c r="P357" s="179"/>
      <c r="Q357" s="179"/>
      <c r="R357" s="179"/>
      <c r="S357" s="179"/>
      <c r="T357" s="179"/>
      <c r="U357" s="179"/>
      <c r="V357" s="179"/>
      <c r="W357" s="192"/>
      <c r="X357" s="192"/>
      <c r="Y357" s="192"/>
      <c r="Z357" s="158"/>
      <c r="AA357" s="158"/>
      <c r="AB357" s="158"/>
      <c r="AC357" s="158"/>
      <c r="AD357" s="158"/>
      <c r="AE357" s="158"/>
      <c r="AF357" s="158"/>
      <c r="AG357" s="158"/>
      <c r="AH357" s="158"/>
    </row>
    <row r="358" spans="1:34" ht="15.75" customHeight="1">
      <c r="A358" s="179"/>
      <c r="B358" s="180"/>
      <c r="C358" s="180"/>
      <c r="D358" s="179"/>
      <c r="E358" s="179"/>
      <c r="F358" s="179"/>
      <c r="G358" s="179"/>
      <c r="H358" s="181"/>
      <c r="I358" s="181"/>
      <c r="J358" s="181"/>
      <c r="K358" s="179"/>
      <c r="L358" s="179"/>
      <c r="M358" s="179"/>
      <c r="N358" s="181"/>
      <c r="O358" s="179"/>
      <c r="P358" s="179"/>
      <c r="Q358" s="179"/>
      <c r="R358" s="179"/>
      <c r="S358" s="179"/>
      <c r="T358" s="179"/>
      <c r="U358" s="179"/>
      <c r="V358" s="179"/>
      <c r="W358" s="192"/>
      <c r="X358" s="192"/>
      <c r="Y358" s="192"/>
      <c r="Z358" s="158"/>
      <c r="AA358" s="158"/>
      <c r="AB358" s="158"/>
      <c r="AC358" s="158"/>
      <c r="AD358" s="158"/>
      <c r="AE358" s="158"/>
      <c r="AF358" s="158"/>
      <c r="AG358" s="158"/>
      <c r="AH358" s="158"/>
    </row>
    <row r="359" spans="1:34" ht="15.75" customHeight="1">
      <c r="A359" s="179"/>
      <c r="B359" s="180"/>
      <c r="C359" s="180"/>
      <c r="D359" s="179"/>
      <c r="E359" s="179"/>
      <c r="F359" s="179"/>
      <c r="G359" s="179"/>
      <c r="H359" s="181"/>
      <c r="I359" s="181"/>
      <c r="J359" s="181"/>
      <c r="K359" s="179"/>
      <c r="L359" s="179"/>
      <c r="M359" s="179"/>
      <c r="N359" s="181"/>
      <c r="O359" s="179"/>
      <c r="P359" s="179"/>
      <c r="Q359" s="179"/>
      <c r="R359" s="179"/>
      <c r="S359" s="179"/>
      <c r="T359" s="179"/>
      <c r="U359" s="179"/>
      <c r="V359" s="179"/>
      <c r="W359" s="192"/>
      <c r="X359" s="192"/>
      <c r="Y359" s="192"/>
      <c r="Z359" s="158"/>
      <c r="AA359" s="158"/>
      <c r="AB359" s="158"/>
      <c r="AC359" s="158"/>
      <c r="AD359" s="158"/>
      <c r="AE359" s="158"/>
      <c r="AF359" s="158"/>
      <c r="AG359" s="158"/>
      <c r="AH359" s="158"/>
    </row>
    <row r="360" spans="1:34" ht="15.75" customHeight="1">
      <c r="A360" s="179"/>
      <c r="B360" s="180"/>
      <c r="C360" s="180"/>
      <c r="D360" s="179"/>
      <c r="E360" s="179"/>
      <c r="F360" s="179"/>
      <c r="G360" s="179"/>
      <c r="H360" s="181"/>
      <c r="I360" s="181"/>
      <c r="J360" s="181"/>
      <c r="K360" s="179"/>
      <c r="L360" s="179"/>
      <c r="M360" s="179"/>
      <c r="N360" s="181"/>
      <c r="O360" s="179"/>
      <c r="P360" s="179"/>
      <c r="Q360" s="179"/>
      <c r="R360" s="179"/>
      <c r="S360" s="179"/>
      <c r="T360" s="179"/>
      <c r="U360" s="179"/>
      <c r="V360" s="179"/>
      <c r="W360" s="192"/>
      <c r="X360" s="192"/>
      <c r="Y360" s="192"/>
      <c r="Z360" s="158"/>
      <c r="AA360" s="158"/>
      <c r="AB360" s="158"/>
      <c r="AC360" s="158"/>
      <c r="AD360" s="158"/>
      <c r="AE360" s="158"/>
      <c r="AF360" s="158"/>
      <c r="AG360" s="158"/>
      <c r="AH360" s="158"/>
    </row>
    <row r="361" spans="1:34" ht="15.75" customHeight="1">
      <c r="A361" s="179"/>
      <c r="B361" s="180"/>
      <c r="C361" s="180"/>
      <c r="D361" s="179"/>
      <c r="E361" s="179"/>
      <c r="F361" s="179"/>
      <c r="G361" s="179"/>
      <c r="H361" s="181"/>
      <c r="I361" s="181"/>
      <c r="J361" s="181"/>
      <c r="K361" s="179"/>
      <c r="L361" s="179"/>
      <c r="M361" s="179"/>
      <c r="N361" s="181"/>
      <c r="O361" s="179"/>
      <c r="P361" s="179"/>
      <c r="Q361" s="179"/>
      <c r="R361" s="179"/>
      <c r="S361" s="179"/>
      <c r="T361" s="179"/>
      <c r="U361" s="179"/>
      <c r="V361" s="179"/>
      <c r="W361" s="192"/>
      <c r="X361" s="192"/>
      <c r="Y361" s="192"/>
      <c r="Z361" s="158"/>
      <c r="AA361" s="158"/>
      <c r="AB361" s="158"/>
      <c r="AC361" s="158"/>
      <c r="AD361" s="158"/>
      <c r="AE361" s="158"/>
      <c r="AF361" s="158"/>
      <c r="AG361" s="158"/>
      <c r="AH361" s="158"/>
    </row>
    <row r="362" spans="1:34" ht="15.75" customHeight="1">
      <c r="A362" s="179"/>
      <c r="B362" s="180"/>
      <c r="C362" s="180"/>
      <c r="D362" s="179"/>
      <c r="E362" s="179"/>
      <c r="F362" s="179"/>
      <c r="G362" s="179"/>
      <c r="H362" s="181"/>
      <c r="I362" s="181"/>
      <c r="J362" s="181"/>
      <c r="K362" s="179"/>
      <c r="L362" s="179"/>
      <c r="M362" s="179"/>
      <c r="N362" s="181"/>
      <c r="O362" s="179"/>
      <c r="P362" s="179"/>
      <c r="Q362" s="179"/>
      <c r="R362" s="179"/>
      <c r="S362" s="179"/>
      <c r="T362" s="179"/>
      <c r="U362" s="179"/>
      <c r="V362" s="179"/>
      <c r="W362" s="192"/>
      <c r="X362" s="192"/>
      <c r="Y362" s="192"/>
      <c r="Z362" s="158"/>
      <c r="AA362" s="158"/>
      <c r="AB362" s="158"/>
      <c r="AC362" s="158"/>
      <c r="AD362" s="158"/>
      <c r="AE362" s="158"/>
      <c r="AF362" s="158"/>
      <c r="AG362" s="158"/>
      <c r="AH362" s="158"/>
    </row>
    <row r="363" spans="1:34" ht="15.75" customHeight="1">
      <c r="A363" s="179"/>
      <c r="B363" s="180"/>
      <c r="C363" s="180"/>
      <c r="D363" s="179"/>
      <c r="E363" s="179"/>
      <c r="F363" s="179"/>
      <c r="G363" s="179"/>
      <c r="H363" s="181"/>
      <c r="I363" s="181"/>
      <c r="J363" s="181"/>
      <c r="K363" s="179"/>
      <c r="L363" s="179"/>
      <c r="M363" s="179"/>
      <c r="N363" s="181"/>
      <c r="O363" s="179"/>
      <c r="P363" s="179"/>
      <c r="Q363" s="179"/>
      <c r="R363" s="179"/>
      <c r="S363" s="179"/>
      <c r="T363" s="179"/>
      <c r="U363" s="179"/>
      <c r="V363" s="179"/>
      <c r="W363" s="192"/>
      <c r="X363" s="192"/>
      <c r="Y363" s="192"/>
      <c r="Z363" s="158"/>
      <c r="AA363" s="158"/>
      <c r="AB363" s="158"/>
      <c r="AC363" s="158"/>
      <c r="AD363" s="158"/>
      <c r="AE363" s="158"/>
      <c r="AF363" s="158"/>
      <c r="AG363" s="158"/>
      <c r="AH363" s="158"/>
    </row>
    <row r="364" spans="1:34" ht="15.75" customHeight="1">
      <c r="A364" s="179"/>
      <c r="B364" s="180"/>
      <c r="C364" s="180"/>
      <c r="D364" s="179"/>
      <c r="E364" s="179"/>
      <c r="F364" s="179"/>
      <c r="G364" s="179"/>
      <c r="H364" s="181"/>
      <c r="I364" s="181"/>
      <c r="J364" s="181"/>
      <c r="K364" s="179"/>
      <c r="L364" s="179"/>
      <c r="M364" s="179"/>
      <c r="N364" s="181"/>
      <c r="O364" s="179"/>
      <c r="P364" s="179"/>
      <c r="Q364" s="179"/>
      <c r="R364" s="179"/>
      <c r="S364" s="179"/>
      <c r="T364" s="179"/>
      <c r="U364" s="179"/>
      <c r="V364" s="179"/>
      <c r="W364" s="192"/>
      <c r="X364" s="192"/>
      <c r="Y364" s="192"/>
      <c r="Z364" s="158"/>
      <c r="AA364" s="158"/>
      <c r="AB364" s="158"/>
      <c r="AC364" s="158"/>
      <c r="AD364" s="158"/>
      <c r="AE364" s="158"/>
      <c r="AF364" s="158"/>
      <c r="AG364" s="158"/>
      <c r="AH364" s="158"/>
    </row>
    <row r="365" spans="1:34" ht="15.75" customHeight="1">
      <c r="A365" s="179"/>
      <c r="B365" s="180"/>
      <c r="C365" s="180"/>
      <c r="D365" s="179"/>
      <c r="E365" s="179"/>
      <c r="F365" s="179"/>
      <c r="G365" s="179"/>
      <c r="H365" s="181"/>
      <c r="I365" s="181"/>
      <c r="J365" s="181"/>
      <c r="K365" s="179"/>
      <c r="L365" s="179"/>
      <c r="M365" s="179"/>
      <c r="N365" s="181"/>
      <c r="O365" s="179"/>
      <c r="P365" s="179"/>
      <c r="Q365" s="179"/>
      <c r="R365" s="179"/>
      <c r="S365" s="179"/>
      <c r="T365" s="179"/>
      <c r="U365" s="179"/>
      <c r="V365" s="179"/>
      <c r="W365" s="192"/>
      <c r="X365" s="192"/>
      <c r="Y365" s="192"/>
      <c r="Z365" s="158"/>
      <c r="AA365" s="158"/>
      <c r="AB365" s="158"/>
      <c r="AC365" s="158"/>
      <c r="AD365" s="158"/>
      <c r="AE365" s="158"/>
      <c r="AF365" s="158"/>
      <c r="AG365" s="158"/>
      <c r="AH365" s="158"/>
    </row>
    <row r="366" spans="1:34" ht="15.75" customHeight="1">
      <c r="A366" s="179"/>
      <c r="B366" s="180"/>
      <c r="C366" s="180"/>
      <c r="D366" s="179"/>
      <c r="E366" s="179"/>
      <c r="F366" s="179"/>
      <c r="G366" s="179"/>
      <c r="H366" s="181"/>
      <c r="I366" s="181"/>
      <c r="J366" s="181"/>
      <c r="K366" s="179"/>
      <c r="L366" s="179"/>
      <c r="M366" s="179"/>
      <c r="N366" s="181"/>
      <c r="O366" s="179"/>
      <c r="P366" s="179"/>
      <c r="Q366" s="179"/>
      <c r="R366" s="179"/>
      <c r="S366" s="179"/>
      <c r="T366" s="179"/>
      <c r="U366" s="179"/>
      <c r="V366" s="179"/>
      <c r="W366" s="192"/>
      <c r="X366" s="192"/>
      <c r="Y366" s="192"/>
      <c r="Z366" s="158"/>
      <c r="AA366" s="158"/>
      <c r="AB366" s="158"/>
      <c r="AC366" s="158"/>
      <c r="AD366" s="158"/>
      <c r="AE366" s="158"/>
      <c r="AF366" s="158"/>
      <c r="AG366" s="158"/>
      <c r="AH366" s="158"/>
    </row>
    <row r="367" spans="1:34" ht="15.75" customHeight="1">
      <c r="A367" s="179"/>
      <c r="B367" s="180"/>
      <c r="C367" s="180"/>
      <c r="D367" s="179"/>
      <c r="E367" s="179"/>
      <c r="F367" s="179"/>
      <c r="G367" s="179"/>
      <c r="H367" s="181"/>
      <c r="I367" s="181"/>
      <c r="J367" s="181"/>
      <c r="K367" s="179"/>
      <c r="L367" s="179"/>
      <c r="M367" s="179"/>
      <c r="N367" s="181"/>
      <c r="O367" s="179"/>
      <c r="P367" s="179"/>
      <c r="Q367" s="179"/>
      <c r="R367" s="179"/>
      <c r="S367" s="179"/>
      <c r="T367" s="179"/>
      <c r="U367" s="179"/>
      <c r="V367" s="179"/>
      <c r="W367" s="192"/>
      <c r="X367" s="192"/>
      <c r="Y367" s="192"/>
      <c r="Z367" s="158"/>
      <c r="AA367" s="158"/>
      <c r="AB367" s="158"/>
      <c r="AC367" s="158"/>
      <c r="AD367" s="158"/>
      <c r="AE367" s="158"/>
      <c r="AF367" s="158"/>
      <c r="AG367" s="158"/>
      <c r="AH367" s="158"/>
    </row>
    <row r="368" spans="1:34" ht="15.75" customHeight="1">
      <c r="A368" s="179"/>
      <c r="B368" s="180"/>
      <c r="C368" s="180"/>
      <c r="D368" s="179"/>
      <c r="E368" s="179"/>
      <c r="F368" s="179"/>
      <c r="G368" s="179"/>
      <c r="H368" s="181"/>
      <c r="I368" s="181"/>
      <c r="J368" s="181"/>
      <c r="K368" s="179"/>
      <c r="L368" s="179"/>
      <c r="M368" s="179"/>
      <c r="N368" s="181"/>
      <c r="O368" s="179"/>
      <c r="P368" s="179"/>
      <c r="Q368" s="179"/>
      <c r="R368" s="179"/>
      <c r="S368" s="179"/>
      <c r="T368" s="179"/>
      <c r="U368" s="179"/>
      <c r="V368" s="179"/>
      <c r="W368" s="192"/>
      <c r="X368" s="192"/>
      <c r="Y368" s="192"/>
      <c r="Z368" s="158"/>
      <c r="AA368" s="158"/>
      <c r="AB368" s="158"/>
      <c r="AC368" s="158"/>
      <c r="AD368" s="158"/>
      <c r="AE368" s="158"/>
      <c r="AF368" s="158"/>
      <c r="AG368" s="158"/>
      <c r="AH368" s="158"/>
    </row>
    <row r="369" spans="1:34" ht="15.75" customHeight="1">
      <c r="A369" s="179"/>
      <c r="B369" s="180"/>
      <c r="C369" s="180"/>
      <c r="D369" s="179"/>
      <c r="E369" s="179"/>
      <c r="F369" s="179"/>
      <c r="G369" s="179"/>
      <c r="H369" s="181"/>
      <c r="I369" s="181"/>
      <c r="J369" s="181"/>
      <c r="K369" s="179"/>
      <c r="L369" s="179"/>
      <c r="M369" s="179"/>
      <c r="N369" s="181"/>
      <c r="O369" s="179"/>
      <c r="P369" s="179"/>
      <c r="Q369" s="179"/>
      <c r="R369" s="179"/>
      <c r="S369" s="179"/>
      <c r="T369" s="179"/>
      <c r="U369" s="179"/>
      <c r="V369" s="179"/>
      <c r="W369" s="192"/>
      <c r="X369" s="192"/>
      <c r="Y369" s="192"/>
      <c r="Z369" s="158"/>
      <c r="AA369" s="158"/>
      <c r="AB369" s="158"/>
      <c r="AC369" s="158"/>
      <c r="AD369" s="158"/>
      <c r="AE369" s="158"/>
      <c r="AF369" s="158"/>
      <c r="AG369" s="158"/>
      <c r="AH369" s="158"/>
    </row>
    <row r="370" spans="1:34" ht="15.75" customHeight="1">
      <c r="A370" s="179"/>
      <c r="B370" s="180"/>
      <c r="C370" s="180"/>
      <c r="D370" s="179"/>
      <c r="E370" s="179"/>
      <c r="F370" s="179"/>
      <c r="G370" s="179"/>
      <c r="H370" s="181"/>
      <c r="I370" s="181"/>
      <c r="J370" s="181"/>
      <c r="K370" s="179"/>
      <c r="L370" s="179"/>
      <c r="M370" s="179"/>
      <c r="N370" s="181"/>
      <c r="O370" s="179"/>
      <c r="P370" s="179"/>
      <c r="Q370" s="179"/>
      <c r="R370" s="179"/>
      <c r="S370" s="179"/>
      <c r="T370" s="179"/>
      <c r="U370" s="179"/>
      <c r="V370" s="179"/>
      <c r="W370" s="192"/>
      <c r="X370" s="192"/>
      <c r="Y370" s="192"/>
      <c r="Z370" s="158"/>
      <c r="AA370" s="158"/>
      <c r="AB370" s="158"/>
      <c r="AC370" s="158"/>
      <c r="AD370" s="158"/>
      <c r="AE370" s="158"/>
      <c r="AF370" s="158"/>
      <c r="AG370" s="158"/>
      <c r="AH370" s="158"/>
    </row>
    <row r="371" spans="1:34" ht="15.75" customHeight="1">
      <c r="A371" s="179"/>
      <c r="B371" s="180"/>
      <c r="C371" s="180"/>
      <c r="D371" s="179"/>
      <c r="E371" s="179"/>
      <c r="F371" s="179"/>
      <c r="G371" s="179"/>
      <c r="H371" s="181"/>
      <c r="I371" s="181"/>
      <c r="J371" s="181"/>
      <c r="K371" s="179"/>
      <c r="L371" s="179"/>
      <c r="M371" s="179"/>
      <c r="N371" s="181"/>
      <c r="O371" s="179"/>
      <c r="P371" s="179"/>
      <c r="Q371" s="179"/>
      <c r="R371" s="179"/>
      <c r="S371" s="179"/>
      <c r="T371" s="179"/>
      <c r="U371" s="179"/>
      <c r="V371" s="179"/>
      <c r="W371" s="192"/>
      <c r="X371" s="192"/>
      <c r="Y371" s="192"/>
      <c r="Z371" s="158"/>
      <c r="AA371" s="158"/>
      <c r="AB371" s="158"/>
      <c r="AC371" s="158"/>
      <c r="AD371" s="158"/>
      <c r="AE371" s="158"/>
      <c r="AF371" s="158"/>
      <c r="AG371" s="158"/>
      <c r="AH371" s="158"/>
    </row>
    <row r="372" spans="1:34" ht="15.75" customHeight="1">
      <c r="A372" s="179"/>
      <c r="B372" s="180"/>
      <c r="C372" s="180"/>
      <c r="D372" s="179"/>
      <c r="E372" s="179"/>
      <c r="F372" s="179"/>
      <c r="G372" s="179"/>
      <c r="H372" s="181"/>
      <c r="I372" s="181"/>
      <c r="J372" s="181"/>
      <c r="K372" s="179"/>
      <c r="L372" s="179"/>
      <c r="M372" s="179"/>
      <c r="N372" s="181"/>
      <c r="O372" s="179"/>
      <c r="P372" s="179"/>
      <c r="Q372" s="179"/>
      <c r="R372" s="179"/>
      <c r="S372" s="179"/>
      <c r="T372" s="179"/>
      <c r="U372" s="179"/>
      <c r="V372" s="179"/>
      <c r="W372" s="192"/>
      <c r="X372" s="192"/>
      <c r="Y372" s="192"/>
      <c r="Z372" s="158"/>
      <c r="AA372" s="158"/>
      <c r="AB372" s="158"/>
      <c r="AC372" s="158"/>
      <c r="AD372" s="158"/>
      <c r="AE372" s="158"/>
      <c r="AF372" s="158"/>
      <c r="AG372" s="158"/>
      <c r="AH372" s="158"/>
    </row>
    <row r="373" spans="1:34" ht="15.75" customHeight="1">
      <c r="A373" s="179"/>
      <c r="B373" s="180"/>
      <c r="C373" s="180"/>
      <c r="D373" s="179"/>
      <c r="E373" s="179"/>
      <c r="F373" s="179"/>
      <c r="G373" s="179"/>
      <c r="H373" s="181"/>
      <c r="I373" s="181"/>
      <c r="J373" s="181"/>
      <c r="K373" s="179"/>
      <c r="L373" s="179"/>
      <c r="M373" s="179"/>
      <c r="N373" s="181"/>
      <c r="O373" s="179"/>
      <c r="P373" s="179"/>
      <c r="Q373" s="179"/>
      <c r="R373" s="179"/>
      <c r="S373" s="179"/>
      <c r="T373" s="179"/>
      <c r="U373" s="179"/>
      <c r="V373" s="179"/>
      <c r="W373" s="192"/>
      <c r="X373" s="192"/>
      <c r="Y373" s="192"/>
      <c r="Z373" s="158"/>
      <c r="AA373" s="158"/>
      <c r="AB373" s="158"/>
      <c r="AC373" s="158"/>
      <c r="AD373" s="158"/>
      <c r="AE373" s="158"/>
      <c r="AF373" s="158"/>
      <c r="AG373" s="158"/>
      <c r="AH373" s="158"/>
    </row>
    <row r="374" spans="1:34" ht="15.75" customHeight="1">
      <c r="A374" s="179"/>
      <c r="B374" s="180"/>
      <c r="C374" s="180"/>
      <c r="D374" s="179"/>
      <c r="E374" s="179"/>
      <c r="F374" s="179"/>
      <c r="G374" s="179"/>
      <c r="H374" s="181"/>
      <c r="I374" s="181"/>
      <c r="J374" s="181"/>
      <c r="K374" s="179"/>
      <c r="L374" s="179"/>
      <c r="M374" s="179"/>
      <c r="N374" s="181"/>
      <c r="O374" s="179"/>
      <c r="P374" s="179"/>
      <c r="Q374" s="179"/>
      <c r="R374" s="179"/>
      <c r="S374" s="179"/>
      <c r="T374" s="179"/>
      <c r="U374" s="179"/>
      <c r="V374" s="179"/>
      <c r="W374" s="192"/>
      <c r="X374" s="192"/>
      <c r="Y374" s="192"/>
      <c r="Z374" s="158"/>
      <c r="AA374" s="158"/>
      <c r="AB374" s="158"/>
      <c r="AC374" s="158"/>
      <c r="AD374" s="158"/>
      <c r="AE374" s="158"/>
      <c r="AF374" s="158"/>
      <c r="AG374" s="158"/>
      <c r="AH374" s="158"/>
    </row>
    <row r="375" spans="1:34" ht="15.75" customHeight="1">
      <c r="A375" s="179"/>
      <c r="B375" s="180"/>
      <c r="C375" s="180"/>
      <c r="D375" s="179"/>
      <c r="E375" s="179"/>
      <c r="F375" s="179"/>
      <c r="G375" s="179"/>
      <c r="H375" s="181"/>
      <c r="I375" s="181"/>
      <c r="J375" s="181"/>
      <c r="K375" s="179"/>
      <c r="L375" s="179"/>
      <c r="M375" s="179"/>
      <c r="N375" s="181"/>
      <c r="O375" s="179"/>
      <c r="P375" s="179"/>
      <c r="Q375" s="179"/>
      <c r="R375" s="179"/>
      <c r="S375" s="179"/>
      <c r="T375" s="179"/>
      <c r="U375" s="179"/>
      <c r="V375" s="179"/>
      <c r="W375" s="192"/>
      <c r="X375" s="192"/>
      <c r="Y375" s="192"/>
      <c r="Z375" s="158"/>
      <c r="AA375" s="158"/>
      <c r="AB375" s="158"/>
      <c r="AC375" s="158"/>
      <c r="AD375" s="158"/>
      <c r="AE375" s="158"/>
      <c r="AF375" s="158"/>
      <c r="AG375" s="158"/>
      <c r="AH375" s="158"/>
    </row>
    <row r="376" spans="1:34" ht="15.75" customHeight="1">
      <c r="A376" s="179"/>
      <c r="B376" s="180"/>
      <c r="C376" s="180"/>
      <c r="D376" s="179"/>
      <c r="E376" s="179"/>
      <c r="F376" s="179"/>
      <c r="G376" s="179"/>
      <c r="H376" s="181"/>
      <c r="I376" s="181"/>
      <c r="J376" s="181"/>
      <c r="K376" s="179"/>
      <c r="L376" s="179"/>
      <c r="M376" s="179"/>
      <c r="N376" s="181"/>
      <c r="O376" s="179"/>
      <c r="P376" s="179"/>
      <c r="Q376" s="179"/>
      <c r="R376" s="179"/>
      <c r="S376" s="179"/>
      <c r="T376" s="179"/>
      <c r="U376" s="179"/>
      <c r="V376" s="179"/>
      <c r="W376" s="192"/>
      <c r="X376" s="192"/>
      <c r="Y376" s="192"/>
      <c r="Z376" s="158"/>
      <c r="AA376" s="158"/>
      <c r="AB376" s="158"/>
      <c r="AC376" s="158"/>
      <c r="AD376" s="158"/>
      <c r="AE376" s="158"/>
      <c r="AF376" s="158"/>
      <c r="AG376" s="158"/>
      <c r="AH376" s="158"/>
    </row>
    <row r="377" spans="1:34" ht="15.75" customHeight="1">
      <c r="A377" s="179"/>
      <c r="B377" s="180"/>
      <c r="C377" s="180"/>
      <c r="D377" s="179"/>
      <c r="E377" s="179"/>
      <c r="F377" s="179"/>
      <c r="G377" s="179"/>
      <c r="H377" s="181"/>
      <c r="I377" s="181"/>
      <c r="J377" s="181"/>
      <c r="K377" s="179"/>
      <c r="L377" s="179"/>
      <c r="M377" s="179"/>
      <c r="N377" s="181"/>
      <c r="O377" s="179"/>
      <c r="P377" s="179"/>
      <c r="Q377" s="179"/>
      <c r="R377" s="179"/>
      <c r="S377" s="179"/>
      <c r="T377" s="179"/>
      <c r="U377" s="179"/>
      <c r="V377" s="179"/>
      <c r="W377" s="192"/>
      <c r="X377" s="192"/>
      <c r="Y377" s="192"/>
      <c r="Z377" s="158"/>
      <c r="AA377" s="158"/>
      <c r="AB377" s="158"/>
      <c r="AC377" s="158"/>
      <c r="AD377" s="158"/>
      <c r="AE377" s="158"/>
      <c r="AF377" s="158"/>
      <c r="AG377" s="158"/>
      <c r="AH377" s="158"/>
    </row>
    <row r="378" spans="1:34" ht="15.75" customHeight="1">
      <c r="A378" s="179"/>
      <c r="B378" s="180"/>
      <c r="C378" s="180"/>
      <c r="D378" s="179"/>
      <c r="E378" s="179"/>
      <c r="F378" s="179"/>
      <c r="G378" s="179"/>
      <c r="H378" s="181"/>
      <c r="I378" s="181"/>
      <c r="J378" s="181"/>
      <c r="K378" s="179"/>
      <c r="L378" s="179"/>
      <c r="M378" s="179"/>
      <c r="N378" s="181"/>
      <c r="O378" s="179"/>
      <c r="P378" s="179"/>
      <c r="Q378" s="179"/>
      <c r="R378" s="179"/>
      <c r="S378" s="179"/>
      <c r="T378" s="179"/>
      <c r="U378" s="179"/>
      <c r="V378" s="179"/>
      <c r="W378" s="192"/>
      <c r="X378" s="192"/>
      <c r="Y378" s="192"/>
      <c r="Z378" s="158"/>
      <c r="AA378" s="158"/>
      <c r="AB378" s="158"/>
      <c r="AC378" s="158"/>
      <c r="AD378" s="158"/>
      <c r="AE378" s="158"/>
      <c r="AF378" s="158"/>
      <c r="AG378" s="158"/>
      <c r="AH378" s="158"/>
    </row>
    <row r="379" spans="1:34" ht="15.75" customHeight="1">
      <c r="A379" s="179"/>
      <c r="B379" s="180"/>
      <c r="C379" s="180"/>
      <c r="D379" s="179"/>
      <c r="E379" s="179"/>
      <c r="F379" s="179"/>
      <c r="G379" s="179"/>
      <c r="H379" s="181"/>
      <c r="I379" s="181"/>
      <c r="J379" s="181"/>
      <c r="K379" s="179"/>
      <c r="L379" s="179"/>
      <c r="M379" s="179"/>
      <c r="N379" s="181"/>
      <c r="O379" s="179"/>
      <c r="P379" s="179"/>
      <c r="Q379" s="179"/>
      <c r="R379" s="179"/>
      <c r="S379" s="179"/>
      <c r="T379" s="179"/>
      <c r="U379" s="179"/>
      <c r="V379" s="179"/>
      <c r="W379" s="192"/>
      <c r="X379" s="192"/>
      <c r="Y379" s="192"/>
      <c r="Z379" s="158"/>
      <c r="AA379" s="158"/>
      <c r="AB379" s="158"/>
      <c r="AC379" s="158"/>
      <c r="AD379" s="158"/>
      <c r="AE379" s="158"/>
      <c r="AF379" s="158"/>
      <c r="AG379" s="158"/>
      <c r="AH379" s="158"/>
    </row>
    <row r="380" spans="1:34" ht="15.75" customHeight="1">
      <c r="A380" s="179"/>
      <c r="B380" s="180"/>
      <c r="C380" s="180"/>
      <c r="D380" s="179"/>
      <c r="E380" s="179"/>
      <c r="F380" s="179"/>
      <c r="G380" s="179"/>
      <c r="H380" s="181"/>
      <c r="I380" s="181"/>
      <c r="J380" s="181"/>
      <c r="K380" s="179"/>
      <c r="L380" s="179"/>
      <c r="M380" s="179"/>
      <c r="N380" s="181"/>
      <c r="O380" s="179"/>
      <c r="P380" s="179"/>
      <c r="Q380" s="179"/>
      <c r="R380" s="179"/>
      <c r="S380" s="179"/>
      <c r="T380" s="179"/>
      <c r="U380" s="179"/>
      <c r="V380" s="179"/>
      <c r="W380" s="192"/>
      <c r="X380" s="192"/>
      <c r="Y380" s="192"/>
      <c r="Z380" s="158"/>
      <c r="AA380" s="158"/>
      <c r="AB380" s="158"/>
      <c r="AC380" s="158"/>
      <c r="AD380" s="158"/>
      <c r="AE380" s="158"/>
      <c r="AF380" s="158"/>
      <c r="AG380" s="158"/>
      <c r="AH380" s="158"/>
    </row>
    <row r="381" spans="1:34" ht="15.75" customHeight="1">
      <c r="A381" s="179"/>
      <c r="B381" s="180"/>
      <c r="C381" s="180"/>
      <c r="D381" s="179"/>
      <c r="E381" s="179"/>
      <c r="F381" s="179"/>
      <c r="G381" s="179"/>
      <c r="H381" s="181"/>
      <c r="I381" s="181"/>
      <c r="J381" s="181"/>
      <c r="K381" s="179"/>
      <c r="L381" s="179"/>
      <c r="M381" s="179"/>
      <c r="N381" s="181"/>
      <c r="O381" s="179"/>
      <c r="P381" s="179"/>
      <c r="Q381" s="179"/>
      <c r="R381" s="179"/>
      <c r="S381" s="179"/>
      <c r="T381" s="179"/>
      <c r="U381" s="179"/>
      <c r="V381" s="179"/>
      <c r="W381" s="192"/>
      <c r="X381" s="192"/>
      <c r="Y381" s="192"/>
      <c r="Z381" s="158"/>
      <c r="AA381" s="158"/>
      <c r="AB381" s="158"/>
      <c r="AC381" s="158"/>
      <c r="AD381" s="158"/>
      <c r="AE381" s="158"/>
      <c r="AF381" s="158"/>
      <c r="AG381" s="158"/>
      <c r="AH381" s="158"/>
    </row>
    <row r="382" spans="1:34" ht="15.75" customHeight="1">
      <c r="A382" s="179"/>
      <c r="B382" s="180"/>
      <c r="C382" s="180"/>
      <c r="D382" s="179"/>
      <c r="E382" s="179"/>
      <c r="F382" s="179"/>
      <c r="G382" s="179"/>
      <c r="H382" s="181"/>
      <c r="I382" s="181"/>
      <c r="J382" s="181"/>
      <c r="K382" s="179"/>
      <c r="L382" s="179"/>
      <c r="M382" s="179"/>
      <c r="N382" s="181"/>
      <c r="O382" s="179"/>
      <c r="P382" s="179"/>
      <c r="Q382" s="179"/>
      <c r="R382" s="179"/>
      <c r="S382" s="179"/>
      <c r="T382" s="179"/>
      <c r="U382" s="179"/>
      <c r="V382" s="179"/>
      <c r="W382" s="192"/>
      <c r="X382" s="192"/>
      <c r="Y382" s="192"/>
      <c r="Z382" s="158"/>
      <c r="AA382" s="158"/>
      <c r="AB382" s="158"/>
      <c r="AC382" s="158"/>
      <c r="AD382" s="158"/>
      <c r="AE382" s="158"/>
      <c r="AF382" s="158"/>
      <c r="AG382" s="158"/>
      <c r="AH382" s="158"/>
    </row>
    <row r="383" spans="1:34" ht="15.75" customHeight="1">
      <c r="A383" s="179"/>
      <c r="B383" s="180"/>
      <c r="C383" s="180"/>
      <c r="D383" s="179"/>
      <c r="E383" s="179"/>
      <c r="F383" s="179"/>
      <c r="G383" s="179"/>
      <c r="H383" s="181"/>
      <c r="I383" s="181"/>
      <c r="J383" s="181"/>
      <c r="K383" s="179"/>
      <c r="L383" s="179"/>
      <c r="M383" s="179"/>
      <c r="N383" s="181"/>
      <c r="O383" s="179"/>
      <c r="P383" s="179"/>
      <c r="Q383" s="179"/>
      <c r="R383" s="179"/>
      <c r="S383" s="179"/>
      <c r="T383" s="179"/>
      <c r="U383" s="179"/>
      <c r="V383" s="179"/>
      <c r="W383" s="192"/>
      <c r="X383" s="192"/>
      <c r="Y383" s="192"/>
      <c r="Z383" s="158"/>
      <c r="AA383" s="158"/>
      <c r="AB383" s="158"/>
      <c r="AC383" s="158"/>
      <c r="AD383" s="158"/>
      <c r="AE383" s="158"/>
      <c r="AF383" s="158"/>
      <c r="AG383" s="158"/>
      <c r="AH383" s="158"/>
    </row>
    <row r="384" spans="1:34" ht="15.75" customHeight="1">
      <c r="A384" s="179"/>
      <c r="B384" s="180"/>
      <c r="C384" s="180"/>
      <c r="D384" s="179"/>
      <c r="E384" s="179"/>
      <c r="F384" s="179"/>
      <c r="G384" s="179"/>
      <c r="H384" s="181"/>
      <c r="I384" s="181"/>
      <c r="J384" s="181"/>
      <c r="K384" s="179"/>
      <c r="L384" s="179"/>
      <c r="M384" s="179"/>
      <c r="N384" s="181"/>
      <c r="O384" s="179"/>
      <c r="P384" s="179"/>
      <c r="Q384" s="179"/>
      <c r="R384" s="179"/>
      <c r="S384" s="179"/>
      <c r="T384" s="179"/>
      <c r="U384" s="179"/>
      <c r="V384" s="179"/>
      <c r="W384" s="192"/>
      <c r="X384" s="192"/>
      <c r="Y384" s="192"/>
      <c r="Z384" s="158"/>
      <c r="AA384" s="158"/>
      <c r="AB384" s="158"/>
      <c r="AC384" s="158"/>
      <c r="AD384" s="158"/>
      <c r="AE384" s="158"/>
      <c r="AF384" s="158"/>
      <c r="AG384" s="158"/>
      <c r="AH384" s="158"/>
    </row>
    <row r="385" spans="1:34" ht="15.75" customHeight="1">
      <c r="A385" s="179"/>
      <c r="B385" s="180"/>
      <c r="C385" s="180"/>
      <c r="D385" s="179"/>
      <c r="E385" s="179"/>
      <c r="F385" s="179"/>
      <c r="G385" s="179"/>
      <c r="H385" s="181"/>
      <c r="I385" s="181"/>
      <c r="J385" s="181"/>
      <c r="K385" s="179"/>
      <c r="L385" s="179"/>
      <c r="M385" s="179"/>
      <c r="N385" s="181"/>
      <c r="O385" s="179"/>
      <c r="P385" s="179"/>
      <c r="Q385" s="179"/>
      <c r="R385" s="179"/>
      <c r="S385" s="179"/>
      <c r="T385" s="179"/>
      <c r="U385" s="179"/>
      <c r="V385" s="179"/>
      <c r="W385" s="192"/>
      <c r="X385" s="192"/>
      <c r="Y385" s="192"/>
      <c r="Z385" s="158"/>
      <c r="AA385" s="158"/>
      <c r="AB385" s="158"/>
      <c r="AC385" s="158"/>
      <c r="AD385" s="158"/>
      <c r="AE385" s="158"/>
      <c r="AF385" s="158"/>
      <c r="AG385" s="158"/>
      <c r="AH385" s="158"/>
    </row>
    <row r="386" spans="1:34" ht="15.75" customHeight="1">
      <c r="A386" s="179"/>
      <c r="B386" s="180"/>
      <c r="C386" s="180"/>
      <c r="D386" s="179"/>
      <c r="E386" s="179"/>
      <c r="F386" s="179"/>
      <c r="G386" s="179"/>
      <c r="H386" s="181"/>
      <c r="I386" s="181"/>
      <c r="J386" s="181"/>
      <c r="K386" s="179"/>
      <c r="L386" s="179"/>
      <c r="M386" s="179"/>
      <c r="N386" s="181"/>
      <c r="O386" s="179"/>
      <c r="P386" s="179"/>
      <c r="Q386" s="179"/>
      <c r="R386" s="179"/>
      <c r="S386" s="179"/>
      <c r="T386" s="179"/>
      <c r="U386" s="179"/>
      <c r="V386" s="179"/>
      <c r="W386" s="192"/>
      <c r="X386" s="192"/>
      <c r="Y386" s="192"/>
      <c r="Z386" s="158"/>
      <c r="AA386" s="158"/>
      <c r="AB386" s="158"/>
      <c r="AC386" s="158"/>
      <c r="AD386" s="158"/>
      <c r="AE386" s="158"/>
      <c r="AF386" s="158"/>
      <c r="AG386" s="158"/>
      <c r="AH386" s="158"/>
    </row>
    <row r="387" spans="1:34" ht="15.75" customHeight="1">
      <c r="A387" s="179"/>
      <c r="B387" s="180"/>
      <c r="C387" s="180"/>
      <c r="D387" s="179"/>
      <c r="E387" s="179"/>
      <c r="F387" s="179"/>
      <c r="G387" s="179"/>
      <c r="H387" s="181"/>
      <c r="I387" s="181"/>
      <c r="J387" s="181"/>
      <c r="K387" s="179"/>
      <c r="L387" s="179"/>
      <c r="M387" s="179"/>
      <c r="N387" s="181"/>
      <c r="O387" s="179"/>
      <c r="P387" s="179"/>
      <c r="Q387" s="179"/>
      <c r="R387" s="179"/>
      <c r="S387" s="179"/>
      <c r="T387" s="179"/>
      <c r="U387" s="179"/>
      <c r="V387" s="179"/>
      <c r="W387" s="192"/>
      <c r="X387" s="192"/>
      <c r="Y387" s="192"/>
      <c r="Z387" s="158"/>
      <c r="AA387" s="158"/>
      <c r="AB387" s="158"/>
      <c r="AC387" s="158"/>
      <c r="AD387" s="158"/>
      <c r="AE387" s="158"/>
      <c r="AF387" s="158"/>
      <c r="AG387" s="158"/>
      <c r="AH387" s="158"/>
    </row>
    <row r="388" spans="1:34" ht="15.75" customHeight="1">
      <c r="A388" s="179"/>
      <c r="B388" s="180"/>
      <c r="C388" s="180"/>
      <c r="D388" s="179"/>
      <c r="E388" s="179"/>
      <c r="F388" s="179"/>
      <c r="G388" s="179"/>
      <c r="H388" s="181"/>
      <c r="I388" s="181"/>
      <c r="J388" s="181"/>
      <c r="K388" s="179"/>
      <c r="L388" s="179"/>
      <c r="M388" s="179"/>
      <c r="N388" s="181"/>
      <c r="O388" s="179"/>
      <c r="P388" s="179"/>
      <c r="Q388" s="179"/>
      <c r="R388" s="179"/>
      <c r="S388" s="179"/>
      <c r="T388" s="179"/>
      <c r="U388" s="179"/>
      <c r="V388" s="179"/>
      <c r="W388" s="192"/>
      <c r="X388" s="192"/>
      <c r="Y388" s="192"/>
      <c r="Z388" s="158"/>
      <c r="AA388" s="158"/>
      <c r="AB388" s="158"/>
      <c r="AC388" s="158"/>
      <c r="AD388" s="158"/>
      <c r="AE388" s="158"/>
      <c r="AF388" s="158"/>
      <c r="AG388" s="158"/>
      <c r="AH388" s="158"/>
    </row>
    <row r="389" spans="1:34" ht="15.75" customHeight="1">
      <c r="A389" s="179"/>
      <c r="B389" s="180"/>
      <c r="C389" s="180"/>
      <c r="D389" s="179"/>
      <c r="E389" s="179"/>
      <c r="F389" s="179"/>
      <c r="G389" s="179"/>
      <c r="H389" s="181"/>
      <c r="I389" s="181"/>
      <c r="J389" s="181"/>
      <c r="K389" s="179"/>
      <c r="L389" s="179"/>
      <c r="M389" s="179"/>
      <c r="N389" s="181"/>
      <c r="O389" s="179"/>
      <c r="P389" s="179"/>
      <c r="Q389" s="179"/>
      <c r="R389" s="179"/>
      <c r="S389" s="179"/>
      <c r="T389" s="179"/>
      <c r="U389" s="179"/>
      <c r="V389" s="179"/>
      <c r="W389" s="192"/>
      <c r="X389" s="192"/>
      <c r="Y389" s="192"/>
      <c r="Z389" s="158"/>
      <c r="AA389" s="158"/>
      <c r="AB389" s="158"/>
      <c r="AC389" s="158"/>
      <c r="AD389" s="158"/>
      <c r="AE389" s="158"/>
      <c r="AF389" s="158"/>
      <c r="AG389" s="158"/>
      <c r="AH389" s="158"/>
    </row>
    <row r="390" spans="1:34" ht="15.75" customHeight="1">
      <c r="A390" s="179"/>
      <c r="B390" s="180"/>
      <c r="C390" s="180"/>
      <c r="D390" s="179"/>
      <c r="E390" s="179"/>
      <c r="F390" s="179"/>
      <c r="G390" s="179"/>
      <c r="H390" s="181"/>
      <c r="I390" s="181"/>
      <c r="J390" s="181"/>
      <c r="K390" s="179"/>
      <c r="L390" s="179"/>
      <c r="M390" s="179"/>
      <c r="N390" s="181"/>
      <c r="O390" s="179"/>
      <c r="P390" s="179"/>
      <c r="Q390" s="179"/>
      <c r="R390" s="179"/>
      <c r="S390" s="179"/>
      <c r="T390" s="179"/>
      <c r="U390" s="179"/>
      <c r="V390" s="179"/>
      <c r="W390" s="192"/>
      <c r="X390" s="192"/>
      <c r="Y390" s="192"/>
      <c r="Z390" s="158"/>
      <c r="AA390" s="158"/>
      <c r="AB390" s="158"/>
      <c r="AC390" s="158"/>
      <c r="AD390" s="158"/>
      <c r="AE390" s="158"/>
      <c r="AF390" s="158"/>
      <c r="AG390" s="158"/>
      <c r="AH390" s="158"/>
    </row>
    <row r="391" spans="1:34" ht="15.75" customHeight="1">
      <c r="A391" s="179"/>
      <c r="B391" s="180"/>
      <c r="C391" s="180"/>
      <c r="D391" s="179"/>
      <c r="E391" s="179"/>
      <c r="F391" s="179"/>
      <c r="G391" s="179"/>
      <c r="H391" s="181"/>
      <c r="I391" s="181"/>
      <c r="J391" s="181"/>
      <c r="K391" s="179"/>
      <c r="L391" s="179"/>
      <c r="M391" s="179"/>
      <c r="N391" s="181"/>
      <c r="O391" s="179"/>
      <c r="P391" s="179"/>
      <c r="Q391" s="179"/>
      <c r="R391" s="179"/>
      <c r="S391" s="179"/>
      <c r="T391" s="179"/>
      <c r="U391" s="179"/>
      <c r="V391" s="179"/>
      <c r="W391" s="192"/>
      <c r="X391" s="192"/>
      <c r="Y391" s="192"/>
      <c r="Z391" s="158"/>
      <c r="AA391" s="158"/>
      <c r="AB391" s="158"/>
      <c r="AC391" s="158"/>
      <c r="AD391" s="158"/>
      <c r="AE391" s="158"/>
      <c r="AF391" s="158"/>
      <c r="AG391" s="158"/>
      <c r="AH391" s="158"/>
    </row>
    <row r="392" spans="1:34" ht="15.75" customHeight="1">
      <c r="A392" s="179"/>
      <c r="B392" s="180"/>
      <c r="C392" s="180"/>
      <c r="D392" s="179"/>
      <c r="E392" s="179"/>
      <c r="F392" s="179"/>
      <c r="G392" s="179"/>
      <c r="H392" s="181"/>
      <c r="I392" s="181"/>
      <c r="J392" s="181"/>
      <c r="K392" s="179"/>
      <c r="L392" s="179"/>
      <c r="M392" s="179"/>
      <c r="N392" s="181"/>
      <c r="O392" s="179"/>
      <c r="P392" s="179"/>
      <c r="Q392" s="179"/>
      <c r="R392" s="179"/>
      <c r="S392" s="179"/>
      <c r="T392" s="179"/>
      <c r="U392" s="179"/>
      <c r="V392" s="179"/>
      <c r="W392" s="192"/>
      <c r="X392" s="192"/>
      <c r="Y392" s="192"/>
      <c r="Z392" s="158"/>
      <c r="AA392" s="158"/>
      <c r="AB392" s="158"/>
      <c r="AC392" s="158"/>
      <c r="AD392" s="158"/>
      <c r="AE392" s="158"/>
      <c r="AF392" s="158"/>
      <c r="AG392" s="158"/>
      <c r="AH392" s="158"/>
    </row>
    <row r="393" spans="1:34" ht="15.75" customHeight="1">
      <c r="A393" s="179"/>
      <c r="B393" s="180"/>
      <c r="C393" s="180"/>
      <c r="D393" s="179"/>
      <c r="E393" s="179"/>
      <c r="F393" s="179"/>
      <c r="G393" s="179"/>
      <c r="H393" s="181"/>
      <c r="I393" s="181"/>
      <c r="J393" s="181"/>
      <c r="K393" s="179"/>
      <c r="L393" s="179"/>
      <c r="M393" s="179"/>
      <c r="N393" s="181"/>
      <c r="O393" s="179"/>
      <c r="P393" s="179"/>
      <c r="Q393" s="179"/>
      <c r="R393" s="179"/>
      <c r="S393" s="179"/>
      <c r="T393" s="179"/>
      <c r="U393" s="179"/>
      <c r="V393" s="179"/>
      <c r="W393" s="192"/>
      <c r="X393" s="192"/>
      <c r="Y393" s="192"/>
      <c r="Z393" s="158"/>
      <c r="AA393" s="158"/>
      <c r="AB393" s="158"/>
      <c r="AC393" s="158"/>
      <c r="AD393" s="158"/>
      <c r="AE393" s="158"/>
      <c r="AF393" s="158"/>
      <c r="AG393" s="158"/>
      <c r="AH393" s="158"/>
    </row>
    <row r="394" spans="1:34" ht="15.75" customHeight="1">
      <c r="A394" s="179"/>
      <c r="B394" s="180"/>
      <c r="C394" s="180"/>
      <c r="D394" s="179"/>
      <c r="E394" s="179"/>
      <c r="F394" s="179"/>
      <c r="G394" s="179"/>
      <c r="H394" s="181"/>
      <c r="I394" s="181"/>
      <c r="J394" s="181"/>
      <c r="K394" s="179"/>
      <c r="L394" s="179"/>
      <c r="M394" s="179"/>
      <c r="N394" s="181"/>
      <c r="O394" s="179"/>
      <c r="P394" s="179"/>
      <c r="Q394" s="179"/>
      <c r="R394" s="179"/>
      <c r="S394" s="179"/>
      <c r="T394" s="179"/>
      <c r="U394" s="179"/>
      <c r="V394" s="179"/>
      <c r="W394" s="192"/>
      <c r="X394" s="192"/>
      <c r="Y394" s="192"/>
      <c r="Z394" s="158"/>
      <c r="AA394" s="158"/>
      <c r="AB394" s="158"/>
      <c r="AC394" s="158"/>
      <c r="AD394" s="158"/>
      <c r="AE394" s="158"/>
      <c r="AF394" s="158"/>
      <c r="AG394" s="158"/>
      <c r="AH394" s="158"/>
    </row>
    <row r="395" spans="1:34" ht="15.75" customHeight="1">
      <c r="A395" s="179"/>
      <c r="B395" s="180"/>
      <c r="C395" s="180"/>
      <c r="D395" s="179"/>
      <c r="E395" s="179"/>
      <c r="F395" s="179"/>
      <c r="G395" s="179"/>
      <c r="H395" s="181"/>
      <c r="I395" s="181"/>
      <c r="J395" s="181"/>
      <c r="K395" s="179"/>
      <c r="L395" s="179"/>
      <c r="M395" s="179"/>
      <c r="N395" s="181"/>
      <c r="O395" s="179"/>
      <c r="P395" s="179"/>
      <c r="Q395" s="179"/>
      <c r="R395" s="179"/>
      <c r="S395" s="179"/>
      <c r="T395" s="179"/>
      <c r="U395" s="179"/>
      <c r="V395" s="179"/>
      <c r="W395" s="192"/>
      <c r="X395" s="192"/>
      <c r="Y395" s="192"/>
      <c r="Z395" s="158"/>
      <c r="AA395" s="158"/>
      <c r="AB395" s="158"/>
      <c r="AC395" s="158"/>
      <c r="AD395" s="158"/>
      <c r="AE395" s="158"/>
      <c r="AF395" s="158"/>
      <c r="AG395" s="158"/>
      <c r="AH395" s="158"/>
    </row>
    <row r="396" spans="1:34" ht="15.75" customHeight="1">
      <c r="A396" s="179"/>
      <c r="B396" s="180"/>
      <c r="C396" s="180"/>
      <c r="D396" s="179"/>
      <c r="E396" s="179"/>
      <c r="F396" s="179"/>
      <c r="G396" s="179"/>
      <c r="H396" s="181"/>
      <c r="I396" s="181"/>
      <c r="J396" s="181"/>
      <c r="K396" s="179"/>
      <c r="L396" s="179"/>
      <c r="M396" s="179"/>
      <c r="N396" s="181"/>
      <c r="O396" s="179"/>
      <c r="P396" s="179"/>
      <c r="Q396" s="179"/>
      <c r="R396" s="179"/>
      <c r="S396" s="179"/>
      <c r="T396" s="179"/>
      <c r="U396" s="179"/>
      <c r="V396" s="179"/>
      <c r="W396" s="192"/>
      <c r="X396" s="192"/>
      <c r="Y396" s="192"/>
      <c r="Z396" s="158"/>
      <c r="AA396" s="158"/>
      <c r="AB396" s="158"/>
      <c r="AC396" s="158"/>
      <c r="AD396" s="158"/>
      <c r="AE396" s="158"/>
      <c r="AF396" s="158"/>
      <c r="AG396" s="158"/>
      <c r="AH396" s="158"/>
    </row>
    <row r="397" spans="1:34" ht="15.75" customHeight="1">
      <c r="A397" s="179"/>
      <c r="B397" s="180"/>
      <c r="C397" s="180"/>
      <c r="D397" s="179"/>
      <c r="E397" s="179"/>
      <c r="F397" s="179"/>
      <c r="G397" s="179"/>
      <c r="H397" s="181"/>
      <c r="I397" s="181"/>
      <c r="J397" s="181"/>
      <c r="K397" s="179"/>
      <c r="L397" s="179"/>
      <c r="M397" s="179"/>
      <c r="N397" s="181"/>
      <c r="O397" s="179"/>
      <c r="P397" s="179"/>
      <c r="Q397" s="179"/>
      <c r="R397" s="179"/>
      <c r="S397" s="179"/>
      <c r="T397" s="179"/>
      <c r="U397" s="179"/>
      <c r="V397" s="179"/>
      <c r="W397" s="192"/>
      <c r="X397" s="192"/>
      <c r="Y397" s="192"/>
      <c r="Z397" s="158"/>
      <c r="AA397" s="158"/>
      <c r="AB397" s="158"/>
      <c r="AC397" s="158"/>
      <c r="AD397" s="158"/>
      <c r="AE397" s="158"/>
      <c r="AF397" s="158"/>
      <c r="AG397" s="158"/>
      <c r="AH397" s="158"/>
    </row>
    <row r="398" spans="1:34" ht="15.75" customHeight="1">
      <c r="A398" s="179"/>
      <c r="B398" s="180"/>
      <c r="C398" s="180"/>
      <c r="D398" s="179"/>
      <c r="E398" s="179"/>
      <c r="F398" s="179"/>
      <c r="G398" s="179"/>
      <c r="H398" s="181"/>
      <c r="I398" s="181"/>
      <c r="J398" s="181"/>
      <c r="K398" s="179"/>
      <c r="L398" s="179"/>
      <c r="M398" s="179"/>
      <c r="N398" s="181"/>
      <c r="O398" s="179"/>
      <c r="P398" s="179"/>
      <c r="Q398" s="179"/>
      <c r="R398" s="179"/>
      <c r="S398" s="179"/>
      <c r="T398" s="179"/>
      <c r="U398" s="179"/>
      <c r="V398" s="179"/>
      <c r="W398" s="192"/>
      <c r="X398" s="192"/>
      <c r="Y398" s="192"/>
      <c r="Z398" s="158"/>
      <c r="AA398" s="158"/>
      <c r="AB398" s="158"/>
      <c r="AC398" s="158"/>
      <c r="AD398" s="158"/>
      <c r="AE398" s="158"/>
      <c r="AF398" s="158"/>
      <c r="AG398" s="158"/>
      <c r="AH398" s="158"/>
    </row>
    <row r="399" spans="1:34" ht="15.75" customHeight="1">
      <c r="A399" s="179"/>
      <c r="B399" s="180"/>
      <c r="C399" s="180"/>
      <c r="D399" s="179"/>
      <c r="E399" s="179"/>
      <c r="F399" s="179"/>
      <c r="G399" s="179"/>
      <c r="H399" s="181"/>
      <c r="I399" s="181"/>
      <c r="J399" s="181"/>
      <c r="K399" s="179"/>
      <c r="L399" s="179"/>
      <c r="M399" s="179"/>
      <c r="N399" s="181"/>
      <c r="O399" s="179"/>
      <c r="P399" s="179"/>
      <c r="Q399" s="179"/>
      <c r="R399" s="179"/>
      <c r="S399" s="179"/>
      <c r="T399" s="179"/>
      <c r="U399" s="179"/>
      <c r="V399" s="179"/>
      <c r="W399" s="192"/>
      <c r="X399" s="192"/>
      <c r="Y399" s="192"/>
      <c r="Z399" s="158"/>
      <c r="AA399" s="158"/>
      <c r="AB399" s="158"/>
      <c r="AC399" s="158"/>
      <c r="AD399" s="158"/>
      <c r="AE399" s="158"/>
      <c r="AF399" s="158"/>
      <c r="AG399" s="158"/>
      <c r="AH399" s="158"/>
    </row>
    <row r="400" spans="1:34" ht="15.75" customHeight="1">
      <c r="A400" s="179"/>
      <c r="B400" s="180"/>
      <c r="C400" s="180"/>
      <c r="D400" s="179"/>
      <c r="E400" s="179"/>
      <c r="F400" s="179"/>
      <c r="G400" s="179"/>
      <c r="H400" s="181"/>
      <c r="I400" s="181"/>
      <c r="J400" s="181"/>
      <c r="K400" s="179"/>
      <c r="L400" s="179"/>
      <c r="M400" s="179"/>
      <c r="N400" s="181"/>
      <c r="O400" s="179"/>
      <c r="P400" s="179"/>
      <c r="Q400" s="179"/>
      <c r="R400" s="179"/>
      <c r="S400" s="179"/>
      <c r="T400" s="179"/>
      <c r="U400" s="179"/>
      <c r="V400" s="179"/>
      <c r="W400" s="192"/>
      <c r="X400" s="192"/>
      <c r="Y400" s="192"/>
      <c r="Z400" s="158"/>
      <c r="AA400" s="158"/>
      <c r="AB400" s="158"/>
      <c r="AC400" s="158"/>
      <c r="AD400" s="158"/>
      <c r="AE400" s="158"/>
      <c r="AF400" s="158"/>
      <c r="AG400" s="158"/>
      <c r="AH400" s="158"/>
    </row>
    <row r="401" spans="1:34" ht="15.75" customHeight="1">
      <c r="A401" s="179"/>
      <c r="B401" s="180"/>
      <c r="C401" s="180"/>
      <c r="D401" s="179"/>
      <c r="E401" s="179"/>
      <c r="F401" s="179"/>
      <c r="G401" s="179"/>
      <c r="H401" s="181"/>
      <c r="I401" s="181"/>
      <c r="J401" s="181"/>
      <c r="K401" s="179"/>
      <c r="L401" s="179"/>
      <c r="M401" s="179"/>
      <c r="N401" s="181"/>
      <c r="O401" s="179"/>
      <c r="P401" s="179"/>
      <c r="Q401" s="179"/>
      <c r="R401" s="179"/>
      <c r="S401" s="179"/>
      <c r="T401" s="179"/>
      <c r="U401" s="179"/>
      <c r="V401" s="179"/>
      <c r="W401" s="192"/>
      <c r="X401" s="192"/>
      <c r="Y401" s="192"/>
      <c r="Z401" s="158"/>
      <c r="AA401" s="158"/>
      <c r="AB401" s="158"/>
      <c r="AC401" s="158"/>
      <c r="AD401" s="158"/>
      <c r="AE401" s="158"/>
      <c r="AF401" s="158"/>
      <c r="AG401" s="158"/>
      <c r="AH401" s="158"/>
    </row>
    <row r="402" spans="1:34" ht="15.75" customHeight="1">
      <c r="A402" s="179"/>
      <c r="B402" s="180"/>
      <c r="C402" s="180"/>
      <c r="D402" s="179"/>
      <c r="E402" s="179"/>
      <c r="F402" s="179"/>
      <c r="G402" s="179"/>
      <c r="H402" s="181"/>
      <c r="I402" s="181"/>
      <c r="J402" s="181"/>
      <c r="K402" s="179"/>
      <c r="L402" s="179"/>
      <c r="M402" s="179"/>
      <c r="N402" s="181"/>
      <c r="O402" s="179"/>
      <c r="P402" s="179"/>
      <c r="Q402" s="179"/>
      <c r="R402" s="179"/>
      <c r="S402" s="179"/>
      <c r="T402" s="179"/>
      <c r="U402" s="179"/>
      <c r="V402" s="179"/>
      <c r="W402" s="192"/>
      <c r="X402" s="192"/>
      <c r="Y402" s="192"/>
      <c r="Z402" s="158"/>
      <c r="AA402" s="158"/>
      <c r="AB402" s="158"/>
      <c r="AC402" s="158"/>
      <c r="AD402" s="158"/>
      <c r="AE402" s="158"/>
      <c r="AF402" s="158"/>
      <c r="AG402" s="158"/>
      <c r="AH402" s="158"/>
    </row>
    <row r="403" spans="1:34" ht="15.75" customHeight="1">
      <c r="A403" s="179"/>
      <c r="B403" s="180"/>
      <c r="C403" s="180"/>
      <c r="D403" s="179"/>
      <c r="E403" s="179"/>
      <c r="F403" s="179"/>
      <c r="G403" s="179"/>
      <c r="H403" s="181"/>
      <c r="I403" s="181"/>
      <c r="J403" s="181"/>
      <c r="K403" s="179"/>
      <c r="L403" s="179"/>
      <c r="M403" s="179"/>
      <c r="N403" s="181"/>
      <c r="O403" s="179"/>
      <c r="P403" s="179"/>
      <c r="Q403" s="179"/>
      <c r="R403" s="179"/>
      <c r="S403" s="179"/>
      <c r="T403" s="179"/>
      <c r="U403" s="179"/>
      <c r="V403" s="179"/>
      <c r="W403" s="192"/>
      <c r="X403" s="192"/>
      <c r="Y403" s="192"/>
      <c r="Z403" s="158"/>
      <c r="AA403" s="158"/>
      <c r="AB403" s="158"/>
      <c r="AC403" s="158"/>
      <c r="AD403" s="158"/>
      <c r="AE403" s="158"/>
      <c r="AF403" s="158"/>
      <c r="AG403" s="158"/>
      <c r="AH403" s="158"/>
    </row>
    <row r="404" spans="1:34" ht="15.75" customHeight="1">
      <c r="A404" s="179"/>
      <c r="B404" s="180"/>
      <c r="C404" s="180"/>
      <c r="D404" s="179"/>
      <c r="E404" s="179"/>
      <c r="F404" s="179"/>
      <c r="G404" s="179"/>
      <c r="H404" s="181"/>
      <c r="I404" s="181"/>
      <c r="J404" s="181"/>
      <c r="K404" s="179"/>
      <c r="L404" s="179"/>
      <c r="M404" s="179"/>
      <c r="N404" s="181"/>
      <c r="O404" s="179"/>
      <c r="P404" s="179"/>
      <c r="Q404" s="179"/>
      <c r="R404" s="179"/>
      <c r="S404" s="179"/>
      <c r="T404" s="179"/>
      <c r="U404" s="179"/>
      <c r="V404" s="179"/>
      <c r="W404" s="192"/>
      <c r="X404" s="192"/>
      <c r="Y404" s="192"/>
      <c r="Z404" s="158"/>
      <c r="AA404" s="158"/>
      <c r="AB404" s="158"/>
      <c r="AC404" s="158"/>
      <c r="AD404" s="158"/>
      <c r="AE404" s="158"/>
      <c r="AF404" s="158"/>
      <c r="AG404" s="158"/>
      <c r="AH404" s="158"/>
    </row>
    <row r="405" spans="1:34" ht="15.75" customHeight="1">
      <c r="A405" s="179"/>
      <c r="B405" s="180"/>
      <c r="C405" s="180"/>
      <c r="D405" s="179"/>
      <c r="E405" s="179"/>
      <c r="F405" s="179"/>
      <c r="G405" s="179"/>
      <c r="H405" s="181"/>
      <c r="I405" s="181"/>
      <c r="J405" s="181"/>
      <c r="K405" s="179"/>
      <c r="L405" s="179"/>
      <c r="M405" s="179"/>
      <c r="N405" s="181"/>
      <c r="O405" s="179"/>
      <c r="P405" s="179"/>
      <c r="Q405" s="179"/>
      <c r="R405" s="179"/>
      <c r="S405" s="179"/>
      <c r="T405" s="179"/>
      <c r="U405" s="179"/>
      <c r="V405" s="179"/>
      <c r="W405" s="192"/>
      <c r="X405" s="192"/>
      <c r="Y405" s="192"/>
      <c r="Z405" s="158"/>
      <c r="AA405" s="158"/>
      <c r="AB405" s="158"/>
      <c r="AC405" s="158"/>
      <c r="AD405" s="158"/>
      <c r="AE405" s="158"/>
      <c r="AF405" s="158"/>
      <c r="AG405" s="158"/>
      <c r="AH405" s="158"/>
    </row>
    <row r="406" spans="1:34" ht="15.75" customHeight="1">
      <c r="A406" s="179"/>
      <c r="B406" s="180"/>
      <c r="C406" s="180"/>
      <c r="D406" s="179"/>
      <c r="E406" s="179"/>
      <c r="F406" s="179"/>
      <c r="G406" s="179"/>
      <c r="H406" s="181"/>
      <c r="I406" s="181"/>
      <c r="J406" s="181"/>
      <c r="K406" s="179"/>
      <c r="L406" s="179"/>
      <c r="M406" s="179"/>
      <c r="N406" s="181"/>
      <c r="O406" s="179"/>
      <c r="P406" s="179"/>
      <c r="Q406" s="179"/>
      <c r="R406" s="179"/>
      <c r="S406" s="179"/>
      <c r="T406" s="179"/>
      <c r="U406" s="179"/>
      <c r="V406" s="179"/>
      <c r="W406" s="192"/>
      <c r="X406" s="192"/>
      <c r="Y406" s="192"/>
      <c r="Z406" s="158"/>
      <c r="AA406" s="158"/>
      <c r="AB406" s="158"/>
      <c r="AC406" s="158"/>
      <c r="AD406" s="158"/>
      <c r="AE406" s="158"/>
      <c r="AF406" s="158"/>
      <c r="AG406" s="158"/>
      <c r="AH406" s="158"/>
    </row>
    <row r="407" spans="1:34" ht="15.75" customHeight="1">
      <c r="A407" s="179"/>
      <c r="B407" s="180"/>
      <c r="C407" s="180"/>
      <c r="D407" s="179"/>
      <c r="E407" s="179"/>
      <c r="F407" s="179"/>
      <c r="G407" s="179"/>
      <c r="H407" s="181"/>
      <c r="I407" s="181"/>
      <c r="J407" s="181"/>
      <c r="K407" s="179"/>
      <c r="L407" s="179"/>
      <c r="M407" s="179"/>
      <c r="N407" s="181"/>
      <c r="O407" s="179"/>
      <c r="P407" s="179"/>
      <c r="Q407" s="179"/>
      <c r="R407" s="179"/>
      <c r="S407" s="179"/>
      <c r="T407" s="179"/>
      <c r="U407" s="179"/>
      <c r="V407" s="179"/>
      <c r="W407" s="192"/>
      <c r="X407" s="192"/>
      <c r="Y407" s="192"/>
      <c r="Z407" s="158"/>
      <c r="AA407" s="158"/>
      <c r="AB407" s="158"/>
      <c r="AC407" s="158"/>
      <c r="AD407" s="158"/>
      <c r="AE407" s="158"/>
      <c r="AF407" s="158"/>
      <c r="AG407" s="158"/>
      <c r="AH407" s="158"/>
    </row>
    <row r="408" spans="1:34" ht="15.75" customHeight="1">
      <c r="A408" s="179"/>
      <c r="B408" s="180"/>
      <c r="C408" s="180"/>
      <c r="D408" s="179"/>
      <c r="E408" s="179"/>
      <c r="F408" s="179"/>
      <c r="G408" s="179"/>
      <c r="H408" s="181"/>
      <c r="I408" s="181"/>
      <c r="J408" s="181"/>
      <c r="K408" s="179"/>
      <c r="L408" s="179"/>
      <c r="M408" s="179"/>
      <c r="N408" s="181"/>
      <c r="O408" s="179"/>
      <c r="P408" s="179"/>
      <c r="Q408" s="179"/>
      <c r="R408" s="179"/>
      <c r="S408" s="179"/>
      <c r="T408" s="179"/>
      <c r="U408" s="179"/>
      <c r="V408" s="179"/>
      <c r="W408" s="192"/>
      <c r="X408" s="192"/>
      <c r="Y408" s="192"/>
      <c r="Z408" s="158"/>
      <c r="AA408" s="158"/>
      <c r="AB408" s="158"/>
      <c r="AC408" s="158"/>
      <c r="AD408" s="158"/>
      <c r="AE408" s="158"/>
      <c r="AF408" s="158"/>
      <c r="AG408" s="158"/>
      <c r="AH408" s="158"/>
    </row>
    <row r="409" spans="1:34" ht="15.75" customHeight="1">
      <c r="A409" s="179"/>
      <c r="B409" s="180"/>
      <c r="C409" s="180"/>
      <c r="D409" s="179"/>
      <c r="E409" s="179"/>
      <c r="F409" s="179"/>
      <c r="G409" s="179"/>
      <c r="H409" s="181"/>
      <c r="I409" s="181"/>
      <c r="J409" s="181"/>
      <c r="K409" s="179"/>
      <c r="L409" s="179"/>
      <c r="M409" s="179"/>
      <c r="N409" s="181"/>
      <c r="O409" s="179"/>
      <c r="P409" s="179"/>
      <c r="Q409" s="179"/>
      <c r="R409" s="179"/>
      <c r="S409" s="179"/>
      <c r="T409" s="179"/>
      <c r="U409" s="179"/>
      <c r="V409" s="179"/>
      <c r="W409" s="192"/>
      <c r="X409" s="192"/>
      <c r="Y409" s="192"/>
      <c r="Z409" s="158"/>
      <c r="AA409" s="158"/>
      <c r="AB409" s="158"/>
      <c r="AC409" s="158"/>
      <c r="AD409" s="158"/>
      <c r="AE409" s="158"/>
      <c r="AF409" s="158"/>
      <c r="AG409" s="158"/>
      <c r="AH409" s="158"/>
    </row>
    <row r="410" spans="1:34" ht="15.75" customHeight="1">
      <c r="A410" s="179"/>
      <c r="B410" s="180"/>
      <c r="C410" s="180"/>
      <c r="D410" s="179"/>
      <c r="E410" s="179"/>
      <c r="F410" s="179"/>
      <c r="G410" s="179"/>
      <c r="H410" s="181"/>
      <c r="I410" s="181"/>
      <c r="J410" s="181"/>
      <c r="K410" s="179"/>
      <c r="L410" s="179"/>
      <c r="M410" s="179"/>
      <c r="N410" s="181"/>
      <c r="O410" s="179"/>
      <c r="P410" s="179"/>
      <c r="Q410" s="179"/>
      <c r="R410" s="179"/>
      <c r="S410" s="179"/>
      <c r="T410" s="179"/>
      <c r="U410" s="179"/>
      <c r="V410" s="179"/>
      <c r="W410" s="192"/>
      <c r="X410" s="192"/>
      <c r="Y410" s="192"/>
      <c r="Z410" s="158"/>
      <c r="AA410" s="158"/>
      <c r="AB410" s="158"/>
      <c r="AC410" s="158"/>
      <c r="AD410" s="158"/>
      <c r="AE410" s="158"/>
      <c r="AF410" s="158"/>
      <c r="AG410" s="158"/>
      <c r="AH410" s="158"/>
    </row>
    <row r="411" spans="1:34" ht="15.75" customHeight="1">
      <c r="A411" s="179"/>
      <c r="B411" s="180"/>
      <c r="C411" s="180"/>
      <c r="D411" s="179"/>
      <c r="E411" s="179"/>
      <c r="F411" s="179"/>
      <c r="G411" s="179"/>
      <c r="H411" s="181"/>
      <c r="I411" s="181"/>
      <c r="J411" s="181"/>
      <c r="K411" s="179"/>
      <c r="L411" s="179"/>
      <c r="M411" s="179"/>
      <c r="N411" s="181"/>
      <c r="O411" s="179"/>
      <c r="P411" s="179"/>
      <c r="Q411" s="179"/>
      <c r="R411" s="179"/>
      <c r="S411" s="179"/>
      <c r="T411" s="179"/>
      <c r="U411" s="179"/>
      <c r="V411" s="179"/>
      <c r="W411" s="192"/>
      <c r="X411" s="192"/>
      <c r="Y411" s="192"/>
      <c r="Z411" s="158"/>
      <c r="AA411" s="158"/>
      <c r="AB411" s="158"/>
      <c r="AC411" s="158"/>
      <c r="AD411" s="158"/>
      <c r="AE411" s="158"/>
      <c r="AF411" s="158"/>
      <c r="AG411" s="158"/>
      <c r="AH411" s="158"/>
    </row>
    <row r="412" spans="1:34" ht="15.75" customHeight="1">
      <c r="A412" s="179"/>
      <c r="B412" s="180"/>
      <c r="C412" s="180"/>
      <c r="D412" s="179"/>
      <c r="E412" s="179"/>
      <c r="F412" s="179"/>
      <c r="G412" s="179"/>
      <c r="H412" s="181"/>
      <c r="I412" s="181"/>
      <c r="J412" s="181"/>
      <c r="K412" s="179"/>
      <c r="L412" s="179"/>
      <c r="M412" s="179"/>
      <c r="N412" s="181"/>
      <c r="O412" s="179"/>
      <c r="P412" s="179"/>
      <c r="Q412" s="179"/>
      <c r="R412" s="179"/>
      <c r="S412" s="179"/>
      <c r="T412" s="179"/>
      <c r="U412" s="179"/>
      <c r="V412" s="179"/>
      <c r="W412" s="192"/>
      <c r="X412" s="192"/>
      <c r="Y412" s="192"/>
      <c r="Z412" s="158"/>
      <c r="AA412" s="158"/>
      <c r="AB412" s="158"/>
      <c r="AC412" s="158"/>
      <c r="AD412" s="158"/>
      <c r="AE412" s="158"/>
      <c r="AF412" s="158"/>
      <c r="AG412" s="158"/>
      <c r="AH412" s="158"/>
    </row>
    <row r="413" spans="1:34" ht="15.75" customHeight="1">
      <c r="A413" s="179"/>
      <c r="B413" s="180"/>
      <c r="C413" s="180"/>
      <c r="D413" s="179"/>
      <c r="E413" s="179"/>
      <c r="F413" s="179"/>
      <c r="G413" s="179"/>
      <c r="H413" s="181"/>
      <c r="I413" s="181"/>
      <c r="J413" s="181"/>
      <c r="K413" s="179"/>
      <c r="L413" s="179"/>
      <c r="M413" s="179"/>
      <c r="N413" s="181"/>
      <c r="O413" s="179"/>
      <c r="P413" s="179"/>
      <c r="Q413" s="179"/>
      <c r="R413" s="179"/>
      <c r="S413" s="179"/>
      <c r="T413" s="179"/>
      <c r="U413" s="179"/>
      <c r="V413" s="179"/>
      <c r="W413" s="192"/>
      <c r="X413" s="192"/>
      <c r="Y413" s="192"/>
      <c r="Z413" s="158"/>
      <c r="AA413" s="158"/>
      <c r="AB413" s="158"/>
      <c r="AC413" s="158"/>
      <c r="AD413" s="158"/>
      <c r="AE413" s="158"/>
      <c r="AF413" s="158"/>
      <c r="AG413" s="158"/>
      <c r="AH413" s="158"/>
    </row>
    <row r="414" spans="1:34" ht="15.75" customHeight="1">
      <c r="A414" s="179"/>
      <c r="B414" s="180"/>
      <c r="C414" s="180"/>
      <c r="D414" s="179"/>
      <c r="E414" s="179"/>
      <c r="F414" s="179"/>
      <c r="G414" s="179"/>
      <c r="H414" s="181"/>
      <c r="I414" s="181"/>
      <c r="J414" s="181"/>
      <c r="K414" s="179"/>
      <c r="L414" s="179"/>
      <c r="M414" s="179"/>
      <c r="N414" s="181"/>
      <c r="O414" s="179"/>
      <c r="P414" s="179"/>
      <c r="Q414" s="179"/>
      <c r="R414" s="179"/>
      <c r="S414" s="179"/>
      <c r="T414" s="179"/>
      <c r="U414" s="179"/>
      <c r="V414" s="179"/>
      <c r="W414" s="192"/>
      <c r="X414" s="192"/>
      <c r="Y414" s="192"/>
      <c r="Z414" s="158"/>
      <c r="AA414" s="158"/>
      <c r="AB414" s="158"/>
      <c r="AC414" s="158"/>
      <c r="AD414" s="158"/>
      <c r="AE414" s="158"/>
      <c r="AF414" s="158"/>
      <c r="AG414" s="158"/>
      <c r="AH414" s="158"/>
    </row>
    <row r="415" spans="1:34" ht="15.75" customHeight="1">
      <c r="A415" s="179"/>
      <c r="B415" s="180"/>
      <c r="C415" s="180"/>
      <c r="D415" s="179"/>
      <c r="E415" s="179"/>
      <c r="F415" s="179"/>
      <c r="G415" s="179"/>
      <c r="H415" s="181"/>
      <c r="I415" s="181"/>
      <c r="J415" s="181"/>
      <c r="K415" s="179"/>
      <c r="L415" s="179"/>
      <c r="M415" s="179"/>
      <c r="N415" s="181"/>
      <c r="O415" s="179"/>
      <c r="P415" s="179"/>
      <c r="Q415" s="179"/>
      <c r="R415" s="179"/>
      <c r="S415" s="179"/>
      <c r="T415" s="179"/>
      <c r="U415" s="179"/>
      <c r="V415" s="179"/>
      <c r="W415" s="192"/>
      <c r="X415" s="192"/>
      <c r="Y415" s="192"/>
      <c r="Z415" s="158"/>
      <c r="AA415" s="158"/>
      <c r="AB415" s="158"/>
      <c r="AC415" s="158"/>
      <c r="AD415" s="158"/>
      <c r="AE415" s="158"/>
      <c r="AF415" s="158"/>
      <c r="AG415" s="158"/>
      <c r="AH415" s="158"/>
    </row>
    <row r="416" spans="1:34" ht="15.75" customHeight="1">
      <c r="A416" s="179"/>
      <c r="B416" s="180"/>
      <c r="C416" s="180"/>
      <c r="D416" s="179"/>
      <c r="E416" s="179"/>
      <c r="F416" s="179"/>
      <c r="G416" s="179"/>
      <c r="H416" s="181"/>
      <c r="I416" s="181"/>
      <c r="J416" s="181"/>
      <c r="K416" s="179"/>
      <c r="L416" s="179"/>
      <c r="M416" s="179"/>
      <c r="N416" s="181"/>
      <c r="O416" s="179"/>
      <c r="P416" s="179"/>
      <c r="Q416" s="179"/>
      <c r="R416" s="179"/>
      <c r="S416" s="179"/>
      <c r="T416" s="179"/>
      <c r="U416" s="179"/>
      <c r="V416" s="179"/>
      <c r="W416" s="192"/>
      <c r="X416" s="192"/>
      <c r="Y416" s="192"/>
      <c r="Z416" s="158"/>
      <c r="AA416" s="158"/>
      <c r="AB416" s="158"/>
      <c r="AC416" s="158"/>
      <c r="AD416" s="158"/>
      <c r="AE416" s="158"/>
      <c r="AF416" s="158"/>
      <c r="AG416" s="158"/>
      <c r="AH416" s="158"/>
    </row>
    <row r="417" spans="1:34" ht="15.75" customHeight="1">
      <c r="A417" s="179"/>
      <c r="B417" s="180"/>
      <c r="C417" s="180"/>
      <c r="D417" s="179"/>
      <c r="E417" s="179"/>
      <c r="F417" s="179"/>
      <c r="G417" s="179"/>
      <c r="H417" s="181"/>
      <c r="I417" s="181"/>
      <c r="J417" s="181"/>
      <c r="K417" s="179"/>
      <c r="L417" s="179"/>
      <c r="M417" s="179"/>
      <c r="N417" s="181"/>
      <c r="O417" s="179"/>
      <c r="P417" s="179"/>
      <c r="Q417" s="179"/>
      <c r="R417" s="179"/>
      <c r="S417" s="179"/>
      <c r="T417" s="179"/>
      <c r="U417" s="179"/>
      <c r="V417" s="179"/>
      <c r="W417" s="192"/>
      <c r="X417" s="192"/>
      <c r="Y417" s="192"/>
      <c r="Z417" s="158"/>
      <c r="AA417" s="158"/>
      <c r="AB417" s="158"/>
      <c r="AC417" s="158"/>
      <c r="AD417" s="158"/>
      <c r="AE417" s="158"/>
      <c r="AF417" s="158"/>
      <c r="AG417" s="158"/>
      <c r="AH417" s="158"/>
    </row>
    <row r="418" spans="1:34" ht="15.75" customHeight="1">
      <c r="A418" s="179"/>
      <c r="B418" s="180"/>
      <c r="C418" s="180"/>
      <c r="D418" s="179"/>
      <c r="E418" s="179"/>
      <c r="F418" s="179"/>
      <c r="G418" s="179"/>
      <c r="H418" s="181"/>
      <c r="I418" s="181"/>
      <c r="J418" s="181"/>
      <c r="K418" s="179"/>
      <c r="L418" s="179"/>
      <c r="M418" s="179"/>
      <c r="N418" s="181"/>
      <c r="O418" s="179"/>
      <c r="P418" s="179"/>
      <c r="Q418" s="179"/>
      <c r="R418" s="179"/>
      <c r="S418" s="179"/>
      <c r="T418" s="179"/>
      <c r="U418" s="179"/>
      <c r="V418" s="179"/>
      <c r="W418" s="192"/>
      <c r="X418" s="192"/>
      <c r="Y418" s="192"/>
      <c r="Z418" s="158"/>
      <c r="AA418" s="158"/>
      <c r="AB418" s="158"/>
      <c r="AC418" s="158"/>
      <c r="AD418" s="158"/>
      <c r="AE418" s="158"/>
      <c r="AF418" s="158"/>
      <c r="AG418" s="158"/>
      <c r="AH418" s="158"/>
    </row>
    <row r="419" spans="1:34" ht="15.75" customHeight="1">
      <c r="A419" s="179"/>
      <c r="B419" s="180"/>
      <c r="C419" s="180"/>
      <c r="D419" s="179"/>
      <c r="E419" s="179"/>
      <c r="F419" s="179"/>
      <c r="G419" s="179"/>
      <c r="H419" s="181"/>
      <c r="I419" s="181"/>
      <c r="J419" s="181"/>
      <c r="K419" s="179"/>
      <c r="L419" s="179"/>
      <c r="M419" s="179"/>
      <c r="N419" s="181"/>
      <c r="O419" s="179"/>
      <c r="P419" s="179"/>
      <c r="Q419" s="179"/>
      <c r="R419" s="179"/>
      <c r="S419" s="179"/>
      <c r="T419" s="179"/>
      <c r="U419" s="179"/>
      <c r="V419" s="179"/>
      <c r="W419" s="192"/>
      <c r="X419" s="192"/>
      <c r="Y419" s="192"/>
      <c r="Z419" s="158"/>
      <c r="AA419" s="158"/>
      <c r="AB419" s="158"/>
      <c r="AC419" s="158"/>
      <c r="AD419" s="158"/>
      <c r="AE419" s="158"/>
      <c r="AF419" s="158"/>
      <c r="AG419" s="158"/>
      <c r="AH419" s="158"/>
    </row>
    <row r="420" spans="1:34" ht="15.75" customHeight="1">
      <c r="A420" s="179"/>
      <c r="B420" s="180"/>
      <c r="C420" s="180"/>
      <c r="D420" s="179"/>
      <c r="E420" s="179"/>
      <c r="F420" s="179"/>
      <c r="G420" s="179"/>
      <c r="H420" s="181"/>
      <c r="I420" s="181"/>
      <c r="J420" s="181"/>
      <c r="K420" s="179"/>
      <c r="L420" s="179"/>
      <c r="M420" s="179"/>
      <c r="N420" s="181"/>
      <c r="O420" s="179"/>
      <c r="P420" s="179"/>
      <c r="Q420" s="179"/>
      <c r="R420" s="179"/>
      <c r="S420" s="179"/>
      <c r="T420" s="179"/>
      <c r="U420" s="179"/>
      <c r="V420" s="179"/>
      <c r="W420" s="192"/>
      <c r="X420" s="192"/>
      <c r="Y420" s="192"/>
      <c r="Z420" s="158"/>
      <c r="AA420" s="158"/>
      <c r="AB420" s="158"/>
      <c r="AC420" s="158"/>
      <c r="AD420" s="158"/>
      <c r="AE420" s="158"/>
      <c r="AF420" s="158"/>
      <c r="AG420" s="158"/>
      <c r="AH420" s="158"/>
    </row>
    <row r="421" spans="1:34" ht="15.75" customHeight="1">
      <c r="A421" s="179"/>
      <c r="B421" s="180"/>
      <c r="C421" s="180"/>
      <c r="D421" s="179"/>
      <c r="E421" s="179"/>
      <c r="F421" s="179"/>
      <c r="G421" s="179"/>
      <c r="H421" s="181"/>
      <c r="I421" s="181"/>
      <c r="J421" s="181"/>
      <c r="K421" s="179"/>
      <c r="L421" s="179"/>
      <c r="M421" s="179"/>
      <c r="N421" s="181"/>
      <c r="O421" s="179"/>
      <c r="P421" s="179"/>
      <c r="Q421" s="179"/>
      <c r="R421" s="179"/>
      <c r="S421" s="179"/>
      <c r="T421" s="179"/>
      <c r="U421" s="179"/>
      <c r="V421" s="179"/>
      <c r="W421" s="192"/>
      <c r="X421" s="192"/>
      <c r="Y421" s="192"/>
      <c r="Z421" s="158"/>
      <c r="AA421" s="158"/>
      <c r="AB421" s="158"/>
      <c r="AC421" s="158"/>
      <c r="AD421" s="158"/>
      <c r="AE421" s="158"/>
      <c r="AF421" s="158"/>
      <c r="AG421" s="158"/>
      <c r="AH421" s="158"/>
    </row>
    <row r="422" spans="1:34" ht="15.75" customHeight="1">
      <c r="A422" s="179"/>
      <c r="B422" s="180"/>
      <c r="C422" s="180"/>
      <c r="D422" s="179"/>
      <c r="E422" s="179"/>
      <c r="F422" s="179"/>
      <c r="G422" s="179"/>
      <c r="H422" s="181"/>
      <c r="I422" s="181"/>
      <c r="J422" s="181"/>
      <c r="K422" s="179"/>
      <c r="L422" s="179"/>
      <c r="M422" s="179"/>
      <c r="N422" s="181"/>
      <c r="O422" s="179"/>
      <c r="P422" s="179"/>
      <c r="Q422" s="179"/>
      <c r="R422" s="179"/>
      <c r="S422" s="179"/>
      <c r="T422" s="179"/>
      <c r="U422" s="179"/>
      <c r="V422" s="179"/>
      <c r="W422" s="192"/>
      <c r="X422" s="192"/>
      <c r="Y422" s="192"/>
      <c r="Z422" s="158"/>
      <c r="AA422" s="158"/>
      <c r="AB422" s="158"/>
      <c r="AC422" s="158"/>
      <c r="AD422" s="158"/>
      <c r="AE422" s="158"/>
      <c r="AF422" s="158"/>
      <c r="AG422" s="158"/>
      <c r="AH422" s="158"/>
    </row>
    <row r="423" spans="1:34" ht="15.75" customHeight="1">
      <c r="A423" s="179"/>
      <c r="B423" s="180"/>
      <c r="C423" s="180"/>
      <c r="D423" s="179"/>
      <c r="E423" s="179"/>
      <c r="F423" s="179"/>
      <c r="G423" s="179"/>
      <c r="H423" s="181"/>
      <c r="I423" s="181"/>
      <c r="J423" s="181"/>
      <c r="K423" s="179"/>
      <c r="L423" s="179"/>
      <c r="M423" s="179"/>
      <c r="N423" s="181"/>
      <c r="O423" s="179"/>
      <c r="P423" s="179"/>
      <c r="Q423" s="179"/>
      <c r="R423" s="179"/>
      <c r="S423" s="179"/>
      <c r="T423" s="179"/>
      <c r="U423" s="179"/>
      <c r="V423" s="179"/>
      <c r="W423" s="192"/>
      <c r="X423" s="192"/>
      <c r="Y423" s="192"/>
      <c r="Z423" s="158"/>
      <c r="AA423" s="158"/>
      <c r="AB423" s="158"/>
      <c r="AC423" s="158"/>
      <c r="AD423" s="158"/>
      <c r="AE423" s="158"/>
      <c r="AF423" s="158"/>
      <c r="AG423" s="158"/>
      <c r="AH423" s="158"/>
    </row>
    <row r="424" spans="1:34" ht="15.75" customHeight="1">
      <c r="A424" s="179"/>
      <c r="B424" s="180"/>
      <c r="C424" s="180"/>
      <c r="D424" s="179"/>
      <c r="E424" s="179"/>
      <c r="F424" s="179"/>
      <c r="G424" s="179"/>
      <c r="H424" s="181"/>
      <c r="I424" s="181"/>
      <c r="J424" s="181"/>
      <c r="K424" s="179"/>
      <c r="L424" s="179"/>
      <c r="M424" s="179"/>
      <c r="N424" s="181"/>
      <c r="O424" s="179"/>
      <c r="P424" s="179"/>
      <c r="Q424" s="179"/>
      <c r="R424" s="179"/>
      <c r="S424" s="179"/>
      <c r="T424" s="179"/>
      <c r="U424" s="179"/>
      <c r="V424" s="179"/>
      <c r="W424" s="192"/>
      <c r="X424" s="192"/>
      <c r="Y424" s="192"/>
      <c r="Z424" s="158"/>
      <c r="AA424" s="158"/>
      <c r="AB424" s="158"/>
      <c r="AC424" s="158"/>
      <c r="AD424" s="158"/>
      <c r="AE424" s="158"/>
      <c r="AF424" s="158"/>
      <c r="AG424" s="158"/>
      <c r="AH424" s="158"/>
    </row>
    <row r="425" spans="1:34" ht="15.75" customHeight="1">
      <c r="A425" s="179"/>
      <c r="B425" s="180"/>
      <c r="C425" s="180"/>
      <c r="D425" s="179"/>
      <c r="E425" s="179"/>
      <c r="F425" s="179"/>
      <c r="G425" s="179"/>
      <c r="H425" s="181"/>
      <c r="I425" s="181"/>
      <c r="J425" s="181"/>
      <c r="K425" s="179"/>
      <c r="L425" s="179"/>
      <c r="M425" s="179"/>
      <c r="N425" s="181"/>
      <c r="O425" s="179"/>
      <c r="P425" s="179"/>
      <c r="Q425" s="179"/>
      <c r="R425" s="179"/>
      <c r="S425" s="179"/>
      <c r="T425" s="179"/>
      <c r="U425" s="179"/>
      <c r="V425" s="179"/>
      <c r="W425" s="192"/>
      <c r="X425" s="192"/>
      <c r="Y425" s="192"/>
      <c r="Z425" s="158"/>
      <c r="AA425" s="158"/>
      <c r="AB425" s="158"/>
      <c r="AC425" s="158"/>
      <c r="AD425" s="158"/>
      <c r="AE425" s="158"/>
      <c r="AF425" s="158"/>
      <c r="AG425" s="158"/>
      <c r="AH425" s="158"/>
    </row>
    <row r="426" spans="1:34" ht="15.75" customHeight="1">
      <c r="A426" s="179"/>
      <c r="B426" s="180"/>
      <c r="C426" s="180"/>
      <c r="D426" s="179"/>
      <c r="E426" s="179"/>
      <c r="F426" s="179"/>
      <c r="G426" s="179"/>
      <c r="H426" s="181"/>
      <c r="I426" s="181"/>
      <c r="J426" s="181"/>
      <c r="K426" s="179"/>
      <c r="L426" s="179"/>
      <c r="M426" s="179"/>
      <c r="N426" s="181"/>
      <c r="O426" s="179"/>
      <c r="P426" s="179"/>
      <c r="Q426" s="179"/>
      <c r="R426" s="179"/>
      <c r="S426" s="179"/>
      <c r="T426" s="179"/>
      <c r="U426" s="179"/>
      <c r="V426" s="179"/>
      <c r="W426" s="192"/>
      <c r="X426" s="192"/>
      <c r="Y426" s="192"/>
      <c r="Z426" s="158"/>
      <c r="AA426" s="158"/>
      <c r="AB426" s="158"/>
      <c r="AC426" s="158"/>
      <c r="AD426" s="158"/>
      <c r="AE426" s="158"/>
      <c r="AF426" s="158"/>
      <c r="AG426" s="158"/>
      <c r="AH426" s="158"/>
    </row>
    <row r="427" spans="1:34" ht="15.75" customHeight="1">
      <c r="A427" s="179"/>
      <c r="B427" s="180"/>
      <c r="C427" s="180"/>
      <c r="D427" s="179"/>
      <c r="E427" s="179"/>
      <c r="F427" s="179"/>
      <c r="G427" s="179"/>
      <c r="H427" s="181"/>
      <c r="I427" s="181"/>
      <c r="J427" s="181"/>
      <c r="K427" s="179"/>
      <c r="L427" s="179"/>
      <c r="M427" s="179"/>
      <c r="N427" s="181"/>
      <c r="O427" s="179"/>
      <c r="P427" s="179"/>
      <c r="Q427" s="179"/>
      <c r="R427" s="179"/>
      <c r="S427" s="179"/>
      <c r="T427" s="179"/>
      <c r="U427" s="179"/>
      <c r="V427" s="179"/>
      <c r="W427" s="192"/>
      <c r="X427" s="192"/>
      <c r="Y427" s="192"/>
      <c r="Z427" s="158"/>
      <c r="AA427" s="158"/>
      <c r="AB427" s="158"/>
      <c r="AC427" s="158"/>
      <c r="AD427" s="158"/>
      <c r="AE427" s="158"/>
      <c r="AF427" s="158"/>
      <c r="AG427" s="158"/>
      <c r="AH427" s="158"/>
    </row>
    <row r="428" spans="1:34" ht="15.75" customHeight="1">
      <c r="A428" s="179"/>
      <c r="B428" s="180"/>
      <c r="C428" s="180"/>
      <c r="D428" s="179"/>
      <c r="E428" s="179"/>
      <c r="F428" s="179"/>
      <c r="G428" s="179"/>
      <c r="H428" s="181"/>
      <c r="I428" s="181"/>
      <c r="J428" s="181"/>
      <c r="K428" s="179"/>
      <c r="L428" s="179"/>
      <c r="M428" s="179"/>
      <c r="N428" s="181"/>
      <c r="O428" s="179"/>
      <c r="P428" s="179"/>
      <c r="Q428" s="179"/>
      <c r="R428" s="179"/>
      <c r="S428" s="179"/>
      <c r="T428" s="179"/>
      <c r="U428" s="179"/>
      <c r="V428" s="179"/>
      <c r="W428" s="192"/>
      <c r="X428" s="192"/>
      <c r="Y428" s="192"/>
      <c r="Z428" s="158"/>
      <c r="AA428" s="158"/>
      <c r="AB428" s="158"/>
      <c r="AC428" s="158"/>
      <c r="AD428" s="158"/>
      <c r="AE428" s="158"/>
      <c r="AF428" s="158"/>
      <c r="AG428" s="158"/>
      <c r="AH428" s="158"/>
    </row>
    <row r="429" spans="1:34" ht="15.75" customHeight="1">
      <c r="A429" s="179"/>
      <c r="B429" s="180"/>
      <c r="C429" s="180"/>
      <c r="D429" s="179"/>
      <c r="E429" s="179"/>
      <c r="F429" s="179"/>
      <c r="G429" s="179"/>
      <c r="H429" s="181"/>
      <c r="I429" s="181"/>
      <c r="J429" s="181"/>
      <c r="K429" s="179"/>
      <c r="L429" s="179"/>
      <c r="M429" s="179"/>
      <c r="N429" s="181"/>
      <c r="O429" s="179"/>
      <c r="P429" s="179"/>
      <c r="Q429" s="179"/>
      <c r="R429" s="179"/>
      <c r="S429" s="179"/>
      <c r="T429" s="179"/>
      <c r="U429" s="179"/>
      <c r="V429" s="179"/>
      <c r="W429" s="192"/>
      <c r="X429" s="192"/>
      <c r="Y429" s="192"/>
      <c r="Z429" s="158"/>
      <c r="AA429" s="158"/>
      <c r="AB429" s="158"/>
      <c r="AC429" s="158"/>
      <c r="AD429" s="158"/>
      <c r="AE429" s="158"/>
      <c r="AF429" s="158"/>
      <c r="AG429" s="158"/>
      <c r="AH429" s="158"/>
    </row>
    <row r="430" spans="1:34" ht="15.75" customHeight="1">
      <c r="A430" s="179"/>
      <c r="B430" s="180"/>
      <c r="C430" s="180"/>
      <c r="D430" s="179"/>
      <c r="E430" s="179"/>
      <c r="F430" s="179"/>
      <c r="G430" s="179"/>
      <c r="H430" s="181"/>
      <c r="I430" s="181"/>
      <c r="J430" s="181"/>
      <c r="K430" s="179"/>
      <c r="L430" s="179"/>
      <c r="M430" s="179"/>
      <c r="N430" s="181"/>
      <c r="O430" s="179"/>
      <c r="P430" s="179"/>
      <c r="Q430" s="179"/>
      <c r="R430" s="179"/>
      <c r="S430" s="179"/>
      <c r="T430" s="179"/>
      <c r="U430" s="179"/>
      <c r="V430" s="179"/>
      <c r="W430" s="192"/>
      <c r="X430" s="192"/>
      <c r="Y430" s="192"/>
      <c r="Z430" s="158"/>
      <c r="AA430" s="158"/>
      <c r="AB430" s="158"/>
      <c r="AC430" s="158"/>
      <c r="AD430" s="158"/>
      <c r="AE430" s="158"/>
      <c r="AF430" s="158"/>
      <c r="AG430" s="158"/>
      <c r="AH430" s="158"/>
    </row>
    <row r="431" spans="1:34" ht="15.75" customHeight="1">
      <c r="A431" s="179"/>
      <c r="B431" s="180"/>
      <c r="C431" s="180"/>
      <c r="D431" s="179"/>
      <c r="E431" s="179"/>
      <c r="F431" s="179"/>
      <c r="G431" s="179"/>
      <c r="H431" s="181"/>
      <c r="I431" s="181"/>
      <c r="J431" s="181"/>
      <c r="K431" s="179"/>
      <c r="L431" s="179"/>
      <c r="M431" s="179"/>
      <c r="N431" s="181"/>
      <c r="O431" s="179"/>
      <c r="P431" s="179"/>
      <c r="Q431" s="179"/>
      <c r="R431" s="179"/>
      <c r="S431" s="179"/>
      <c r="T431" s="179"/>
      <c r="U431" s="179"/>
      <c r="V431" s="179"/>
      <c r="W431" s="192"/>
      <c r="X431" s="192"/>
      <c r="Y431" s="192"/>
      <c r="Z431" s="158"/>
      <c r="AA431" s="158"/>
      <c r="AB431" s="158"/>
      <c r="AC431" s="158"/>
      <c r="AD431" s="158"/>
      <c r="AE431" s="158"/>
      <c r="AF431" s="158"/>
      <c r="AG431" s="158"/>
      <c r="AH431" s="158"/>
    </row>
    <row r="432" spans="1:34" ht="15.75" customHeight="1">
      <c r="A432" s="179"/>
      <c r="B432" s="180"/>
      <c r="C432" s="180"/>
      <c r="D432" s="179"/>
      <c r="E432" s="179"/>
      <c r="F432" s="179"/>
      <c r="G432" s="179"/>
      <c r="H432" s="181"/>
      <c r="I432" s="181"/>
      <c r="J432" s="181"/>
      <c r="K432" s="179"/>
      <c r="L432" s="179"/>
      <c r="M432" s="179"/>
      <c r="N432" s="181"/>
      <c r="O432" s="179"/>
      <c r="P432" s="179"/>
      <c r="Q432" s="179"/>
      <c r="R432" s="179"/>
      <c r="S432" s="179"/>
      <c r="T432" s="179"/>
      <c r="U432" s="179"/>
      <c r="V432" s="179"/>
      <c r="W432" s="192"/>
      <c r="X432" s="192"/>
      <c r="Y432" s="192"/>
      <c r="Z432" s="158"/>
      <c r="AA432" s="158"/>
      <c r="AB432" s="158"/>
      <c r="AC432" s="158"/>
      <c r="AD432" s="158"/>
      <c r="AE432" s="158"/>
      <c r="AF432" s="158"/>
      <c r="AG432" s="158"/>
      <c r="AH432" s="158"/>
    </row>
    <row r="433" spans="1:34" ht="15.75" customHeight="1">
      <c r="A433" s="179"/>
      <c r="B433" s="180"/>
      <c r="C433" s="180"/>
      <c r="D433" s="179"/>
      <c r="E433" s="179"/>
      <c r="F433" s="179"/>
      <c r="G433" s="179"/>
      <c r="H433" s="181"/>
      <c r="I433" s="181"/>
      <c r="J433" s="181"/>
      <c r="K433" s="179"/>
      <c r="L433" s="179"/>
      <c r="M433" s="179"/>
      <c r="N433" s="181"/>
      <c r="O433" s="179"/>
      <c r="P433" s="179"/>
      <c r="Q433" s="179"/>
      <c r="R433" s="179"/>
      <c r="S433" s="179"/>
      <c r="T433" s="179"/>
      <c r="U433" s="179"/>
      <c r="V433" s="179"/>
      <c r="W433" s="192"/>
      <c r="X433" s="192"/>
      <c r="Y433" s="192"/>
      <c r="Z433" s="158"/>
      <c r="AA433" s="158"/>
      <c r="AB433" s="158"/>
      <c r="AC433" s="158"/>
      <c r="AD433" s="158"/>
      <c r="AE433" s="158"/>
      <c r="AF433" s="158"/>
      <c r="AG433" s="158"/>
      <c r="AH433" s="158"/>
    </row>
    <row r="434" spans="1:34" ht="15.75" customHeight="1">
      <c r="A434" s="179"/>
      <c r="B434" s="180"/>
      <c r="C434" s="180"/>
      <c r="D434" s="179"/>
      <c r="E434" s="179"/>
      <c r="F434" s="179"/>
      <c r="G434" s="179"/>
      <c r="H434" s="181"/>
      <c r="I434" s="181"/>
      <c r="J434" s="181"/>
      <c r="K434" s="179"/>
      <c r="L434" s="179"/>
      <c r="M434" s="179"/>
      <c r="N434" s="181"/>
      <c r="O434" s="179"/>
      <c r="P434" s="179"/>
      <c r="Q434" s="179"/>
      <c r="R434" s="179"/>
      <c r="S434" s="179"/>
      <c r="T434" s="179"/>
      <c r="U434" s="179"/>
      <c r="V434" s="179"/>
      <c r="W434" s="192"/>
      <c r="X434" s="192"/>
      <c r="Y434" s="192"/>
      <c r="Z434" s="158"/>
      <c r="AA434" s="158"/>
      <c r="AB434" s="158"/>
      <c r="AC434" s="158"/>
      <c r="AD434" s="158"/>
      <c r="AE434" s="158"/>
      <c r="AF434" s="158"/>
      <c r="AG434" s="158"/>
      <c r="AH434" s="158"/>
    </row>
    <row r="435" spans="1:34" ht="15.75" customHeight="1">
      <c r="A435" s="179"/>
      <c r="B435" s="180"/>
      <c r="C435" s="180"/>
      <c r="D435" s="179"/>
      <c r="E435" s="179"/>
      <c r="F435" s="179"/>
      <c r="G435" s="179"/>
      <c r="H435" s="181"/>
      <c r="I435" s="181"/>
      <c r="J435" s="181"/>
      <c r="K435" s="179"/>
      <c r="L435" s="179"/>
      <c r="M435" s="179"/>
      <c r="N435" s="181"/>
      <c r="O435" s="179"/>
      <c r="P435" s="179"/>
      <c r="Q435" s="179"/>
      <c r="R435" s="179"/>
      <c r="S435" s="179"/>
      <c r="T435" s="179"/>
      <c r="U435" s="179"/>
      <c r="V435" s="179"/>
      <c r="W435" s="192"/>
      <c r="X435" s="192"/>
      <c r="Y435" s="192"/>
      <c r="Z435" s="158"/>
      <c r="AA435" s="158"/>
      <c r="AB435" s="158"/>
      <c r="AC435" s="158"/>
      <c r="AD435" s="158"/>
      <c r="AE435" s="158"/>
      <c r="AF435" s="158"/>
      <c r="AG435" s="158"/>
      <c r="AH435" s="158"/>
    </row>
    <row r="436" spans="1:34" ht="15.75" customHeight="1">
      <c r="A436" s="179"/>
      <c r="B436" s="180"/>
      <c r="C436" s="180"/>
      <c r="D436" s="179"/>
      <c r="E436" s="179"/>
      <c r="F436" s="179"/>
      <c r="G436" s="179"/>
      <c r="H436" s="181"/>
      <c r="I436" s="181"/>
      <c r="J436" s="181"/>
      <c r="K436" s="179"/>
      <c r="L436" s="179"/>
      <c r="M436" s="179"/>
      <c r="N436" s="181"/>
      <c r="O436" s="179"/>
      <c r="P436" s="179"/>
      <c r="Q436" s="179"/>
      <c r="R436" s="179"/>
      <c r="S436" s="179"/>
      <c r="T436" s="179"/>
      <c r="U436" s="179"/>
      <c r="V436" s="179"/>
      <c r="W436" s="192"/>
      <c r="X436" s="192"/>
      <c r="Y436" s="192"/>
      <c r="Z436" s="158"/>
      <c r="AA436" s="158"/>
      <c r="AB436" s="158"/>
      <c r="AC436" s="158"/>
      <c r="AD436" s="158"/>
      <c r="AE436" s="158"/>
      <c r="AF436" s="158"/>
      <c r="AG436" s="158"/>
      <c r="AH436" s="158"/>
    </row>
    <row r="437" spans="1:34" ht="15.75" customHeight="1">
      <c r="A437" s="179"/>
      <c r="B437" s="180"/>
      <c r="C437" s="180"/>
      <c r="D437" s="179"/>
      <c r="E437" s="179"/>
      <c r="F437" s="179"/>
      <c r="G437" s="179"/>
      <c r="H437" s="181"/>
      <c r="I437" s="181"/>
      <c r="J437" s="181"/>
      <c r="K437" s="179"/>
      <c r="L437" s="179"/>
      <c r="M437" s="179"/>
      <c r="N437" s="181"/>
      <c r="O437" s="179"/>
      <c r="P437" s="179"/>
      <c r="Q437" s="179"/>
      <c r="R437" s="179"/>
      <c r="S437" s="179"/>
      <c r="T437" s="179"/>
      <c r="U437" s="179"/>
      <c r="V437" s="179"/>
      <c r="W437" s="192"/>
      <c r="X437" s="192"/>
      <c r="Y437" s="192"/>
      <c r="Z437" s="158"/>
      <c r="AA437" s="158"/>
      <c r="AB437" s="158"/>
      <c r="AC437" s="158"/>
      <c r="AD437" s="158"/>
      <c r="AE437" s="158"/>
      <c r="AF437" s="158"/>
      <c r="AG437" s="158"/>
      <c r="AH437" s="158"/>
    </row>
    <row r="438" spans="1:34" ht="15.75" customHeight="1">
      <c r="A438" s="179"/>
      <c r="B438" s="180"/>
      <c r="C438" s="180"/>
      <c r="D438" s="179"/>
      <c r="E438" s="179"/>
      <c r="F438" s="179"/>
      <c r="G438" s="179"/>
      <c r="H438" s="181"/>
      <c r="I438" s="181"/>
      <c r="J438" s="181"/>
      <c r="K438" s="179"/>
      <c r="L438" s="179"/>
      <c r="M438" s="179"/>
      <c r="N438" s="181"/>
      <c r="O438" s="179"/>
      <c r="P438" s="179"/>
      <c r="Q438" s="179"/>
      <c r="R438" s="179"/>
      <c r="S438" s="179"/>
      <c r="T438" s="179"/>
      <c r="U438" s="179"/>
      <c r="V438" s="179"/>
      <c r="W438" s="192"/>
      <c r="X438" s="192"/>
      <c r="Y438" s="192"/>
      <c r="Z438" s="158"/>
      <c r="AA438" s="158"/>
      <c r="AB438" s="158"/>
      <c r="AC438" s="158"/>
      <c r="AD438" s="158"/>
      <c r="AE438" s="158"/>
      <c r="AF438" s="158"/>
      <c r="AG438" s="158"/>
      <c r="AH438" s="158"/>
    </row>
    <row r="439" spans="1:34" ht="15.75" customHeight="1">
      <c r="A439" s="179"/>
      <c r="B439" s="180"/>
      <c r="C439" s="180"/>
      <c r="D439" s="179"/>
      <c r="E439" s="179"/>
      <c r="F439" s="179"/>
      <c r="G439" s="179"/>
      <c r="H439" s="181"/>
      <c r="I439" s="181"/>
      <c r="J439" s="181"/>
      <c r="K439" s="179"/>
      <c r="L439" s="179"/>
      <c r="M439" s="179"/>
      <c r="N439" s="181"/>
      <c r="O439" s="179"/>
      <c r="P439" s="179"/>
      <c r="Q439" s="179"/>
      <c r="R439" s="179"/>
      <c r="S439" s="179"/>
      <c r="T439" s="179"/>
      <c r="U439" s="179"/>
      <c r="V439" s="179"/>
      <c r="W439" s="192"/>
      <c r="X439" s="192"/>
      <c r="Y439" s="192"/>
      <c r="Z439" s="158"/>
      <c r="AA439" s="158"/>
      <c r="AB439" s="158"/>
      <c r="AC439" s="158"/>
      <c r="AD439" s="158"/>
      <c r="AE439" s="158"/>
      <c r="AF439" s="158"/>
      <c r="AG439" s="158"/>
      <c r="AH439" s="158"/>
    </row>
    <row r="440" spans="1:34" ht="15.75" customHeight="1">
      <c r="A440" s="179"/>
      <c r="B440" s="180"/>
      <c r="C440" s="180"/>
      <c r="D440" s="179"/>
      <c r="E440" s="179"/>
      <c r="F440" s="179"/>
      <c r="G440" s="179"/>
      <c r="H440" s="181"/>
      <c r="I440" s="181"/>
      <c r="J440" s="181"/>
      <c r="K440" s="179"/>
      <c r="L440" s="179"/>
      <c r="M440" s="179"/>
      <c r="N440" s="181"/>
      <c r="O440" s="179"/>
      <c r="P440" s="179"/>
      <c r="Q440" s="179"/>
      <c r="R440" s="179"/>
      <c r="S440" s="179"/>
      <c r="T440" s="179"/>
      <c r="U440" s="179"/>
      <c r="V440" s="179"/>
      <c r="W440" s="192"/>
      <c r="X440" s="192"/>
      <c r="Y440" s="192"/>
      <c r="Z440" s="158"/>
      <c r="AA440" s="158"/>
      <c r="AB440" s="158"/>
      <c r="AC440" s="158"/>
      <c r="AD440" s="158"/>
      <c r="AE440" s="158"/>
      <c r="AF440" s="158"/>
      <c r="AG440" s="158"/>
      <c r="AH440" s="158"/>
    </row>
    <row r="441" spans="1:34" ht="15.75" customHeight="1">
      <c r="A441" s="179"/>
      <c r="B441" s="180"/>
      <c r="C441" s="180"/>
      <c r="D441" s="179"/>
      <c r="E441" s="179"/>
      <c r="F441" s="179"/>
      <c r="G441" s="179"/>
      <c r="H441" s="181"/>
      <c r="I441" s="181"/>
      <c r="J441" s="181"/>
      <c r="K441" s="179"/>
      <c r="L441" s="179"/>
      <c r="M441" s="179"/>
      <c r="N441" s="181"/>
      <c r="O441" s="179"/>
      <c r="P441" s="179"/>
      <c r="Q441" s="179"/>
      <c r="R441" s="179"/>
      <c r="S441" s="179"/>
      <c r="T441" s="179"/>
      <c r="U441" s="179"/>
      <c r="V441" s="179"/>
      <c r="W441" s="192"/>
      <c r="X441" s="192"/>
      <c r="Y441" s="192"/>
      <c r="Z441" s="158"/>
      <c r="AA441" s="158"/>
      <c r="AB441" s="158"/>
      <c r="AC441" s="158"/>
      <c r="AD441" s="158"/>
      <c r="AE441" s="158"/>
      <c r="AF441" s="158"/>
      <c r="AG441" s="158"/>
      <c r="AH441" s="158"/>
    </row>
    <row r="442" spans="1:34" ht="15.75" customHeight="1">
      <c r="A442" s="179"/>
      <c r="B442" s="180"/>
      <c r="C442" s="180"/>
      <c r="D442" s="179"/>
      <c r="E442" s="179"/>
      <c r="F442" s="179"/>
      <c r="G442" s="179"/>
      <c r="H442" s="181"/>
      <c r="I442" s="181"/>
      <c r="J442" s="181"/>
      <c r="K442" s="179"/>
      <c r="L442" s="179"/>
      <c r="M442" s="179"/>
      <c r="N442" s="181"/>
      <c r="O442" s="179"/>
      <c r="P442" s="179"/>
      <c r="Q442" s="179"/>
      <c r="R442" s="179"/>
      <c r="S442" s="179"/>
      <c r="T442" s="179"/>
      <c r="U442" s="179"/>
      <c r="V442" s="179"/>
      <c r="W442" s="192"/>
      <c r="X442" s="192"/>
      <c r="Y442" s="192"/>
      <c r="Z442" s="158"/>
      <c r="AA442" s="158"/>
      <c r="AB442" s="158"/>
      <c r="AC442" s="158"/>
      <c r="AD442" s="158"/>
      <c r="AE442" s="158"/>
      <c r="AF442" s="158"/>
      <c r="AG442" s="158"/>
      <c r="AH442" s="158"/>
    </row>
    <row r="443" spans="1:34" ht="15.75" customHeight="1">
      <c r="A443" s="179"/>
      <c r="B443" s="180"/>
      <c r="C443" s="180"/>
      <c r="D443" s="179"/>
      <c r="E443" s="179"/>
      <c r="F443" s="179"/>
      <c r="G443" s="179"/>
      <c r="H443" s="181"/>
      <c r="I443" s="181"/>
      <c r="J443" s="181"/>
      <c r="K443" s="179"/>
      <c r="L443" s="179"/>
      <c r="M443" s="179"/>
      <c r="N443" s="181"/>
      <c r="O443" s="179"/>
      <c r="P443" s="179"/>
      <c r="Q443" s="179"/>
      <c r="R443" s="179"/>
      <c r="S443" s="179"/>
      <c r="T443" s="179"/>
      <c r="U443" s="179"/>
      <c r="V443" s="179"/>
      <c r="W443" s="192"/>
      <c r="X443" s="192"/>
      <c r="Y443" s="192"/>
      <c r="Z443" s="158"/>
      <c r="AA443" s="158"/>
      <c r="AB443" s="158"/>
      <c r="AC443" s="158"/>
      <c r="AD443" s="158"/>
      <c r="AE443" s="158"/>
      <c r="AF443" s="158"/>
      <c r="AG443" s="158"/>
      <c r="AH443" s="158"/>
    </row>
    <row r="444" spans="1:34" ht="15.75" customHeight="1">
      <c r="A444" s="179"/>
      <c r="B444" s="180"/>
      <c r="C444" s="180"/>
      <c r="D444" s="179"/>
      <c r="E444" s="179"/>
      <c r="F444" s="179"/>
      <c r="G444" s="179"/>
      <c r="H444" s="181"/>
      <c r="I444" s="181"/>
      <c r="J444" s="181"/>
      <c r="K444" s="179"/>
      <c r="L444" s="179"/>
      <c r="M444" s="179"/>
      <c r="N444" s="181"/>
      <c r="O444" s="179"/>
      <c r="P444" s="179"/>
      <c r="Q444" s="179"/>
      <c r="R444" s="179"/>
      <c r="S444" s="179"/>
      <c r="T444" s="179"/>
      <c r="U444" s="179"/>
      <c r="V444" s="179"/>
      <c r="W444" s="192"/>
      <c r="X444" s="192"/>
      <c r="Y444" s="192"/>
      <c r="Z444" s="158"/>
      <c r="AA444" s="158"/>
      <c r="AB444" s="158"/>
      <c r="AC444" s="158"/>
      <c r="AD444" s="158"/>
      <c r="AE444" s="158"/>
      <c r="AF444" s="158"/>
      <c r="AG444" s="158"/>
      <c r="AH444" s="158"/>
    </row>
    <row r="445" spans="1:34" ht="15.75" customHeight="1">
      <c r="A445" s="179"/>
      <c r="B445" s="180"/>
      <c r="C445" s="180"/>
      <c r="D445" s="179"/>
      <c r="E445" s="179"/>
      <c r="F445" s="179"/>
      <c r="G445" s="179"/>
      <c r="H445" s="181"/>
      <c r="I445" s="181"/>
      <c r="J445" s="181"/>
      <c r="K445" s="179"/>
      <c r="L445" s="179"/>
      <c r="M445" s="179"/>
      <c r="N445" s="181"/>
      <c r="O445" s="179"/>
      <c r="P445" s="179"/>
      <c r="Q445" s="179"/>
      <c r="R445" s="179"/>
      <c r="S445" s="179"/>
      <c r="T445" s="179"/>
      <c r="U445" s="179"/>
      <c r="V445" s="179"/>
      <c r="W445" s="192"/>
      <c r="X445" s="192"/>
      <c r="Y445" s="192"/>
      <c r="Z445" s="158"/>
      <c r="AA445" s="158"/>
      <c r="AB445" s="158"/>
      <c r="AC445" s="158"/>
      <c r="AD445" s="158"/>
      <c r="AE445" s="158"/>
      <c r="AF445" s="158"/>
      <c r="AG445" s="158"/>
      <c r="AH445" s="158"/>
    </row>
    <row r="446" spans="1:34" ht="15.75" customHeight="1">
      <c r="A446" s="179"/>
      <c r="B446" s="180"/>
      <c r="C446" s="180"/>
      <c r="D446" s="179"/>
      <c r="E446" s="179"/>
      <c r="F446" s="179"/>
      <c r="G446" s="179"/>
      <c r="H446" s="181"/>
      <c r="I446" s="181"/>
      <c r="J446" s="181"/>
      <c r="K446" s="179"/>
      <c r="L446" s="179"/>
      <c r="M446" s="179"/>
      <c r="N446" s="181"/>
      <c r="O446" s="179"/>
      <c r="P446" s="179"/>
      <c r="Q446" s="179"/>
      <c r="R446" s="179"/>
      <c r="S446" s="179"/>
      <c r="T446" s="179"/>
      <c r="U446" s="179"/>
      <c r="V446" s="179"/>
      <c r="W446" s="192"/>
      <c r="X446" s="192"/>
      <c r="Y446" s="192"/>
      <c r="Z446" s="158"/>
      <c r="AA446" s="158"/>
      <c r="AB446" s="158"/>
      <c r="AC446" s="158"/>
      <c r="AD446" s="158"/>
      <c r="AE446" s="158"/>
      <c r="AF446" s="158"/>
      <c r="AG446" s="158"/>
      <c r="AH446" s="158"/>
    </row>
    <row r="447" spans="1:34" ht="15.75" customHeight="1">
      <c r="A447" s="179"/>
      <c r="B447" s="180"/>
      <c r="C447" s="180"/>
      <c r="D447" s="179"/>
      <c r="E447" s="179"/>
      <c r="F447" s="179"/>
      <c r="G447" s="179"/>
      <c r="H447" s="181"/>
      <c r="I447" s="181"/>
      <c r="J447" s="181"/>
      <c r="K447" s="179"/>
      <c r="L447" s="179"/>
      <c r="M447" s="179"/>
      <c r="N447" s="181"/>
      <c r="O447" s="179"/>
      <c r="P447" s="179"/>
      <c r="Q447" s="179"/>
      <c r="R447" s="179"/>
      <c r="S447" s="179"/>
      <c r="T447" s="179"/>
      <c r="U447" s="179"/>
      <c r="V447" s="179"/>
      <c r="W447" s="192"/>
      <c r="X447" s="192"/>
      <c r="Y447" s="192"/>
      <c r="Z447" s="158"/>
      <c r="AA447" s="158"/>
      <c r="AB447" s="158"/>
      <c r="AC447" s="158"/>
      <c r="AD447" s="158"/>
      <c r="AE447" s="158"/>
      <c r="AF447" s="158"/>
      <c r="AG447" s="158"/>
      <c r="AH447" s="158"/>
    </row>
    <row r="448" spans="1:34" ht="15.75" customHeight="1">
      <c r="A448" s="179"/>
      <c r="B448" s="180"/>
      <c r="C448" s="180"/>
      <c r="D448" s="179"/>
      <c r="E448" s="179"/>
      <c r="F448" s="179"/>
      <c r="G448" s="179"/>
      <c r="H448" s="181"/>
      <c r="I448" s="181"/>
      <c r="J448" s="181"/>
      <c r="K448" s="179"/>
      <c r="L448" s="179"/>
      <c r="M448" s="179"/>
      <c r="N448" s="181"/>
      <c r="O448" s="179"/>
      <c r="P448" s="179"/>
      <c r="Q448" s="179"/>
      <c r="R448" s="179"/>
      <c r="S448" s="179"/>
      <c r="T448" s="179"/>
      <c r="U448" s="179"/>
      <c r="V448" s="179"/>
      <c r="W448" s="192"/>
      <c r="X448" s="192"/>
      <c r="Y448" s="192"/>
      <c r="Z448" s="158"/>
      <c r="AA448" s="158"/>
      <c r="AB448" s="158"/>
      <c r="AC448" s="158"/>
      <c r="AD448" s="158"/>
      <c r="AE448" s="158"/>
      <c r="AF448" s="158"/>
      <c r="AG448" s="158"/>
      <c r="AH448" s="158"/>
    </row>
    <row r="449" spans="1:34" ht="15.75" customHeight="1">
      <c r="A449" s="179"/>
      <c r="B449" s="180"/>
      <c r="C449" s="180"/>
      <c r="D449" s="179"/>
      <c r="E449" s="179"/>
      <c r="F449" s="179"/>
      <c r="G449" s="179"/>
      <c r="H449" s="181"/>
      <c r="I449" s="181"/>
      <c r="J449" s="181"/>
      <c r="K449" s="179"/>
      <c r="L449" s="179"/>
      <c r="M449" s="179"/>
      <c r="N449" s="181"/>
      <c r="O449" s="179"/>
      <c r="P449" s="179"/>
      <c r="Q449" s="179"/>
      <c r="R449" s="179"/>
      <c r="S449" s="179"/>
      <c r="T449" s="179"/>
      <c r="U449" s="179"/>
      <c r="V449" s="179"/>
      <c r="W449" s="192"/>
      <c r="X449" s="192"/>
      <c r="Y449" s="192"/>
      <c r="Z449" s="158"/>
      <c r="AA449" s="158"/>
      <c r="AB449" s="158"/>
      <c r="AC449" s="158"/>
      <c r="AD449" s="158"/>
      <c r="AE449" s="158"/>
      <c r="AF449" s="158"/>
      <c r="AG449" s="158"/>
      <c r="AH449" s="158"/>
    </row>
    <row r="450" spans="1:34" ht="15.75" customHeight="1">
      <c r="A450" s="179"/>
      <c r="B450" s="180"/>
      <c r="C450" s="180"/>
      <c r="D450" s="179"/>
      <c r="E450" s="179"/>
      <c r="F450" s="179"/>
      <c r="G450" s="179"/>
      <c r="H450" s="181"/>
      <c r="I450" s="181"/>
      <c r="J450" s="181"/>
      <c r="K450" s="179"/>
      <c r="L450" s="179"/>
      <c r="M450" s="179"/>
      <c r="N450" s="181"/>
      <c r="O450" s="179"/>
      <c r="P450" s="179"/>
      <c r="Q450" s="179"/>
      <c r="R450" s="179"/>
      <c r="S450" s="179"/>
      <c r="T450" s="179"/>
      <c r="U450" s="179"/>
      <c r="V450" s="179"/>
      <c r="W450" s="192"/>
      <c r="X450" s="192"/>
      <c r="Y450" s="192"/>
      <c r="Z450" s="158"/>
      <c r="AA450" s="158"/>
      <c r="AB450" s="158"/>
      <c r="AC450" s="158"/>
      <c r="AD450" s="158"/>
      <c r="AE450" s="158"/>
      <c r="AF450" s="158"/>
      <c r="AG450" s="158"/>
      <c r="AH450" s="158"/>
    </row>
    <row r="451" spans="1:34" ht="15.75" customHeight="1">
      <c r="A451" s="179"/>
      <c r="B451" s="180"/>
      <c r="C451" s="180"/>
      <c r="D451" s="179"/>
      <c r="E451" s="179"/>
      <c r="F451" s="179"/>
      <c r="G451" s="179"/>
      <c r="H451" s="181"/>
      <c r="I451" s="181"/>
      <c r="J451" s="181"/>
      <c r="K451" s="179"/>
      <c r="L451" s="179"/>
      <c r="M451" s="179"/>
      <c r="N451" s="181"/>
      <c r="O451" s="179"/>
      <c r="P451" s="179"/>
      <c r="Q451" s="179"/>
      <c r="R451" s="179"/>
      <c r="S451" s="179"/>
      <c r="T451" s="179"/>
      <c r="U451" s="179"/>
      <c r="V451" s="179"/>
      <c r="W451" s="192"/>
      <c r="X451" s="192"/>
      <c r="Y451" s="192"/>
      <c r="Z451" s="158"/>
      <c r="AA451" s="158"/>
      <c r="AB451" s="158"/>
      <c r="AC451" s="158"/>
      <c r="AD451" s="158"/>
      <c r="AE451" s="158"/>
      <c r="AF451" s="158"/>
      <c r="AG451" s="158"/>
      <c r="AH451" s="158"/>
    </row>
    <row r="452" spans="1:34" ht="15.75" customHeight="1">
      <c r="A452" s="179"/>
      <c r="B452" s="180"/>
      <c r="C452" s="180"/>
      <c r="D452" s="179"/>
      <c r="E452" s="179"/>
      <c r="F452" s="179"/>
      <c r="G452" s="179"/>
      <c r="H452" s="181"/>
      <c r="I452" s="181"/>
      <c r="J452" s="181"/>
      <c r="K452" s="179"/>
      <c r="L452" s="179"/>
      <c r="M452" s="179"/>
      <c r="N452" s="181"/>
      <c r="O452" s="179"/>
      <c r="P452" s="179"/>
      <c r="Q452" s="179"/>
      <c r="R452" s="179"/>
      <c r="S452" s="179"/>
      <c r="T452" s="179"/>
      <c r="U452" s="179"/>
      <c r="V452" s="179"/>
      <c r="W452" s="192"/>
      <c r="X452" s="192"/>
      <c r="Y452" s="192"/>
      <c r="Z452" s="158"/>
      <c r="AA452" s="158"/>
      <c r="AB452" s="158"/>
      <c r="AC452" s="158"/>
      <c r="AD452" s="158"/>
      <c r="AE452" s="158"/>
      <c r="AF452" s="158"/>
      <c r="AG452" s="158"/>
      <c r="AH452" s="158"/>
    </row>
    <row r="453" spans="1:34" ht="15.75" customHeight="1">
      <c r="A453" s="179"/>
      <c r="B453" s="180"/>
      <c r="C453" s="180"/>
      <c r="D453" s="179"/>
      <c r="E453" s="179"/>
      <c r="F453" s="179"/>
      <c r="G453" s="179"/>
      <c r="H453" s="181"/>
      <c r="I453" s="181"/>
      <c r="J453" s="181"/>
      <c r="K453" s="179"/>
      <c r="L453" s="179"/>
      <c r="M453" s="179"/>
      <c r="N453" s="181"/>
      <c r="O453" s="179"/>
      <c r="P453" s="179"/>
      <c r="Q453" s="179"/>
      <c r="R453" s="179"/>
      <c r="S453" s="179"/>
      <c r="T453" s="179"/>
      <c r="U453" s="179"/>
      <c r="V453" s="179"/>
      <c r="W453" s="192"/>
      <c r="X453" s="192"/>
      <c r="Y453" s="192"/>
      <c r="Z453" s="158"/>
      <c r="AA453" s="158"/>
      <c r="AB453" s="158"/>
      <c r="AC453" s="158"/>
      <c r="AD453" s="158"/>
      <c r="AE453" s="158"/>
      <c r="AF453" s="158"/>
      <c r="AG453" s="158"/>
      <c r="AH453" s="158"/>
    </row>
    <row r="454" spans="1:34" ht="15.75" customHeight="1">
      <c r="A454" s="179"/>
      <c r="B454" s="180"/>
      <c r="C454" s="180"/>
      <c r="D454" s="179"/>
      <c r="E454" s="179"/>
      <c r="F454" s="179"/>
      <c r="G454" s="179"/>
      <c r="H454" s="181"/>
      <c r="I454" s="181"/>
      <c r="J454" s="181"/>
      <c r="K454" s="179"/>
      <c r="L454" s="179"/>
      <c r="M454" s="179"/>
      <c r="N454" s="181"/>
      <c r="O454" s="179"/>
      <c r="P454" s="179"/>
      <c r="Q454" s="179"/>
      <c r="R454" s="179"/>
      <c r="S454" s="179"/>
      <c r="T454" s="179"/>
      <c r="U454" s="179"/>
      <c r="V454" s="179"/>
      <c r="W454" s="192"/>
      <c r="X454" s="192"/>
      <c r="Y454" s="192"/>
      <c r="Z454" s="158"/>
      <c r="AA454" s="158"/>
      <c r="AB454" s="158"/>
      <c r="AC454" s="158"/>
      <c r="AD454" s="158"/>
      <c r="AE454" s="158"/>
      <c r="AF454" s="158"/>
      <c r="AG454" s="158"/>
      <c r="AH454" s="158"/>
    </row>
    <row r="455" spans="1:34" ht="15.75" customHeight="1">
      <c r="A455" s="179"/>
      <c r="B455" s="180"/>
      <c r="C455" s="180"/>
      <c r="D455" s="179"/>
      <c r="E455" s="179"/>
      <c r="F455" s="179"/>
      <c r="G455" s="179"/>
      <c r="H455" s="181"/>
      <c r="I455" s="181"/>
      <c r="J455" s="181"/>
      <c r="K455" s="179"/>
      <c r="L455" s="179"/>
      <c r="M455" s="179"/>
      <c r="N455" s="181"/>
      <c r="O455" s="179"/>
      <c r="P455" s="179"/>
      <c r="Q455" s="179"/>
      <c r="R455" s="179"/>
      <c r="S455" s="179"/>
      <c r="T455" s="179"/>
      <c r="U455" s="179"/>
      <c r="V455" s="179"/>
      <c r="W455" s="192"/>
      <c r="X455" s="192"/>
      <c r="Y455" s="192"/>
      <c r="Z455" s="158"/>
      <c r="AA455" s="158"/>
      <c r="AB455" s="158"/>
      <c r="AC455" s="158"/>
      <c r="AD455" s="158"/>
      <c r="AE455" s="158"/>
      <c r="AF455" s="158"/>
      <c r="AG455" s="158"/>
      <c r="AH455" s="158"/>
    </row>
    <row r="456" spans="1:34" ht="15.75" customHeight="1">
      <c r="A456" s="179"/>
      <c r="B456" s="180"/>
      <c r="C456" s="180"/>
      <c r="D456" s="179"/>
      <c r="E456" s="179"/>
      <c r="F456" s="179"/>
      <c r="G456" s="179"/>
      <c r="H456" s="181"/>
      <c r="I456" s="181"/>
      <c r="J456" s="181"/>
      <c r="K456" s="179"/>
      <c r="L456" s="179"/>
      <c r="M456" s="179"/>
      <c r="N456" s="181"/>
      <c r="O456" s="179"/>
      <c r="P456" s="179"/>
      <c r="Q456" s="179"/>
      <c r="R456" s="179"/>
      <c r="S456" s="179"/>
      <c r="T456" s="179"/>
      <c r="U456" s="179"/>
      <c r="V456" s="179"/>
      <c r="W456" s="192"/>
      <c r="X456" s="192"/>
      <c r="Y456" s="192"/>
      <c r="Z456" s="158"/>
      <c r="AA456" s="158"/>
      <c r="AB456" s="158"/>
      <c r="AC456" s="158"/>
      <c r="AD456" s="158"/>
      <c r="AE456" s="158"/>
      <c r="AF456" s="158"/>
      <c r="AG456" s="158"/>
      <c r="AH456" s="158"/>
    </row>
    <row r="457" spans="1:34" ht="15.75" customHeight="1">
      <c r="A457" s="179"/>
      <c r="B457" s="180"/>
      <c r="C457" s="180"/>
      <c r="D457" s="179"/>
      <c r="E457" s="179"/>
      <c r="F457" s="179"/>
      <c r="G457" s="179"/>
      <c r="H457" s="181"/>
      <c r="I457" s="181"/>
      <c r="J457" s="181"/>
      <c r="K457" s="179"/>
      <c r="L457" s="179"/>
      <c r="M457" s="179"/>
      <c r="N457" s="181"/>
      <c r="O457" s="179"/>
      <c r="P457" s="179"/>
      <c r="Q457" s="179"/>
      <c r="R457" s="179"/>
      <c r="S457" s="179"/>
      <c r="T457" s="179"/>
      <c r="U457" s="179"/>
      <c r="V457" s="179"/>
      <c r="W457" s="192"/>
      <c r="X457" s="192"/>
      <c r="Y457" s="192"/>
      <c r="Z457" s="158"/>
      <c r="AA457" s="158"/>
      <c r="AB457" s="158"/>
      <c r="AC457" s="158"/>
      <c r="AD457" s="158"/>
      <c r="AE457" s="158"/>
      <c r="AF457" s="158"/>
      <c r="AG457" s="158"/>
      <c r="AH457" s="158"/>
    </row>
    <row r="458" spans="1:34" ht="15.75" customHeight="1">
      <c r="A458" s="179"/>
      <c r="B458" s="180"/>
      <c r="C458" s="180"/>
      <c r="D458" s="179"/>
      <c r="E458" s="179"/>
      <c r="F458" s="179"/>
      <c r="G458" s="179"/>
      <c r="H458" s="181"/>
      <c r="I458" s="181"/>
      <c r="J458" s="181"/>
      <c r="K458" s="179"/>
      <c r="L458" s="179"/>
      <c r="M458" s="179"/>
      <c r="N458" s="181"/>
      <c r="O458" s="179"/>
      <c r="P458" s="179"/>
      <c r="Q458" s="179"/>
      <c r="R458" s="179"/>
      <c r="S458" s="179"/>
      <c r="T458" s="179"/>
      <c r="U458" s="179"/>
      <c r="V458" s="179"/>
      <c r="W458" s="192"/>
      <c r="X458" s="192"/>
      <c r="Y458" s="192"/>
      <c r="Z458" s="158"/>
      <c r="AA458" s="158"/>
      <c r="AB458" s="158"/>
      <c r="AC458" s="158"/>
      <c r="AD458" s="158"/>
      <c r="AE458" s="158"/>
      <c r="AF458" s="158"/>
      <c r="AG458" s="158"/>
      <c r="AH458" s="158"/>
    </row>
    <row r="459" spans="1:34" ht="15.75" customHeight="1">
      <c r="A459" s="179"/>
      <c r="B459" s="180"/>
      <c r="C459" s="180"/>
      <c r="D459" s="179"/>
      <c r="E459" s="179"/>
      <c r="F459" s="179"/>
      <c r="G459" s="179"/>
      <c r="H459" s="181"/>
      <c r="I459" s="181"/>
      <c r="J459" s="181"/>
      <c r="K459" s="179"/>
      <c r="L459" s="179"/>
      <c r="M459" s="179"/>
      <c r="N459" s="181"/>
      <c r="O459" s="179"/>
      <c r="P459" s="179"/>
      <c r="Q459" s="179"/>
      <c r="R459" s="179"/>
      <c r="S459" s="179"/>
      <c r="T459" s="179"/>
      <c r="U459" s="179"/>
      <c r="V459" s="179"/>
      <c r="W459" s="192"/>
      <c r="X459" s="192"/>
      <c r="Y459" s="192"/>
      <c r="Z459" s="158"/>
      <c r="AA459" s="158"/>
      <c r="AB459" s="158"/>
      <c r="AC459" s="158"/>
      <c r="AD459" s="158"/>
      <c r="AE459" s="158"/>
      <c r="AF459" s="158"/>
      <c r="AG459" s="158"/>
      <c r="AH459" s="158"/>
    </row>
    <row r="460" spans="1:34" ht="15.75" customHeight="1">
      <c r="A460" s="179"/>
      <c r="B460" s="180"/>
      <c r="C460" s="180"/>
      <c r="D460" s="179"/>
      <c r="E460" s="179"/>
      <c r="F460" s="179"/>
      <c r="G460" s="179"/>
      <c r="H460" s="181"/>
      <c r="I460" s="181"/>
      <c r="J460" s="181"/>
      <c r="K460" s="179"/>
      <c r="L460" s="179"/>
      <c r="M460" s="179"/>
      <c r="N460" s="181"/>
      <c r="O460" s="179"/>
      <c r="P460" s="179"/>
      <c r="Q460" s="179"/>
      <c r="R460" s="179"/>
      <c r="S460" s="179"/>
      <c r="T460" s="179"/>
      <c r="U460" s="179"/>
      <c r="V460" s="179"/>
      <c r="W460" s="192"/>
      <c r="X460" s="192"/>
      <c r="Y460" s="192"/>
      <c r="Z460" s="158"/>
      <c r="AA460" s="158"/>
      <c r="AB460" s="158"/>
      <c r="AC460" s="158"/>
      <c r="AD460" s="158"/>
      <c r="AE460" s="158"/>
      <c r="AF460" s="158"/>
      <c r="AG460" s="158"/>
      <c r="AH460" s="158"/>
    </row>
    <row r="461" spans="1:34" ht="15.75" customHeight="1">
      <c r="A461" s="179"/>
      <c r="B461" s="180"/>
      <c r="C461" s="180"/>
      <c r="D461" s="179"/>
      <c r="E461" s="179"/>
      <c r="F461" s="179"/>
      <c r="G461" s="179"/>
      <c r="H461" s="181"/>
      <c r="I461" s="181"/>
      <c r="J461" s="181"/>
      <c r="K461" s="179"/>
      <c r="L461" s="179"/>
      <c r="M461" s="179"/>
      <c r="N461" s="181"/>
      <c r="O461" s="179"/>
      <c r="P461" s="179"/>
      <c r="Q461" s="179"/>
      <c r="R461" s="179"/>
      <c r="S461" s="179"/>
      <c r="T461" s="179"/>
      <c r="U461" s="179"/>
      <c r="V461" s="179"/>
      <c r="W461" s="192"/>
      <c r="X461" s="192"/>
      <c r="Y461" s="192"/>
      <c r="Z461" s="158"/>
      <c r="AA461" s="158"/>
      <c r="AB461" s="158"/>
      <c r="AC461" s="158"/>
      <c r="AD461" s="158"/>
      <c r="AE461" s="158"/>
      <c r="AF461" s="158"/>
      <c r="AG461" s="158"/>
      <c r="AH461" s="158"/>
    </row>
    <row r="462" spans="1:34" ht="15.75" customHeight="1">
      <c r="A462" s="179"/>
      <c r="B462" s="180"/>
      <c r="C462" s="180"/>
      <c r="D462" s="179"/>
      <c r="E462" s="179"/>
      <c r="F462" s="179"/>
      <c r="G462" s="179"/>
      <c r="H462" s="181"/>
      <c r="I462" s="181"/>
      <c r="J462" s="181"/>
      <c r="K462" s="179"/>
      <c r="L462" s="179"/>
      <c r="M462" s="179"/>
      <c r="N462" s="181"/>
      <c r="O462" s="179"/>
      <c r="P462" s="179"/>
      <c r="Q462" s="179"/>
      <c r="R462" s="179"/>
      <c r="S462" s="179"/>
      <c r="T462" s="179"/>
      <c r="U462" s="179"/>
      <c r="V462" s="179"/>
      <c r="W462" s="192"/>
      <c r="X462" s="192"/>
      <c r="Y462" s="192"/>
      <c r="Z462" s="158"/>
      <c r="AA462" s="158"/>
      <c r="AB462" s="158"/>
      <c r="AC462" s="158"/>
      <c r="AD462" s="158"/>
      <c r="AE462" s="158"/>
      <c r="AF462" s="158"/>
      <c r="AG462" s="158"/>
      <c r="AH462" s="158"/>
    </row>
    <row r="463" spans="1:34" ht="15.75" customHeight="1">
      <c r="A463" s="179"/>
      <c r="B463" s="180"/>
      <c r="C463" s="180"/>
      <c r="D463" s="179"/>
      <c r="E463" s="179"/>
      <c r="F463" s="179"/>
      <c r="G463" s="179"/>
      <c r="H463" s="181"/>
      <c r="I463" s="181"/>
      <c r="J463" s="181"/>
      <c r="K463" s="179"/>
      <c r="L463" s="179"/>
      <c r="M463" s="179"/>
      <c r="N463" s="181"/>
      <c r="O463" s="179"/>
      <c r="P463" s="179"/>
      <c r="Q463" s="179"/>
      <c r="R463" s="179"/>
      <c r="S463" s="179"/>
      <c r="T463" s="179"/>
      <c r="U463" s="179"/>
      <c r="V463" s="179"/>
      <c r="W463" s="192"/>
      <c r="X463" s="192"/>
      <c r="Y463" s="192"/>
      <c r="Z463" s="158"/>
      <c r="AA463" s="158"/>
      <c r="AB463" s="158"/>
      <c r="AC463" s="158"/>
      <c r="AD463" s="158"/>
      <c r="AE463" s="158"/>
      <c r="AF463" s="158"/>
      <c r="AG463" s="158"/>
      <c r="AH463" s="158"/>
    </row>
    <row r="464" spans="1:34" ht="15.75" customHeight="1">
      <c r="A464" s="179"/>
      <c r="B464" s="180"/>
      <c r="C464" s="180"/>
      <c r="D464" s="179"/>
      <c r="E464" s="179"/>
      <c r="F464" s="179"/>
      <c r="G464" s="179"/>
      <c r="H464" s="181"/>
      <c r="I464" s="181"/>
      <c r="J464" s="181"/>
      <c r="K464" s="179"/>
      <c r="L464" s="179"/>
      <c r="M464" s="179"/>
      <c r="N464" s="181"/>
      <c r="O464" s="179"/>
      <c r="P464" s="179"/>
      <c r="Q464" s="179"/>
      <c r="R464" s="179"/>
      <c r="S464" s="179"/>
      <c r="T464" s="179"/>
      <c r="U464" s="179"/>
      <c r="V464" s="179"/>
      <c r="W464" s="192"/>
      <c r="X464" s="192"/>
      <c r="Y464" s="192"/>
      <c r="Z464" s="158"/>
      <c r="AA464" s="158"/>
      <c r="AB464" s="158"/>
      <c r="AC464" s="158"/>
      <c r="AD464" s="158"/>
      <c r="AE464" s="158"/>
      <c r="AF464" s="158"/>
      <c r="AG464" s="158"/>
      <c r="AH464" s="158"/>
    </row>
    <row r="465" spans="1:34" ht="15.75" customHeight="1">
      <c r="A465" s="179"/>
      <c r="B465" s="180"/>
      <c r="C465" s="180"/>
      <c r="D465" s="179"/>
      <c r="E465" s="179"/>
      <c r="F465" s="179"/>
      <c r="G465" s="179"/>
      <c r="H465" s="181"/>
      <c r="I465" s="181"/>
      <c r="J465" s="181"/>
      <c r="K465" s="179"/>
      <c r="L465" s="179"/>
      <c r="M465" s="179"/>
      <c r="N465" s="181"/>
      <c r="O465" s="179"/>
      <c r="P465" s="179"/>
      <c r="Q465" s="179"/>
      <c r="R465" s="179"/>
      <c r="S465" s="179"/>
      <c r="T465" s="179"/>
      <c r="U465" s="179"/>
      <c r="V465" s="179"/>
      <c r="W465" s="192"/>
      <c r="X465" s="192"/>
      <c r="Y465" s="192"/>
      <c r="Z465" s="158"/>
      <c r="AA465" s="158"/>
      <c r="AB465" s="158"/>
      <c r="AC465" s="158"/>
      <c r="AD465" s="158"/>
      <c r="AE465" s="158"/>
      <c r="AF465" s="158"/>
      <c r="AG465" s="158"/>
      <c r="AH465" s="158"/>
    </row>
    <row r="466" spans="1:34" ht="15.75" customHeight="1">
      <c r="A466" s="179"/>
      <c r="B466" s="180"/>
      <c r="C466" s="180"/>
      <c r="D466" s="179"/>
      <c r="E466" s="179"/>
      <c r="F466" s="179"/>
      <c r="G466" s="179"/>
      <c r="H466" s="181"/>
      <c r="I466" s="181"/>
      <c r="J466" s="181"/>
      <c r="K466" s="179"/>
      <c r="L466" s="179"/>
      <c r="M466" s="179"/>
      <c r="N466" s="181"/>
      <c r="O466" s="179"/>
      <c r="P466" s="179"/>
      <c r="Q466" s="179"/>
      <c r="R466" s="179"/>
      <c r="S466" s="179"/>
      <c r="T466" s="179"/>
      <c r="U466" s="179"/>
      <c r="V466" s="179"/>
      <c r="W466" s="192"/>
      <c r="X466" s="192"/>
      <c r="Y466" s="192"/>
      <c r="Z466" s="158"/>
      <c r="AA466" s="158"/>
      <c r="AB466" s="158"/>
      <c r="AC466" s="158"/>
      <c r="AD466" s="158"/>
      <c r="AE466" s="158"/>
      <c r="AF466" s="158"/>
      <c r="AG466" s="158"/>
      <c r="AH466" s="158"/>
    </row>
    <row r="467" spans="1:34" ht="15.75" customHeight="1">
      <c r="A467" s="179"/>
      <c r="B467" s="180"/>
      <c r="C467" s="180"/>
      <c r="D467" s="179"/>
      <c r="E467" s="179"/>
      <c r="F467" s="179"/>
      <c r="G467" s="179"/>
      <c r="H467" s="181"/>
      <c r="I467" s="181"/>
      <c r="J467" s="181"/>
      <c r="K467" s="179"/>
      <c r="L467" s="179"/>
      <c r="M467" s="179"/>
      <c r="N467" s="181"/>
      <c r="O467" s="179"/>
      <c r="P467" s="179"/>
      <c r="Q467" s="179"/>
      <c r="R467" s="179"/>
      <c r="S467" s="179"/>
      <c r="T467" s="179"/>
      <c r="U467" s="179"/>
      <c r="V467" s="179"/>
      <c r="W467" s="192"/>
      <c r="X467" s="192"/>
      <c r="Y467" s="192"/>
      <c r="Z467" s="158"/>
      <c r="AA467" s="158"/>
      <c r="AB467" s="158"/>
      <c r="AC467" s="158"/>
      <c r="AD467" s="158"/>
      <c r="AE467" s="158"/>
      <c r="AF467" s="158"/>
      <c r="AG467" s="158"/>
      <c r="AH467" s="158"/>
    </row>
    <row r="468" spans="1:34" ht="15.75" customHeight="1">
      <c r="A468" s="179"/>
      <c r="B468" s="180"/>
      <c r="C468" s="180"/>
      <c r="D468" s="179"/>
      <c r="E468" s="179"/>
      <c r="F468" s="179"/>
      <c r="G468" s="179"/>
      <c r="H468" s="181"/>
      <c r="I468" s="181"/>
      <c r="J468" s="181"/>
      <c r="K468" s="179"/>
      <c r="L468" s="179"/>
      <c r="M468" s="179"/>
      <c r="N468" s="181"/>
      <c r="O468" s="179"/>
      <c r="P468" s="179"/>
      <c r="Q468" s="179"/>
      <c r="R468" s="179"/>
      <c r="S468" s="179"/>
      <c r="T468" s="179"/>
      <c r="U468" s="179"/>
      <c r="V468" s="179"/>
      <c r="W468" s="192"/>
      <c r="X468" s="192"/>
      <c r="Y468" s="192"/>
      <c r="Z468" s="158"/>
      <c r="AA468" s="158"/>
      <c r="AB468" s="158"/>
      <c r="AC468" s="158"/>
      <c r="AD468" s="158"/>
      <c r="AE468" s="158"/>
      <c r="AF468" s="158"/>
      <c r="AG468" s="158"/>
      <c r="AH468" s="158"/>
    </row>
    <row r="469" spans="1:34" ht="15.75" customHeight="1">
      <c r="A469" s="179"/>
      <c r="B469" s="180"/>
      <c r="C469" s="180"/>
      <c r="D469" s="179"/>
      <c r="E469" s="179"/>
      <c r="F469" s="179"/>
      <c r="G469" s="179"/>
      <c r="H469" s="181"/>
      <c r="I469" s="181"/>
      <c r="J469" s="181"/>
      <c r="K469" s="179"/>
      <c r="L469" s="179"/>
      <c r="M469" s="179"/>
      <c r="N469" s="181"/>
      <c r="O469" s="179"/>
      <c r="P469" s="179"/>
      <c r="Q469" s="179"/>
      <c r="R469" s="179"/>
      <c r="S469" s="179"/>
      <c r="T469" s="179"/>
      <c r="U469" s="179"/>
      <c r="V469" s="179"/>
      <c r="W469" s="192"/>
      <c r="X469" s="192"/>
      <c r="Y469" s="192"/>
      <c r="Z469" s="158"/>
      <c r="AA469" s="158"/>
      <c r="AB469" s="158"/>
      <c r="AC469" s="158"/>
      <c r="AD469" s="158"/>
      <c r="AE469" s="158"/>
      <c r="AF469" s="158"/>
      <c r="AG469" s="158"/>
      <c r="AH469" s="158"/>
    </row>
    <row r="470" spans="1:34" ht="15.75" customHeight="1">
      <c r="A470" s="179"/>
      <c r="B470" s="180"/>
      <c r="C470" s="180"/>
      <c r="D470" s="179"/>
      <c r="E470" s="179"/>
      <c r="F470" s="179"/>
      <c r="G470" s="179"/>
      <c r="H470" s="181"/>
      <c r="I470" s="181"/>
      <c r="J470" s="181"/>
      <c r="K470" s="179"/>
      <c r="L470" s="179"/>
      <c r="M470" s="179"/>
      <c r="N470" s="181"/>
      <c r="O470" s="179"/>
      <c r="P470" s="179"/>
      <c r="Q470" s="179"/>
      <c r="R470" s="179"/>
      <c r="S470" s="179"/>
      <c r="T470" s="179"/>
      <c r="U470" s="179"/>
      <c r="V470" s="179"/>
      <c r="W470" s="192"/>
      <c r="X470" s="192"/>
      <c r="Y470" s="192"/>
      <c r="Z470" s="158"/>
      <c r="AA470" s="158"/>
      <c r="AB470" s="158"/>
      <c r="AC470" s="158"/>
      <c r="AD470" s="158"/>
      <c r="AE470" s="158"/>
      <c r="AF470" s="158"/>
      <c r="AG470" s="158"/>
      <c r="AH470" s="158"/>
    </row>
    <row r="471" spans="1:34" ht="15.75" customHeight="1">
      <c r="A471" s="179"/>
      <c r="B471" s="180"/>
      <c r="C471" s="180"/>
      <c r="D471" s="179"/>
      <c r="E471" s="179"/>
      <c r="F471" s="179"/>
      <c r="G471" s="179"/>
      <c r="H471" s="181"/>
      <c r="I471" s="181"/>
      <c r="J471" s="181"/>
      <c r="K471" s="179"/>
      <c r="L471" s="179"/>
      <c r="M471" s="179"/>
      <c r="N471" s="181"/>
      <c r="O471" s="179"/>
      <c r="P471" s="179"/>
      <c r="Q471" s="179"/>
      <c r="R471" s="179"/>
      <c r="S471" s="179"/>
      <c r="T471" s="179"/>
      <c r="U471" s="179"/>
      <c r="V471" s="179"/>
      <c r="W471" s="192"/>
      <c r="X471" s="192"/>
      <c r="Y471" s="192"/>
      <c r="Z471" s="158"/>
      <c r="AA471" s="158"/>
      <c r="AB471" s="158"/>
      <c r="AC471" s="158"/>
      <c r="AD471" s="158"/>
      <c r="AE471" s="158"/>
      <c r="AF471" s="158"/>
      <c r="AG471" s="158"/>
      <c r="AH471" s="158"/>
    </row>
    <row r="472" spans="1:34" ht="15.75" customHeight="1">
      <c r="A472" s="179"/>
      <c r="B472" s="180"/>
      <c r="C472" s="180"/>
      <c r="D472" s="179"/>
      <c r="E472" s="179"/>
      <c r="F472" s="179"/>
      <c r="G472" s="179"/>
      <c r="H472" s="181"/>
      <c r="I472" s="181"/>
      <c r="J472" s="181"/>
      <c r="K472" s="179"/>
      <c r="L472" s="179"/>
      <c r="M472" s="179"/>
      <c r="N472" s="181"/>
      <c r="O472" s="179"/>
      <c r="P472" s="179"/>
      <c r="Q472" s="179"/>
      <c r="R472" s="179"/>
      <c r="S472" s="179"/>
      <c r="T472" s="179"/>
      <c r="U472" s="179"/>
      <c r="V472" s="179"/>
      <c r="W472" s="192"/>
      <c r="X472" s="192"/>
      <c r="Y472" s="192"/>
      <c r="Z472" s="158"/>
      <c r="AA472" s="158"/>
      <c r="AB472" s="158"/>
      <c r="AC472" s="158"/>
      <c r="AD472" s="158"/>
      <c r="AE472" s="158"/>
      <c r="AF472" s="158"/>
      <c r="AG472" s="158"/>
      <c r="AH472" s="158"/>
    </row>
    <row r="473" spans="1:34" ht="15.75" customHeight="1">
      <c r="A473" s="179"/>
      <c r="B473" s="180"/>
      <c r="C473" s="180"/>
      <c r="D473" s="179"/>
      <c r="E473" s="179"/>
      <c r="F473" s="179"/>
      <c r="G473" s="179"/>
      <c r="H473" s="181"/>
      <c r="I473" s="181"/>
      <c r="J473" s="181"/>
      <c r="K473" s="179"/>
      <c r="L473" s="179"/>
      <c r="M473" s="179"/>
      <c r="N473" s="181"/>
      <c r="O473" s="179"/>
      <c r="P473" s="179"/>
      <c r="Q473" s="179"/>
      <c r="R473" s="179"/>
      <c r="S473" s="179"/>
      <c r="T473" s="179"/>
      <c r="U473" s="179"/>
      <c r="V473" s="179"/>
      <c r="W473" s="192"/>
      <c r="X473" s="192"/>
      <c r="Y473" s="192"/>
      <c r="Z473" s="158"/>
      <c r="AA473" s="158"/>
      <c r="AB473" s="158"/>
      <c r="AC473" s="158"/>
      <c r="AD473" s="158"/>
      <c r="AE473" s="158"/>
      <c r="AF473" s="158"/>
      <c r="AG473" s="158"/>
      <c r="AH473" s="158"/>
    </row>
    <row r="474" spans="1:34" ht="15.75" customHeight="1">
      <c r="A474" s="179"/>
      <c r="B474" s="180"/>
      <c r="C474" s="180"/>
      <c r="D474" s="179"/>
      <c r="E474" s="179"/>
      <c r="F474" s="179"/>
      <c r="G474" s="179"/>
      <c r="H474" s="181"/>
      <c r="I474" s="181"/>
      <c r="J474" s="181"/>
      <c r="K474" s="179"/>
      <c r="L474" s="179"/>
      <c r="M474" s="179"/>
      <c r="N474" s="181"/>
      <c r="O474" s="179"/>
      <c r="P474" s="179"/>
      <c r="Q474" s="179"/>
      <c r="R474" s="179"/>
      <c r="S474" s="179"/>
      <c r="T474" s="179"/>
      <c r="U474" s="179"/>
      <c r="V474" s="179"/>
      <c r="W474" s="192"/>
      <c r="X474" s="192"/>
      <c r="Y474" s="192"/>
      <c r="Z474" s="158"/>
      <c r="AA474" s="158"/>
      <c r="AB474" s="158"/>
      <c r="AC474" s="158"/>
      <c r="AD474" s="158"/>
      <c r="AE474" s="158"/>
      <c r="AF474" s="158"/>
      <c r="AG474" s="158"/>
      <c r="AH474" s="158"/>
    </row>
    <row r="475" spans="1:34" ht="15.75" customHeight="1">
      <c r="A475" s="179"/>
      <c r="B475" s="180"/>
      <c r="C475" s="180"/>
      <c r="D475" s="179"/>
      <c r="E475" s="179"/>
      <c r="F475" s="179"/>
      <c r="G475" s="179"/>
      <c r="H475" s="181"/>
      <c r="I475" s="181"/>
      <c r="J475" s="181"/>
      <c r="K475" s="179"/>
      <c r="L475" s="179"/>
      <c r="M475" s="179"/>
      <c r="N475" s="181"/>
      <c r="O475" s="179"/>
      <c r="P475" s="179"/>
      <c r="Q475" s="179"/>
      <c r="R475" s="179"/>
      <c r="S475" s="179"/>
      <c r="T475" s="179"/>
      <c r="U475" s="179"/>
      <c r="V475" s="179"/>
      <c r="W475" s="192"/>
      <c r="X475" s="192"/>
      <c r="Y475" s="192"/>
      <c r="Z475" s="158"/>
      <c r="AA475" s="158"/>
      <c r="AB475" s="158"/>
      <c r="AC475" s="158"/>
      <c r="AD475" s="158"/>
      <c r="AE475" s="158"/>
      <c r="AF475" s="158"/>
      <c r="AG475" s="158"/>
      <c r="AH475" s="158"/>
    </row>
    <row r="476" spans="1:34" ht="15.75" customHeight="1">
      <c r="A476" s="179"/>
      <c r="B476" s="180"/>
      <c r="C476" s="180"/>
      <c r="D476" s="179"/>
      <c r="E476" s="179"/>
      <c r="F476" s="179"/>
      <c r="G476" s="179"/>
      <c r="H476" s="181"/>
      <c r="I476" s="181"/>
      <c r="J476" s="181"/>
      <c r="K476" s="179"/>
      <c r="L476" s="179"/>
      <c r="M476" s="179"/>
      <c r="N476" s="181"/>
      <c r="O476" s="179"/>
      <c r="P476" s="179"/>
      <c r="Q476" s="179"/>
      <c r="R476" s="179"/>
      <c r="S476" s="179"/>
      <c r="T476" s="179"/>
      <c r="U476" s="179"/>
      <c r="V476" s="179"/>
      <c r="W476" s="192"/>
      <c r="X476" s="192"/>
      <c r="Y476" s="192"/>
      <c r="Z476" s="158"/>
      <c r="AA476" s="158"/>
      <c r="AB476" s="158"/>
      <c r="AC476" s="158"/>
      <c r="AD476" s="158"/>
      <c r="AE476" s="158"/>
      <c r="AF476" s="158"/>
      <c r="AG476" s="158"/>
      <c r="AH476" s="158"/>
    </row>
    <row r="477" spans="1:34" ht="15.75" customHeight="1">
      <c r="A477" s="179"/>
      <c r="B477" s="180"/>
      <c r="C477" s="180"/>
      <c r="D477" s="179"/>
      <c r="E477" s="179"/>
      <c r="F477" s="179"/>
      <c r="G477" s="179"/>
      <c r="H477" s="181"/>
      <c r="I477" s="181"/>
      <c r="J477" s="181"/>
      <c r="K477" s="179"/>
      <c r="L477" s="179"/>
      <c r="M477" s="179"/>
      <c r="N477" s="181"/>
      <c r="O477" s="179"/>
      <c r="P477" s="179"/>
      <c r="Q477" s="179"/>
      <c r="R477" s="179"/>
      <c r="S477" s="179"/>
      <c r="T477" s="179"/>
      <c r="U477" s="179"/>
      <c r="V477" s="179"/>
      <c r="W477" s="192"/>
      <c r="X477" s="192"/>
      <c r="Y477" s="192"/>
      <c r="Z477" s="158"/>
      <c r="AA477" s="158"/>
      <c r="AB477" s="158"/>
      <c r="AC477" s="158"/>
      <c r="AD477" s="158"/>
      <c r="AE477" s="158"/>
      <c r="AF477" s="158"/>
      <c r="AG477" s="158"/>
      <c r="AH477" s="158"/>
    </row>
    <row r="478" spans="1:34" ht="15.75" customHeight="1">
      <c r="A478" s="179"/>
      <c r="B478" s="180"/>
      <c r="C478" s="180"/>
      <c r="D478" s="179"/>
      <c r="E478" s="179"/>
      <c r="F478" s="179"/>
      <c r="G478" s="179"/>
      <c r="H478" s="181"/>
      <c r="I478" s="181"/>
      <c r="J478" s="181"/>
      <c r="K478" s="179"/>
      <c r="L478" s="179"/>
      <c r="M478" s="179"/>
      <c r="N478" s="181"/>
      <c r="O478" s="179"/>
      <c r="P478" s="179"/>
      <c r="Q478" s="179"/>
      <c r="R478" s="179"/>
      <c r="S478" s="179"/>
      <c r="T478" s="179"/>
      <c r="U478" s="179"/>
      <c r="V478" s="179"/>
      <c r="W478" s="192"/>
      <c r="X478" s="192"/>
      <c r="Y478" s="192"/>
      <c r="Z478" s="158"/>
      <c r="AA478" s="158"/>
      <c r="AB478" s="158"/>
      <c r="AC478" s="158"/>
      <c r="AD478" s="158"/>
      <c r="AE478" s="158"/>
      <c r="AF478" s="158"/>
      <c r="AG478" s="158"/>
      <c r="AH478" s="158"/>
    </row>
    <row r="479" spans="1:34" ht="15.75" customHeight="1">
      <c r="A479" s="179"/>
      <c r="B479" s="180"/>
      <c r="C479" s="180"/>
      <c r="D479" s="179"/>
      <c r="E479" s="179"/>
      <c r="F479" s="179"/>
      <c r="G479" s="179"/>
      <c r="H479" s="181"/>
      <c r="I479" s="181"/>
      <c r="J479" s="181"/>
      <c r="K479" s="179"/>
      <c r="L479" s="179"/>
      <c r="M479" s="179"/>
      <c r="N479" s="181"/>
      <c r="O479" s="179"/>
      <c r="P479" s="179"/>
      <c r="Q479" s="179"/>
      <c r="R479" s="179"/>
      <c r="S479" s="179"/>
      <c r="T479" s="179"/>
      <c r="U479" s="179"/>
      <c r="V479" s="179"/>
      <c r="W479" s="192"/>
      <c r="X479" s="192"/>
      <c r="Y479" s="192"/>
      <c r="Z479" s="158"/>
      <c r="AA479" s="158"/>
      <c r="AB479" s="158"/>
      <c r="AC479" s="158"/>
      <c r="AD479" s="158"/>
      <c r="AE479" s="158"/>
      <c r="AF479" s="158"/>
      <c r="AG479" s="158"/>
      <c r="AH479" s="158"/>
    </row>
    <row r="480" spans="1:34" ht="15.75" customHeight="1">
      <c r="A480" s="179"/>
      <c r="B480" s="180"/>
      <c r="C480" s="180"/>
      <c r="D480" s="179"/>
      <c r="E480" s="179"/>
      <c r="F480" s="179"/>
      <c r="G480" s="179"/>
      <c r="H480" s="181"/>
      <c r="I480" s="181"/>
      <c r="J480" s="181"/>
      <c r="K480" s="179"/>
      <c r="L480" s="179"/>
      <c r="M480" s="179"/>
      <c r="N480" s="181"/>
      <c r="O480" s="179"/>
      <c r="P480" s="179"/>
      <c r="Q480" s="179"/>
      <c r="R480" s="179"/>
      <c r="S480" s="179"/>
      <c r="T480" s="179"/>
      <c r="U480" s="179"/>
      <c r="V480" s="179"/>
      <c r="W480" s="192"/>
      <c r="X480" s="192"/>
      <c r="Y480" s="192"/>
      <c r="Z480" s="158"/>
      <c r="AA480" s="158"/>
      <c r="AB480" s="158"/>
      <c r="AC480" s="158"/>
      <c r="AD480" s="158"/>
      <c r="AE480" s="158"/>
      <c r="AF480" s="158"/>
      <c r="AG480" s="158"/>
      <c r="AH480" s="158"/>
    </row>
    <row r="481" spans="1:34" ht="15.75" customHeight="1">
      <c r="A481" s="179"/>
      <c r="B481" s="180"/>
      <c r="C481" s="180"/>
      <c r="D481" s="179"/>
      <c r="E481" s="179"/>
      <c r="F481" s="179"/>
      <c r="G481" s="179"/>
      <c r="H481" s="181"/>
      <c r="I481" s="181"/>
      <c r="J481" s="181"/>
      <c r="K481" s="179"/>
      <c r="L481" s="179"/>
      <c r="M481" s="179"/>
      <c r="N481" s="181"/>
      <c r="O481" s="179"/>
      <c r="P481" s="179"/>
      <c r="Q481" s="179"/>
      <c r="R481" s="179"/>
      <c r="S481" s="179"/>
      <c r="T481" s="179"/>
      <c r="U481" s="179"/>
      <c r="V481" s="179"/>
      <c r="W481" s="192"/>
      <c r="X481" s="192"/>
      <c r="Y481" s="192"/>
      <c r="Z481" s="158"/>
      <c r="AA481" s="158"/>
      <c r="AB481" s="158"/>
      <c r="AC481" s="158"/>
      <c r="AD481" s="158"/>
      <c r="AE481" s="158"/>
      <c r="AF481" s="158"/>
      <c r="AG481" s="158"/>
      <c r="AH481" s="158"/>
    </row>
    <row r="482" spans="1:34" ht="15.75" customHeight="1">
      <c r="A482" s="179"/>
      <c r="B482" s="180"/>
      <c r="C482" s="180"/>
      <c r="D482" s="179"/>
      <c r="E482" s="179"/>
      <c r="F482" s="179"/>
      <c r="G482" s="179"/>
      <c r="H482" s="181"/>
      <c r="I482" s="181"/>
      <c r="J482" s="181"/>
      <c r="K482" s="179"/>
      <c r="L482" s="179"/>
      <c r="M482" s="179"/>
      <c r="N482" s="181"/>
      <c r="O482" s="179"/>
      <c r="P482" s="179"/>
      <c r="Q482" s="179"/>
      <c r="R482" s="179"/>
      <c r="S482" s="179"/>
      <c r="T482" s="179"/>
      <c r="U482" s="179"/>
      <c r="V482" s="179"/>
      <c r="W482" s="192"/>
      <c r="X482" s="192"/>
      <c r="Y482" s="192"/>
      <c r="Z482" s="158"/>
      <c r="AA482" s="158"/>
      <c r="AB482" s="158"/>
      <c r="AC482" s="158"/>
      <c r="AD482" s="158"/>
      <c r="AE482" s="158"/>
      <c r="AF482" s="158"/>
      <c r="AG482" s="158"/>
      <c r="AH482" s="158"/>
    </row>
    <row r="483" spans="1:34" ht="15.75" customHeight="1">
      <c r="A483" s="179"/>
      <c r="B483" s="180"/>
      <c r="C483" s="180"/>
      <c r="D483" s="179"/>
      <c r="E483" s="179"/>
      <c r="F483" s="179"/>
      <c r="G483" s="179"/>
      <c r="H483" s="181"/>
      <c r="I483" s="181"/>
      <c r="J483" s="181"/>
      <c r="K483" s="179"/>
      <c r="L483" s="179"/>
      <c r="M483" s="179"/>
      <c r="N483" s="181"/>
      <c r="O483" s="179"/>
      <c r="P483" s="179"/>
      <c r="Q483" s="179"/>
      <c r="R483" s="179"/>
      <c r="S483" s="179"/>
      <c r="T483" s="179"/>
      <c r="U483" s="179"/>
      <c r="V483" s="179"/>
      <c r="W483" s="192"/>
      <c r="X483" s="192"/>
      <c r="Y483" s="192"/>
      <c r="Z483" s="158"/>
      <c r="AA483" s="158"/>
      <c r="AB483" s="158"/>
      <c r="AC483" s="158"/>
      <c r="AD483" s="158"/>
      <c r="AE483" s="158"/>
      <c r="AF483" s="158"/>
      <c r="AG483" s="158"/>
      <c r="AH483" s="158"/>
    </row>
    <row r="484" spans="1:34" ht="15.75" customHeight="1">
      <c r="A484" s="179"/>
      <c r="B484" s="180"/>
      <c r="C484" s="180"/>
      <c r="D484" s="179"/>
      <c r="E484" s="179"/>
      <c r="F484" s="179"/>
      <c r="G484" s="179"/>
      <c r="H484" s="181"/>
      <c r="I484" s="181"/>
      <c r="J484" s="181"/>
      <c r="K484" s="179"/>
      <c r="L484" s="179"/>
      <c r="M484" s="179"/>
      <c r="N484" s="181"/>
      <c r="O484" s="179"/>
      <c r="P484" s="179"/>
      <c r="Q484" s="179"/>
      <c r="R484" s="179"/>
      <c r="S484" s="179"/>
      <c r="T484" s="179"/>
      <c r="U484" s="179"/>
      <c r="V484" s="179"/>
      <c r="W484" s="192"/>
      <c r="X484" s="192"/>
      <c r="Y484" s="192"/>
      <c r="Z484" s="158"/>
      <c r="AA484" s="158"/>
      <c r="AB484" s="158"/>
      <c r="AC484" s="158"/>
      <c r="AD484" s="158"/>
      <c r="AE484" s="158"/>
      <c r="AF484" s="158"/>
      <c r="AG484" s="158"/>
      <c r="AH484" s="158"/>
    </row>
    <row r="485" spans="1:34" ht="15.75" customHeight="1">
      <c r="A485" s="179"/>
      <c r="B485" s="180"/>
      <c r="C485" s="180"/>
      <c r="D485" s="179"/>
      <c r="E485" s="179"/>
      <c r="F485" s="179"/>
      <c r="G485" s="179"/>
      <c r="H485" s="181"/>
      <c r="I485" s="181"/>
      <c r="J485" s="181"/>
      <c r="K485" s="179"/>
      <c r="L485" s="179"/>
      <c r="M485" s="179"/>
      <c r="N485" s="181"/>
      <c r="O485" s="179"/>
      <c r="P485" s="179"/>
      <c r="Q485" s="179"/>
      <c r="R485" s="179"/>
      <c r="S485" s="179"/>
      <c r="T485" s="179"/>
      <c r="U485" s="179"/>
      <c r="V485" s="179"/>
      <c r="W485" s="192"/>
      <c r="X485" s="192"/>
      <c r="Y485" s="192"/>
      <c r="Z485" s="158"/>
      <c r="AA485" s="158"/>
      <c r="AB485" s="158"/>
      <c r="AC485" s="158"/>
      <c r="AD485" s="158"/>
      <c r="AE485" s="158"/>
      <c r="AF485" s="158"/>
      <c r="AG485" s="158"/>
      <c r="AH485" s="158"/>
    </row>
    <row r="486" spans="1:34" ht="15.75" customHeight="1">
      <c r="A486" s="179"/>
      <c r="B486" s="180"/>
      <c r="C486" s="180"/>
      <c r="D486" s="179"/>
      <c r="E486" s="179"/>
      <c r="F486" s="179"/>
      <c r="G486" s="179"/>
      <c r="H486" s="181"/>
      <c r="I486" s="181"/>
      <c r="J486" s="181"/>
      <c r="K486" s="179"/>
      <c r="L486" s="179"/>
      <c r="M486" s="179"/>
      <c r="N486" s="181"/>
      <c r="O486" s="179"/>
      <c r="P486" s="179"/>
      <c r="Q486" s="179"/>
      <c r="R486" s="179"/>
      <c r="S486" s="179"/>
      <c r="T486" s="179"/>
      <c r="U486" s="179"/>
      <c r="V486" s="179"/>
      <c r="W486" s="192"/>
      <c r="X486" s="192"/>
      <c r="Y486" s="192"/>
      <c r="Z486" s="158"/>
      <c r="AA486" s="158"/>
      <c r="AB486" s="158"/>
      <c r="AC486" s="158"/>
      <c r="AD486" s="158"/>
      <c r="AE486" s="158"/>
      <c r="AF486" s="158"/>
      <c r="AG486" s="158"/>
      <c r="AH486" s="158"/>
    </row>
    <row r="487" spans="1:34" ht="15.75" customHeight="1">
      <c r="A487" s="179"/>
      <c r="B487" s="180"/>
      <c r="C487" s="180"/>
      <c r="D487" s="179"/>
      <c r="E487" s="179"/>
      <c r="F487" s="179"/>
      <c r="G487" s="179"/>
      <c r="H487" s="181"/>
      <c r="I487" s="181"/>
      <c r="J487" s="181"/>
      <c r="K487" s="179"/>
      <c r="L487" s="179"/>
      <c r="M487" s="179"/>
      <c r="N487" s="181"/>
      <c r="O487" s="179"/>
      <c r="P487" s="179"/>
      <c r="Q487" s="179"/>
      <c r="R487" s="179"/>
      <c r="S487" s="179"/>
      <c r="T487" s="179"/>
      <c r="U487" s="179"/>
      <c r="V487" s="179"/>
      <c r="W487" s="192"/>
      <c r="X487" s="192"/>
      <c r="Y487" s="192"/>
      <c r="Z487" s="158"/>
      <c r="AA487" s="158"/>
      <c r="AB487" s="158"/>
      <c r="AC487" s="158"/>
      <c r="AD487" s="158"/>
      <c r="AE487" s="158"/>
      <c r="AF487" s="158"/>
      <c r="AG487" s="158"/>
      <c r="AH487" s="158"/>
    </row>
    <row r="488" spans="1:34" ht="15.75" customHeight="1">
      <c r="A488" s="179"/>
      <c r="B488" s="180"/>
      <c r="C488" s="180"/>
      <c r="D488" s="179"/>
      <c r="E488" s="179"/>
      <c r="F488" s="179"/>
      <c r="G488" s="179"/>
      <c r="H488" s="181"/>
      <c r="I488" s="181"/>
      <c r="J488" s="181"/>
      <c r="K488" s="179"/>
      <c r="L488" s="179"/>
      <c r="M488" s="179"/>
      <c r="N488" s="181"/>
      <c r="O488" s="179"/>
      <c r="P488" s="179"/>
      <c r="Q488" s="179"/>
      <c r="R488" s="179"/>
      <c r="S488" s="179"/>
      <c r="T488" s="179"/>
      <c r="U488" s="179"/>
      <c r="V488" s="179"/>
      <c r="W488" s="192"/>
      <c r="X488" s="192"/>
      <c r="Y488" s="192"/>
      <c r="Z488" s="158"/>
      <c r="AA488" s="158"/>
      <c r="AB488" s="158"/>
      <c r="AC488" s="158"/>
      <c r="AD488" s="158"/>
      <c r="AE488" s="158"/>
      <c r="AF488" s="158"/>
      <c r="AG488" s="158"/>
      <c r="AH488" s="158"/>
    </row>
    <row r="489" spans="1:34" ht="15.75" customHeight="1">
      <c r="A489" s="179"/>
      <c r="B489" s="180"/>
      <c r="C489" s="180"/>
      <c r="D489" s="179"/>
      <c r="E489" s="179"/>
      <c r="F489" s="179"/>
      <c r="G489" s="179"/>
      <c r="H489" s="181"/>
      <c r="I489" s="181"/>
      <c r="J489" s="181"/>
      <c r="K489" s="179"/>
      <c r="L489" s="179"/>
      <c r="M489" s="179"/>
      <c r="N489" s="181"/>
      <c r="O489" s="179"/>
      <c r="P489" s="179"/>
      <c r="Q489" s="179"/>
      <c r="R489" s="179"/>
      <c r="S489" s="179"/>
      <c r="T489" s="179"/>
      <c r="U489" s="179"/>
      <c r="V489" s="179"/>
      <c r="W489" s="192"/>
      <c r="X489" s="192"/>
      <c r="Y489" s="192"/>
      <c r="Z489" s="158"/>
      <c r="AA489" s="158"/>
      <c r="AB489" s="158"/>
      <c r="AC489" s="158"/>
      <c r="AD489" s="158"/>
      <c r="AE489" s="158"/>
      <c r="AF489" s="158"/>
      <c r="AG489" s="158"/>
      <c r="AH489" s="158"/>
    </row>
    <row r="490" spans="1:34" ht="15.75" customHeight="1">
      <c r="A490" s="179"/>
      <c r="B490" s="180"/>
      <c r="C490" s="180"/>
      <c r="D490" s="179"/>
      <c r="E490" s="179"/>
      <c r="F490" s="179"/>
      <c r="G490" s="179"/>
      <c r="H490" s="181"/>
      <c r="I490" s="181"/>
      <c r="J490" s="181"/>
      <c r="K490" s="179"/>
      <c r="L490" s="179"/>
      <c r="M490" s="179"/>
      <c r="N490" s="181"/>
      <c r="O490" s="179"/>
      <c r="P490" s="179"/>
      <c r="Q490" s="179"/>
      <c r="R490" s="179"/>
      <c r="S490" s="179"/>
      <c r="T490" s="179"/>
      <c r="U490" s="179"/>
      <c r="V490" s="179"/>
      <c r="W490" s="192"/>
      <c r="X490" s="192"/>
      <c r="Y490" s="192"/>
      <c r="Z490" s="158"/>
      <c r="AA490" s="158"/>
      <c r="AB490" s="158"/>
      <c r="AC490" s="158"/>
      <c r="AD490" s="158"/>
      <c r="AE490" s="158"/>
      <c r="AF490" s="158"/>
      <c r="AG490" s="158"/>
      <c r="AH490" s="158"/>
    </row>
    <row r="491" spans="1:34" ht="15.75" customHeight="1">
      <c r="A491" s="179"/>
      <c r="B491" s="180"/>
      <c r="C491" s="180"/>
      <c r="D491" s="179"/>
      <c r="E491" s="179"/>
      <c r="F491" s="179"/>
      <c r="G491" s="179"/>
      <c r="H491" s="181"/>
      <c r="I491" s="181"/>
      <c r="J491" s="181"/>
      <c r="K491" s="179"/>
      <c r="L491" s="179"/>
      <c r="M491" s="179"/>
      <c r="N491" s="181"/>
      <c r="O491" s="179"/>
      <c r="P491" s="179"/>
      <c r="Q491" s="179"/>
      <c r="R491" s="179"/>
      <c r="S491" s="179"/>
      <c r="T491" s="179"/>
      <c r="U491" s="179"/>
      <c r="V491" s="179"/>
      <c r="W491" s="192"/>
      <c r="X491" s="192"/>
      <c r="Y491" s="192"/>
      <c r="Z491" s="158"/>
      <c r="AA491" s="158"/>
      <c r="AB491" s="158"/>
      <c r="AC491" s="158"/>
      <c r="AD491" s="158"/>
      <c r="AE491" s="158"/>
      <c r="AF491" s="158"/>
      <c r="AG491" s="158"/>
      <c r="AH491" s="158"/>
    </row>
    <row r="492" spans="1:34" ht="15.75" customHeight="1">
      <c r="A492" s="179"/>
      <c r="B492" s="180"/>
      <c r="C492" s="180"/>
      <c r="D492" s="179"/>
      <c r="E492" s="179"/>
      <c r="F492" s="179"/>
      <c r="G492" s="179"/>
      <c r="H492" s="181"/>
      <c r="I492" s="181"/>
      <c r="J492" s="181"/>
      <c r="K492" s="179"/>
      <c r="L492" s="179"/>
      <c r="M492" s="179"/>
      <c r="N492" s="181"/>
      <c r="O492" s="179"/>
      <c r="P492" s="179"/>
      <c r="Q492" s="179"/>
      <c r="R492" s="179"/>
      <c r="S492" s="179"/>
      <c r="T492" s="179"/>
      <c r="U492" s="179"/>
      <c r="V492" s="179"/>
      <c r="W492" s="192"/>
      <c r="X492" s="192"/>
      <c r="Y492" s="192"/>
      <c r="Z492" s="158"/>
      <c r="AA492" s="158"/>
      <c r="AB492" s="158"/>
      <c r="AC492" s="158"/>
      <c r="AD492" s="158"/>
      <c r="AE492" s="158"/>
      <c r="AF492" s="158"/>
      <c r="AG492" s="158"/>
      <c r="AH492" s="158"/>
    </row>
    <row r="493" spans="1:34" ht="15.75" customHeight="1">
      <c r="A493" s="179"/>
      <c r="B493" s="180"/>
      <c r="C493" s="180"/>
      <c r="D493" s="179"/>
      <c r="E493" s="179"/>
      <c r="F493" s="179"/>
      <c r="G493" s="179"/>
      <c r="H493" s="181"/>
      <c r="I493" s="181"/>
      <c r="J493" s="181"/>
      <c r="K493" s="179"/>
      <c r="L493" s="179"/>
      <c r="M493" s="179"/>
      <c r="N493" s="181"/>
      <c r="O493" s="179"/>
      <c r="P493" s="179"/>
      <c r="Q493" s="179"/>
      <c r="R493" s="179"/>
      <c r="S493" s="179"/>
      <c r="T493" s="179"/>
      <c r="U493" s="179"/>
      <c r="V493" s="179"/>
      <c r="W493" s="192"/>
      <c r="X493" s="192"/>
      <c r="Y493" s="192"/>
      <c r="Z493" s="158"/>
      <c r="AA493" s="158"/>
      <c r="AB493" s="158"/>
      <c r="AC493" s="158"/>
      <c r="AD493" s="158"/>
      <c r="AE493" s="158"/>
      <c r="AF493" s="158"/>
      <c r="AG493" s="158"/>
      <c r="AH493" s="158"/>
    </row>
    <row r="494" spans="1:34" ht="15.75" customHeight="1">
      <c r="A494" s="179"/>
      <c r="B494" s="180"/>
      <c r="C494" s="180"/>
      <c r="D494" s="179"/>
      <c r="E494" s="179"/>
      <c r="F494" s="179"/>
      <c r="G494" s="179"/>
      <c r="H494" s="181"/>
      <c r="I494" s="181"/>
      <c r="J494" s="181"/>
      <c r="K494" s="179"/>
      <c r="L494" s="179"/>
      <c r="M494" s="179"/>
      <c r="N494" s="181"/>
      <c r="O494" s="179"/>
      <c r="P494" s="179"/>
      <c r="Q494" s="179"/>
      <c r="R494" s="179"/>
      <c r="S494" s="179"/>
      <c r="T494" s="179"/>
      <c r="U494" s="179"/>
      <c r="V494" s="179"/>
      <c r="W494" s="192"/>
      <c r="X494" s="192"/>
      <c r="Y494" s="192"/>
      <c r="Z494" s="158"/>
      <c r="AA494" s="158"/>
      <c r="AB494" s="158"/>
      <c r="AC494" s="158"/>
      <c r="AD494" s="158"/>
      <c r="AE494" s="158"/>
      <c r="AF494" s="158"/>
      <c r="AG494" s="158"/>
      <c r="AH494" s="158"/>
    </row>
    <row r="495" spans="1:34" ht="15.75" customHeight="1">
      <c r="A495" s="179"/>
      <c r="B495" s="180"/>
      <c r="C495" s="180"/>
      <c r="D495" s="179"/>
      <c r="E495" s="179"/>
      <c r="F495" s="179"/>
      <c r="G495" s="179"/>
      <c r="H495" s="181"/>
      <c r="I495" s="181"/>
      <c r="J495" s="181"/>
      <c r="K495" s="179"/>
      <c r="L495" s="179"/>
      <c r="M495" s="179"/>
      <c r="N495" s="181"/>
      <c r="O495" s="179"/>
      <c r="P495" s="179"/>
      <c r="Q495" s="179"/>
      <c r="R495" s="179"/>
      <c r="S495" s="179"/>
      <c r="T495" s="179"/>
      <c r="U495" s="179"/>
      <c r="V495" s="179"/>
      <c r="W495" s="192"/>
      <c r="X495" s="192"/>
      <c r="Y495" s="192"/>
      <c r="Z495" s="158"/>
      <c r="AA495" s="158"/>
      <c r="AB495" s="158"/>
      <c r="AC495" s="158"/>
      <c r="AD495" s="158"/>
      <c r="AE495" s="158"/>
      <c r="AF495" s="158"/>
      <c r="AG495" s="158"/>
      <c r="AH495" s="158"/>
    </row>
    <row r="496" spans="1:34" ht="15.75" customHeight="1">
      <c r="A496" s="179"/>
      <c r="B496" s="180"/>
      <c r="C496" s="180"/>
      <c r="D496" s="179"/>
      <c r="E496" s="179"/>
      <c r="F496" s="179"/>
      <c r="G496" s="179"/>
      <c r="H496" s="181"/>
      <c r="I496" s="181"/>
      <c r="J496" s="181"/>
      <c r="K496" s="179"/>
      <c r="L496" s="179"/>
      <c r="M496" s="179"/>
      <c r="N496" s="181"/>
      <c r="O496" s="179"/>
      <c r="P496" s="179"/>
      <c r="Q496" s="179"/>
      <c r="R496" s="179"/>
      <c r="S496" s="179"/>
      <c r="T496" s="179"/>
      <c r="U496" s="179"/>
      <c r="V496" s="179"/>
      <c r="W496" s="192"/>
      <c r="X496" s="192"/>
      <c r="Y496" s="192"/>
      <c r="Z496" s="158"/>
      <c r="AA496" s="158"/>
      <c r="AB496" s="158"/>
      <c r="AC496" s="158"/>
      <c r="AD496" s="158"/>
      <c r="AE496" s="158"/>
      <c r="AF496" s="158"/>
      <c r="AG496" s="158"/>
      <c r="AH496" s="158"/>
    </row>
    <row r="497" spans="1:34" ht="15.75" customHeight="1">
      <c r="A497" s="179"/>
      <c r="B497" s="180"/>
      <c r="C497" s="180"/>
      <c r="D497" s="179"/>
      <c r="E497" s="179"/>
      <c r="F497" s="179"/>
      <c r="G497" s="179"/>
      <c r="H497" s="181"/>
      <c r="I497" s="181"/>
      <c r="J497" s="181"/>
      <c r="K497" s="179"/>
      <c r="L497" s="179"/>
      <c r="M497" s="179"/>
      <c r="N497" s="181"/>
      <c r="O497" s="179"/>
      <c r="P497" s="179"/>
      <c r="Q497" s="179"/>
      <c r="R497" s="179"/>
      <c r="S497" s="179"/>
      <c r="T497" s="179"/>
      <c r="U497" s="179"/>
      <c r="V497" s="179"/>
      <c r="W497" s="192"/>
      <c r="X497" s="192"/>
      <c r="Y497" s="192"/>
      <c r="Z497" s="158"/>
      <c r="AA497" s="158"/>
      <c r="AB497" s="158"/>
      <c r="AC497" s="158"/>
      <c r="AD497" s="158"/>
      <c r="AE497" s="158"/>
      <c r="AF497" s="158"/>
      <c r="AG497" s="158"/>
      <c r="AH497" s="158"/>
    </row>
    <row r="498" spans="1:34" ht="15.75" customHeight="1">
      <c r="A498" s="179"/>
      <c r="B498" s="180"/>
      <c r="C498" s="180"/>
      <c r="D498" s="179"/>
      <c r="E498" s="179"/>
      <c r="F498" s="179"/>
      <c r="G498" s="179"/>
      <c r="H498" s="181"/>
      <c r="I498" s="181"/>
      <c r="J498" s="181"/>
      <c r="K498" s="179"/>
      <c r="L498" s="179"/>
      <c r="M498" s="179"/>
      <c r="N498" s="181"/>
      <c r="O498" s="179"/>
      <c r="P498" s="179"/>
      <c r="Q498" s="179"/>
      <c r="R498" s="179"/>
      <c r="S498" s="179"/>
      <c r="T498" s="179"/>
      <c r="U498" s="179"/>
      <c r="V498" s="179"/>
      <c r="W498" s="192"/>
      <c r="X498" s="192"/>
      <c r="Y498" s="192"/>
      <c r="Z498" s="158"/>
      <c r="AA498" s="158"/>
      <c r="AB498" s="158"/>
      <c r="AC498" s="158"/>
      <c r="AD498" s="158"/>
      <c r="AE498" s="158"/>
      <c r="AF498" s="158"/>
      <c r="AG498" s="158"/>
      <c r="AH498" s="158"/>
    </row>
    <row r="499" spans="1:34" ht="15.75" customHeight="1">
      <c r="A499" s="179"/>
      <c r="B499" s="180"/>
      <c r="C499" s="180"/>
      <c r="D499" s="179"/>
      <c r="E499" s="179"/>
      <c r="F499" s="179"/>
      <c r="G499" s="179"/>
      <c r="H499" s="181"/>
      <c r="I499" s="181"/>
      <c r="J499" s="181"/>
      <c r="K499" s="179"/>
      <c r="L499" s="179"/>
      <c r="M499" s="179"/>
      <c r="N499" s="181"/>
      <c r="O499" s="179"/>
      <c r="P499" s="179"/>
      <c r="Q499" s="179"/>
      <c r="R499" s="179"/>
      <c r="S499" s="179"/>
      <c r="T499" s="179"/>
      <c r="U499" s="179"/>
      <c r="V499" s="179"/>
      <c r="W499" s="192"/>
      <c r="X499" s="192"/>
      <c r="Y499" s="192"/>
      <c r="Z499" s="158"/>
      <c r="AA499" s="158"/>
      <c r="AB499" s="158"/>
      <c r="AC499" s="158"/>
      <c r="AD499" s="158"/>
      <c r="AE499" s="158"/>
      <c r="AF499" s="158"/>
      <c r="AG499" s="158"/>
      <c r="AH499" s="158"/>
    </row>
    <row r="500" spans="1:34" ht="15.75" customHeight="1">
      <c r="A500" s="179"/>
      <c r="B500" s="180"/>
      <c r="C500" s="180"/>
      <c r="D500" s="179"/>
      <c r="E500" s="179"/>
      <c r="F500" s="179"/>
      <c r="G500" s="179"/>
      <c r="H500" s="181"/>
      <c r="I500" s="181"/>
      <c r="J500" s="181"/>
      <c r="K500" s="179"/>
      <c r="L500" s="179"/>
      <c r="M500" s="179"/>
      <c r="N500" s="181"/>
      <c r="O500" s="179"/>
      <c r="P500" s="179"/>
      <c r="Q500" s="179"/>
      <c r="R500" s="179"/>
      <c r="S500" s="179"/>
      <c r="T500" s="179"/>
      <c r="U500" s="179"/>
      <c r="V500" s="179"/>
      <c r="W500" s="192"/>
      <c r="X500" s="192"/>
      <c r="Y500" s="192"/>
      <c r="Z500" s="158"/>
      <c r="AA500" s="158"/>
      <c r="AB500" s="158"/>
      <c r="AC500" s="158"/>
      <c r="AD500" s="158"/>
      <c r="AE500" s="158"/>
      <c r="AF500" s="158"/>
      <c r="AG500" s="158"/>
      <c r="AH500" s="158"/>
    </row>
    <row r="501" spans="1:34" ht="15.75" customHeight="1">
      <c r="A501" s="179"/>
      <c r="B501" s="180"/>
      <c r="C501" s="180"/>
      <c r="D501" s="179"/>
      <c r="E501" s="179"/>
      <c r="F501" s="179"/>
      <c r="G501" s="179"/>
      <c r="H501" s="181"/>
      <c r="I501" s="181"/>
      <c r="J501" s="181"/>
      <c r="K501" s="179"/>
      <c r="L501" s="179"/>
      <c r="M501" s="179"/>
      <c r="N501" s="181"/>
      <c r="O501" s="179"/>
      <c r="P501" s="179"/>
      <c r="Q501" s="179"/>
      <c r="R501" s="179"/>
      <c r="S501" s="179"/>
      <c r="T501" s="179"/>
      <c r="U501" s="179"/>
      <c r="V501" s="179"/>
      <c r="W501" s="192"/>
      <c r="X501" s="192"/>
      <c r="Y501" s="192"/>
      <c r="Z501" s="158"/>
      <c r="AA501" s="158"/>
      <c r="AB501" s="158"/>
      <c r="AC501" s="158"/>
      <c r="AD501" s="158"/>
      <c r="AE501" s="158"/>
      <c r="AF501" s="158"/>
      <c r="AG501" s="158"/>
      <c r="AH501" s="158"/>
    </row>
    <row r="502" spans="1:34" ht="15.75" customHeight="1">
      <c r="A502" s="179"/>
      <c r="B502" s="180"/>
      <c r="C502" s="180"/>
      <c r="D502" s="179"/>
      <c r="E502" s="179"/>
      <c r="F502" s="179"/>
      <c r="G502" s="179"/>
      <c r="H502" s="181"/>
      <c r="I502" s="181"/>
      <c r="J502" s="181"/>
      <c r="K502" s="179"/>
      <c r="L502" s="179"/>
      <c r="M502" s="179"/>
      <c r="N502" s="181"/>
      <c r="O502" s="179"/>
      <c r="P502" s="179"/>
      <c r="Q502" s="179"/>
      <c r="R502" s="179"/>
      <c r="S502" s="179"/>
      <c r="T502" s="179"/>
      <c r="U502" s="179"/>
      <c r="V502" s="179"/>
      <c r="W502" s="192"/>
      <c r="X502" s="192"/>
      <c r="Y502" s="192"/>
      <c r="Z502" s="158"/>
      <c r="AA502" s="158"/>
      <c r="AB502" s="158"/>
      <c r="AC502" s="158"/>
      <c r="AD502" s="158"/>
      <c r="AE502" s="158"/>
      <c r="AF502" s="158"/>
      <c r="AG502" s="158"/>
      <c r="AH502" s="158"/>
    </row>
    <row r="503" spans="1:34" ht="15.75" customHeight="1">
      <c r="A503" s="179"/>
      <c r="B503" s="180"/>
      <c r="C503" s="180"/>
      <c r="D503" s="179"/>
      <c r="E503" s="179"/>
      <c r="F503" s="179"/>
      <c r="G503" s="179"/>
      <c r="H503" s="181"/>
      <c r="I503" s="181"/>
      <c r="J503" s="181"/>
      <c r="K503" s="179"/>
      <c r="L503" s="179"/>
      <c r="M503" s="179"/>
      <c r="N503" s="181"/>
      <c r="O503" s="179"/>
      <c r="P503" s="179"/>
      <c r="Q503" s="179"/>
      <c r="R503" s="179"/>
      <c r="S503" s="179"/>
      <c r="T503" s="179"/>
      <c r="U503" s="179"/>
      <c r="V503" s="179"/>
      <c r="W503" s="192"/>
      <c r="X503" s="192"/>
      <c r="Y503" s="192"/>
      <c r="Z503" s="158"/>
      <c r="AA503" s="158"/>
      <c r="AB503" s="158"/>
      <c r="AC503" s="158"/>
      <c r="AD503" s="158"/>
      <c r="AE503" s="158"/>
      <c r="AF503" s="158"/>
      <c r="AG503" s="158"/>
      <c r="AH503" s="158"/>
    </row>
    <row r="504" spans="1:34" ht="15.75" customHeight="1">
      <c r="A504" s="179"/>
      <c r="B504" s="180"/>
      <c r="C504" s="180"/>
      <c r="D504" s="179"/>
      <c r="E504" s="179"/>
      <c r="F504" s="179"/>
      <c r="G504" s="179"/>
      <c r="H504" s="181"/>
      <c r="I504" s="181"/>
      <c r="J504" s="181"/>
      <c r="K504" s="179"/>
      <c r="L504" s="179"/>
      <c r="M504" s="179"/>
      <c r="N504" s="181"/>
      <c r="O504" s="179"/>
      <c r="P504" s="179"/>
      <c r="Q504" s="179"/>
      <c r="R504" s="179"/>
      <c r="S504" s="179"/>
      <c r="T504" s="179"/>
      <c r="U504" s="179"/>
      <c r="V504" s="179"/>
      <c r="W504" s="192"/>
      <c r="X504" s="192"/>
      <c r="Y504" s="192"/>
      <c r="Z504" s="158"/>
      <c r="AA504" s="158"/>
      <c r="AB504" s="158"/>
      <c r="AC504" s="158"/>
      <c r="AD504" s="158"/>
      <c r="AE504" s="158"/>
      <c r="AF504" s="158"/>
      <c r="AG504" s="158"/>
      <c r="AH504" s="158"/>
    </row>
    <row r="505" spans="1:34" ht="15.75" customHeight="1">
      <c r="A505" s="179"/>
      <c r="B505" s="180"/>
      <c r="C505" s="180"/>
      <c r="D505" s="179"/>
      <c r="E505" s="179"/>
      <c r="F505" s="179"/>
      <c r="G505" s="179"/>
      <c r="H505" s="181"/>
      <c r="I505" s="181"/>
      <c r="J505" s="181"/>
      <c r="K505" s="179"/>
      <c r="L505" s="179"/>
      <c r="M505" s="179"/>
      <c r="N505" s="181"/>
      <c r="O505" s="179"/>
      <c r="P505" s="179"/>
      <c r="Q505" s="179"/>
      <c r="R505" s="179"/>
      <c r="S505" s="179"/>
      <c r="T505" s="179"/>
      <c r="U505" s="179"/>
      <c r="V505" s="179"/>
      <c r="W505" s="192"/>
      <c r="X505" s="192"/>
      <c r="Y505" s="192"/>
      <c r="Z505" s="158"/>
      <c r="AA505" s="158"/>
      <c r="AB505" s="158"/>
      <c r="AC505" s="158"/>
      <c r="AD505" s="158"/>
      <c r="AE505" s="158"/>
      <c r="AF505" s="158"/>
      <c r="AG505" s="158"/>
      <c r="AH505" s="158"/>
    </row>
    <row r="506" spans="1:34" ht="15.75" customHeight="1">
      <c r="A506" s="179"/>
      <c r="B506" s="180"/>
      <c r="C506" s="180"/>
      <c r="D506" s="179"/>
      <c r="E506" s="179"/>
      <c r="F506" s="179"/>
      <c r="G506" s="179"/>
      <c r="H506" s="181"/>
      <c r="I506" s="181"/>
      <c r="J506" s="181"/>
      <c r="K506" s="179"/>
      <c r="L506" s="179"/>
      <c r="M506" s="179"/>
      <c r="N506" s="181"/>
      <c r="O506" s="179"/>
      <c r="P506" s="179"/>
      <c r="Q506" s="179"/>
      <c r="R506" s="179"/>
      <c r="S506" s="179"/>
      <c r="T506" s="179"/>
      <c r="U506" s="179"/>
      <c r="V506" s="179"/>
      <c r="W506" s="192"/>
      <c r="X506" s="192"/>
      <c r="Y506" s="192"/>
      <c r="Z506" s="158"/>
      <c r="AA506" s="158"/>
      <c r="AB506" s="158"/>
      <c r="AC506" s="158"/>
      <c r="AD506" s="158"/>
      <c r="AE506" s="158"/>
      <c r="AF506" s="158"/>
      <c r="AG506" s="158"/>
      <c r="AH506" s="158"/>
    </row>
    <row r="507" spans="1:34" ht="15.75" customHeight="1">
      <c r="A507" s="179"/>
      <c r="B507" s="180"/>
      <c r="C507" s="180"/>
      <c r="D507" s="179"/>
      <c r="E507" s="179"/>
      <c r="F507" s="179"/>
      <c r="G507" s="179"/>
      <c r="H507" s="181"/>
      <c r="I507" s="181"/>
      <c r="J507" s="181"/>
      <c r="K507" s="179"/>
      <c r="L507" s="179"/>
      <c r="M507" s="179"/>
      <c r="N507" s="181"/>
      <c r="O507" s="179"/>
      <c r="P507" s="179"/>
      <c r="Q507" s="179"/>
      <c r="R507" s="179"/>
      <c r="S507" s="179"/>
      <c r="T507" s="179"/>
      <c r="U507" s="179"/>
      <c r="V507" s="179"/>
      <c r="W507" s="192"/>
      <c r="X507" s="192"/>
      <c r="Y507" s="192"/>
      <c r="Z507" s="158"/>
      <c r="AA507" s="158"/>
      <c r="AB507" s="158"/>
      <c r="AC507" s="158"/>
      <c r="AD507" s="158"/>
      <c r="AE507" s="158"/>
      <c r="AF507" s="158"/>
      <c r="AG507" s="158"/>
      <c r="AH507" s="158"/>
    </row>
    <row r="508" spans="1:34" ht="15.75" customHeight="1">
      <c r="A508" s="179"/>
      <c r="B508" s="180"/>
      <c r="C508" s="180"/>
      <c r="D508" s="179"/>
      <c r="E508" s="179"/>
      <c r="F508" s="179"/>
      <c r="G508" s="179"/>
      <c r="H508" s="181"/>
      <c r="I508" s="181"/>
      <c r="J508" s="181"/>
      <c r="K508" s="179"/>
      <c r="L508" s="179"/>
      <c r="M508" s="179"/>
      <c r="N508" s="181"/>
      <c r="O508" s="179"/>
      <c r="P508" s="179"/>
      <c r="Q508" s="179"/>
      <c r="R508" s="179"/>
      <c r="S508" s="179"/>
      <c r="T508" s="179"/>
      <c r="U508" s="179"/>
      <c r="V508" s="179"/>
      <c r="W508" s="192"/>
      <c r="X508" s="192"/>
      <c r="Y508" s="192"/>
      <c r="Z508" s="158"/>
      <c r="AA508" s="158"/>
      <c r="AB508" s="158"/>
      <c r="AC508" s="158"/>
      <c r="AD508" s="158"/>
      <c r="AE508" s="158"/>
      <c r="AF508" s="158"/>
      <c r="AG508" s="158"/>
      <c r="AH508" s="158"/>
    </row>
    <row r="509" spans="1:34" ht="15.75" customHeight="1">
      <c r="A509" s="179"/>
      <c r="B509" s="180"/>
      <c r="C509" s="180"/>
      <c r="D509" s="179"/>
      <c r="E509" s="179"/>
      <c r="F509" s="179"/>
      <c r="G509" s="179"/>
      <c r="H509" s="181"/>
      <c r="I509" s="181"/>
      <c r="J509" s="181"/>
      <c r="K509" s="179"/>
      <c r="L509" s="179"/>
      <c r="M509" s="179"/>
      <c r="N509" s="181"/>
      <c r="O509" s="179"/>
      <c r="P509" s="179"/>
      <c r="Q509" s="179"/>
      <c r="R509" s="179"/>
      <c r="S509" s="179"/>
      <c r="T509" s="179"/>
      <c r="U509" s="179"/>
      <c r="V509" s="179"/>
      <c r="W509" s="192"/>
      <c r="X509" s="192"/>
      <c r="Y509" s="192"/>
      <c r="Z509" s="158"/>
      <c r="AA509" s="158"/>
      <c r="AB509" s="158"/>
      <c r="AC509" s="158"/>
      <c r="AD509" s="158"/>
      <c r="AE509" s="158"/>
      <c r="AF509" s="158"/>
      <c r="AG509" s="158"/>
      <c r="AH509" s="158"/>
    </row>
    <row r="510" spans="1:34" ht="15.75" customHeight="1">
      <c r="A510" s="179"/>
      <c r="B510" s="180"/>
      <c r="C510" s="180"/>
      <c r="D510" s="179"/>
      <c r="E510" s="179"/>
      <c r="F510" s="179"/>
      <c r="G510" s="179"/>
      <c r="H510" s="181"/>
      <c r="I510" s="181"/>
      <c r="J510" s="181"/>
      <c r="K510" s="179"/>
      <c r="L510" s="179"/>
      <c r="M510" s="179"/>
      <c r="N510" s="181"/>
      <c r="O510" s="179"/>
      <c r="P510" s="179"/>
      <c r="Q510" s="179"/>
      <c r="R510" s="179"/>
      <c r="S510" s="179"/>
      <c r="T510" s="179"/>
      <c r="U510" s="179"/>
      <c r="V510" s="179"/>
      <c r="W510" s="192"/>
      <c r="X510" s="192"/>
      <c r="Y510" s="192"/>
      <c r="Z510" s="158"/>
      <c r="AA510" s="158"/>
      <c r="AB510" s="158"/>
      <c r="AC510" s="158"/>
      <c r="AD510" s="158"/>
      <c r="AE510" s="158"/>
      <c r="AF510" s="158"/>
      <c r="AG510" s="158"/>
      <c r="AH510" s="158"/>
    </row>
    <row r="511" spans="1:34" ht="15.75" customHeight="1">
      <c r="A511" s="179"/>
      <c r="B511" s="180"/>
      <c r="C511" s="180"/>
      <c r="D511" s="179"/>
      <c r="E511" s="179"/>
      <c r="F511" s="179"/>
      <c r="G511" s="179"/>
      <c r="H511" s="181"/>
      <c r="I511" s="181"/>
      <c r="J511" s="181"/>
      <c r="K511" s="179"/>
      <c r="L511" s="179"/>
      <c r="M511" s="179"/>
      <c r="N511" s="181"/>
      <c r="O511" s="179"/>
      <c r="P511" s="179"/>
      <c r="Q511" s="179"/>
      <c r="R511" s="179"/>
      <c r="S511" s="179"/>
      <c r="T511" s="179"/>
      <c r="U511" s="179"/>
      <c r="V511" s="179"/>
      <c r="W511" s="192"/>
      <c r="X511" s="192"/>
      <c r="Y511" s="192"/>
      <c r="Z511" s="158"/>
      <c r="AA511" s="158"/>
      <c r="AB511" s="158"/>
      <c r="AC511" s="158"/>
      <c r="AD511" s="158"/>
      <c r="AE511" s="158"/>
      <c r="AF511" s="158"/>
      <c r="AG511" s="158"/>
      <c r="AH511" s="158"/>
    </row>
    <row r="512" spans="1:34" ht="15.75" customHeight="1">
      <c r="A512" s="179"/>
      <c r="B512" s="180"/>
      <c r="C512" s="180"/>
      <c r="D512" s="179"/>
      <c r="E512" s="179"/>
      <c r="F512" s="179"/>
      <c r="G512" s="179"/>
      <c r="H512" s="181"/>
      <c r="I512" s="181"/>
      <c r="J512" s="181"/>
      <c r="K512" s="179"/>
      <c r="L512" s="179"/>
      <c r="M512" s="179"/>
      <c r="N512" s="181"/>
      <c r="O512" s="179"/>
      <c r="P512" s="179"/>
      <c r="Q512" s="179"/>
      <c r="R512" s="179"/>
      <c r="S512" s="179"/>
      <c r="T512" s="179"/>
      <c r="U512" s="179"/>
      <c r="V512" s="179"/>
      <c r="W512" s="192"/>
      <c r="X512" s="192"/>
      <c r="Y512" s="192"/>
      <c r="Z512" s="158"/>
      <c r="AA512" s="158"/>
      <c r="AB512" s="158"/>
      <c r="AC512" s="158"/>
      <c r="AD512" s="158"/>
      <c r="AE512" s="158"/>
      <c r="AF512" s="158"/>
      <c r="AG512" s="158"/>
      <c r="AH512" s="158"/>
    </row>
    <row r="513" spans="1:34" ht="15.75" customHeight="1">
      <c r="A513" s="179"/>
      <c r="B513" s="180"/>
      <c r="C513" s="180"/>
      <c r="D513" s="179"/>
      <c r="E513" s="179"/>
      <c r="F513" s="179"/>
      <c r="G513" s="179"/>
      <c r="H513" s="181"/>
      <c r="I513" s="181"/>
      <c r="J513" s="181"/>
      <c r="K513" s="179"/>
      <c r="L513" s="179"/>
      <c r="M513" s="179"/>
      <c r="N513" s="181"/>
      <c r="O513" s="179"/>
      <c r="P513" s="179"/>
      <c r="Q513" s="179"/>
      <c r="R513" s="179"/>
      <c r="S513" s="179"/>
      <c r="T513" s="179"/>
      <c r="U513" s="179"/>
      <c r="V513" s="179"/>
      <c r="W513" s="192"/>
      <c r="X513" s="192"/>
      <c r="Y513" s="192"/>
      <c r="Z513" s="158"/>
      <c r="AA513" s="158"/>
      <c r="AB513" s="158"/>
      <c r="AC513" s="158"/>
      <c r="AD513" s="158"/>
      <c r="AE513" s="158"/>
      <c r="AF513" s="158"/>
      <c r="AG513" s="158"/>
      <c r="AH513" s="158"/>
    </row>
    <row r="514" spans="1:34" ht="15.75" customHeight="1">
      <c r="A514" s="179"/>
      <c r="B514" s="180"/>
      <c r="C514" s="180"/>
      <c r="D514" s="179"/>
      <c r="E514" s="179"/>
      <c r="F514" s="179"/>
      <c r="G514" s="179"/>
      <c r="H514" s="181"/>
      <c r="I514" s="181"/>
      <c r="J514" s="181"/>
      <c r="K514" s="179"/>
      <c r="L514" s="179"/>
      <c r="M514" s="179"/>
      <c r="N514" s="181"/>
      <c r="O514" s="179"/>
      <c r="P514" s="179"/>
      <c r="Q514" s="179"/>
      <c r="R514" s="179"/>
      <c r="S514" s="179"/>
      <c r="T514" s="179"/>
      <c r="U514" s="179"/>
      <c r="V514" s="179"/>
      <c r="W514" s="192"/>
      <c r="X514" s="192"/>
      <c r="Y514" s="192"/>
      <c r="Z514" s="158"/>
      <c r="AA514" s="158"/>
      <c r="AB514" s="158"/>
      <c r="AC514" s="158"/>
      <c r="AD514" s="158"/>
      <c r="AE514" s="158"/>
      <c r="AF514" s="158"/>
      <c r="AG514" s="158"/>
      <c r="AH514" s="158"/>
    </row>
    <row r="515" spans="1:34" ht="15.75" customHeight="1">
      <c r="A515" s="179"/>
      <c r="B515" s="180"/>
      <c r="C515" s="180"/>
      <c r="D515" s="179"/>
      <c r="E515" s="179"/>
      <c r="F515" s="179"/>
      <c r="G515" s="179"/>
      <c r="H515" s="181"/>
      <c r="I515" s="181"/>
      <c r="J515" s="181"/>
      <c r="K515" s="179"/>
      <c r="L515" s="179"/>
      <c r="M515" s="179"/>
      <c r="N515" s="181"/>
      <c r="O515" s="179"/>
      <c r="P515" s="179"/>
      <c r="Q515" s="179"/>
      <c r="R515" s="179"/>
      <c r="S515" s="179"/>
      <c r="T515" s="179"/>
      <c r="U515" s="179"/>
      <c r="V515" s="179"/>
      <c r="W515" s="192"/>
      <c r="X515" s="192"/>
      <c r="Y515" s="192"/>
      <c r="Z515" s="158"/>
      <c r="AA515" s="158"/>
      <c r="AB515" s="158"/>
      <c r="AC515" s="158"/>
      <c r="AD515" s="158"/>
      <c r="AE515" s="158"/>
      <c r="AF515" s="158"/>
      <c r="AG515" s="158"/>
      <c r="AH515" s="158"/>
    </row>
    <row r="516" spans="1:34" ht="15.75" customHeight="1">
      <c r="A516" s="179"/>
      <c r="B516" s="180"/>
      <c r="C516" s="180"/>
      <c r="D516" s="179"/>
      <c r="E516" s="179"/>
      <c r="F516" s="179"/>
      <c r="G516" s="179"/>
      <c r="H516" s="181"/>
      <c r="I516" s="181"/>
      <c r="J516" s="181"/>
      <c r="K516" s="179"/>
      <c r="L516" s="179"/>
      <c r="M516" s="179"/>
      <c r="N516" s="181"/>
      <c r="O516" s="179"/>
      <c r="P516" s="179"/>
      <c r="Q516" s="179"/>
      <c r="R516" s="179"/>
      <c r="S516" s="179"/>
      <c r="T516" s="179"/>
      <c r="U516" s="179"/>
      <c r="V516" s="179"/>
      <c r="W516" s="192"/>
      <c r="X516" s="192"/>
      <c r="Y516" s="192"/>
      <c r="Z516" s="158"/>
      <c r="AA516" s="158"/>
      <c r="AB516" s="158"/>
      <c r="AC516" s="158"/>
      <c r="AD516" s="158"/>
      <c r="AE516" s="158"/>
      <c r="AF516" s="158"/>
      <c r="AG516" s="158"/>
      <c r="AH516" s="158"/>
    </row>
    <row r="517" spans="1:34" ht="15.75" customHeight="1">
      <c r="A517" s="179"/>
      <c r="B517" s="180"/>
      <c r="C517" s="180"/>
      <c r="D517" s="179"/>
      <c r="E517" s="179"/>
      <c r="F517" s="179"/>
      <c r="G517" s="179"/>
      <c r="H517" s="181"/>
      <c r="I517" s="181"/>
      <c r="J517" s="181"/>
      <c r="K517" s="179"/>
      <c r="L517" s="179"/>
      <c r="M517" s="179"/>
      <c r="N517" s="181"/>
      <c r="O517" s="179"/>
      <c r="P517" s="179"/>
      <c r="Q517" s="179"/>
      <c r="R517" s="179"/>
      <c r="S517" s="179"/>
      <c r="T517" s="179"/>
      <c r="U517" s="179"/>
      <c r="V517" s="179"/>
      <c r="W517" s="192"/>
      <c r="X517" s="192"/>
      <c r="Y517" s="192"/>
      <c r="Z517" s="158"/>
      <c r="AA517" s="158"/>
      <c r="AB517" s="158"/>
      <c r="AC517" s="158"/>
      <c r="AD517" s="158"/>
      <c r="AE517" s="158"/>
      <c r="AF517" s="158"/>
      <c r="AG517" s="158"/>
      <c r="AH517" s="158"/>
    </row>
    <row r="518" spans="1:34" ht="15.75" customHeight="1">
      <c r="A518" s="179"/>
      <c r="B518" s="180"/>
      <c r="C518" s="180"/>
      <c r="D518" s="179"/>
      <c r="E518" s="179"/>
      <c r="F518" s="179"/>
      <c r="G518" s="179"/>
      <c r="H518" s="181"/>
      <c r="I518" s="181"/>
      <c r="J518" s="181"/>
      <c r="K518" s="179"/>
      <c r="L518" s="179"/>
      <c r="M518" s="179"/>
      <c r="N518" s="181"/>
      <c r="O518" s="179"/>
      <c r="P518" s="179"/>
      <c r="Q518" s="179"/>
      <c r="R518" s="179"/>
      <c r="S518" s="179"/>
      <c r="T518" s="179"/>
      <c r="U518" s="179"/>
      <c r="V518" s="179"/>
      <c r="W518" s="192"/>
      <c r="X518" s="192"/>
      <c r="Y518" s="192"/>
      <c r="Z518" s="158"/>
      <c r="AA518" s="158"/>
      <c r="AB518" s="158"/>
      <c r="AC518" s="158"/>
      <c r="AD518" s="158"/>
      <c r="AE518" s="158"/>
      <c r="AF518" s="158"/>
      <c r="AG518" s="158"/>
      <c r="AH518" s="158"/>
    </row>
    <row r="519" spans="1:34" ht="15.75" customHeight="1">
      <c r="A519" s="179"/>
      <c r="B519" s="180"/>
      <c r="C519" s="180"/>
      <c r="D519" s="179"/>
      <c r="E519" s="179"/>
      <c r="F519" s="179"/>
      <c r="G519" s="179"/>
      <c r="H519" s="181"/>
      <c r="I519" s="181"/>
      <c r="J519" s="181"/>
      <c r="K519" s="179"/>
      <c r="L519" s="179"/>
      <c r="M519" s="179"/>
      <c r="N519" s="181"/>
      <c r="O519" s="179"/>
      <c r="P519" s="179"/>
      <c r="Q519" s="179"/>
      <c r="R519" s="179"/>
      <c r="S519" s="179"/>
      <c r="T519" s="179"/>
      <c r="U519" s="179"/>
      <c r="V519" s="179"/>
      <c r="W519" s="192"/>
      <c r="X519" s="192"/>
      <c r="Y519" s="192"/>
      <c r="Z519" s="158"/>
      <c r="AA519" s="158"/>
      <c r="AB519" s="158"/>
      <c r="AC519" s="158"/>
      <c r="AD519" s="158"/>
      <c r="AE519" s="158"/>
      <c r="AF519" s="158"/>
      <c r="AG519" s="158"/>
      <c r="AH519" s="158"/>
    </row>
    <row r="520" spans="1:34" ht="15.75" customHeight="1">
      <c r="A520" s="179"/>
      <c r="B520" s="180"/>
      <c r="C520" s="180"/>
      <c r="D520" s="179"/>
      <c r="E520" s="179"/>
      <c r="F520" s="179"/>
      <c r="G520" s="179"/>
      <c r="H520" s="181"/>
      <c r="I520" s="181"/>
      <c r="J520" s="181"/>
      <c r="K520" s="179"/>
      <c r="L520" s="179"/>
      <c r="M520" s="179"/>
      <c r="N520" s="181"/>
      <c r="O520" s="179"/>
      <c r="P520" s="179"/>
      <c r="Q520" s="179"/>
      <c r="R520" s="179"/>
      <c r="S520" s="179"/>
      <c r="T520" s="179"/>
      <c r="U520" s="179"/>
      <c r="V520" s="179"/>
      <c r="W520" s="192"/>
      <c r="X520" s="192"/>
      <c r="Y520" s="192"/>
      <c r="Z520" s="158"/>
      <c r="AA520" s="158"/>
      <c r="AB520" s="158"/>
      <c r="AC520" s="158"/>
      <c r="AD520" s="158"/>
      <c r="AE520" s="158"/>
      <c r="AF520" s="158"/>
      <c r="AG520" s="158"/>
      <c r="AH520" s="158"/>
    </row>
    <row r="521" spans="1:34" ht="15.75" customHeight="1">
      <c r="A521" s="179"/>
      <c r="B521" s="180"/>
      <c r="C521" s="180"/>
      <c r="D521" s="179"/>
      <c r="E521" s="179"/>
      <c r="F521" s="179"/>
      <c r="G521" s="179"/>
      <c r="H521" s="181"/>
      <c r="I521" s="181"/>
      <c r="J521" s="181"/>
      <c r="K521" s="179"/>
      <c r="L521" s="179"/>
      <c r="M521" s="179"/>
      <c r="N521" s="181"/>
      <c r="O521" s="179"/>
      <c r="P521" s="179"/>
      <c r="Q521" s="179"/>
      <c r="R521" s="179"/>
      <c r="S521" s="179"/>
      <c r="T521" s="179"/>
      <c r="U521" s="179"/>
      <c r="V521" s="179"/>
      <c r="W521" s="192"/>
      <c r="X521" s="192"/>
      <c r="Y521" s="192"/>
      <c r="Z521" s="158"/>
      <c r="AA521" s="158"/>
      <c r="AB521" s="158"/>
      <c r="AC521" s="158"/>
      <c r="AD521" s="158"/>
      <c r="AE521" s="158"/>
      <c r="AF521" s="158"/>
      <c r="AG521" s="158"/>
      <c r="AH521" s="158"/>
    </row>
    <row r="522" spans="1:34" ht="15.75" customHeight="1">
      <c r="A522" s="179"/>
      <c r="B522" s="180"/>
      <c r="C522" s="180"/>
      <c r="D522" s="179"/>
      <c r="E522" s="179"/>
      <c r="F522" s="179"/>
      <c r="G522" s="179"/>
      <c r="H522" s="181"/>
      <c r="I522" s="181"/>
      <c r="J522" s="181"/>
      <c r="K522" s="179"/>
      <c r="L522" s="179"/>
      <c r="M522" s="179"/>
      <c r="N522" s="181"/>
      <c r="O522" s="179"/>
      <c r="P522" s="179"/>
      <c r="Q522" s="179"/>
      <c r="R522" s="179"/>
      <c r="S522" s="179"/>
      <c r="T522" s="179"/>
      <c r="U522" s="179"/>
      <c r="V522" s="179"/>
      <c r="W522" s="192"/>
      <c r="X522" s="192"/>
      <c r="Y522" s="192"/>
      <c r="Z522" s="158"/>
      <c r="AA522" s="158"/>
      <c r="AB522" s="158"/>
      <c r="AC522" s="158"/>
      <c r="AD522" s="158"/>
      <c r="AE522" s="158"/>
      <c r="AF522" s="158"/>
      <c r="AG522" s="158"/>
      <c r="AH522" s="158"/>
    </row>
    <row r="523" spans="1:34" ht="15.75" customHeight="1">
      <c r="A523" s="179"/>
      <c r="B523" s="180"/>
      <c r="C523" s="180"/>
      <c r="D523" s="179"/>
      <c r="E523" s="179"/>
      <c r="F523" s="179"/>
      <c r="G523" s="179"/>
      <c r="H523" s="181"/>
      <c r="I523" s="181"/>
      <c r="J523" s="181"/>
      <c r="K523" s="179"/>
      <c r="L523" s="179"/>
      <c r="M523" s="179"/>
      <c r="N523" s="181"/>
      <c r="O523" s="179"/>
      <c r="P523" s="179"/>
      <c r="Q523" s="179"/>
      <c r="R523" s="179"/>
      <c r="S523" s="179"/>
      <c r="T523" s="179"/>
      <c r="U523" s="179"/>
      <c r="V523" s="179"/>
      <c r="W523" s="192"/>
      <c r="X523" s="192"/>
      <c r="Y523" s="192"/>
      <c r="Z523" s="158"/>
      <c r="AA523" s="158"/>
      <c r="AB523" s="158"/>
      <c r="AC523" s="158"/>
      <c r="AD523" s="158"/>
      <c r="AE523" s="158"/>
      <c r="AF523" s="158"/>
      <c r="AG523" s="158"/>
      <c r="AH523" s="158"/>
    </row>
    <row r="524" spans="1:34" ht="15.75" customHeight="1">
      <c r="A524" s="179"/>
      <c r="B524" s="180"/>
      <c r="C524" s="180"/>
      <c r="D524" s="179"/>
      <c r="E524" s="179"/>
      <c r="F524" s="179"/>
      <c r="G524" s="179"/>
      <c r="H524" s="181"/>
      <c r="I524" s="181"/>
      <c r="J524" s="181"/>
      <c r="K524" s="179"/>
      <c r="L524" s="179"/>
      <c r="M524" s="179"/>
      <c r="N524" s="181"/>
      <c r="O524" s="179"/>
      <c r="P524" s="179"/>
      <c r="Q524" s="179"/>
      <c r="R524" s="179"/>
      <c r="S524" s="179"/>
      <c r="T524" s="179"/>
      <c r="U524" s="179"/>
      <c r="V524" s="179"/>
      <c r="W524" s="192"/>
      <c r="X524" s="192"/>
      <c r="Y524" s="192"/>
      <c r="Z524" s="158"/>
      <c r="AA524" s="158"/>
      <c r="AB524" s="158"/>
      <c r="AC524" s="158"/>
      <c r="AD524" s="158"/>
      <c r="AE524" s="158"/>
      <c r="AF524" s="158"/>
      <c r="AG524" s="158"/>
      <c r="AH524" s="158"/>
    </row>
    <row r="525" spans="1:34" ht="15.75" customHeight="1">
      <c r="A525" s="179"/>
      <c r="B525" s="180"/>
      <c r="C525" s="180"/>
      <c r="D525" s="179"/>
      <c r="E525" s="179"/>
      <c r="F525" s="179"/>
      <c r="G525" s="179"/>
      <c r="H525" s="181"/>
      <c r="I525" s="181"/>
      <c r="J525" s="181"/>
      <c r="K525" s="179"/>
      <c r="L525" s="179"/>
      <c r="M525" s="179"/>
      <c r="N525" s="181"/>
      <c r="O525" s="179"/>
      <c r="P525" s="179"/>
      <c r="Q525" s="179"/>
      <c r="R525" s="179"/>
      <c r="S525" s="179"/>
      <c r="T525" s="179"/>
      <c r="U525" s="179"/>
      <c r="V525" s="179"/>
      <c r="W525" s="192"/>
      <c r="X525" s="192"/>
      <c r="Y525" s="192"/>
      <c r="Z525" s="158"/>
      <c r="AA525" s="158"/>
      <c r="AB525" s="158"/>
      <c r="AC525" s="158"/>
      <c r="AD525" s="158"/>
      <c r="AE525" s="158"/>
      <c r="AF525" s="158"/>
      <c r="AG525" s="158"/>
      <c r="AH525" s="158"/>
    </row>
    <row r="526" spans="1:34" ht="15.75" customHeight="1">
      <c r="A526" s="179"/>
      <c r="B526" s="180"/>
      <c r="C526" s="180"/>
      <c r="D526" s="179"/>
      <c r="E526" s="179"/>
      <c r="F526" s="179"/>
      <c r="G526" s="179"/>
      <c r="H526" s="181"/>
      <c r="I526" s="181"/>
      <c r="J526" s="181"/>
      <c r="K526" s="179"/>
      <c r="L526" s="179"/>
      <c r="M526" s="179"/>
      <c r="N526" s="181"/>
      <c r="O526" s="179"/>
      <c r="P526" s="179"/>
      <c r="Q526" s="179"/>
      <c r="R526" s="179"/>
      <c r="S526" s="179"/>
      <c r="T526" s="179"/>
      <c r="U526" s="179"/>
      <c r="V526" s="179"/>
      <c r="W526" s="192"/>
      <c r="X526" s="192"/>
      <c r="Y526" s="192"/>
      <c r="Z526" s="158"/>
      <c r="AA526" s="158"/>
      <c r="AB526" s="158"/>
      <c r="AC526" s="158"/>
      <c r="AD526" s="158"/>
      <c r="AE526" s="158"/>
      <c r="AF526" s="158"/>
      <c r="AG526" s="158"/>
      <c r="AH526" s="158"/>
    </row>
    <row r="527" spans="1:34" ht="15.75" customHeight="1">
      <c r="A527" s="179"/>
      <c r="B527" s="180"/>
      <c r="C527" s="180"/>
      <c r="D527" s="179"/>
      <c r="E527" s="179"/>
      <c r="F527" s="179"/>
      <c r="G527" s="179"/>
      <c r="H527" s="181"/>
      <c r="I527" s="181"/>
      <c r="J527" s="181"/>
      <c r="K527" s="179"/>
      <c r="L527" s="179"/>
      <c r="M527" s="179"/>
      <c r="N527" s="181"/>
      <c r="O527" s="179"/>
      <c r="P527" s="179"/>
      <c r="Q527" s="179"/>
      <c r="R527" s="179"/>
      <c r="S527" s="179"/>
      <c r="T527" s="179"/>
      <c r="U527" s="179"/>
      <c r="V527" s="179"/>
      <c r="W527" s="192"/>
      <c r="X527" s="192"/>
      <c r="Y527" s="192"/>
      <c r="Z527" s="158"/>
      <c r="AA527" s="158"/>
      <c r="AB527" s="158"/>
      <c r="AC527" s="158"/>
      <c r="AD527" s="158"/>
      <c r="AE527" s="158"/>
      <c r="AF527" s="158"/>
      <c r="AG527" s="158"/>
      <c r="AH527" s="158"/>
    </row>
    <row r="528" spans="1:34" ht="15.75" customHeight="1">
      <c r="A528" s="179"/>
      <c r="B528" s="180"/>
      <c r="C528" s="180"/>
      <c r="D528" s="179"/>
      <c r="E528" s="179"/>
      <c r="F528" s="179"/>
      <c r="G528" s="179"/>
      <c r="H528" s="181"/>
      <c r="I528" s="181"/>
      <c r="J528" s="181"/>
      <c r="K528" s="179"/>
      <c r="L528" s="179"/>
      <c r="M528" s="179"/>
      <c r="N528" s="181"/>
      <c r="O528" s="179"/>
      <c r="P528" s="179"/>
      <c r="Q528" s="179"/>
      <c r="R528" s="179"/>
      <c r="S528" s="179"/>
      <c r="T528" s="179"/>
      <c r="U528" s="179"/>
      <c r="V528" s="179"/>
      <c r="W528" s="192"/>
      <c r="X528" s="192"/>
      <c r="Y528" s="192"/>
      <c r="Z528" s="158"/>
      <c r="AA528" s="158"/>
      <c r="AB528" s="158"/>
      <c r="AC528" s="158"/>
      <c r="AD528" s="158"/>
      <c r="AE528" s="158"/>
      <c r="AF528" s="158"/>
      <c r="AG528" s="158"/>
      <c r="AH528" s="158"/>
    </row>
    <row r="529" spans="1:34" ht="15.75" customHeight="1">
      <c r="A529" s="179"/>
      <c r="B529" s="180"/>
      <c r="C529" s="180"/>
      <c r="D529" s="179"/>
      <c r="E529" s="179"/>
      <c r="F529" s="179"/>
      <c r="G529" s="179"/>
      <c r="H529" s="181"/>
      <c r="I529" s="181"/>
      <c r="J529" s="181"/>
      <c r="K529" s="179"/>
      <c r="L529" s="179"/>
      <c r="M529" s="179"/>
      <c r="N529" s="181"/>
      <c r="O529" s="179"/>
      <c r="P529" s="179"/>
      <c r="Q529" s="179"/>
      <c r="R529" s="179"/>
      <c r="S529" s="179"/>
      <c r="T529" s="179"/>
      <c r="U529" s="179"/>
      <c r="V529" s="179"/>
      <c r="W529" s="192"/>
      <c r="X529" s="192"/>
      <c r="Y529" s="192"/>
      <c r="Z529" s="158"/>
      <c r="AA529" s="158"/>
      <c r="AB529" s="158"/>
      <c r="AC529" s="158"/>
      <c r="AD529" s="158"/>
      <c r="AE529" s="158"/>
      <c r="AF529" s="158"/>
      <c r="AG529" s="158"/>
      <c r="AH529" s="158"/>
    </row>
    <row r="530" spans="1:34" ht="15.75" customHeight="1">
      <c r="A530" s="179"/>
      <c r="B530" s="180"/>
      <c r="C530" s="180"/>
      <c r="D530" s="179"/>
      <c r="E530" s="179"/>
      <c r="F530" s="179"/>
      <c r="G530" s="179"/>
      <c r="H530" s="181"/>
      <c r="I530" s="181"/>
      <c r="J530" s="181"/>
      <c r="K530" s="179"/>
      <c r="L530" s="179"/>
      <c r="M530" s="179"/>
      <c r="N530" s="181"/>
      <c r="O530" s="179"/>
      <c r="P530" s="179"/>
      <c r="Q530" s="179"/>
      <c r="R530" s="179"/>
      <c r="S530" s="179"/>
      <c r="T530" s="179"/>
      <c r="U530" s="179"/>
      <c r="V530" s="179"/>
      <c r="W530" s="192"/>
      <c r="X530" s="192"/>
      <c r="Y530" s="192"/>
      <c r="Z530" s="158"/>
      <c r="AA530" s="158"/>
      <c r="AB530" s="158"/>
      <c r="AC530" s="158"/>
      <c r="AD530" s="158"/>
      <c r="AE530" s="158"/>
      <c r="AF530" s="158"/>
      <c r="AG530" s="158"/>
      <c r="AH530" s="158"/>
    </row>
    <row r="531" spans="1:34" ht="15.75" customHeight="1">
      <c r="A531" s="179"/>
      <c r="B531" s="180"/>
      <c r="C531" s="180"/>
      <c r="D531" s="179"/>
      <c r="E531" s="179"/>
      <c r="F531" s="179"/>
      <c r="G531" s="179"/>
      <c r="H531" s="181"/>
      <c r="I531" s="181"/>
      <c r="J531" s="181"/>
      <c r="K531" s="179"/>
      <c r="L531" s="179"/>
      <c r="M531" s="179"/>
      <c r="N531" s="181"/>
      <c r="O531" s="179"/>
      <c r="P531" s="179"/>
      <c r="Q531" s="179"/>
      <c r="R531" s="179"/>
      <c r="S531" s="179"/>
      <c r="T531" s="179"/>
      <c r="U531" s="179"/>
      <c r="V531" s="179"/>
      <c r="W531" s="192"/>
      <c r="X531" s="192"/>
      <c r="Y531" s="192"/>
      <c r="Z531" s="158"/>
      <c r="AA531" s="158"/>
      <c r="AB531" s="158"/>
      <c r="AC531" s="158"/>
      <c r="AD531" s="158"/>
      <c r="AE531" s="158"/>
      <c r="AF531" s="158"/>
      <c r="AG531" s="158"/>
      <c r="AH531" s="158"/>
    </row>
    <row r="532" spans="1:34" ht="15.75" customHeight="1">
      <c r="A532" s="179"/>
      <c r="B532" s="180"/>
      <c r="C532" s="180"/>
      <c r="D532" s="179"/>
      <c r="E532" s="179"/>
      <c r="F532" s="179"/>
      <c r="G532" s="179"/>
      <c r="H532" s="181"/>
      <c r="I532" s="181"/>
      <c r="J532" s="181"/>
      <c r="K532" s="179"/>
      <c r="L532" s="179"/>
      <c r="M532" s="179"/>
      <c r="N532" s="181"/>
      <c r="O532" s="179"/>
      <c r="P532" s="179"/>
      <c r="Q532" s="179"/>
      <c r="R532" s="179"/>
      <c r="S532" s="179"/>
      <c r="T532" s="179"/>
      <c r="U532" s="179"/>
      <c r="V532" s="179"/>
      <c r="W532" s="192"/>
      <c r="X532" s="192"/>
      <c r="Y532" s="192"/>
      <c r="Z532" s="158"/>
      <c r="AA532" s="158"/>
      <c r="AB532" s="158"/>
      <c r="AC532" s="158"/>
      <c r="AD532" s="158"/>
      <c r="AE532" s="158"/>
      <c r="AF532" s="158"/>
      <c r="AG532" s="158"/>
      <c r="AH532" s="158"/>
    </row>
    <row r="533" spans="1:34" ht="15.75" customHeight="1">
      <c r="A533" s="179"/>
      <c r="B533" s="180"/>
      <c r="C533" s="180"/>
      <c r="D533" s="179"/>
      <c r="E533" s="179"/>
      <c r="F533" s="179"/>
      <c r="G533" s="179"/>
      <c r="H533" s="181"/>
      <c r="I533" s="181"/>
      <c r="J533" s="181"/>
      <c r="K533" s="179"/>
      <c r="L533" s="179"/>
      <c r="M533" s="179"/>
      <c r="N533" s="181"/>
      <c r="O533" s="179"/>
      <c r="P533" s="179"/>
      <c r="Q533" s="179"/>
      <c r="R533" s="179"/>
      <c r="S533" s="179"/>
      <c r="T533" s="179"/>
      <c r="U533" s="179"/>
      <c r="V533" s="179"/>
      <c r="W533" s="192"/>
      <c r="X533" s="192"/>
      <c r="Y533" s="192"/>
      <c r="Z533" s="158"/>
      <c r="AA533" s="158"/>
      <c r="AB533" s="158"/>
      <c r="AC533" s="158"/>
      <c r="AD533" s="158"/>
      <c r="AE533" s="158"/>
      <c r="AF533" s="158"/>
      <c r="AG533" s="158"/>
      <c r="AH533" s="158"/>
    </row>
    <row r="534" spans="1:34" ht="15.75" customHeight="1">
      <c r="A534" s="179"/>
      <c r="B534" s="180"/>
      <c r="C534" s="180"/>
      <c r="D534" s="179"/>
      <c r="E534" s="179"/>
      <c r="F534" s="179"/>
      <c r="G534" s="179"/>
      <c r="H534" s="181"/>
      <c r="I534" s="181"/>
      <c r="J534" s="181"/>
      <c r="K534" s="179"/>
      <c r="L534" s="179"/>
      <c r="M534" s="179"/>
      <c r="N534" s="181"/>
      <c r="O534" s="179"/>
      <c r="P534" s="179"/>
      <c r="Q534" s="179"/>
      <c r="R534" s="179"/>
      <c r="S534" s="179"/>
      <c r="T534" s="179"/>
      <c r="U534" s="179"/>
      <c r="V534" s="179"/>
      <c r="W534" s="192"/>
      <c r="X534" s="192"/>
      <c r="Y534" s="192"/>
      <c r="Z534" s="158"/>
      <c r="AA534" s="158"/>
      <c r="AB534" s="158"/>
      <c r="AC534" s="158"/>
      <c r="AD534" s="158"/>
      <c r="AE534" s="158"/>
      <c r="AF534" s="158"/>
      <c r="AG534" s="158"/>
      <c r="AH534" s="158"/>
    </row>
    <row r="535" spans="1:34" ht="15.75" customHeight="1">
      <c r="A535" s="179"/>
      <c r="B535" s="180"/>
      <c r="C535" s="180"/>
      <c r="D535" s="179"/>
      <c r="E535" s="179"/>
      <c r="F535" s="179"/>
      <c r="G535" s="179"/>
      <c r="H535" s="181"/>
      <c r="I535" s="181"/>
      <c r="J535" s="181"/>
      <c r="K535" s="179"/>
      <c r="L535" s="179"/>
      <c r="M535" s="179"/>
      <c r="N535" s="181"/>
      <c r="O535" s="179"/>
      <c r="P535" s="179"/>
      <c r="Q535" s="179"/>
      <c r="R535" s="179"/>
      <c r="S535" s="179"/>
      <c r="T535" s="179"/>
      <c r="U535" s="179"/>
      <c r="V535" s="179"/>
      <c r="W535" s="192"/>
      <c r="X535" s="192"/>
      <c r="Y535" s="192"/>
      <c r="Z535" s="158"/>
      <c r="AA535" s="158"/>
      <c r="AB535" s="158"/>
      <c r="AC535" s="158"/>
      <c r="AD535" s="158"/>
      <c r="AE535" s="158"/>
      <c r="AF535" s="158"/>
      <c r="AG535" s="158"/>
      <c r="AH535" s="158"/>
    </row>
    <row r="536" spans="1:34" ht="15.75" customHeight="1">
      <c r="A536" s="179"/>
      <c r="B536" s="180"/>
      <c r="C536" s="180"/>
      <c r="D536" s="179"/>
      <c r="E536" s="179"/>
      <c r="F536" s="179"/>
      <c r="G536" s="179"/>
      <c r="H536" s="181"/>
      <c r="I536" s="181"/>
      <c r="J536" s="181"/>
      <c r="K536" s="179"/>
      <c r="L536" s="179"/>
      <c r="M536" s="179"/>
      <c r="N536" s="181"/>
      <c r="O536" s="179"/>
      <c r="P536" s="179"/>
      <c r="Q536" s="179"/>
      <c r="R536" s="179"/>
      <c r="S536" s="179"/>
      <c r="T536" s="179"/>
      <c r="U536" s="179"/>
      <c r="V536" s="179"/>
      <c r="W536" s="192"/>
      <c r="X536" s="192"/>
      <c r="Y536" s="192"/>
      <c r="Z536" s="158"/>
      <c r="AA536" s="158"/>
      <c r="AB536" s="158"/>
      <c r="AC536" s="158"/>
      <c r="AD536" s="158"/>
      <c r="AE536" s="158"/>
      <c r="AF536" s="158"/>
      <c r="AG536" s="158"/>
      <c r="AH536" s="158"/>
    </row>
    <row r="537" spans="1:34" ht="15.75" customHeight="1">
      <c r="A537" s="179"/>
      <c r="B537" s="180"/>
      <c r="C537" s="180"/>
      <c r="D537" s="179"/>
      <c r="E537" s="179"/>
      <c r="F537" s="179"/>
      <c r="G537" s="179"/>
      <c r="H537" s="181"/>
      <c r="I537" s="181"/>
      <c r="J537" s="181"/>
      <c r="K537" s="179"/>
      <c r="L537" s="179"/>
      <c r="M537" s="179"/>
      <c r="N537" s="181"/>
      <c r="O537" s="179"/>
      <c r="P537" s="179"/>
      <c r="Q537" s="179"/>
      <c r="R537" s="179"/>
      <c r="S537" s="179"/>
      <c r="T537" s="179"/>
      <c r="U537" s="179"/>
      <c r="V537" s="179"/>
      <c r="W537" s="192"/>
      <c r="X537" s="192"/>
      <c r="Y537" s="192"/>
      <c r="Z537" s="158"/>
      <c r="AA537" s="158"/>
      <c r="AB537" s="158"/>
      <c r="AC537" s="158"/>
      <c r="AD537" s="158"/>
      <c r="AE537" s="158"/>
      <c r="AF537" s="158"/>
      <c r="AG537" s="158"/>
      <c r="AH537" s="158"/>
    </row>
    <row r="538" spans="1:34" ht="15.75" customHeight="1">
      <c r="A538" s="179"/>
      <c r="B538" s="180"/>
      <c r="C538" s="180"/>
      <c r="D538" s="179"/>
      <c r="E538" s="179"/>
      <c r="F538" s="179"/>
      <c r="G538" s="179"/>
      <c r="H538" s="181"/>
      <c r="I538" s="181"/>
      <c r="J538" s="181"/>
      <c r="K538" s="179"/>
      <c r="L538" s="179"/>
      <c r="M538" s="179"/>
      <c r="N538" s="181"/>
      <c r="O538" s="179"/>
      <c r="P538" s="179"/>
      <c r="Q538" s="179"/>
      <c r="R538" s="179"/>
      <c r="S538" s="179"/>
      <c r="T538" s="179"/>
      <c r="U538" s="179"/>
      <c r="V538" s="179"/>
      <c r="W538" s="192"/>
      <c r="X538" s="192"/>
      <c r="Y538" s="192"/>
      <c r="Z538" s="158"/>
      <c r="AA538" s="158"/>
      <c r="AB538" s="158"/>
      <c r="AC538" s="158"/>
      <c r="AD538" s="158"/>
      <c r="AE538" s="158"/>
      <c r="AF538" s="158"/>
      <c r="AG538" s="158"/>
      <c r="AH538" s="158"/>
    </row>
    <row r="539" spans="1:34" ht="15.75" customHeight="1">
      <c r="A539" s="179"/>
      <c r="B539" s="180"/>
      <c r="C539" s="180"/>
      <c r="D539" s="179"/>
      <c r="E539" s="179"/>
      <c r="F539" s="179"/>
      <c r="G539" s="179"/>
      <c r="H539" s="181"/>
      <c r="I539" s="181"/>
      <c r="J539" s="181"/>
      <c r="K539" s="179"/>
      <c r="L539" s="179"/>
      <c r="M539" s="179"/>
      <c r="N539" s="181"/>
      <c r="O539" s="179"/>
      <c r="P539" s="179"/>
      <c r="Q539" s="179"/>
      <c r="R539" s="179"/>
      <c r="S539" s="179"/>
      <c r="T539" s="179"/>
      <c r="U539" s="179"/>
      <c r="V539" s="179"/>
      <c r="W539" s="192"/>
      <c r="X539" s="192"/>
      <c r="Y539" s="192"/>
      <c r="Z539" s="158"/>
      <c r="AA539" s="158"/>
      <c r="AB539" s="158"/>
      <c r="AC539" s="158"/>
      <c r="AD539" s="158"/>
      <c r="AE539" s="158"/>
      <c r="AF539" s="158"/>
      <c r="AG539" s="158"/>
      <c r="AH539" s="158"/>
    </row>
    <row r="540" spans="1:34" ht="15.75" customHeight="1">
      <c r="A540" s="179"/>
      <c r="B540" s="180"/>
      <c r="C540" s="180"/>
      <c r="D540" s="179"/>
      <c r="E540" s="179"/>
      <c r="F540" s="179"/>
      <c r="G540" s="179"/>
      <c r="H540" s="181"/>
      <c r="I540" s="181"/>
      <c r="J540" s="181"/>
      <c r="K540" s="179"/>
      <c r="L540" s="179"/>
      <c r="M540" s="179"/>
      <c r="N540" s="181"/>
      <c r="O540" s="179"/>
      <c r="P540" s="179"/>
      <c r="Q540" s="179"/>
      <c r="R540" s="179"/>
      <c r="S540" s="179"/>
      <c r="T540" s="179"/>
      <c r="U540" s="179"/>
      <c r="V540" s="179"/>
      <c r="W540" s="192"/>
      <c r="X540" s="192"/>
      <c r="Y540" s="192"/>
      <c r="Z540" s="158"/>
      <c r="AA540" s="158"/>
      <c r="AB540" s="158"/>
      <c r="AC540" s="158"/>
      <c r="AD540" s="158"/>
      <c r="AE540" s="158"/>
      <c r="AF540" s="158"/>
      <c r="AG540" s="158"/>
      <c r="AH540" s="158"/>
    </row>
    <row r="541" spans="1:34" ht="15.75" customHeight="1">
      <c r="A541" s="179"/>
      <c r="B541" s="180"/>
      <c r="C541" s="180"/>
      <c r="D541" s="179"/>
      <c r="E541" s="179"/>
      <c r="F541" s="179"/>
      <c r="G541" s="179"/>
      <c r="H541" s="181"/>
      <c r="I541" s="181"/>
      <c r="J541" s="181"/>
      <c r="K541" s="179"/>
      <c r="L541" s="179"/>
      <c r="M541" s="179"/>
      <c r="N541" s="181"/>
      <c r="O541" s="179"/>
      <c r="P541" s="179"/>
      <c r="Q541" s="179"/>
      <c r="R541" s="179"/>
      <c r="S541" s="179"/>
      <c r="T541" s="179"/>
      <c r="U541" s="179"/>
      <c r="V541" s="179"/>
      <c r="W541" s="192"/>
      <c r="X541" s="192"/>
      <c r="Y541" s="192"/>
      <c r="Z541" s="158"/>
      <c r="AA541" s="158"/>
      <c r="AB541" s="158"/>
      <c r="AC541" s="158"/>
      <c r="AD541" s="158"/>
      <c r="AE541" s="158"/>
      <c r="AF541" s="158"/>
      <c r="AG541" s="158"/>
      <c r="AH541" s="158"/>
    </row>
    <row r="542" spans="1:34" ht="15.75" customHeight="1">
      <c r="A542" s="179"/>
      <c r="B542" s="180"/>
      <c r="C542" s="180"/>
      <c r="D542" s="179"/>
      <c r="E542" s="179"/>
      <c r="F542" s="179"/>
      <c r="G542" s="179"/>
      <c r="H542" s="181"/>
      <c r="I542" s="181"/>
      <c r="J542" s="181"/>
      <c r="K542" s="179"/>
      <c r="L542" s="179"/>
      <c r="M542" s="179"/>
      <c r="N542" s="181"/>
      <c r="O542" s="179"/>
      <c r="P542" s="179"/>
      <c r="Q542" s="179"/>
      <c r="R542" s="179"/>
      <c r="S542" s="179"/>
      <c r="T542" s="179"/>
      <c r="U542" s="179"/>
      <c r="V542" s="179"/>
      <c r="W542" s="192"/>
      <c r="X542" s="192"/>
      <c r="Y542" s="192"/>
      <c r="Z542" s="158"/>
      <c r="AA542" s="158"/>
      <c r="AB542" s="158"/>
      <c r="AC542" s="158"/>
      <c r="AD542" s="158"/>
      <c r="AE542" s="158"/>
      <c r="AF542" s="158"/>
      <c r="AG542" s="158"/>
      <c r="AH542" s="158"/>
    </row>
    <row r="543" spans="1:34" ht="15.75" customHeight="1">
      <c r="A543" s="179"/>
      <c r="B543" s="180"/>
      <c r="C543" s="180"/>
      <c r="D543" s="179"/>
      <c r="E543" s="179"/>
      <c r="F543" s="179"/>
      <c r="G543" s="179"/>
      <c r="H543" s="181"/>
      <c r="I543" s="181"/>
      <c r="J543" s="181"/>
      <c r="K543" s="179"/>
      <c r="L543" s="179"/>
      <c r="M543" s="179"/>
      <c r="N543" s="181"/>
      <c r="O543" s="179"/>
      <c r="P543" s="179"/>
      <c r="Q543" s="179"/>
      <c r="R543" s="179"/>
      <c r="S543" s="179"/>
      <c r="T543" s="179"/>
      <c r="U543" s="179"/>
      <c r="V543" s="179"/>
      <c r="W543" s="192"/>
      <c r="X543" s="192"/>
      <c r="Y543" s="192"/>
      <c r="Z543" s="158"/>
      <c r="AA543" s="158"/>
      <c r="AB543" s="158"/>
      <c r="AC543" s="158"/>
      <c r="AD543" s="158"/>
      <c r="AE543" s="158"/>
      <c r="AF543" s="158"/>
      <c r="AG543" s="158"/>
      <c r="AH543" s="158"/>
    </row>
    <row r="544" spans="1:34" ht="15.75" customHeight="1">
      <c r="A544" s="179"/>
      <c r="B544" s="180"/>
      <c r="C544" s="180"/>
      <c r="D544" s="179"/>
      <c r="E544" s="179"/>
      <c r="F544" s="179"/>
      <c r="G544" s="179"/>
      <c r="H544" s="181"/>
      <c r="I544" s="181"/>
      <c r="J544" s="181"/>
      <c r="K544" s="179"/>
      <c r="L544" s="179"/>
      <c r="M544" s="179"/>
      <c r="N544" s="181"/>
      <c r="O544" s="179"/>
      <c r="P544" s="179"/>
      <c r="Q544" s="179"/>
      <c r="R544" s="179"/>
      <c r="S544" s="179"/>
      <c r="T544" s="179"/>
      <c r="U544" s="179"/>
      <c r="V544" s="179"/>
      <c r="W544" s="192"/>
      <c r="X544" s="192"/>
      <c r="Y544" s="192"/>
      <c r="Z544" s="158"/>
      <c r="AA544" s="158"/>
      <c r="AB544" s="158"/>
      <c r="AC544" s="158"/>
      <c r="AD544" s="158"/>
      <c r="AE544" s="158"/>
      <c r="AF544" s="158"/>
      <c r="AG544" s="158"/>
      <c r="AH544" s="158"/>
    </row>
    <row r="545" spans="1:34" ht="15.75" customHeight="1">
      <c r="A545" s="179"/>
      <c r="B545" s="180"/>
      <c r="C545" s="180"/>
      <c r="D545" s="179"/>
      <c r="E545" s="179"/>
      <c r="F545" s="179"/>
      <c r="G545" s="179"/>
      <c r="H545" s="181"/>
      <c r="I545" s="181"/>
      <c r="J545" s="181"/>
      <c r="K545" s="179"/>
      <c r="L545" s="179"/>
      <c r="M545" s="179"/>
      <c r="N545" s="181"/>
      <c r="O545" s="179"/>
      <c r="P545" s="179"/>
      <c r="Q545" s="179"/>
      <c r="R545" s="179"/>
      <c r="S545" s="179"/>
      <c r="T545" s="179"/>
      <c r="U545" s="179"/>
      <c r="V545" s="179"/>
      <c r="W545" s="192"/>
      <c r="X545" s="192"/>
      <c r="Y545" s="192"/>
      <c r="Z545" s="158"/>
      <c r="AA545" s="158"/>
      <c r="AB545" s="158"/>
      <c r="AC545" s="158"/>
      <c r="AD545" s="158"/>
      <c r="AE545" s="158"/>
      <c r="AF545" s="158"/>
      <c r="AG545" s="158"/>
      <c r="AH545" s="158"/>
    </row>
    <row r="546" spans="1:34" ht="15.75" customHeight="1">
      <c r="A546" s="179"/>
      <c r="B546" s="180"/>
      <c r="C546" s="180"/>
      <c r="D546" s="179"/>
      <c r="E546" s="179"/>
      <c r="F546" s="179"/>
      <c r="G546" s="179"/>
      <c r="H546" s="181"/>
      <c r="I546" s="181"/>
      <c r="J546" s="181"/>
      <c r="K546" s="179"/>
      <c r="L546" s="179"/>
      <c r="M546" s="179"/>
      <c r="N546" s="181"/>
      <c r="O546" s="179"/>
      <c r="P546" s="179"/>
      <c r="Q546" s="179"/>
      <c r="R546" s="179"/>
      <c r="S546" s="179"/>
      <c r="T546" s="179"/>
      <c r="U546" s="179"/>
      <c r="V546" s="179"/>
      <c r="W546" s="192"/>
      <c r="X546" s="192"/>
      <c r="Y546" s="192"/>
      <c r="Z546" s="158"/>
      <c r="AA546" s="158"/>
      <c r="AB546" s="158"/>
      <c r="AC546" s="158"/>
      <c r="AD546" s="158"/>
      <c r="AE546" s="158"/>
      <c r="AF546" s="158"/>
      <c r="AG546" s="158"/>
      <c r="AH546" s="158"/>
    </row>
    <row r="547" spans="1:34" ht="15.75" customHeight="1">
      <c r="A547" s="179"/>
      <c r="B547" s="180"/>
      <c r="C547" s="180"/>
      <c r="D547" s="179"/>
      <c r="E547" s="179"/>
      <c r="F547" s="179"/>
      <c r="G547" s="179"/>
      <c r="H547" s="181"/>
      <c r="I547" s="181"/>
      <c r="J547" s="181"/>
      <c r="K547" s="179"/>
      <c r="L547" s="179"/>
      <c r="M547" s="179"/>
      <c r="N547" s="181"/>
      <c r="O547" s="179"/>
      <c r="P547" s="179"/>
      <c r="Q547" s="179"/>
      <c r="R547" s="179"/>
      <c r="S547" s="179"/>
      <c r="T547" s="179"/>
      <c r="U547" s="179"/>
      <c r="V547" s="179"/>
      <c r="W547" s="192"/>
      <c r="X547" s="192"/>
      <c r="Y547" s="192"/>
      <c r="Z547" s="158"/>
      <c r="AA547" s="158"/>
      <c r="AB547" s="158"/>
      <c r="AC547" s="158"/>
      <c r="AD547" s="158"/>
      <c r="AE547" s="158"/>
      <c r="AF547" s="158"/>
      <c r="AG547" s="158"/>
      <c r="AH547" s="158"/>
    </row>
    <row r="548" spans="1:34" ht="15.75" customHeight="1">
      <c r="A548" s="179"/>
      <c r="B548" s="180"/>
      <c r="C548" s="180"/>
      <c r="D548" s="179"/>
      <c r="E548" s="179"/>
      <c r="F548" s="179"/>
      <c r="G548" s="179"/>
      <c r="H548" s="181"/>
      <c r="I548" s="181"/>
      <c r="J548" s="181"/>
      <c r="K548" s="179"/>
      <c r="L548" s="179"/>
      <c r="M548" s="179"/>
      <c r="N548" s="181"/>
      <c r="O548" s="179"/>
      <c r="P548" s="179"/>
      <c r="Q548" s="179"/>
      <c r="R548" s="179"/>
      <c r="S548" s="179"/>
      <c r="T548" s="179"/>
      <c r="U548" s="179"/>
      <c r="V548" s="179"/>
      <c r="W548" s="192"/>
      <c r="X548" s="192"/>
      <c r="Y548" s="192"/>
      <c r="Z548" s="158"/>
      <c r="AA548" s="158"/>
      <c r="AB548" s="158"/>
      <c r="AC548" s="158"/>
      <c r="AD548" s="158"/>
      <c r="AE548" s="158"/>
      <c r="AF548" s="158"/>
      <c r="AG548" s="158"/>
      <c r="AH548" s="158"/>
    </row>
    <row r="549" spans="1:34" ht="15.75" customHeight="1">
      <c r="A549" s="179"/>
      <c r="B549" s="180"/>
      <c r="C549" s="180"/>
      <c r="D549" s="179"/>
      <c r="E549" s="179"/>
      <c r="F549" s="179"/>
      <c r="G549" s="179"/>
      <c r="H549" s="181"/>
      <c r="I549" s="181"/>
      <c r="J549" s="181"/>
      <c r="K549" s="179"/>
      <c r="L549" s="179"/>
      <c r="M549" s="179"/>
      <c r="N549" s="181"/>
      <c r="O549" s="179"/>
      <c r="P549" s="179"/>
      <c r="Q549" s="179"/>
      <c r="R549" s="179"/>
      <c r="S549" s="179"/>
      <c r="T549" s="179"/>
      <c r="U549" s="179"/>
      <c r="V549" s="179"/>
      <c r="W549" s="192"/>
      <c r="X549" s="192"/>
      <c r="Y549" s="192"/>
      <c r="Z549" s="158"/>
      <c r="AA549" s="158"/>
      <c r="AB549" s="158"/>
      <c r="AC549" s="158"/>
      <c r="AD549" s="158"/>
      <c r="AE549" s="158"/>
      <c r="AF549" s="158"/>
      <c r="AG549" s="158"/>
      <c r="AH549" s="158"/>
    </row>
    <row r="550" spans="1:34" ht="15.75" customHeight="1">
      <c r="A550" s="179"/>
      <c r="B550" s="180"/>
      <c r="C550" s="180"/>
      <c r="D550" s="179"/>
      <c r="E550" s="179"/>
      <c r="F550" s="179"/>
      <c r="G550" s="179"/>
      <c r="H550" s="181"/>
      <c r="I550" s="181"/>
      <c r="J550" s="181"/>
      <c r="K550" s="179"/>
      <c r="L550" s="179"/>
      <c r="M550" s="179"/>
      <c r="N550" s="181"/>
      <c r="O550" s="179"/>
      <c r="P550" s="179"/>
      <c r="Q550" s="179"/>
      <c r="R550" s="179"/>
      <c r="S550" s="179"/>
      <c r="T550" s="179"/>
      <c r="U550" s="179"/>
      <c r="V550" s="179"/>
      <c r="W550" s="192"/>
      <c r="X550" s="192"/>
      <c r="Y550" s="192"/>
      <c r="Z550" s="158"/>
      <c r="AA550" s="158"/>
      <c r="AB550" s="158"/>
      <c r="AC550" s="158"/>
      <c r="AD550" s="158"/>
      <c r="AE550" s="158"/>
      <c r="AF550" s="158"/>
      <c r="AG550" s="158"/>
      <c r="AH550" s="158"/>
    </row>
    <row r="551" spans="1:34" ht="15.75" customHeight="1">
      <c r="A551" s="179"/>
      <c r="B551" s="180"/>
      <c r="C551" s="180"/>
      <c r="D551" s="179"/>
      <c r="E551" s="179"/>
      <c r="F551" s="179"/>
      <c r="G551" s="179"/>
      <c r="H551" s="181"/>
      <c r="I551" s="181"/>
      <c r="J551" s="181"/>
      <c r="K551" s="179"/>
      <c r="L551" s="179"/>
      <c r="M551" s="179"/>
      <c r="N551" s="181"/>
      <c r="O551" s="179"/>
      <c r="P551" s="179"/>
      <c r="Q551" s="179"/>
      <c r="R551" s="179"/>
      <c r="S551" s="179"/>
      <c r="T551" s="179"/>
      <c r="U551" s="179"/>
      <c r="V551" s="179"/>
      <c r="W551" s="192"/>
      <c r="X551" s="192"/>
      <c r="Y551" s="192"/>
      <c r="Z551" s="158"/>
      <c r="AA551" s="158"/>
      <c r="AB551" s="158"/>
      <c r="AC551" s="158"/>
      <c r="AD551" s="158"/>
      <c r="AE551" s="158"/>
      <c r="AF551" s="158"/>
      <c r="AG551" s="158"/>
      <c r="AH551" s="158"/>
    </row>
    <row r="552" spans="1:34" ht="15.75" customHeight="1">
      <c r="A552" s="179"/>
      <c r="B552" s="180"/>
      <c r="C552" s="180"/>
      <c r="D552" s="179"/>
      <c r="E552" s="179"/>
      <c r="F552" s="179"/>
      <c r="G552" s="179"/>
      <c r="H552" s="181"/>
      <c r="I552" s="181"/>
      <c r="J552" s="181"/>
      <c r="K552" s="179"/>
      <c r="L552" s="179"/>
      <c r="M552" s="179"/>
      <c r="N552" s="181"/>
      <c r="O552" s="179"/>
      <c r="P552" s="179"/>
      <c r="Q552" s="179"/>
      <c r="R552" s="179"/>
      <c r="S552" s="179"/>
      <c r="T552" s="179"/>
      <c r="U552" s="179"/>
      <c r="V552" s="179"/>
      <c r="W552" s="192"/>
      <c r="X552" s="192"/>
      <c r="Y552" s="192"/>
      <c r="Z552" s="158"/>
      <c r="AA552" s="158"/>
      <c r="AB552" s="158"/>
      <c r="AC552" s="158"/>
      <c r="AD552" s="158"/>
      <c r="AE552" s="158"/>
      <c r="AF552" s="158"/>
      <c r="AG552" s="158"/>
      <c r="AH552" s="158"/>
    </row>
    <row r="553" spans="1:34" ht="15.75" customHeight="1">
      <c r="A553" s="179"/>
      <c r="B553" s="180"/>
      <c r="C553" s="180"/>
      <c r="D553" s="179"/>
      <c r="E553" s="179"/>
      <c r="F553" s="179"/>
      <c r="G553" s="179"/>
      <c r="H553" s="181"/>
      <c r="I553" s="181"/>
      <c r="J553" s="181"/>
      <c r="K553" s="179"/>
      <c r="L553" s="179"/>
      <c r="M553" s="179"/>
      <c r="N553" s="181"/>
      <c r="O553" s="179"/>
      <c r="P553" s="179"/>
      <c r="Q553" s="179"/>
      <c r="R553" s="179"/>
      <c r="S553" s="179"/>
      <c r="T553" s="179"/>
      <c r="U553" s="179"/>
      <c r="V553" s="179"/>
      <c r="W553" s="192"/>
      <c r="X553" s="192"/>
      <c r="Y553" s="192"/>
      <c r="Z553" s="158"/>
      <c r="AA553" s="158"/>
      <c r="AB553" s="158"/>
      <c r="AC553" s="158"/>
      <c r="AD553" s="158"/>
      <c r="AE553" s="158"/>
      <c r="AF553" s="158"/>
      <c r="AG553" s="158"/>
      <c r="AH553" s="158"/>
    </row>
    <row r="554" spans="1:34" ht="15.75" customHeight="1">
      <c r="A554" s="179"/>
      <c r="B554" s="180"/>
      <c r="C554" s="180"/>
      <c r="D554" s="179"/>
      <c r="E554" s="179"/>
      <c r="F554" s="179"/>
      <c r="G554" s="179"/>
      <c r="H554" s="181"/>
      <c r="I554" s="181"/>
      <c r="J554" s="181"/>
      <c r="K554" s="179"/>
      <c r="L554" s="179"/>
      <c r="M554" s="179"/>
      <c r="N554" s="181"/>
      <c r="O554" s="179"/>
      <c r="P554" s="179"/>
      <c r="Q554" s="179"/>
      <c r="R554" s="179"/>
      <c r="S554" s="179"/>
      <c r="T554" s="179"/>
      <c r="U554" s="179"/>
      <c r="V554" s="179"/>
      <c r="W554" s="192"/>
      <c r="X554" s="192"/>
      <c r="Y554" s="192"/>
      <c r="Z554" s="158"/>
      <c r="AA554" s="158"/>
      <c r="AB554" s="158"/>
      <c r="AC554" s="158"/>
      <c r="AD554" s="158"/>
      <c r="AE554" s="158"/>
      <c r="AF554" s="158"/>
      <c r="AG554" s="158"/>
      <c r="AH554" s="158"/>
    </row>
    <row r="555" spans="1:34" ht="15.75" customHeight="1">
      <c r="A555" s="179"/>
      <c r="B555" s="180"/>
      <c r="C555" s="180"/>
      <c r="D555" s="179"/>
      <c r="E555" s="179"/>
      <c r="F555" s="179"/>
      <c r="G555" s="179"/>
      <c r="H555" s="181"/>
      <c r="I555" s="181"/>
      <c r="J555" s="181"/>
      <c r="K555" s="179"/>
      <c r="L555" s="179"/>
      <c r="M555" s="179"/>
      <c r="N555" s="181"/>
      <c r="O555" s="179"/>
      <c r="P555" s="179"/>
      <c r="Q555" s="179"/>
      <c r="R555" s="179"/>
      <c r="S555" s="179"/>
      <c r="T555" s="179"/>
      <c r="U555" s="179"/>
      <c r="V555" s="179"/>
      <c r="W555" s="192"/>
      <c r="X555" s="192"/>
      <c r="Y555" s="192"/>
      <c r="Z555" s="158"/>
      <c r="AA555" s="158"/>
      <c r="AB555" s="158"/>
      <c r="AC555" s="158"/>
      <c r="AD555" s="158"/>
      <c r="AE555" s="158"/>
      <c r="AF555" s="158"/>
      <c r="AG555" s="158"/>
      <c r="AH555" s="158"/>
    </row>
    <row r="556" spans="1:34" ht="15.75" customHeight="1">
      <c r="A556" s="179"/>
      <c r="B556" s="180"/>
      <c r="C556" s="180"/>
      <c r="D556" s="179"/>
      <c r="E556" s="179"/>
      <c r="F556" s="179"/>
      <c r="G556" s="179"/>
      <c r="H556" s="181"/>
      <c r="I556" s="181"/>
      <c r="J556" s="181"/>
      <c r="K556" s="179"/>
      <c r="L556" s="179"/>
      <c r="M556" s="179"/>
      <c r="N556" s="181"/>
      <c r="O556" s="179"/>
      <c r="P556" s="179"/>
      <c r="Q556" s="179"/>
      <c r="R556" s="179"/>
      <c r="S556" s="179"/>
      <c r="T556" s="179"/>
      <c r="U556" s="179"/>
      <c r="V556" s="179"/>
      <c r="W556" s="192"/>
      <c r="X556" s="192"/>
      <c r="Y556" s="192"/>
      <c r="Z556" s="158"/>
      <c r="AA556" s="158"/>
      <c r="AB556" s="158"/>
      <c r="AC556" s="158"/>
      <c r="AD556" s="158"/>
      <c r="AE556" s="158"/>
      <c r="AF556" s="158"/>
      <c r="AG556" s="158"/>
      <c r="AH556" s="158"/>
    </row>
    <row r="557" spans="1:34" ht="15.75" customHeight="1">
      <c r="A557" s="179"/>
      <c r="B557" s="180"/>
      <c r="C557" s="180"/>
      <c r="D557" s="179"/>
      <c r="E557" s="179"/>
      <c r="F557" s="179"/>
      <c r="G557" s="179"/>
      <c r="H557" s="181"/>
      <c r="I557" s="181"/>
      <c r="J557" s="181"/>
      <c r="K557" s="179"/>
      <c r="L557" s="179"/>
      <c r="M557" s="179"/>
      <c r="N557" s="181"/>
      <c r="O557" s="179"/>
      <c r="P557" s="179"/>
      <c r="Q557" s="179"/>
      <c r="R557" s="179"/>
      <c r="S557" s="179"/>
      <c r="T557" s="179"/>
      <c r="U557" s="179"/>
      <c r="V557" s="179"/>
      <c r="W557" s="192"/>
      <c r="X557" s="192"/>
      <c r="Y557" s="192"/>
      <c r="Z557" s="158"/>
      <c r="AA557" s="158"/>
      <c r="AB557" s="158"/>
      <c r="AC557" s="158"/>
      <c r="AD557" s="158"/>
      <c r="AE557" s="158"/>
      <c r="AF557" s="158"/>
      <c r="AG557" s="158"/>
      <c r="AH557" s="158"/>
    </row>
    <row r="558" spans="1:34" ht="15.75" customHeight="1">
      <c r="A558" s="179"/>
      <c r="B558" s="180"/>
      <c r="C558" s="180"/>
      <c r="D558" s="179"/>
      <c r="E558" s="179"/>
      <c r="F558" s="179"/>
      <c r="G558" s="179"/>
      <c r="H558" s="181"/>
      <c r="I558" s="181"/>
      <c r="J558" s="181"/>
      <c r="K558" s="179"/>
      <c r="L558" s="179"/>
      <c r="M558" s="179"/>
      <c r="N558" s="181"/>
      <c r="O558" s="179"/>
      <c r="P558" s="179"/>
      <c r="Q558" s="179"/>
      <c r="R558" s="179"/>
      <c r="S558" s="179"/>
      <c r="T558" s="179"/>
      <c r="U558" s="179"/>
      <c r="V558" s="179"/>
      <c r="W558" s="192"/>
      <c r="X558" s="192"/>
      <c r="Y558" s="192"/>
      <c r="Z558" s="158"/>
      <c r="AA558" s="158"/>
      <c r="AB558" s="158"/>
      <c r="AC558" s="158"/>
      <c r="AD558" s="158"/>
      <c r="AE558" s="158"/>
      <c r="AF558" s="158"/>
      <c r="AG558" s="158"/>
      <c r="AH558" s="158"/>
    </row>
    <row r="559" spans="1:34" ht="15.75" customHeight="1">
      <c r="A559" s="179"/>
      <c r="B559" s="180"/>
      <c r="C559" s="180"/>
      <c r="D559" s="179"/>
      <c r="E559" s="179"/>
      <c r="F559" s="179"/>
      <c r="G559" s="179"/>
      <c r="H559" s="181"/>
      <c r="I559" s="181"/>
      <c r="J559" s="181"/>
      <c r="K559" s="179"/>
      <c r="L559" s="179"/>
      <c r="M559" s="179"/>
      <c r="N559" s="181"/>
      <c r="O559" s="179"/>
      <c r="P559" s="179"/>
      <c r="Q559" s="179"/>
      <c r="R559" s="179"/>
      <c r="S559" s="179"/>
      <c r="T559" s="179"/>
      <c r="U559" s="179"/>
      <c r="V559" s="179"/>
      <c r="W559" s="192"/>
      <c r="X559" s="192"/>
      <c r="Y559" s="192"/>
      <c r="Z559" s="158"/>
      <c r="AA559" s="158"/>
      <c r="AB559" s="158"/>
      <c r="AC559" s="158"/>
      <c r="AD559" s="158"/>
      <c r="AE559" s="158"/>
      <c r="AF559" s="158"/>
      <c r="AG559" s="158"/>
      <c r="AH559" s="158"/>
    </row>
    <row r="560" spans="1:34" ht="15.75" customHeight="1">
      <c r="A560" s="179"/>
      <c r="B560" s="180"/>
      <c r="C560" s="180"/>
      <c r="D560" s="179"/>
      <c r="E560" s="179"/>
      <c r="F560" s="179"/>
      <c r="G560" s="179"/>
      <c r="H560" s="181"/>
      <c r="I560" s="181"/>
      <c r="J560" s="181"/>
      <c r="K560" s="179"/>
      <c r="L560" s="179"/>
      <c r="M560" s="179"/>
      <c r="N560" s="181"/>
      <c r="O560" s="179"/>
      <c r="P560" s="179"/>
      <c r="Q560" s="179"/>
      <c r="R560" s="179"/>
      <c r="S560" s="179"/>
      <c r="T560" s="179"/>
      <c r="U560" s="179"/>
      <c r="V560" s="179"/>
      <c r="W560" s="192"/>
      <c r="X560" s="192"/>
      <c r="Y560" s="192"/>
      <c r="Z560" s="158"/>
      <c r="AA560" s="158"/>
      <c r="AB560" s="158"/>
      <c r="AC560" s="158"/>
      <c r="AD560" s="158"/>
      <c r="AE560" s="158"/>
      <c r="AF560" s="158"/>
      <c r="AG560" s="158"/>
      <c r="AH560" s="158"/>
    </row>
    <row r="561" spans="1:34" ht="15.75" customHeight="1">
      <c r="A561" s="179"/>
      <c r="B561" s="180"/>
      <c r="C561" s="180"/>
      <c r="D561" s="179"/>
      <c r="E561" s="179"/>
      <c r="F561" s="179"/>
      <c r="G561" s="179"/>
      <c r="H561" s="181"/>
      <c r="I561" s="181"/>
      <c r="J561" s="181"/>
      <c r="K561" s="179"/>
      <c r="L561" s="179"/>
      <c r="M561" s="179"/>
      <c r="N561" s="181"/>
      <c r="O561" s="179"/>
      <c r="P561" s="179"/>
      <c r="Q561" s="179"/>
      <c r="R561" s="179"/>
      <c r="S561" s="179"/>
      <c r="T561" s="179"/>
      <c r="U561" s="179"/>
      <c r="V561" s="179"/>
      <c r="W561" s="192"/>
      <c r="X561" s="192"/>
      <c r="Y561" s="192"/>
      <c r="Z561" s="158"/>
      <c r="AA561" s="158"/>
      <c r="AB561" s="158"/>
      <c r="AC561" s="158"/>
      <c r="AD561" s="158"/>
      <c r="AE561" s="158"/>
      <c r="AF561" s="158"/>
      <c r="AG561" s="158"/>
      <c r="AH561" s="158"/>
    </row>
    <row r="562" spans="1:34" ht="15.75" customHeight="1">
      <c r="A562" s="179"/>
      <c r="B562" s="180"/>
      <c r="C562" s="180"/>
      <c r="D562" s="179"/>
      <c r="E562" s="179"/>
      <c r="F562" s="179"/>
      <c r="G562" s="179"/>
      <c r="H562" s="181"/>
      <c r="I562" s="181"/>
      <c r="J562" s="181"/>
      <c r="K562" s="179"/>
      <c r="L562" s="179"/>
      <c r="M562" s="179"/>
      <c r="N562" s="181"/>
      <c r="O562" s="179"/>
      <c r="P562" s="179"/>
      <c r="Q562" s="179"/>
      <c r="R562" s="179"/>
      <c r="S562" s="179"/>
      <c r="T562" s="179"/>
      <c r="U562" s="179"/>
      <c r="V562" s="179"/>
      <c r="W562" s="192"/>
      <c r="X562" s="192"/>
      <c r="Y562" s="192"/>
      <c r="Z562" s="158"/>
      <c r="AA562" s="158"/>
      <c r="AB562" s="158"/>
      <c r="AC562" s="158"/>
      <c r="AD562" s="158"/>
      <c r="AE562" s="158"/>
      <c r="AF562" s="158"/>
      <c r="AG562" s="158"/>
      <c r="AH562" s="158"/>
    </row>
    <row r="563" spans="1:34" ht="15.75" customHeight="1">
      <c r="A563" s="179"/>
      <c r="B563" s="180"/>
      <c r="C563" s="180"/>
      <c r="D563" s="179"/>
      <c r="E563" s="179"/>
      <c r="F563" s="179"/>
      <c r="G563" s="179"/>
      <c r="H563" s="181"/>
      <c r="I563" s="181"/>
      <c r="J563" s="181"/>
      <c r="K563" s="179"/>
      <c r="L563" s="179"/>
      <c r="M563" s="179"/>
      <c r="N563" s="181"/>
      <c r="O563" s="179"/>
      <c r="P563" s="179"/>
      <c r="Q563" s="179"/>
      <c r="R563" s="179"/>
      <c r="S563" s="179"/>
      <c r="T563" s="179"/>
      <c r="U563" s="179"/>
      <c r="V563" s="179"/>
      <c r="W563" s="192"/>
      <c r="X563" s="192"/>
      <c r="Y563" s="192"/>
      <c r="Z563" s="158"/>
      <c r="AA563" s="158"/>
      <c r="AB563" s="158"/>
      <c r="AC563" s="158"/>
      <c r="AD563" s="158"/>
      <c r="AE563" s="158"/>
      <c r="AF563" s="158"/>
      <c r="AG563" s="158"/>
      <c r="AH563" s="158"/>
    </row>
    <row r="564" spans="1:34" ht="15.75" customHeight="1">
      <c r="A564" s="179"/>
      <c r="B564" s="180"/>
      <c r="C564" s="180"/>
      <c r="D564" s="179"/>
      <c r="E564" s="179"/>
      <c r="F564" s="179"/>
      <c r="G564" s="179"/>
      <c r="H564" s="181"/>
      <c r="I564" s="181"/>
      <c r="J564" s="181"/>
      <c r="K564" s="179"/>
      <c r="L564" s="179"/>
      <c r="M564" s="179"/>
      <c r="N564" s="181"/>
      <c r="O564" s="179"/>
      <c r="P564" s="179"/>
      <c r="Q564" s="179"/>
      <c r="R564" s="179"/>
      <c r="S564" s="179"/>
      <c r="T564" s="179"/>
      <c r="U564" s="179"/>
      <c r="V564" s="179"/>
      <c r="W564" s="192"/>
      <c r="X564" s="192"/>
      <c r="Y564" s="192"/>
      <c r="Z564" s="158"/>
      <c r="AA564" s="158"/>
      <c r="AB564" s="158"/>
      <c r="AC564" s="158"/>
      <c r="AD564" s="158"/>
      <c r="AE564" s="158"/>
      <c r="AF564" s="158"/>
      <c r="AG564" s="158"/>
      <c r="AH564" s="158"/>
    </row>
    <row r="565" spans="1:34" ht="15.75" customHeight="1">
      <c r="A565" s="179"/>
      <c r="B565" s="180"/>
      <c r="C565" s="180"/>
      <c r="D565" s="179"/>
      <c r="E565" s="179"/>
      <c r="F565" s="179"/>
      <c r="G565" s="179"/>
      <c r="H565" s="181"/>
      <c r="I565" s="181"/>
      <c r="J565" s="181"/>
      <c r="K565" s="179"/>
      <c r="L565" s="179"/>
      <c r="M565" s="179"/>
      <c r="N565" s="181"/>
      <c r="O565" s="179"/>
      <c r="P565" s="179"/>
      <c r="Q565" s="179"/>
      <c r="R565" s="179"/>
      <c r="S565" s="179"/>
      <c r="T565" s="179"/>
      <c r="U565" s="179"/>
      <c r="V565" s="179"/>
      <c r="W565" s="192"/>
      <c r="X565" s="192"/>
      <c r="Y565" s="192"/>
      <c r="Z565" s="158"/>
      <c r="AA565" s="158"/>
      <c r="AB565" s="158"/>
      <c r="AC565" s="158"/>
      <c r="AD565" s="158"/>
      <c r="AE565" s="158"/>
      <c r="AF565" s="158"/>
      <c r="AG565" s="158"/>
      <c r="AH565" s="158"/>
    </row>
    <row r="566" spans="1:34" ht="15.75" customHeight="1">
      <c r="A566" s="179"/>
      <c r="B566" s="180"/>
      <c r="C566" s="180"/>
      <c r="D566" s="179"/>
      <c r="E566" s="179"/>
      <c r="F566" s="179"/>
      <c r="G566" s="179"/>
      <c r="H566" s="181"/>
      <c r="I566" s="181"/>
      <c r="J566" s="181"/>
      <c r="K566" s="179"/>
      <c r="L566" s="179"/>
      <c r="M566" s="179"/>
      <c r="N566" s="181"/>
      <c r="O566" s="179"/>
      <c r="P566" s="179"/>
      <c r="Q566" s="179"/>
      <c r="R566" s="179"/>
      <c r="S566" s="179"/>
      <c r="T566" s="179"/>
      <c r="U566" s="179"/>
      <c r="V566" s="179"/>
      <c r="W566" s="192"/>
      <c r="X566" s="192"/>
      <c r="Y566" s="192"/>
      <c r="Z566" s="158"/>
      <c r="AA566" s="158"/>
      <c r="AB566" s="158"/>
      <c r="AC566" s="158"/>
      <c r="AD566" s="158"/>
      <c r="AE566" s="158"/>
      <c r="AF566" s="158"/>
      <c r="AG566" s="158"/>
      <c r="AH566" s="158"/>
    </row>
    <row r="567" spans="1:34" ht="15.75" customHeight="1">
      <c r="A567" s="179"/>
      <c r="B567" s="180"/>
      <c r="C567" s="180"/>
      <c r="D567" s="179"/>
      <c r="E567" s="179"/>
      <c r="F567" s="179"/>
      <c r="G567" s="179"/>
      <c r="H567" s="181"/>
      <c r="I567" s="181"/>
      <c r="J567" s="181"/>
      <c r="K567" s="179"/>
      <c r="L567" s="179"/>
      <c r="M567" s="179"/>
      <c r="N567" s="181"/>
      <c r="O567" s="179"/>
      <c r="P567" s="179"/>
      <c r="Q567" s="179"/>
      <c r="R567" s="179"/>
      <c r="S567" s="179"/>
      <c r="T567" s="179"/>
      <c r="U567" s="179"/>
      <c r="V567" s="179"/>
      <c r="W567" s="192"/>
      <c r="X567" s="192"/>
      <c r="Y567" s="192"/>
      <c r="Z567" s="158"/>
      <c r="AA567" s="158"/>
      <c r="AB567" s="158"/>
      <c r="AC567" s="158"/>
      <c r="AD567" s="158"/>
      <c r="AE567" s="158"/>
      <c r="AF567" s="158"/>
      <c r="AG567" s="158"/>
      <c r="AH567" s="158"/>
    </row>
    <row r="568" spans="1:34" ht="15.75" customHeight="1">
      <c r="A568" s="179"/>
      <c r="B568" s="180"/>
      <c r="C568" s="180"/>
      <c r="D568" s="179"/>
      <c r="E568" s="179"/>
      <c r="F568" s="179"/>
      <c r="G568" s="179"/>
      <c r="H568" s="181"/>
      <c r="I568" s="181"/>
      <c r="J568" s="181"/>
      <c r="K568" s="179"/>
      <c r="L568" s="179"/>
      <c r="M568" s="179"/>
      <c r="N568" s="181"/>
      <c r="O568" s="179"/>
      <c r="P568" s="179"/>
      <c r="Q568" s="179"/>
      <c r="R568" s="179"/>
      <c r="S568" s="179"/>
      <c r="T568" s="179"/>
      <c r="U568" s="179"/>
      <c r="V568" s="179"/>
      <c r="W568" s="192"/>
      <c r="X568" s="192"/>
      <c r="Y568" s="192"/>
      <c r="Z568" s="158"/>
      <c r="AA568" s="158"/>
      <c r="AB568" s="158"/>
      <c r="AC568" s="158"/>
      <c r="AD568" s="158"/>
      <c r="AE568" s="158"/>
      <c r="AF568" s="158"/>
      <c r="AG568" s="158"/>
      <c r="AH568" s="158"/>
    </row>
    <row r="569" spans="1:34" ht="15.75" customHeight="1">
      <c r="A569" s="179"/>
      <c r="B569" s="180"/>
      <c r="C569" s="180"/>
      <c r="D569" s="179"/>
      <c r="E569" s="179"/>
      <c r="F569" s="179"/>
      <c r="G569" s="179"/>
      <c r="H569" s="181"/>
      <c r="I569" s="181"/>
      <c r="J569" s="181"/>
      <c r="K569" s="179"/>
      <c r="L569" s="179"/>
      <c r="M569" s="179"/>
      <c r="N569" s="181"/>
      <c r="O569" s="179"/>
      <c r="P569" s="179"/>
      <c r="Q569" s="179"/>
      <c r="R569" s="179"/>
      <c r="S569" s="179"/>
      <c r="T569" s="179"/>
      <c r="U569" s="179"/>
      <c r="V569" s="179"/>
      <c r="W569" s="192"/>
      <c r="X569" s="192"/>
      <c r="Y569" s="192"/>
      <c r="Z569" s="158"/>
      <c r="AA569" s="158"/>
      <c r="AB569" s="158"/>
      <c r="AC569" s="158"/>
      <c r="AD569" s="158"/>
      <c r="AE569" s="158"/>
      <c r="AF569" s="158"/>
      <c r="AG569" s="158"/>
      <c r="AH569" s="158"/>
    </row>
    <row r="570" spans="1:34" ht="15.75" customHeight="1">
      <c r="A570" s="179"/>
      <c r="B570" s="180"/>
      <c r="C570" s="180"/>
      <c r="D570" s="179"/>
      <c r="E570" s="179"/>
      <c r="F570" s="179"/>
      <c r="G570" s="179"/>
      <c r="H570" s="181"/>
      <c r="I570" s="181"/>
      <c r="J570" s="181"/>
      <c r="K570" s="179"/>
      <c r="L570" s="179"/>
      <c r="M570" s="179"/>
      <c r="N570" s="181"/>
      <c r="O570" s="179"/>
      <c r="P570" s="179"/>
      <c r="Q570" s="179"/>
      <c r="R570" s="179"/>
      <c r="S570" s="179"/>
      <c r="T570" s="179"/>
      <c r="U570" s="179"/>
      <c r="V570" s="179"/>
      <c r="W570" s="192"/>
      <c r="X570" s="192"/>
      <c r="Y570" s="192"/>
      <c r="Z570" s="158"/>
      <c r="AA570" s="158"/>
      <c r="AB570" s="158"/>
      <c r="AC570" s="158"/>
      <c r="AD570" s="158"/>
      <c r="AE570" s="158"/>
      <c r="AF570" s="158"/>
      <c r="AG570" s="158"/>
      <c r="AH570" s="158"/>
    </row>
    <row r="571" spans="1:34" ht="15.75" customHeight="1">
      <c r="A571" s="179"/>
      <c r="B571" s="180"/>
      <c r="C571" s="180"/>
      <c r="D571" s="179"/>
      <c r="E571" s="179"/>
      <c r="F571" s="179"/>
      <c r="G571" s="179"/>
      <c r="H571" s="181"/>
      <c r="I571" s="181"/>
      <c r="J571" s="181"/>
      <c r="K571" s="179"/>
      <c r="L571" s="179"/>
      <c r="M571" s="179"/>
      <c r="N571" s="181"/>
      <c r="O571" s="179"/>
      <c r="P571" s="179"/>
      <c r="Q571" s="179"/>
      <c r="R571" s="179"/>
      <c r="S571" s="179"/>
      <c r="T571" s="179"/>
      <c r="U571" s="179"/>
      <c r="V571" s="179"/>
      <c r="W571" s="192"/>
      <c r="X571" s="192"/>
      <c r="Y571" s="192"/>
      <c r="Z571" s="158"/>
      <c r="AA571" s="158"/>
      <c r="AB571" s="158"/>
      <c r="AC571" s="158"/>
      <c r="AD571" s="158"/>
      <c r="AE571" s="158"/>
      <c r="AF571" s="158"/>
      <c r="AG571" s="158"/>
      <c r="AH571" s="158"/>
    </row>
    <row r="572" spans="1:34" ht="15.75" customHeight="1">
      <c r="A572" s="179"/>
      <c r="B572" s="180"/>
      <c r="C572" s="180"/>
      <c r="D572" s="179"/>
      <c r="E572" s="179"/>
      <c r="F572" s="179"/>
      <c r="G572" s="179"/>
      <c r="H572" s="181"/>
      <c r="I572" s="181"/>
      <c r="J572" s="181"/>
      <c r="K572" s="179"/>
      <c r="L572" s="179"/>
      <c r="M572" s="179"/>
      <c r="N572" s="181"/>
      <c r="O572" s="179"/>
      <c r="P572" s="179"/>
      <c r="Q572" s="179"/>
      <c r="R572" s="179"/>
      <c r="S572" s="179"/>
      <c r="T572" s="179"/>
      <c r="U572" s="179"/>
      <c r="V572" s="179"/>
      <c r="W572" s="192"/>
      <c r="X572" s="192"/>
      <c r="Y572" s="192"/>
      <c r="Z572" s="158"/>
      <c r="AA572" s="158"/>
      <c r="AB572" s="158"/>
      <c r="AC572" s="158"/>
      <c r="AD572" s="158"/>
      <c r="AE572" s="158"/>
      <c r="AF572" s="158"/>
      <c r="AG572" s="158"/>
      <c r="AH572" s="158"/>
    </row>
    <row r="573" spans="1:34" ht="15.75" customHeight="1">
      <c r="A573" s="179"/>
      <c r="B573" s="180"/>
      <c r="C573" s="180"/>
      <c r="D573" s="179"/>
      <c r="E573" s="179"/>
      <c r="F573" s="179"/>
      <c r="G573" s="179"/>
      <c r="H573" s="181"/>
      <c r="I573" s="181"/>
      <c r="J573" s="181"/>
      <c r="K573" s="179"/>
      <c r="L573" s="179"/>
      <c r="M573" s="179"/>
      <c r="N573" s="181"/>
      <c r="O573" s="179"/>
      <c r="P573" s="179"/>
      <c r="Q573" s="179"/>
      <c r="R573" s="179"/>
      <c r="S573" s="179"/>
      <c r="T573" s="179"/>
      <c r="U573" s="179"/>
      <c r="V573" s="179"/>
      <c r="W573" s="192"/>
      <c r="X573" s="192"/>
      <c r="Y573" s="192"/>
      <c r="Z573" s="158"/>
      <c r="AA573" s="158"/>
      <c r="AB573" s="158"/>
      <c r="AC573" s="158"/>
      <c r="AD573" s="158"/>
      <c r="AE573" s="158"/>
      <c r="AF573" s="158"/>
      <c r="AG573" s="158"/>
      <c r="AH573" s="158"/>
    </row>
    <row r="574" spans="1:34" ht="15.75" customHeight="1">
      <c r="A574" s="179"/>
      <c r="B574" s="180"/>
      <c r="C574" s="180"/>
      <c r="D574" s="179"/>
      <c r="E574" s="179"/>
      <c r="F574" s="179"/>
      <c r="G574" s="179"/>
      <c r="H574" s="181"/>
      <c r="I574" s="181"/>
      <c r="J574" s="181"/>
      <c r="K574" s="179"/>
      <c r="L574" s="179"/>
      <c r="M574" s="179"/>
      <c r="N574" s="181"/>
      <c r="O574" s="179"/>
      <c r="P574" s="179"/>
      <c r="Q574" s="179"/>
      <c r="R574" s="179"/>
      <c r="S574" s="179"/>
      <c r="T574" s="179"/>
      <c r="U574" s="179"/>
      <c r="V574" s="179"/>
      <c r="W574" s="192"/>
      <c r="X574" s="192"/>
      <c r="Y574" s="192"/>
      <c r="Z574" s="158"/>
      <c r="AA574" s="158"/>
      <c r="AB574" s="158"/>
      <c r="AC574" s="158"/>
      <c r="AD574" s="158"/>
      <c r="AE574" s="158"/>
      <c r="AF574" s="158"/>
      <c r="AG574" s="158"/>
      <c r="AH574" s="158"/>
    </row>
    <row r="575" spans="1:34" ht="15.75" customHeight="1">
      <c r="A575" s="179"/>
      <c r="B575" s="180"/>
      <c r="C575" s="180"/>
      <c r="D575" s="179"/>
      <c r="E575" s="179"/>
      <c r="F575" s="179"/>
      <c r="G575" s="179"/>
      <c r="H575" s="181"/>
      <c r="I575" s="181"/>
      <c r="J575" s="181"/>
      <c r="K575" s="179"/>
      <c r="L575" s="179"/>
      <c r="M575" s="179"/>
      <c r="N575" s="181"/>
      <c r="O575" s="179"/>
      <c r="P575" s="179"/>
      <c r="Q575" s="179"/>
      <c r="R575" s="179"/>
      <c r="S575" s="179"/>
      <c r="T575" s="179"/>
      <c r="U575" s="179"/>
      <c r="V575" s="179"/>
      <c r="W575" s="192"/>
      <c r="X575" s="192"/>
      <c r="Y575" s="192"/>
      <c r="Z575" s="158"/>
      <c r="AA575" s="158"/>
      <c r="AB575" s="158"/>
      <c r="AC575" s="158"/>
      <c r="AD575" s="158"/>
      <c r="AE575" s="158"/>
      <c r="AF575" s="158"/>
      <c r="AG575" s="158"/>
      <c r="AH575" s="158"/>
    </row>
    <row r="576" spans="1:34" ht="15.75" customHeight="1">
      <c r="A576" s="179"/>
      <c r="B576" s="180"/>
      <c r="C576" s="180"/>
      <c r="D576" s="179"/>
      <c r="E576" s="179"/>
      <c r="F576" s="179"/>
      <c r="G576" s="179"/>
      <c r="H576" s="181"/>
      <c r="I576" s="181"/>
      <c r="J576" s="181"/>
      <c r="K576" s="179"/>
      <c r="L576" s="179"/>
      <c r="M576" s="179"/>
      <c r="N576" s="181"/>
      <c r="O576" s="179"/>
      <c r="P576" s="179"/>
      <c r="Q576" s="179"/>
      <c r="R576" s="179"/>
      <c r="S576" s="179"/>
      <c r="T576" s="179"/>
      <c r="U576" s="179"/>
      <c r="V576" s="179"/>
      <c r="W576" s="192"/>
      <c r="X576" s="192"/>
      <c r="Y576" s="192"/>
      <c r="Z576" s="158"/>
      <c r="AA576" s="158"/>
      <c r="AB576" s="158"/>
      <c r="AC576" s="158"/>
      <c r="AD576" s="158"/>
      <c r="AE576" s="158"/>
      <c r="AF576" s="158"/>
      <c r="AG576" s="158"/>
      <c r="AH576" s="158"/>
    </row>
    <row r="577" spans="1:34" ht="15.75" customHeight="1">
      <c r="A577" s="179"/>
      <c r="B577" s="180"/>
      <c r="C577" s="180"/>
      <c r="D577" s="179"/>
      <c r="E577" s="179"/>
      <c r="F577" s="179"/>
      <c r="G577" s="179"/>
      <c r="H577" s="181"/>
      <c r="I577" s="181"/>
      <c r="J577" s="181"/>
      <c r="K577" s="179"/>
      <c r="L577" s="179"/>
      <c r="M577" s="179"/>
      <c r="N577" s="181"/>
      <c r="O577" s="179"/>
      <c r="P577" s="179"/>
      <c r="Q577" s="179"/>
      <c r="R577" s="179"/>
      <c r="S577" s="179"/>
      <c r="T577" s="179"/>
      <c r="U577" s="179"/>
      <c r="V577" s="179"/>
      <c r="W577" s="192"/>
      <c r="X577" s="192"/>
      <c r="Y577" s="192"/>
      <c r="Z577" s="158"/>
      <c r="AA577" s="158"/>
      <c r="AB577" s="158"/>
      <c r="AC577" s="158"/>
      <c r="AD577" s="158"/>
      <c r="AE577" s="158"/>
      <c r="AF577" s="158"/>
      <c r="AG577" s="158"/>
      <c r="AH577" s="158"/>
    </row>
    <row r="578" spans="1:34" ht="15.75" customHeight="1">
      <c r="A578" s="179"/>
      <c r="B578" s="180"/>
      <c r="C578" s="180"/>
      <c r="D578" s="179"/>
      <c r="E578" s="179"/>
      <c r="F578" s="179"/>
      <c r="G578" s="179"/>
      <c r="H578" s="181"/>
      <c r="I578" s="181"/>
      <c r="J578" s="181"/>
      <c r="K578" s="179"/>
      <c r="L578" s="179"/>
      <c r="M578" s="179"/>
      <c r="N578" s="181"/>
      <c r="O578" s="179"/>
      <c r="P578" s="179"/>
      <c r="Q578" s="179"/>
      <c r="R578" s="179"/>
      <c r="S578" s="179"/>
      <c r="T578" s="179"/>
      <c r="U578" s="179"/>
      <c r="V578" s="179"/>
      <c r="W578" s="192"/>
      <c r="X578" s="192"/>
      <c r="Y578" s="192"/>
      <c r="Z578" s="158"/>
      <c r="AA578" s="158"/>
      <c r="AB578" s="158"/>
      <c r="AC578" s="158"/>
      <c r="AD578" s="158"/>
      <c r="AE578" s="158"/>
      <c r="AF578" s="158"/>
      <c r="AG578" s="158"/>
      <c r="AH578" s="158"/>
    </row>
    <row r="579" spans="1:34" ht="15.75" customHeight="1">
      <c r="A579" s="179"/>
      <c r="B579" s="180"/>
      <c r="C579" s="180"/>
      <c r="D579" s="179"/>
      <c r="E579" s="179"/>
      <c r="F579" s="179"/>
      <c r="G579" s="179"/>
      <c r="H579" s="181"/>
      <c r="I579" s="181"/>
      <c r="J579" s="181"/>
      <c r="K579" s="179"/>
      <c r="L579" s="179"/>
      <c r="M579" s="179"/>
      <c r="N579" s="181"/>
      <c r="O579" s="179"/>
      <c r="P579" s="179"/>
      <c r="Q579" s="179"/>
      <c r="R579" s="179"/>
      <c r="S579" s="179"/>
      <c r="T579" s="179"/>
      <c r="U579" s="179"/>
      <c r="V579" s="179"/>
      <c r="W579" s="192"/>
      <c r="X579" s="192"/>
      <c r="Y579" s="192"/>
      <c r="Z579" s="158"/>
      <c r="AA579" s="158"/>
      <c r="AB579" s="158"/>
      <c r="AC579" s="158"/>
      <c r="AD579" s="158"/>
      <c r="AE579" s="158"/>
      <c r="AF579" s="158"/>
      <c r="AG579" s="158"/>
      <c r="AH579" s="158"/>
    </row>
    <row r="580" spans="1:34" ht="15.75" customHeight="1">
      <c r="A580" s="179"/>
      <c r="B580" s="180"/>
      <c r="C580" s="180"/>
      <c r="D580" s="179"/>
      <c r="E580" s="179"/>
      <c r="F580" s="179"/>
      <c r="G580" s="179"/>
      <c r="H580" s="181"/>
      <c r="I580" s="181"/>
      <c r="J580" s="181"/>
      <c r="K580" s="179"/>
      <c r="L580" s="179"/>
      <c r="M580" s="179"/>
      <c r="N580" s="181"/>
      <c r="O580" s="179"/>
      <c r="P580" s="179"/>
      <c r="Q580" s="179"/>
      <c r="R580" s="179"/>
      <c r="S580" s="179"/>
      <c r="T580" s="179"/>
      <c r="U580" s="179"/>
      <c r="V580" s="179"/>
      <c r="W580" s="192"/>
      <c r="X580" s="192"/>
      <c r="Y580" s="192"/>
      <c r="Z580" s="158"/>
      <c r="AA580" s="158"/>
      <c r="AB580" s="158"/>
      <c r="AC580" s="158"/>
      <c r="AD580" s="158"/>
      <c r="AE580" s="158"/>
      <c r="AF580" s="158"/>
      <c r="AG580" s="158"/>
      <c r="AH580" s="158"/>
    </row>
    <row r="581" spans="1:34" ht="15.75" customHeight="1">
      <c r="A581" s="179"/>
      <c r="B581" s="180"/>
      <c r="C581" s="180"/>
      <c r="D581" s="179"/>
      <c r="E581" s="179"/>
      <c r="F581" s="179"/>
      <c r="G581" s="179"/>
      <c r="H581" s="181"/>
      <c r="I581" s="181"/>
      <c r="J581" s="181"/>
      <c r="K581" s="179"/>
      <c r="L581" s="179"/>
      <c r="M581" s="179"/>
      <c r="N581" s="181"/>
      <c r="O581" s="179"/>
      <c r="P581" s="179"/>
      <c r="Q581" s="179"/>
      <c r="R581" s="179"/>
      <c r="S581" s="179"/>
      <c r="T581" s="179"/>
      <c r="U581" s="179"/>
      <c r="V581" s="179"/>
      <c r="W581" s="192"/>
      <c r="X581" s="192"/>
      <c r="Y581" s="192"/>
      <c r="Z581" s="158"/>
      <c r="AA581" s="158"/>
      <c r="AB581" s="158"/>
      <c r="AC581" s="158"/>
      <c r="AD581" s="158"/>
      <c r="AE581" s="158"/>
      <c r="AF581" s="158"/>
      <c r="AG581" s="158"/>
      <c r="AH581" s="158"/>
    </row>
    <row r="582" spans="1:34" ht="15.75" customHeight="1">
      <c r="A582" s="179"/>
      <c r="B582" s="180"/>
      <c r="C582" s="180"/>
      <c r="D582" s="179"/>
      <c r="E582" s="179"/>
      <c r="F582" s="179"/>
      <c r="G582" s="179"/>
      <c r="H582" s="181"/>
      <c r="I582" s="181"/>
      <c r="J582" s="181"/>
      <c r="K582" s="179"/>
      <c r="L582" s="179"/>
      <c r="M582" s="179"/>
      <c r="N582" s="181"/>
      <c r="O582" s="179"/>
      <c r="P582" s="179"/>
      <c r="Q582" s="179"/>
      <c r="R582" s="179"/>
      <c r="S582" s="179"/>
      <c r="T582" s="179"/>
      <c r="U582" s="179"/>
      <c r="V582" s="179"/>
      <c r="W582" s="192"/>
      <c r="X582" s="192"/>
      <c r="Y582" s="192"/>
      <c r="Z582" s="158"/>
      <c r="AA582" s="158"/>
      <c r="AB582" s="158"/>
      <c r="AC582" s="158"/>
      <c r="AD582" s="158"/>
      <c r="AE582" s="158"/>
      <c r="AF582" s="158"/>
      <c r="AG582" s="158"/>
      <c r="AH582" s="158"/>
    </row>
    <row r="583" spans="1:34" ht="15.75" customHeight="1">
      <c r="A583" s="179"/>
      <c r="B583" s="180"/>
      <c r="C583" s="180"/>
      <c r="D583" s="179"/>
      <c r="E583" s="179"/>
      <c r="F583" s="179"/>
      <c r="G583" s="179"/>
      <c r="H583" s="181"/>
      <c r="I583" s="181"/>
      <c r="J583" s="181"/>
      <c r="K583" s="179"/>
      <c r="L583" s="179"/>
      <c r="M583" s="179"/>
      <c r="N583" s="181"/>
      <c r="O583" s="179"/>
      <c r="P583" s="179"/>
      <c r="Q583" s="179"/>
      <c r="R583" s="179"/>
      <c r="S583" s="179"/>
      <c r="T583" s="179"/>
      <c r="U583" s="179"/>
      <c r="V583" s="179"/>
      <c r="W583" s="192"/>
      <c r="X583" s="192"/>
      <c r="Y583" s="192"/>
      <c r="Z583" s="158"/>
      <c r="AA583" s="158"/>
      <c r="AB583" s="158"/>
      <c r="AC583" s="158"/>
      <c r="AD583" s="158"/>
      <c r="AE583" s="158"/>
      <c r="AF583" s="158"/>
      <c r="AG583" s="158"/>
      <c r="AH583" s="158"/>
    </row>
    <row r="584" spans="1:34" ht="15.75" customHeight="1">
      <c r="A584" s="179"/>
      <c r="B584" s="180"/>
      <c r="C584" s="180"/>
      <c r="D584" s="179"/>
      <c r="E584" s="179"/>
      <c r="F584" s="179"/>
      <c r="G584" s="179"/>
      <c r="H584" s="181"/>
      <c r="I584" s="181"/>
      <c r="J584" s="181"/>
      <c r="K584" s="179"/>
      <c r="L584" s="179"/>
      <c r="M584" s="179"/>
      <c r="N584" s="181"/>
      <c r="O584" s="179"/>
      <c r="P584" s="179"/>
      <c r="Q584" s="179"/>
      <c r="R584" s="179"/>
      <c r="S584" s="179"/>
      <c r="T584" s="179"/>
      <c r="U584" s="179"/>
      <c r="V584" s="179"/>
      <c r="W584" s="192"/>
      <c r="X584" s="192"/>
      <c r="Y584" s="192"/>
      <c r="Z584" s="158"/>
      <c r="AA584" s="158"/>
      <c r="AB584" s="158"/>
      <c r="AC584" s="158"/>
      <c r="AD584" s="158"/>
      <c r="AE584" s="158"/>
      <c r="AF584" s="158"/>
      <c r="AG584" s="158"/>
      <c r="AH584" s="158"/>
    </row>
    <row r="585" spans="1:34" ht="15.75" customHeight="1">
      <c r="A585" s="179"/>
      <c r="B585" s="180"/>
      <c r="C585" s="180"/>
      <c r="D585" s="179"/>
      <c r="E585" s="179"/>
      <c r="F585" s="179"/>
      <c r="G585" s="179"/>
      <c r="H585" s="181"/>
      <c r="I585" s="181"/>
      <c r="J585" s="181"/>
      <c r="K585" s="179"/>
      <c r="L585" s="179"/>
      <c r="M585" s="179"/>
      <c r="N585" s="181"/>
      <c r="O585" s="179"/>
      <c r="P585" s="179"/>
      <c r="Q585" s="179"/>
      <c r="R585" s="179"/>
      <c r="S585" s="179"/>
      <c r="T585" s="179"/>
      <c r="U585" s="179"/>
      <c r="V585" s="179"/>
      <c r="W585" s="192"/>
      <c r="X585" s="192"/>
      <c r="Y585" s="192"/>
      <c r="Z585" s="158"/>
      <c r="AA585" s="158"/>
      <c r="AB585" s="158"/>
      <c r="AC585" s="158"/>
      <c r="AD585" s="158"/>
      <c r="AE585" s="158"/>
      <c r="AF585" s="158"/>
      <c r="AG585" s="158"/>
      <c r="AH585" s="158"/>
    </row>
    <row r="586" spans="1:34" ht="15.75" customHeight="1">
      <c r="A586" s="179"/>
      <c r="B586" s="180"/>
      <c r="C586" s="180"/>
      <c r="D586" s="179"/>
      <c r="E586" s="179"/>
      <c r="F586" s="179"/>
      <c r="G586" s="179"/>
      <c r="H586" s="181"/>
      <c r="I586" s="181"/>
      <c r="J586" s="181"/>
      <c r="K586" s="179"/>
      <c r="L586" s="179"/>
      <c r="M586" s="179"/>
      <c r="N586" s="181"/>
      <c r="O586" s="179"/>
      <c r="P586" s="179"/>
      <c r="Q586" s="179"/>
      <c r="R586" s="179"/>
      <c r="S586" s="179"/>
      <c r="T586" s="179"/>
      <c r="U586" s="179"/>
      <c r="V586" s="179"/>
      <c r="W586" s="192"/>
      <c r="X586" s="192"/>
      <c r="Y586" s="192"/>
      <c r="Z586" s="158"/>
      <c r="AA586" s="158"/>
      <c r="AB586" s="158"/>
      <c r="AC586" s="158"/>
      <c r="AD586" s="158"/>
      <c r="AE586" s="158"/>
      <c r="AF586" s="158"/>
      <c r="AG586" s="158"/>
      <c r="AH586" s="158"/>
    </row>
    <row r="587" spans="1:34" ht="15.75" customHeight="1">
      <c r="A587" s="179"/>
      <c r="B587" s="180"/>
      <c r="C587" s="180"/>
      <c r="D587" s="179"/>
      <c r="E587" s="179"/>
      <c r="F587" s="179"/>
      <c r="G587" s="179"/>
      <c r="H587" s="181"/>
      <c r="I587" s="181"/>
      <c r="J587" s="181"/>
      <c r="K587" s="179"/>
      <c r="L587" s="179"/>
      <c r="M587" s="179"/>
      <c r="N587" s="181"/>
      <c r="O587" s="179"/>
      <c r="P587" s="179"/>
      <c r="Q587" s="179"/>
      <c r="R587" s="179"/>
      <c r="S587" s="179"/>
      <c r="T587" s="179"/>
      <c r="U587" s="179"/>
      <c r="V587" s="179"/>
      <c r="W587" s="192"/>
      <c r="X587" s="192"/>
      <c r="Y587" s="192"/>
      <c r="Z587" s="158"/>
      <c r="AA587" s="158"/>
      <c r="AB587" s="158"/>
      <c r="AC587" s="158"/>
      <c r="AD587" s="158"/>
      <c r="AE587" s="158"/>
      <c r="AF587" s="158"/>
      <c r="AG587" s="158"/>
      <c r="AH587" s="158"/>
    </row>
    <row r="588" spans="1:34" ht="15.75" customHeight="1">
      <c r="A588" s="179"/>
      <c r="B588" s="180"/>
      <c r="C588" s="180"/>
      <c r="D588" s="179"/>
      <c r="E588" s="179"/>
      <c r="F588" s="179"/>
      <c r="G588" s="179"/>
      <c r="H588" s="181"/>
      <c r="I588" s="181"/>
      <c r="J588" s="181"/>
      <c r="K588" s="179"/>
      <c r="L588" s="179"/>
      <c r="M588" s="179"/>
      <c r="N588" s="181"/>
      <c r="O588" s="179"/>
      <c r="P588" s="179"/>
      <c r="Q588" s="179"/>
      <c r="R588" s="179"/>
      <c r="S588" s="179"/>
      <c r="T588" s="179"/>
      <c r="U588" s="179"/>
      <c r="V588" s="179"/>
      <c r="W588" s="192"/>
      <c r="X588" s="192"/>
      <c r="Y588" s="192"/>
      <c r="Z588" s="158"/>
      <c r="AA588" s="158"/>
      <c r="AB588" s="158"/>
      <c r="AC588" s="158"/>
      <c r="AD588" s="158"/>
      <c r="AE588" s="158"/>
      <c r="AF588" s="158"/>
      <c r="AG588" s="158"/>
      <c r="AH588" s="158"/>
    </row>
    <row r="589" spans="1:34" ht="15.75" customHeight="1">
      <c r="A589" s="179"/>
      <c r="B589" s="180"/>
      <c r="C589" s="180"/>
      <c r="D589" s="179"/>
      <c r="E589" s="179"/>
      <c r="F589" s="179"/>
      <c r="G589" s="179"/>
      <c r="H589" s="181"/>
      <c r="I589" s="181"/>
      <c r="J589" s="181"/>
      <c r="K589" s="179"/>
      <c r="L589" s="179"/>
      <c r="M589" s="179"/>
      <c r="N589" s="181"/>
      <c r="O589" s="179"/>
      <c r="P589" s="179"/>
      <c r="Q589" s="179"/>
      <c r="R589" s="179"/>
      <c r="S589" s="179"/>
      <c r="T589" s="179"/>
      <c r="U589" s="179"/>
      <c r="V589" s="179"/>
      <c r="W589" s="192"/>
      <c r="X589" s="192"/>
      <c r="Y589" s="192"/>
      <c r="Z589" s="158"/>
      <c r="AA589" s="158"/>
      <c r="AB589" s="158"/>
      <c r="AC589" s="158"/>
      <c r="AD589" s="158"/>
      <c r="AE589" s="158"/>
      <c r="AF589" s="158"/>
      <c r="AG589" s="158"/>
      <c r="AH589" s="158"/>
    </row>
    <row r="590" spans="1:34" ht="15.75" customHeight="1">
      <c r="A590" s="179"/>
      <c r="B590" s="180"/>
      <c r="C590" s="180"/>
      <c r="D590" s="179"/>
      <c r="E590" s="179"/>
      <c r="F590" s="179"/>
      <c r="G590" s="179"/>
      <c r="H590" s="181"/>
      <c r="I590" s="181"/>
      <c r="J590" s="181"/>
      <c r="K590" s="179"/>
      <c r="L590" s="179"/>
      <c r="M590" s="179"/>
      <c r="N590" s="181"/>
      <c r="O590" s="179"/>
      <c r="P590" s="179"/>
      <c r="Q590" s="179"/>
      <c r="R590" s="179"/>
      <c r="S590" s="179"/>
      <c r="T590" s="179"/>
      <c r="U590" s="179"/>
      <c r="V590" s="179"/>
      <c r="W590" s="192"/>
      <c r="X590" s="192"/>
      <c r="Y590" s="192"/>
      <c r="Z590" s="158"/>
      <c r="AA590" s="158"/>
      <c r="AB590" s="158"/>
      <c r="AC590" s="158"/>
      <c r="AD590" s="158"/>
      <c r="AE590" s="158"/>
      <c r="AF590" s="158"/>
      <c r="AG590" s="158"/>
      <c r="AH590" s="158"/>
    </row>
    <row r="591" spans="1:34" ht="15.75" customHeight="1">
      <c r="A591" s="179"/>
      <c r="B591" s="180"/>
      <c r="C591" s="180"/>
      <c r="D591" s="179"/>
      <c r="E591" s="179"/>
      <c r="F591" s="179"/>
      <c r="G591" s="179"/>
      <c r="H591" s="181"/>
      <c r="I591" s="181"/>
      <c r="J591" s="181"/>
      <c r="K591" s="179"/>
      <c r="L591" s="179"/>
      <c r="M591" s="179"/>
      <c r="N591" s="181"/>
      <c r="O591" s="179"/>
      <c r="P591" s="179"/>
      <c r="Q591" s="179"/>
      <c r="R591" s="179"/>
      <c r="S591" s="179"/>
      <c r="T591" s="179"/>
      <c r="U591" s="179"/>
      <c r="V591" s="179"/>
      <c r="W591" s="192"/>
      <c r="X591" s="192"/>
      <c r="Y591" s="192"/>
      <c r="Z591" s="158"/>
      <c r="AA591" s="158"/>
      <c r="AB591" s="158"/>
      <c r="AC591" s="158"/>
      <c r="AD591" s="158"/>
      <c r="AE591" s="158"/>
      <c r="AF591" s="158"/>
      <c r="AG591" s="158"/>
      <c r="AH591" s="158"/>
    </row>
    <row r="592" spans="1:34" ht="15.75" customHeight="1">
      <c r="A592" s="179"/>
      <c r="B592" s="180"/>
      <c r="C592" s="180"/>
      <c r="D592" s="179"/>
      <c r="E592" s="179"/>
      <c r="F592" s="179"/>
      <c r="G592" s="179"/>
      <c r="H592" s="181"/>
      <c r="I592" s="181"/>
      <c r="J592" s="181"/>
      <c r="K592" s="179"/>
      <c r="L592" s="179"/>
      <c r="M592" s="179"/>
      <c r="N592" s="181"/>
      <c r="O592" s="179"/>
      <c r="P592" s="179"/>
      <c r="Q592" s="179"/>
      <c r="R592" s="179"/>
      <c r="S592" s="179"/>
      <c r="T592" s="179"/>
      <c r="U592" s="179"/>
      <c r="V592" s="179"/>
      <c r="W592" s="192"/>
      <c r="X592" s="192"/>
      <c r="Y592" s="192"/>
      <c r="Z592" s="158"/>
      <c r="AA592" s="158"/>
      <c r="AB592" s="158"/>
      <c r="AC592" s="158"/>
      <c r="AD592" s="158"/>
      <c r="AE592" s="158"/>
      <c r="AF592" s="158"/>
      <c r="AG592" s="158"/>
      <c r="AH592" s="158"/>
    </row>
    <row r="593" spans="1:34" ht="15.75" customHeight="1">
      <c r="A593" s="179"/>
      <c r="B593" s="180"/>
      <c r="C593" s="180"/>
      <c r="D593" s="179"/>
      <c r="E593" s="179"/>
      <c r="F593" s="179"/>
      <c r="G593" s="179"/>
      <c r="H593" s="181"/>
      <c r="I593" s="181"/>
      <c r="J593" s="181"/>
      <c r="K593" s="179"/>
      <c r="L593" s="179"/>
      <c r="M593" s="179"/>
      <c r="N593" s="181"/>
      <c r="O593" s="179"/>
      <c r="P593" s="179"/>
      <c r="Q593" s="179"/>
      <c r="R593" s="179"/>
      <c r="S593" s="179"/>
      <c r="T593" s="179"/>
      <c r="U593" s="179"/>
      <c r="V593" s="179"/>
      <c r="W593" s="192"/>
      <c r="X593" s="192"/>
      <c r="Y593" s="192"/>
      <c r="Z593" s="158"/>
      <c r="AA593" s="158"/>
      <c r="AB593" s="158"/>
      <c r="AC593" s="158"/>
      <c r="AD593" s="158"/>
      <c r="AE593" s="158"/>
      <c r="AF593" s="158"/>
      <c r="AG593" s="158"/>
      <c r="AH593" s="158"/>
    </row>
    <row r="594" spans="1:34" ht="15.75" customHeight="1">
      <c r="A594" s="179"/>
      <c r="B594" s="180"/>
      <c r="C594" s="180"/>
      <c r="D594" s="179"/>
      <c r="E594" s="179"/>
      <c r="F594" s="179"/>
      <c r="G594" s="179"/>
      <c r="H594" s="181"/>
      <c r="I594" s="181"/>
      <c r="J594" s="181"/>
      <c r="K594" s="179"/>
      <c r="L594" s="179"/>
      <c r="M594" s="179"/>
      <c r="N594" s="181"/>
      <c r="O594" s="179"/>
      <c r="P594" s="179"/>
      <c r="Q594" s="179"/>
      <c r="R594" s="179"/>
      <c r="S594" s="179"/>
      <c r="T594" s="179"/>
      <c r="U594" s="179"/>
      <c r="V594" s="179"/>
      <c r="W594" s="192"/>
      <c r="X594" s="192"/>
      <c r="Y594" s="192"/>
      <c r="Z594" s="158"/>
      <c r="AA594" s="158"/>
      <c r="AB594" s="158"/>
      <c r="AC594" s="158"/>
      <c r="AD594" s="158"/>
      <c r="AE594" s="158"/>
      <c r="AF594" s="158"/>
      <c r="AG594" s="158"/>
      <c r="AH594" s="158"/>
    </row>
    <row r="595" spans="1:34" ht="15.75" customHeight="1">
      <c r="A595" s="179"/>
      <c r="B595" s="180"/>
      <c r="C595" s="180"/>
      <c r="D595" s="179"/>
      <c r="E595" s="179"/>
      <c r="F595" s="179"/>
      <c r="G595" s="179"/>
      <c r="H595" s="181"/>
      <c r="I595" s="181"/>
      <c r="J595" s="181"/>
      <c r="K595" s="179"/>
      <c r="L595" s="179"/>
      <c r="M595" s="179"/>
      <c r="N595" s="181"/>
      <c r="O595" s="179"/>
      <c r="P595" s="179"/>
      <c r="Q595" s="179"/>
      <c r="R595" s="179"/>
      <c r="S595" s="179"/>
      <c r="T595" s="179"/>
      <c r="U595" s="179"/>
      <c r="V595" s="179"/>
      <c r="W595" s="192"/>
      <c r="X595" s="192"/>
      <c r="Y595" s="192"/>
      <c r="Z595" s="158"/>
      <c r="AA595" s="158"/>
      <c r="AB595" s="158"/>
      <c r="AC595" s="158"/>
      <c r="AD595" s="158"/>
      <c r="AE595" s="158"/>
      <c r="AF595" s="158"/>
      <c r="AG595" s="158"/>
      <c r="AH595" s="158"/>
    </row>
    <row r="596" spans="1:34" ht="15.75" customHeight="1">
      <c r="A596" s="179"/>
      <c r="B596" s="180"/>
      <c r="C596" s="180"/>
      <c r="D596" s="179"/>
      <c r="E596" s="179"/>
      <c r="F596" s="179"/>
      <c r="G596" s="179"/>
      <c r="H596" s="181"/>
      <c r="I596" s="181"/>
      <c r="J596" s="181"/>
      <c r="K596" s="179"/>
      <c r="L596" s="179"/>
      <c r="M596" s="179"/>
      <c r="N596" s="181"/>
      <c r="O596" s="179"/>
      <c r="P596" s="179"/>
      <c r="Q596" s="179"/>
      <c r="R596" s="179"/>
      <c r="S596" s="179"/>
      <c r="T596" s="179"/>
      <c r="U596" s="179"/>
      <c r="V596" s="179"/>
      <c r="W596" s="192"/>
      <c r="X596" s="192"/>
      <c r="Y596" s="192"/>
      <c r="Z596" s="158"/>
      <c r="AA596" s="158"/>
      <c r="AB596" s="158"/>
      <c r="AC596" s="158"/>
      <c r="AD596" s="158"/>
      <c r="AE596" s="158"/>
      <c r="AF596" s="158"/>
      <c r="AG596" s="158"/>
      <c r="AH596" s="158"/>
    </row>
    <row r="597" spans="1:34" ht="15.75" customHeight="1">
      <c r="A597" s="179"/>
      <c r="B597" s="180"/>
      <c r="C597" s="180"/>
      <c r="D597" s="179"/>
      <c r="E597" s="179"/>
      <c r="F597" s="179"/>
      <c r="G597" s="179"/>
      <c r="H597" s="181"/>
      <c r="I597" s="181"/>
      <c r="J597" s="181"/>
      <c r="K597" s="179"/>
      <c r="L597" s="179"/>
      <c r="M597" s="179"/>
      <c r="N597" s="181"/>
      <c r="O597" s="179"/>
      <c r="P597" s="179"/>
      <c r="Q597" s="179"/>
      <c r="R597" s="179"/>
      <c r="S597" s="179"/>
      <c r="T597" s="179"/>
      <c r="U597" s="179"/>
      <c r="V597" s="179"/>
      <c r="W597" s="192"/>
      <c r="X597" s="192"/>
      <c r="Y597" s="192"/>
      <c r="Z597" s="158"/>
      <c r="AA597" s="158"/>
      <c r="AB597" s="158"/>
      <c r="AC597" s="158"/>
      <c r="AD597" s="158"/>
      <c r="AE597" s="158"/>
      <c r="AF597" s="158"/>
      <c r="AG597" s="158"/>
      <c r="AH597" s="158"/>
    </row>
    <row r="598" spans="1:34" ht="15.75" customHeight="1">
      <c r="A598" s="179"/>
      <c r="B598" s="180"/>
      <c r="C598" s="180"/>
      <c r="D598" s="179"/>
      <c r="E598" s="179"/>
      <c r="F598" s="179"/>
      <c r="G598" s="179"/>
      <c r="H598" s="181"/>
      <c r="I598" s="181"/>
      <c r="J598" s="181"/>
      <c r="K598" s="179"/>
      <c r="L598" s="179"/>
      <c r="M598" s="179"/>
      <c r="N598" s="181"/>
      <c r="O598" s="179"/>
      <c r="P598" s="179"/>
      <c r="Q598" s="179"/>
      <c r="R598" s="179"/>
      <c r="S598" s="179"/>
      <c r="T598" s="179"/>
      <c r="U598" s="179"/>
      <c r="V598" s="179"/>
      <c r="W598" s="192"/>
      <c r="X598" s="192"/>
      <c r="Y598" s="192"/>
      <c r="Z598" s="158"/>
      <c r="AA598" s="158"/>
      <c r="AB598" s="158"/>
      <c r="AC598" s="158"/>
      <c r="AD598" s="158"/>
      <c r="AE598" s="158"/>
      <c r="AF598" s="158"/>
      <c r="AG598" s="158"/>
      <c r="AH598" s="158"/>
    </row>
    <row r="599" spans="1:34" ht="15.75" customHeight="1">
      <c r="A599" s="179"/>
      <c r="B599" s="180"/>
      <c r="C599" s="180"/>
      <c r="D599" s="179"/>
      <c r="E599" s="179"/>
      <c r="F599" s="179"/>
      <c r="G599" s="179"/>
      <c r="H599" s="181"/>
      <c r="I599" s="181"/>
      <c r="J599" s="181"/>
      <c r="K599" s="179"/>
      <c r="L599" s="179"/>
      <c r="M599" s="179"/>
      <c r="N599" s="181"/>
      <c r="O599" s="179"/>
      <c r="P599" s="179"/>
      <c r="Q599" s="179"/>
      <c r="R599" s="179"/>
      <c r="S599" s="179"/>
      <c r="T599" s="179"/>
      <c r="U599" s="179"/>
      <c r="V599" s="179"/>
      <c r="W599" s="192"/>
      <c r="X599" s="192"/>
      <c r="Y599" s="192"/>
      <c r="Z599" s="158"/>
      <c r="AA599" s="158"/>
      <c r="AB599" s="158"/>
      <c r="AC599" s="158"/>
      <c r="AD599" s="158"/>
      <c r="AE599" s="158"/>
      <c r="AF599" s="158"/>
      <c r="AG599" s="158"/>
      <c r="AH599" s="158"/>
    </row>
    <row r="600" spans="1:34" ht="15.75" customHeight="1">
      <c r="A600" s="179"/>
      <c r="B600" s="180"/>
      <c r="C600" s="180"/>
      <c r="D600" s="179"/>
      <c r="E600" s="179"/>
      <c r="F600" s="179"/>
      <c r="G600" s="179"/>
      <c r="H600" s="181"/>
      <c r="I600" s="181"/>
      <c r="J600" s="181"/>
      <c r="K600" s="179"/>
      <c r="L600" s="179"/>
      <c r="M600" s="179"/>
      <c r="N600" s="181"/>
      <c r="O600" s="179"/>
      <c r="P600" s="179"/>
      <c r="Q600" s="179"/>
      <c r="R600" s="179"/>
      <c r="S600" s="179"/>
      <c r="T600" s="179"/>
      <c r="U600" s="179"/>
      <c r="V600" s="179"/>
      <c r="W600" s="192"/>
      <c r="X600" s="192"/>
      <c r="Y600" s="192"/>
      <c r="Z600" s="158"/>
      <c r="AA600" s="158"/>
      <c r="AB600" s="158"/>
      <c r="AC600" s="158"/>
      <c r="AD600" s="158"/>
      <c r="AE600" s="158"/>
      <c r="AF600" s="158"/>
      <c r="AG600" s="158"/>
      <c r="AH600" s="158"/>
    </row>
    <row r="601" spans="1:34" ht="15.75" customHeight="1">
      <c r="A601" s="179"/>
      <c r="B601" s="180"/>
      <c r="C601" s="180"/>
      <c r="D601" s="179"/>
      <c r="E601" s="179"/>
      <c r="F601" s="179"/>
      <c r="G601" s="179"/>
      <c r="H601" s="181"/>
      <c r="I601" s="181"/>
      <c r="J601" s="181"/>
      <c r="K601" s="179"/>
      <c r="L601" s="179"/>
      <c r="M601" s="179"/>
      <c r="N601" s="181"/>
      <c r="O601" s="179"/>
      <c r="P601" s="179"/>
      <c r="Q601" s="179"/>
      <c r="R601" s="179"/>
      <c r="S601" s="179"/>
      <c r="T601" s="179"/>
      <c r="U601" s="179"/>
      <c r="V601" s="179"/>
      <c r="W601" s="192"/>
      <c r="X601" s="192"/>
      <c r="Y601" s="192"/>
      <c r="Z601" s="158"/>
      <c r="AA601" s="158"/>
      <c r="AB601" s="158"/>
      <c r="AC601" s="158"/>
      <c r="AD601" s="158"/>
      <c r="AE601" s="158"/>
      <c r="AF601" s="158"/>
      <c r="AG601" s="158"/>
      <c r="AH601" s="158"/>
    </row>
    <row r="602" spans="1:34" ht="15.75" customHeight="1">
      <c r="A602" s="179"/>
      <c r="B602" s="180"/>
      <c r="C602" s="180"/>
      <c r="D602" s="179"/>
      <c r="E602" s="179"/>
      <c r="F602" s="179"/>
      <c r="G602" s="179"/>
      <c r="H602" s="181"/>
      <c r="I602" s="181"/>
      <c r="J602" s="181"/>
      <c r="K602" s="179"/>
      <c r="L602" s="179"/>
      <c r="M602" s="179"/>
      <c r="N602" s="181"/>
      <c r="O602" s="179"/>
      <c r="P602" s="179"/>
      <c r="Q602" s="179"/>
      <c r="R602" s="179"/>
      <c r="S602" s="179"/>
      <c r="T602" s="179"/>
      <c r="U602" s="179"/>
      <c r="V602" s="179"/>
      <c r="W602" s="192"/>
      <c r="X602" s="192"/>
      <c r="Y602" s="192"/>
      <c r="Z602" s="158"/>
      <c r="AA602" s="158"/>
      <c r="AB602" s="158"/>
      <c r="AC602" s="158"/>
      <c r="AD602" s="158"/>
      <c r="AE602" s="158"/>
      <c r="AF602" s="158"/>
      <c r="AG602" s="158"/>
      <c r="AH602" s="158"/>
    </row>
    <row r="603" spans="1:34" ht="15.75" customHeight="1">
      <c r="A603" s="179"/>
      <c r="B603" s="180"/>
      <c r="C603" s="180"/>
      <c r="D603" s="179"/>
      <c r="E603" s="179"/>
      <c r="F603" s="179"/>
      <c r="G603" s="179"/>
      <c r="H603" s="181"/>
      <c r="I603" s="181"/>
      <c r="J603" s="181"/>
      <c r="K603" s="179"/>
      <c r="L603" s="179"/>
      <c r="M603" s="179"/>
      <c r="N603" s="181"/>
      <c r="O603" s="179"/>
      <c r="P603" s="179"/>
      <c r="Q603" s="179"/>
      <c r="R603" s="179"/>
      <c r="S603" s="179"/>
      <c r="T603" s="179"/>
      <c r="U603" s="179"/>
      <c r="V603" s="179"/>
      <c r="W603" s="192"/>
      <c r="X603" s="192"/>
      <c r="Y603" s="192"/>
      <c r="Z603" s="158"/>
      <c r="AA603" s="158"/>
      <c r="AB603" s="158"/>
      <c r="AC603" s="158"/>
      <c r="AD603" s="158"/>
      <c r="AE603" s="158"/>
      <c r="AF603" s="158"/>
      <c r="AG603" s="158"/>
      <c r="AH603" s="158"/>
    </row>
    <row r="604" spans="1:34" ht="15.75" customHeight="1">
      <c r="A604" s="179"/>
      <c r="B604" s="180"/>
      <c r="C604" s="180"/>
      <c r="D604" s="179"/>
      <c r="E604" s="179"/>
      <c r="F604" s="179"/>
      <c r="G604" s="179"/>
      <c r="H604" s="181"/>
      <c r="I604" s="181"/>
      <c r="J604" s="181"/>
      <c r="K604" s="179"/>
      <c r="L604" s="179"/>
      <c r="M604" s="179"/>
      <c r="N604" s="181"/>
      <c r="O604" s="179"/>
      <c r="P604" s="179"/>
      <c r="Q604" s="179"/>
      <c r="R604" s="179"/>
      <c r="S604" s="179"/>
      <c r="T604" s="179"/>
      <c r="U604" s="179"/>
      <c r="V604" s="179"/>
      <c r="W604" s="192"/>
      <c r="X604" s="192"/>
      <c r="Y604" s="192"/>
      <c r="Z604" s="158"/>
      <c r="AA604" s="158"/>
      <c r="AB604" s="158"/>
      <c r="AC604" s="158"/>
      <c r="AD604" s="158"/>
      <c r="AE604" s="158"/>
      <c r="AF604" s="158"/>
      <c r="AG604" s="158"/>
      <c r="AH604" s="158"/>
    </row>
    <row r="605" spans="1:34" ht="15.75" customHeight="1">
      <c r="A605" s="179"/>
      <c r="B605" s="180"/>
      <c r="C605" s="180"/>
      <c r="D605" s="179"/>
      <c r="E605" s="179"/>
      <c r="F605" s="179"/>
      <c r="G605" s="179"/>
      <c r="H605" s="181"/>
      <c r="I605" s="181"/>
      <c r="J605" s="181"/>
      <c r="K605" s="179"/>
      <c r="L605" s="179"/>
      <c r="M605" s="179"/>
      <c r="N605" s="181"/>
      <c r="O605" s="179"/>
      <c r="P605" s="179"/>
      <c r="Q605" s="179"/>
      <c r="R605" s="179"/>
      <c r="S605" s="179"/>
      <c r="T605" s="179"/>
      <c r="U605" s="179"/>
      <c r="V605" s="179"/>
      <c r="W605" s="192"/>
      <c r="X605" s="192"/>
      <c r="Y605" s="192"/>
      <c r="Z605" s="158"/>
      <c r="AA605" s="158"/>
      <c r="AB605" s="158"/>
      <c r="AC605" s="158"/>
      <c r="AD605" s="158"/>
      <c r="AE605" s="158"/>
      <c r="AF605" s="158"/>
      <c r="AG605" s="158"/>
      <c r="AH605" s="158"/>
    </row>
    <row r="606" spans="1:34" ht="15.75" customHeight="1">
      <c r="A606" s="179"/>
      <c r="B606" s="180"/>
      <c r="C606" s="180"/>
      <c r="D606" s="179"/>
      <c r="E606" s="179"/>
      <c r="F606" s="179"/>
      <c r="G606" s="179"/>
      <c r="H606" s="181"/>
      <c r="I606" s="181"/>
      <c r="J606" s="181"/>
      <c r="K606" s="179"/>
      <c r="L606" s="179"/>
      <c r="M606" s="179"/>
      <c r="N606" s="181"/>
      <c r="O606" s="179"/>
      <c r="P606" s="179"/>
      <c r="Q606" s="179"/>
      <c r="R606" s="179"/>
      <c r="S606" s="179"/>
      <c r="T606" s="179"/>
      <c r="U606" s="179"/>
      <c r="V606" s="179"/>
      <c r="W606" s="192"/>
      <c r="X606" s="192"/>
      <c r="Y606" s="192"/>
      <c r="Z606" s="158"/>
      <c r="AA606" s="158"/>
      <c r="AB606" s="158"/>
      <c r="AC606" s="158"/>
      <c r="AD606" s="158"/>
      <c r="AE606" s="158"/>
      <c r="AF606" s="158"/>
      <c r="AG606" s="158"/>
      <c r="AH606" s="158"/>
    </row>
    <row r="607" spans="1:34" ht="15.75" customHeight="1">
      <c r="A607" s="179"/>
      <c r="B607" s="180"/>
      <c r="C607" s="180"/>
      <c r="D607" s="179"/>
      <c r="E607" s="179"/>
      <c r="F607" s="179"/>
      <c r="G607" s="179"/>
      <c r="H607" s="181"/>
      <c r="I607" s="181"/>
      <c r="J607" s="181"/>
      <c r="K607" s="179"/>
      <c r="L607" s="179"/>
      <c r="M607" s="179"/>
      <c r="N607" s="181"/>
      <c r="O607" s="179"/>
      <c r="P607" s="179"/>
      <c r="Q607" s="179"/>
      <c r="R607" s="179"/>
      <c r="S607" s="179"/>
      <c r="T607" s="179"/>
      <c r="U607" s="179"/>
      <c r="V607" s="179"/>
      <c r="W607" s="192"/>
      <c r="X607" s="192"/>
      <c r="Y607" s="192"/>
      <c r="Z607" s="158"/>
      <c r="AA607" s="158"/>
      <c r="AB607" s="158"/>
      <c r="AC607" s="158"/>
      <c r="AD607" s="158"/>
      <c r="AE607" s="158"/>
      <c r="AF607" s="158"/>
      <c r="AG607" s="158"/>
      <c r="AH607" s="158"/>
    </row>
    <row r="608" spans="1:34" ht="15.75" customHeight="1">
      <c r="A608" s="179"/>
      <c r="B608" s="180"/>
      <c r="C608" s="180"/>
      <c r="D608" s="179"/>
      <c r="E608" s="179"/>
      <c r="F608" s="179"/>
      <c r="G608" s="179"/>
      <c r="H608" s="181"/>
      <c r="I608" s="181"/>
      <c r="J608" s="181"/>
      <c r="K608" s="179"/>
      <c r="L608" s="179"/>
      <c r="M608" s="179"/>
      <c r="N608" s="181"/>
      <c r="O608" s="179"/>
      <c r="P608" s="179"/>
      <c r="Q608" s="179"/>
      <c r="R608" s="179"/>
      <c r="S608" s="179"/>
      <c r="T608" s="179"/>
      <c r="U608" s="179"/>
      <c r="V608" s="179"/>
      <c r="W608" s="192"/>
      <c r="X608" s="192"/>
      <c r="Y608" s="192"/>
      <c r="Z608" s="158"/>
      <c r="AA608" s="158"/>
      <c r="AB608" s="158"/>
      <c r="AC608" s="158"/>
      <c r="AD608" s="158"/>
      <c r="AE608" s="158"/>
      <c r="AF608" s="158"/>
      <c r="AG608" s="158"/>
      <c r="AH608" s="158"/>
    </row>
    <row r="609" spans="1:34" ht="15.75" customHeight="1">
      <c r="A609" s="179"/>
      <c r="B609" s="180"/>
      <c r="C609" s="180"/>
      <c r="D609" s="179"/>
      <c r="E609" s="179"/>
      <c r="F609" s="179"/>
      <c r="G609" s="179"/>
      <c r="H609" s="181"/>
      <c r="I609" s="181"/>
      <c r="J609" s="181"/>
      <c r="K609" s="179"/>
      <c r="L609" s="179"/>
      <c r="M609" s="179"/>
      <c r="N609" s="181"/>
      <c r="O609" s="179"/>
      <c r="P609" s="179"/>
      <c r="Q609" s="179"/>
      <c r="R609" s="179"/>
      <c r="S609" s="179"/>
      <c r="T609" s="179"/>
      <c r="U609" s="179"/>
      <c r="V609" s="179"/>
      <c r="W609" s="192"/>
      <c r="X609" s="192"/>
      <c r="Y609" s="192"/>
      <c r="Z609" s="158"/>
      <c r="AA609" s="158"/>
      <c r="AB609" s="158"/>
      <c r="AC609" s="158"/>
      <c r="AD609" s="158"/>
      <c r="AE609" s="158"/>
      <c r="AF609" s="158"/>
      <c r="AG609" s="158"/>
      <c r="AH609" s="158"/>
    </row>
    <row r="610" spans="1:34" ht="15.75" customHeight="1">
      <c r="A610" s="179"/>
      <c r="B610" s="180"/>
      <c r="C610" s="180"/>
      <c r="D610" s="179"/>
      <c r="E610" s="179"/>
      <c r="F610" s="179"/>
      <c r="G610" s="179"/>
      <c r="H610" s="181"/>
      <c r="I610" s="181"/>
      <c r="J610" s="181"/>
      <c r="K610" s="179"/>
      <c r="L610" s="179"/>
      <c r="M610" s="179"/>
      <c r="N610" s="181"/>
      <c r="O610" s="179"/>
      <c r="P610" s="179"/>
      <c r="Q610" s="179"/>
      <c r="R610" s="179"/>
      <c r="S610" s="179"/>
      <c r="T610" s="179"/>
      <c r="U610" s="179"/>
      <c r="V610" s="179"/>
      <c r="W610" s="192"/>
      <c r="X610" s="192"/>
      <c r="Y610" s="192"/>
      <c r="Z610" s="158"/>
      <c r="AA610" s="158"/>
      <c r="AB610" s="158"/>
      <c r="AC610" s="158"/>
      <c r="AD610" s="158"/>
      <c r="AE610" s="158"/>
      <c r="AF610" s="158"/>
      <c r="AG610" s="158"/>
      <c r="AH610" s="158"/>
    </row>
    <row r="611" spans="1:34" ht="15.75" customHeight="1">
      <c r="A611" s="179"/>
      <c r="B611" s="180"/>
      <c r="C611" s="180"/>
      <c r="D611" s="179"/>
      <c r="E611" s="179"/>
      <c r="F611" s="179"/>
      <c r="G611" s="179"/>
      <c r="H611" s="181"/>
      <c r="I611" s="181"/>
      <c r="J611" s="181"/>
      <c r="K611" s="179"/>
      <c r="L611" s="179"/>
      <c r="M611" s="179"/>
      <c r="N611" s="181"/>
      <c r="O611" s="179"/>
      <c r="P611" s="179"/>
      <c r="Q611" s="179"/>
      <c r="R611" s="179"/>
      <c r="S611" s="179"/>
      <c r="T611" s="179"/>
      <c r="U611" s="179"/>
      <c r="V611" s="179"/>
      <c r="W611" s="192"/>
      <c r="X611" s="192"/>
      <c r="Y611" s="192"/>
      <c r="Z611" s="158"/>
      <c r="AA611" s="158"/>
      <c r="AB611" s="158"/>
      <c r="AC611" s="158"/>
      <c r="AD611" s="158"/>
      <c r="AE611" s="158"/>
      <c r="AF611" s="158"/>
      <c r="AG611" s="158"/>
      <c r="AH611" s="158"/>
    </row>
    <row r="612" spans="1:34" ht="15.75" customHeight="1">
      <c r="A612" s="179"/>
      <c r="B612" s="180"/>
      <c r="C612" s="180"/>
      <c r="D612" s="179"/>
      <c r="E612" s="179"/>
      <c r="F612" s="179"/>
      <c r="G612" s="179"/>
      <c r="H612" s="181"/>
      <c r="I612" s="181"/>
      <c r="J612" s="181"/>
      <c r="K612" s="179"/>
      <c r="L612" s="179"/>
      <c r="M612" s="179"/>
      <c r="N612" s="181"/>
      <c r="O612" s="179"/>
      <c r="P612" s="179"/>
      <c r="Q612" s="179"/>
      <c r="R612" s="179"/>
      <c r="S612" s="179"/>
      <c r="T612" s="179"/>
      <c r="U612" s="179"/>
      <c r="V612" s="179"/>
      <c r="W612" s="192"/>
      <c r="X612" s="192"/>
      <c r="Y612" s="192"/>
      <c r="Z612" s="158"/>
      <c r="AA612" s="158"/>
      <c r="AB612" s="158"/>
      <c r="AC612" s="158"/>
      <c r="AD612" s="158"/>
      <c r="AE612" s="158"/>
      <c r="AF612" s="158"/>
      <c r="AG612" s="158"/>
      <c r="AH612" s="158"/>
    </row>
    <row r="613" spans="1:34" ht="15.75" customHeight="1">
      <c r="A613" s="179"/>
      <c r="B613" s="180"/>
      <c r="C613" s="180"/>
      <c r="D613" s="179"/>
      <c r="E613" s="179"/>
      <c r="F613" s="179"/>
      <c r="G613" s="179"/>
      <c r="H613" s="181"/>
      <c r="I613" s="181"/>
      <c r="J613" s="181"/>
      <c r="K613" s="179"/>
      <c r="L613" s="179"/>
      <c r="M613" s="179"/>
      <c r="N613" s="181"/>
      <c r="O613" s="179"/>
      <c r="P613" s="179"/>
      <c r="Q613" s="179"/>
      <c r="R613" s="179"/>
      <c r="S613" s="179"/>
      <c r="T613" s="179"/>
      <c r="U613" s="179"/>
      <c r="V613" s="179"/>
      <c r="W613" s="192"/>
      <c r="X613" s="192"/>
      <c r="Y613" s="192"/>
      <c r="Z613" s="158"/>
      <c r="AA613" s="158"/>
      <c r="AB613" s="158"/>
      <c r="AC613" s="158"/>
      <c r="AD613" s="158"/>
      <c r="AE613" s="158"/>
      <c r="AF613" s="158"/>
      <c r="AG613" s="158"/>
      <c r="AH613" s="158"/>
    </row>
    <row r="614" spans="1:34" ht="15.75" customHeight="1">
      <c r="A614" s="179"/>
      <c r="B614" s="180"/>
      <c r="C614" s="180"/>
      <c r="D614" s="179"/>
      <c r="E614" s="179"/>
      <c r="F614" s="179"/>
      <c r="G614" s="179"/>
      <c r="H614" s="181"/>
      <c r="I614" s="181"/>
      <c r="J614" s="181"/>
      <c r="K614" s="179"/>
      <c r="L614" s="179"/>
      <c r="M614" s="179"/>
      <c r="N614" s="181"/>
      <c r="O614" s="179"/>
      <c r="P614" s="179"/>
      <c r="Q614" s="179"/>
      <c r="R614" s="179"/>
      <c r="S614" s="179"/>
      <c r="T614" s="179"/>
      <c r="U614" s="179"/>
      <c r="V614" s="179"/>
      <c r="W614" s="192"/>
      <c r="X614" s="192"/>
      <c r="Y614" s="192"/>
      <c r="Z614" s="158"/>
      <c r="AA614" s="158"/>
      <c r="AB614" s="158"/>
      <c r="AC614" s="158"/>
      <c r="AD614" s="158"/>
      <c r="AE614" s="158"/>
      <c r="AF614" s="158"/>
      <c r="AG614" s="158"/>
      <c r="AH614" s="158"/>
    </row>
    <row r="615" spans="1:34" ht="15.75" customHeight="1">
      <c r="A615" s="179"/>
      <c r="B615" s="180"/>
      <c r="C615" s="180"/>
      <c r="D615" s="179"/>
      <c r="E615" s="179"/>
      <c r="F615" s="179"/>
      <c r="G615" s="179"/>
      <c r="H615" s="181"/>
      <c r="I615" s="181"/>
      <c r="J615" s="181"/>
      <c r="K615" s="179"/>
      <c r="L615" s="179"/>
      <c r="M615" s="179"/>
      <c r="N615" s="181"/>
      <c r="O615" s="179"/>
      <c r="P615" s="179"/>
      <c r="Q615" s="179"/>
      <c r="R615" s="179"/>
      <c r="S615" s="179"/>
      <c r="T615" s="179"/>
      <c r="U615" s="179"/>
      <c r="V615" s="179"/>
      <c r="W615" s="192"/>
      <c r="X615" s="192"/>
      <c r="Y615" s="192"/>
      <c r="Z615" s="158"/>
      <c r="AA615" s="158"/>
      <c r="AB615" s="158"/>
      <c r="AC615" s="158"/>
      <c r="AD615" s="158"/>
      <c r="AE615" s="158"/>
      <c r="AF615" s="158"/>
      <c r="AG615" s="158"/>
      <c r="AH615" s="158"/>
    </row>
    <row r="616" spans="1:34" ht="15.75" customHeight="1">
      <c r="A616" s="179"/>
      <c r="B616" s="180"/>
      <c r="C616" s="180"/>
      <c r="D616" s="179"/>
      <c r="E616" s="179"/>
      <c r="F616" s="179"/>
      <c r="G616" s="179"/>
      <c r="H616" s="181"/>
      <c r="I616" s="181"/>
      <c r="J616" s="181"/>
      <c r="K616" s="179"/>
      <c r="L616" s="179"/>
      <c r="M616" s="179"/>
      <c r="N616" s="181"/>
      <c r="O616" s="179"/>
      <c r="P616" s="179"/>
      <c r="Q616" s="179"/>
      <c r="R616" s="179"/>
      <c r="S616" s="179"/>
      <c r="T616" s="179"/>
      <c r="U616" s="179"/>
      <c r="V616" s="179"/>
      <c r="W616" s="192"/>
      <c r="X616" s="192"/>
      <c r="Y616" s="192"/>
      <c r="Z616" s="158"/>
      <c r="AA616" s="158"/>
      <c r="AB616" s="158"/>
      <c r="AC616" s="158"/>
      <c r="AD616" s="158"/>
      <c r="AE616" s="158"/>
      <c r="AF616" s="158"/>
      <c r="AG616" s="158"/>
      <c r="AH616" s="158"/>
    </row>
    <row r="617" spans="1:34" ht="15.75" customHeight="1">
      <c r="A617" s="179"/>
      <c r="B617" s="180"/>
      <c r="C617" s="180"/>
      <c r="D617" s="179"/>
      <c r="E617" s="179"/>
      <c r="F617" s="179"/>
      <c r="G617" s="179"/>
      <c r="H617" s="181"/>
      <c r="I617" s="181"/>
      <c r="J617" s="181"/>
      <c r="K617" s="179"/>
      <c r="L617" s="179"/>
      <c r="M617" s="179"/>
      <c r="N617" s="181"/>
      <c r="O617" s="179"/>
      <c r="P617" s="179"/>
      <c r="Q617" s="179"/>
      <c r="R617" s="179"/>
      <c r="S617" s="179"/>
      <c r="T617" s="179"/>
      <c r="U617" s="179"/>
      <c r="V617" s="179"/>
      <c r="W617" s="192"/>
      <c r="X617" s="192"/>
      <c r="Y617" s="192"/>
      <c r="Z617" s="158"/>
      <c r="AA617" s="158"/>
      <c r="AB617" s="158"/>
      <c r="AC617" s="158"/>
      <c r="AD617" s="158"/>
      <c r="AE617" s="158"/>
      <c r="AF617" s="158"/>
      <c r="AG617" s="158"/>
      <c r="AH617" s="158"/>
    </row>
    <row r="618" spans="1:34" ht="15.75" customHeight="1">
      <c r="A618" s="179"/>
      <c r="B618" s="180"/>
      <c r="C618" s="180"/>
      <c r="D618" s="179"/>
      <c r="E618" s="179"/>
      <c r="F618" s="179"/>
      <c r="G618" s="179"/>
      <c r="H618" s="181"/>
      <c r="I618" s="181"/>
      <c r="J618" s="181"/>
      <c r="K618" s="179"/>
      <c r="L618" s="179"/>
      <c r="M618" s="179"/>
      <c r="N618" s="181"/>
      <c r="O618" s="179"/>
      <c r="P618" s="179"/>
      <c r="Q618" s="179"/>
      <c r="R618" s="179"/>
      <c r="S618" s="179"/>
      <c r="T618" s="179"/>
      <c r="U618" s="179"/>
      <c r="V618" s="179"/>
      <c r="W618" s="192"/>
      <c r="X618" s="192"/>
      <c r="Y618" s="192"/>
      <c r="Z618" s="158"/>
      <c r="AA618" s="158"/>
      <c r="AB618" s="158"/>
      <c r="AC618" s="158"/>
      <c r="AD618" s="158"/>
      <c r="AE618" s="158"/>
      <c r="AF618" s="158"/>
      <c r="AG618" s="158"/>
      <c r="AH618" s="158"/>
    </row>
    <row r="619" spans="1:34" ht="15.75" customHeight="1">
      <c r="A619" s="179"/>
      <c r="B619" s="180"/>
      <c r="C619" s="180"/>
      <c r="D619" s="179"/>
      <c r="E619" s="179"/>
      <c r="F619" s="179"/>
      <c r="G619" s="179"/>
      <c r="H619" s="181"/>
      <c r="I619" s="181"/>
      <c r="J619" s="181"/>
      <c r="K619" s="179"/>
      <c r="L619" s="179"/>
      <c r="M619" s="179"/>
      <c r="N619" s="181"/>
      <c r="O619" s="179"/>
      <c r="P619" s="179"/>
      <c r="Q619" s="179"/>
      <c r="R619" s="179"/>
      <c r="S619" s="179"/>
      <c r="T619" s="179"/>
      <c r="U619" s="179"/>
      <c r="V619" s="179"/>
      <c r="W619" s="192"/>
      <c r="X619" s="192"/>
      <c r="Y619" s="192"/>
      <c r="Z619" s="158"/>
      <c r="AA619" s="158"/>
      <c r="AB619" s="158"/>
      <c r="AC619" s="158"/>
      <c r="AD619" s="158"/>
      <c r="AE619" s="158"/>
      <c r="AF619" s="158"/>
      <c r="AG619" s="158"/>
      <c r="AH619" s="158"/>
    </row>
    <row r="620" spans="1:34" ht="15.75" customHeight="1">
      <c r="A620" s="179"/>
      <c r="B620" s="180"/>
      <c r="C620" s="180"/>
      <c r="D620" s="179"/>
      <c r="E620" s="179"/>
      <c r="F620" s="179"/>
      <c r="G620" s="179"/>
      <c r="H620" s="181"/>
      <c r="I620" s="181"/>
      <c r="J620" s="181"/>
      <c r="K620" s="179"/>
      <c r="L620" s="179"/>
      <c r="M620" s="179"/>
      <c r="N620" s="181"/>
      <c r="O620" s="179"/>
      <c r="P620" s="179"/>
      <c r="Q620" s="179"/>
      <c r="R620" s="179"/>
      <c r="S620" s="179"/>
      <c r="T620" s="179"/>
      <c r="U620" s="179"/>
      <c r="V620" s="179"/>
      <c r="W620" s="192"/>
      <c r="X620" s="192"/>
      <c r="Y620" s="192"/>
      <c r="Z620" s="158"/>
      <c r="AA620" s="158"/>
      <c r="AB620" s="158"/>
      <c r="AC620" s="158"/>
      <c r="AD620" s="158"/>
      <c r="AE620" s="158"/>
      <c r="AF620" s="158"/>
      <c r="AG620" s="158"/>
      <c r="AH620" s="158"/>
    </row>
    <row r="621" spans="1:34" ht="15.75" customHeight="1">
      <c r="A621" s="179"/>
      <c r="B621" s="180"/>
      <c r="C621" s="180"/>
      <c r="D621" s="179"/>
      <c r="E621" s="179"/>
      <c r="F621" s="179"/>
      <c r="G621" s="179"/>
      <c r="H621" s="181"/>
      <c r="I621" s="181"/>
      <c r="J621" s="181"/>
      <c r="K621" s="179"/>
      <c r="L621" s="179"/>
      <c r="M621" s="179"/>
      <c r="N621" s="181"/>
      <c r="O621" s="179"/>
      <c r="P621" s="179"/>
      <c r="Q621" s="179"/>
      <c r="R621" s="179"/>
      <c r="S621" s="179"/>
      <c r="T621" s="179"/>
      <c r="U621" s="179"/>
      <c r="V621" s="179"/>
      <c r="W621" s="192"/>
      <c r="X621" s="192"/>
      <c r="Y621" s="192"/>
      <c r="Z621" s="158"/>
      <c r="AA621" s="158"/>
      <c r="AB621" s="158"/>
      <c r="AC621" s="158"/>
      <c r="AD621" s="158"/>
      <c r="AE621" s="158"/>
      <c r="AF621" s="158"/>
      <c r="AG621" s="158"/>
      <c r="AH621" s="158"/>
    </row>
    <row r="622" spans="1:34" ht="15.75" customHeight="1">
      <c r="A622" s="179"/>
      <c r="B622" s="180"/>
      <c r="C622" s="180"/>
      <c r="D622" s="179"/>
      <c r="E622" s="179"/>
      <c r="F622" s="179"/>
      <c r="G622" s="179"/>
      <c r="H622" s="181"/>
      <c r="I622" s="181"/>
      <c r="J622" s="181"/>
      <c r="K622" s="179"/>
      <c r="L622" s="179"/>
      <c r="M622" s="179"/>
      <c r="N622" s="181"/>
      <c r="O622" s="179"/>
      <c r="P622" s="179"/>
      <c r="Q622" s="179"/>
      <c r="R622" s="179"/>
      <c r="S622" s="179"/>
      <c r="T622" s="179"/>
      <c r="U622" s="179"/>
      <c r="V622" s="179"/>
      <c r="W622" s="192"/>
      <c r="X622" s="192"/>
      <c r="Y622" s="192"/>
      <c r="Z622" s="158"/>
      <c r="AA622" s="158"/>
      <c r="AB622" s="158"/>
      <c r="AC622" s="158"/>
      <c r="AD622" s="158"/>
      <c r="AE622" s="158"/>
      <c r="AF622" s="158"/>
      <c r="AG622" s="158"/>
      <c r="AH622" s="158"/>
    </row>
    <row r="623" spans="1:34" ht="15.75" customHeight="1">
      <c r="A623" s="179"/>
      <c r="B623" s="180"/>
      <c r="C623" s="180"/>
      <c r="D623" s="179"/>
      <c r="E623" s="179"/>
      <c r="F623" s="179"/>
      <c r="G623" s="179"/>
      <c r="H623" s="181"/>
      <c r="I623" s="181"/>
      <c r="J623" s="181"/>
      <c r="K623" s="179"/>
      <c r="L623" s="179"/>
      <c r="M623" s="179"/>
      <c r="N623" s="181"/>
      <c r="O623" s="179"/>
      <c r="P623" s="179"/>
      <c r="Q623" s="179"/>
      <c r="R623" s="179"/>
      <c r="S623" s="179"/>
      <c r="T623" s="179"/>
      <c r="U623" s="179"/>
      <c r="V623" s="179"/>
      <c r="W623" s="192"/>
      <c r="X623" s="192"/>
      <c r="Y623" s="192"/>
      <c r="Z623" s="158"/>
      <c r="AA623" s="158"/>
      <c r="AB623" s="158"/>
      <c r="AC623" s="158"/>
      <c r="AD623" s="158"/>
      <c r="AE623" s="158"/>
      <c r="AF623" s="158"/>
      <c r="AG623" s="158"/>
      <c r="AH623" s="158"/>
    </row>
    <row r="624" spans="1:34" ht="15.75" customHeight="1">
      <c r="A624" s="179"/>
      <c r="B624" s="180"/>
      <c r="C624" s="180"/>
      <c r="D624" s="179"/>
      <c r="E624" s="179"/>
      <c r="F624" s="179"/>
      <c r="G624" s="179"/>
      <c r="H624" s="181"/>
      <c r="I624" s="181"/>
      <c r="J624" s="181"/>
      <c r="K624" s="179"/>
      <c r="L624" s="179"/>
      <c r="M624" s="179"/>
      <c r="N624" s="181"/>
      <c r="O624" s="179"/>
      <c r="P624" s="179"/>
      <c r="Q624" s="179"/>
      <c r="R624" s="179"/>
      <c r="S624" s="179"/>
      <c r="T624" s="179"/>
      <c r="U624" s="179"/>
      <c r="V624" s="179"/>
      <c r="W624" s="192"/>
      <c r="X624" s="192"/>
      <c r="Y624" s="192"/>
      <c r="Z624" s="158"/>
      <c r="AA624" s="158"/>
      <c r="AB624" s="158"/>
      <c r="AC624" s="158"/>
      <c r="AD624" s="158"/>
      <c r="AE624" s="158"/>
      <c r="AF624" s="158"/>
      <c r="AG624" s="158"/>
      <c r="AH624" s="158"/>
    </row>
    <row r="625" spans="1:34" ht="15.75" customHeight="1">
      <c r="A625" s="179"/>
      <c r="B625" s="180"/>
      <c r="C625" s="180"/>
      <c r="D625" s="179"/>
      <c r="E625" s="179"/>
      <c r="F625" s="179"/>
      <c r="G625" s="179"/>
      <c r="H625" s="181"/>
      <c r="I625" s="181"/>
      <c r="J625" s="181"/>
      <c r="K625" s="179"/>
      <c r="L625" s="179"/>
      <c r="M625" s="179"/>
      <c r="N625" s="181"/>
      <c r="O625" s="179"/>
      <c r="P625" s="179"/>
      <c r="Q625" s="179"/>
      <c r="R625" s="179"/>
      <c r="S625" s="179"/>
      <c r="T625" s="179"/>
      <c r="U625" s="179"/>
      <c r="V625" s="179"/>
      <c r="W625" s="192"/>
      <c r="X625" s="192"/>
      <c r="Y625" s="192"/>
      <c r="Z625" s="158"/>
      <c r="AA625" s="158"/>
      <c r="AB625" s="158"/>
      <c r="AC625" s="158"/>
      <c r="AD625" s="158"/>
      <c r="AE625" s="158"/>
      <c r="AF625" s="158"/>
      <c r="AG625" s="158"/>
      <c r="AH625" s="158"/>
    </row>
    <row r="626" spans="1:34" ht="15.75" customHeight="1">
      <c r="A626" s="179"/>
      <c r="B626" s="180"/>
      <c r="C626" s="180"/>
      <c r="D626" s="179"/>
      <c r="E626" s="179"/>
      <c r="F626" s="179"/>
      <c r="G626" s="179"/>
      <c r="H626" s="181"/>
      <c r="I626" s="181"/>
      <c r="J626" s="181"/>
      <c r="K626" s="179"/>
      <c r="L626" s="179"/>
      <c r="M626" s="179"/>
      <c r="N626" s="181"/>
      <c r="O626" s="179"/>
      <c r="P626" s="179"/>
      <c r="Q626" s="179"/>
      <c r="R626" s="179"/>
      <c r="S626" s="179"/>
      <c r="T626" s="179"/>
      <c r="U626" s="179"/>
      <c r="V626" s="179"/>
      <c r="W626" s="192"/>
      <c r="X626" s="192"/>
      <c r="Y626" s="192"/>
      <c r="Z626" s="158"/>
      <c r="AA626" s="158"/>
      <c r="AB626" s="158"/>
      <c r="AC626" s="158"/>
      <c r="AD626" s="158"/>
      <c r="AE626" s="158"/>
      <c r="AF626" s="158"/>
      <c r="AG626" s="158"/>
      <c r="AH626" s="158"/>
    </row>
    <row r="627" spans="1:34" ht="15.75" customHeight="1">
      <c r="A627" s="179"/>
      <c r="B627" s="180"/>
      <c r="C627" s="180"/>
      <c r="D627" s="179"/>
      <c r="E627" s="179"/>
      <c r="F627" s="179"/>
      <c r="G627" s="179"/>
      <c r="H627" s="181"/>
      <c r="I627" s="181"/>
      <c r="J627" s="181"/>
      <c r="K627" s="179"/>
      <c r="L627" s="179"/>
      <c r="M627" s="179"/>
      <c r="N627" s="181"/>
      <c r="O627" s="179"/>
      <c r="P627" s="179"/>
      <c r="Q627" s="179"/>
      <c r="R627" s="179"/>
      <c r="S627" s="179"/>
      <c r="T627" s="179"/>
      <c r="U627" s="179"/>
      <c r="V627" s="179"/>
      <c r="W627" s="192"/>
      <c r="X627" s="192"/>
      <c r="Y627" s="192"/>
      <c r="Z627" s="158"/>
      <c r="AA627" s="158"/>
      <c r="AB627" s="158"/>
      <c r="AC627" s="158"/>
      <c r="AD627" s="158"/>
      <c r="AE627" s="158"/>
      <c r="AF627" s="158"/>
      <c r="AG627" s="158"/>
      <c r="AH627" s="158"/>
    </row>
    <row r="628" spans="1:34" ht="15.75" customHeight="1">
      <c r="A628" s="179"/>
      <c r="B628" s="180"/>
      <c r="C628" s="180"/>
      <c r="D628" s="179"/>
      <c r="E628" s="179"/>
      <c r="F628" s="179"/>
      <c r="G628" s="179"/>
      <c r="H628" s="181"/>
      <c r="I628" s="181"/>
      <c r="J628" s="181"/>
      <c r="K628" s="179"/>
      <c r="L628" s="179"/>
      <c r="M628" s="179"/>
      <c r="N628" s="181"/>
      <c r="O628" s="179"/>
      <c r="P628" s="179"/>
      <c r="Q628" s="179"/>
      <c r="R628" s="179"/>
      <c r="S628" s="179"/>
      <c r="T628" s="179"/>
      <c r="U628" s="179"/>
      <c r="V628" s="179"/>
      <c r="W628" s="192"/>
      <c r="X628" s="192"/>
      <c r="Y628" s="192"/>
      <c r="Z628" s="158"/>
      <c r="AA628" s="158"/>
      <c r="AB628" s="158"/>
      <c r="AC628" s="158"/>
      <c r="AD628" s="158"/>
      <c r="AE628" s="158"/>
      <c r="AF628" s="158"/>
      <c r="AG628" s="158"/>
      <c r="AH628" s="158"/>
    </row>
    <row r="629" spans="1:34" ht="15.75" customHeight="1">
      <c r="A629" s="179"/>
      <c r="B629" s="180"/>
      <c r="C629" s="180"/>
      <c r="D629" s="179"/>
      <c r="E629" s="179"/>
      <c r="F629" s="179"/>
      <c r="G629" s="179"/>
      <c r="H629" s="181"/>
      <c r="I629" s="181"/>
      <c r="J629" s="181"/>
      <c r="K629" s="179"/>
      <c r="L629" s="179"/>
      <c r="M629" s="179"/>
      <c r="N629" s="181"/>
      <c r="O629" s="179"/>
      <c r="P629" s="179"/>
      <c r="Q629" s="179"/>
      <c r="R629" s="179"/>
      <c r="S629" s="179"/>
      <c r="T629" s="179"/>
      <c r="U629" s="179"/>
      <c r="V629" s="179"/>
      <c r="W629" s="192"/>
      <c r="X629" s="192"/>
      <c r="Y629" s="192"/>
      <c r="Z629" s="158"/>
      <c r="AA629" s="158"/>
      <c r="AB629" s="158"/>
      <c r="AC629" s="158"/>
      <c r="AD629" s="158"/>
      <c r="AE629" s="158"/>
      <c r="AF629" s="158"/>
      <c r="AG629" s="158"/>
      <c r="AH629" s="158"/>
    </row>
    <row r="630" spans="1:34" ht="15.75" customHeight="1">
      <c r="A630" s="179"/>
      <c r="B630" s="180"/>
      <c r="C630" s="180"/>
      <c r="D630" s="179"/>
      <c r="E630" s="179"/>
      <c r="F630" s="179"/>
      <c r="G630" s="179"/>
      <c r="H630" s="181"/>
      <c r="I630" s="181"/>
      <c r="J630" s="181"/>
      <c r="K630" s="179"/>
      <c r="L630" s="179"/>
      <c r="M630" s="179"/>
      <c r="N630" s="181"/>
      <c r="O630" s="179"/>
      <c r="P630" s="179"/>
      <c r="Q630" s="179"/>
      <c r="R630" s="179"/>
      <c r="S630" s="179"/>
      <c r="T630" s="179"/>
      <c r="U630" s="179"/>
      <c r="V630" s="179"/>
      <c r="W630" s="192"/>
      <c r="X630" s="192"/>
      <c r="Y630" s="192"/>
      <c r="Z630" s="158"/>
      <c r="AA630" s="158"/>
      <c r="AB630" s="158"/>
      <c r="AC630" s="158"/>
      <c r="AD630" s="158"/>
      <c r="AE630" s="158"/>
      <c r="AF630" s="158"/>
      <c r="AG630" s="158"/>
      <c r="AH630" s="158"/>
    </row>
    <row r="631" spans="1:34" ht="15.75" customHeight="1">
      <c r="A631" s="179"/>
      <c r="B631" s="180"/>
      <c r="C631" s="180"/>
      <c r="D631" s="179"/>
      <c r="E631" s="179"/>
      <c r="F631" s="179"/>
      <c r="G631" s="179"/>
      <c r="H631" s="181"/>
      <c r="I631" s="181"/>
      <c r="J631" s="181"/>
      <c r="K631" s="179"/>
      <c r="L631" s="179"/>
      <c r="M631" s="179"/>
      <c r="N631" s="181"/>
      <c r="O631" s="179"/>
      <c r="P631" s="179"/>
      <c r="Q631" s="179"/>
      <c r="R631" s="179"/>
      <c r="S631" s="179"/>
      <c r="T631" s="179"/>
      <c r="U631" s="179"/>
      <c r="V631" s="179"/>
      <c r="W631" s="192"/>
      <c r="X631" s="192"/>
      <c r="Y631" s="192"/>
      <c r="Z631" s="158"/>
      <c r="AA631" s="158"/>
      <c r="AB631" s="158"/>
      <c r="AC631" s="158"/>
      <c r="AD631" s="158"/>
      <c r="AE631" s="158"/>
      <c r="AF631" s="158"/>
      <c r="AG631" s="158"/>
      <c r="AH631" s="158"/>
    </row>
    <row r="632" spans="1:34" ht="15.75" customHeight="1">
      <c r="A632" s="179"/>
      <c r="B632" s="180"/>
      <c r="C632" s="180"/>
      <c r="D632" s="179"/>
      <c r="E632" s="179"/>
      <c r="F632" s="179"/>
      <c r="G632" s="179"/>
      <c r="H632" s="181"/>
      <c r="I632" s="181"/>
      <c r="J632" s="181"/>
      <c r="K632" s="179"/>
      <c r="L632" s="179"/>
      <c r="M632" s="179"/>
      <c r="N632" s="181"/>
      <c r="O632" s="179"/>
      <c r="P632" s="179"/>
      <c r="Q632" s="179"/>
      <c r="R632" s="179"/>
      <c r="S632" s="179"/>
      <c r="T632" s="179"/>
      <c r="U632" s="179"/>
      <c r="V632" s="179"/>
      <c r="W632" s="192"/>
      <c r="X632" s="192"/>
      <c r="Y632" s="192"/>
      <c r="Z632" s="158"/>
      <c r="AA632" s="158"/>
      <c r="AB632" s="158"/>
      <c r="AC632" s="158"/>
      <c r="AD632" s="158"/>
      <c r="AE632" s="158"/>
      <c r="AF632" s="158"/>
      <c r="AG632" s="158"/>
      <c r="AH632" s="158"/>
    </row>
    <row r="633" spans="1:34" ht="15.75" customHeight="1">
      <c r="A633" s="179"/>
      <c r="B633" s="180"/>
      <c r="C633" s="180"/>
      <c r="D633" s="179"/>
      <c r="E633" s="179"/>
      <c r="F633" s="179"/>
      <c r="G633" s="179"/>
      <c r="H633" s="181"/>
      <c r="I633" s="181"/>
      <c r="J633" s="181"/>
      <c r="K633" s="179"/>
      <c r="L633" s="179"/>
      <c r="M633" s="179"/>
      <c r="N633" s="181"/>
      <c r="O633" s="179"/>
      <c r="P633" s="179"/>
      <c r="Q633" s="179"/>
      <c r="R633" s="179"/>
      <c r="S633" s="179"/>
      <c r="T633" s="179"/>
      <c r="U633" s="179"/>
      <c r="V633" s="179"/>
      <c r="W633" s="192"/>
      <c r="X633" s="192"/>
      <c r="Y633" s="192"/>
      <c r="Z633" s="158"/>
      <c r="AA633" s="158"/>
      <c r="AB633" s="158"/>
      <c r="AC633" s="158"/>
      <c r="AD633" s="158"/>
      <c r="AE633" s="158"/>
      <c r="AF633" s="158"/>
      <c r="AG633" s="158"/>
      <c r="AH633" s="158"/>
    </row>
    <row r="634" spans="1:34" ht="15.75" customHeight="1">
      <c r="A634" s="179"/>
      <c r="B634" s="180"/>
      <c r="C634" s="180"/>
      <c r="D634" s="179"/>
      <c r="E634" s="179"/>
      <c r="F634" s="179"/>
      <c r="G634" s="179"/>
      <c r="H634" s="181"/>
      <c r="I634" s="181"/>
      <c r="J634" s="181"/>
      <c r="K634" s="179"/>
      <c r="L634" s="179"/>
      <c r="M634" s="179"/>
      <c r="N634" s="181"/>
      <c r="O634" s="179"/>
      <c r="P634" s="179"/>
      <c r="Q634" s="179"/>
      <c r="R634" s="179"/>
      <c r="S634" s="179"/>
      <c r="T634" s="179"/>
      <c r="U634" s="179"/>
      <c r="V634" s="179"/>
      <c r="W634" s="192"/>
      <c r="X634" s="192"/>
      <c r="Y634" s="192"/>
      <c r="Z634" s="158"/>
      <c r="AA634" s="158"/>
      <c r="AB634" s="158"/>
      <c r="AC634" s="158"/>
      <c r="AD634" s="158"/>
      <c r="AE634" s="158"/>
      <c r="AF634" s="158"/>
      <c r="AG634" s="158"/>
      <c r="AH634" s="158"/>
    </row>
    <row r="635" spans="1:34" ht="15.75" customHeight="1">
      <c r="A635" s="179"/>
      <c r="B635" s="180"/>
      <c r="C635" s="180"/>
      <c r="D635" s="179"/>
      <c r="E635" s="179"/>
      <c r="F635" s="179"/>
      <c r="G635" s="179"/>
      <c r="H635" s="181"/>
      <c r="I635" s="181"/>
      <c r="J635" s="181"/>
      <c r="K635" s="179"/>
      <c r="L635" s="179"/>
      <c r="M635" s="179"/>
      <c r="N635" s="181"/>
      <c r="O635" s="179"/>
      <c r="P635" s="179"/>
      <c r="Q635" s="179"/>
      <c r="R635" s="179"/>
      <c r="S635" s="179"/>
      <c r="T635" s="179"/>
      <c r="U635" s="179"/>
      <c r="V635" s="179"/>
      <c r="W635" s="192"/>
      <c r="X635" s="192"/>
      <c r="Y635" s="192"/>
      <c r="Z635" s="158"/>
      <c r="AA635" s="158"/>
      <c r="AB635" s="158"/>
      <c r="AC635" s="158"/>
      <c r="AD635" s="158"/>
      <c r="AE635" s="158"/>
      <c r="AF635" s="158"/>
      <c r="AG635" s="158"/>
      <c r="AH635" s="158"/>
    </row>
    <row r="636" spans="1:34" ht="15.75" customHeight="1">
      <c r="A636" s="179"/>
      <c r="B636" s="180"/>
      <c r="C636" s="180"/>
      <c r="D636" s="179"/>
      <c r="E636" s="179"/>
      <c r="F636" s="179"/>
      <c r="G636" s="179"/>
      <c r="H636" s="181"/>
      <c r="I636" s="181"/>
      <c r="J636" s="181"/>
      <c r="K636" s="179"/>
      <c r="L636" s="179"/>
      <c r="M636" s="179"/>
      <c r="N636" s="181"/>
      <c r="O636" s="179"/>
      <c r="P636" s="179"/>
      <c r="Q636" s="179"/>
      <c r="R636" s="179"/>
      <c r="S636" s="179"/>
      <c r="T636" s="179"/>
      <c r="U636" s="179"/>
      <c r="V636" s="179"/>
      <c r="W636" s="192"/>
      <c r="X636" s="192"/>
      <c r="Y636" s="192"/>
      <c r="Z636" s="158"/>
      <c r="AA636" s="158"/>
      <c r="AB636" s="158"/>
      <c r="AC636" s="158"/>
      <c r="AD636" s="158"/>
      <c r="AE636" s="158"/>
      <c r="AF636" s="158"/>
      <c r="AG636" s="158"/>
      <c r="AH636" s="158"/>
    </row>
    <row r="637" spans="1:34" ht="15.75" customHeight="1">
      <c r="A637" s="179"/>
      <c r="B637" s="180"/>
      <c r="C637" s="180"/>
      <c r="D637" s="179"/>
      <c r="E637" s="179"/>
      <c r="F637" s="179"/>
      <c r="G637" s="179"/>
      <c r="H637" s="181"/>
      <c r="I637" s="181"/>
      <c r="J637" s="181"/>
      <c r="K637" s="179"/>
      <c r="L637" s="179"/>
      <c r="M637" s="179"/>
      <c r="N637" s="181"/>
      <c r="O637" s="179"/>
      <c r="P637" s="179"/>
      <c r="Q637" s="179"/>
      <c r="R637" s="179"/>
      <c r="S637" s="179"/>
      <c r="T637" s="179"/>
      <c r="U637" s="179"/>
      <c r="V637" s="179"/>
      <c r="W637" s="192"/>
      <c r="X637" s="192"/>
      <c r="Y637" s="192"/>
      <c r="Z637" s="158"/>
      <c r="AA637" s="158"/>
      <c r="AB637" s="158"/>
      <c r="AC637" s="158"/>
      <c r="AD637" s="158"/>
      <c r="AE637" s="158"/>
      <c r="AF637" s="158"/>
      <c r="AG637" s="158"/>
      <c r="AH637" s="158"/>
    </row>
    <row r="638" spans="1:34" ht="15.75" customHeight="1">
      <c r="A638" s="179"/>
      <c r="B638" s="180"/>
      <c r="C638" s="180"/>
      <c r="D638" s="179"/>
      <c r="E638" s="179"/>
      <c r="F638" s="179"/>
      <c r="G638" s="179"/>
      <c r="H638" s="181"/>
      <c r="I638" s="181"/>
      <c r="J638" s="181"/>
      <c r="K638" s="179"/>
      <c r="L638" s="179"/>
      <c r="M638" s="179"/>
      <c r="N638" s="181"/>
      <c r="O638" s="179"/>
      <c r="P638" s="179"/>
      <c r="Q638" s="179"/>
      <c r="R638" s="179"/>
      <c r="S638" s="179"/>
      <c r="T638" s="179"/>
      <c r="U638" s="179"/>
      <c r="V638" s="179"/>
      <c r="W638" s="192"/>
      <c r="X638" s="192"/>
      <c r="Y638" s="192"/>
      <c r="Z638" s="158"/>
      <c r="AA638" s="158"/>
      <c r="AB638" s="158"/>
      <c r="AC638" s="158"/>
      <c r="AD638" s="158"/>
      <c r="AE638" s="158"/>
      <c r="AF638" s="158"/>
      <c r="AG638" s="158"/>
      <c r="AH638" s="158"/>
    </row>
    <row r="639" spans="1:34" ht="15.75" customHeight="1">
      <c r="A639" s="179"/>
      <c r="B639" s="180"/>
      <c r="C639" s="180"/>
      <c r="D639" s="179"/>
      <c r="E639" s="179"/>
      <c r="F639" s="179"/>
      <c r="G639" s="179"/>
      <c r="H639" s="181"/>
      <c r="I639" s="181"/>
      <c r="J639" s="181"/>
      <c r="K639" s="179"/>
      <c r="L639" s="179"/>
      <c r="M639" s="179"/>
      <c r="N639" s="181"/>
      <c r="O639" s="179"/>
      <c r="P639" s="179"/>
      <c r="Q639" s="179"/>
      <c r="R639" s="179"/>
      <c r="S639" s="179"/>
      <c r="T639" s="179"/>
      <c r="U639" s="179"/>
      <c r="V639" s="179"/>
      <c r="W639" s="192"/>
      <c r="X639" s="192"/>
      <c r="Y639" s="192"/>
      <c r="Z639" s="158"/>
      <c r="AA639" s="158"/>
      <c r="AB639" s="158"/>
      <c r="AC639" s="158"/>
      <c r="AD639" s="158"/>
      <c r="AE639" s="158"/>
      <c r="AF639" s="158"/>
      <c r="AG639" s="158"/>
      <c r="AH639" s="158"/>
    </row>
    <row r="640" spans="1:34" ht="15.75" customHeight="1">
      <c r="A640" s="179"/>
      <c r="B640" s="180"/>
      <c r="C640" s="180"/>
      <c r="D640" s="179"/>
      <c r="E640" s="179"/>
      <c r="F640" s="179"/>
      <c r="G640" s="179"/>
      <c r="H640" s="181"/>
      <c r="I640" s="181"/>
      <c r="J640" s="181"/>
      <c r="K640" s="179"/>
      <c r="L640" s="179"/>
      <c r="M640" s="179"/>
      <c r="N640" s="181"/>
      <c r="O640" s="179"/>
      <c r="P640" s="179"/>
      <c r="Q640" s="179"/>
      <c r="R640" s="179"/>
      <c r="S640" s="179"/>
      <c r="T640" s="179"/>
      <c r="U640" s="179"/>
      <c r="V640" s="179"/>
      <c r="W640" s="192"/>
      <c r="X640" s="192"/>
      <c r="Y640" s="192"/>
      <c r="Z640" s="158"/>
      <c r="AA640" s="158"/>
      <c r="AB640" s="158"/>
      <c r="AC640" s="158"/>
      <c r="AD640" s="158"/>
      <c r="AE640" s="158"/>
      <c r="AF640" s="158"/>
      <c r="AG640" s="158"/>
      <c r="AH640" s="158"/>
    </row>
    <row r="641" spans="1:34" ht="15.75" customHeight="1">
      <c r="A641" s="179"/>
      <c r="B641" s="180"/>
      <c r="C641" s="180"/>
      <c r="D641" s="179"/>
      <c r="E641" s="179"/>
      <c r="F641" s="179"/>
      <c r="G641" s="179"/>
      <c r="H641" s="181"/>
      <c r="I641" s="181"/>
      <c r="J641" s="181"/>
      <c r="K641" s="179"/>
      <c r="L641" s="179"/>
      <c r="M641" s="179"/>
      <c r="N641" s="181"/>
      <c r="O641" s="179"/>
      <c r="P641" s="179"/>
      <c r="Q641" s="179"/>
      <c r="R641" s="179"/>
      <c r="S641" s="179"/>
      <c r="T641" s="179"/>
      <c r="U641" s="179"/>
      <c r="V641" s="179"/>
      <c r="W641" s="192"/>
      <c r="X641" s="192"/>
      <c r="Y641" s="192"/>
      <c r="Z641" s="158"/>
      <c r="AA641" s="158"/>
      <c r="AB641" s="158"/>
      <c r="AC641" s="158"/>
      <c r="AD641" s="158"/>
      <c r="AE641" s="158"/>
      <c r="AF641" s="158"/>
      <c r="AG641" s="158"/>
      <c r="AH641" s="158"/>
    </row>
    <row r="642" spans="1:34" ht="15.75" customHeight="1">
      <c r="A642" s="179"/>
      <c r="B642" s="180"/>
      <c r="C642" s="180"/>
      <c r="D642" s="179"/>
      <c r="E642" s="179"/>
      <c r="F642" s="179"/>
      <c r="G642" s="179"/>
      <c r="H642" s="181"/>
      <c r="I642" s="181"/>
      <c r="J642" s="181"/>
      <c r="K642" s="179"/>
      <c r="L642" s="179"/>
      <c r="M642" s="179"/>
      <c r="N642" s="181"/>
      <c r="O642" s="179"/>
      <c r="P642" s="179"/>
      <c r="Q642" s="179"/>
      <c r="R642" s="179"/>
      <c r="S642" s="179"/>
      <c r="T642" s="179"/>
      <c r="U642" s="179"/>
      <c r="V642" s="179"/>
      <c r="W642" s="192"/>
      <c r="X642" s="192"/>
      <c r="Y642" s="192"/>
      <c r="Z642" s="158"/>
      <c r="AA642" s="158"/>
      <c r="AB642" s="158"/>
      <c r="AC642" s="158"/>
      <c r="AD642" s="158"/>
      <c r="AE642" s="158"/>
      <c r="AF642" s="158"/>
      <c r="AG642" s="158"/>
      <c r="AH642" s="158"/>
    </row>
    <row r="643" spans="1:34" ht="15.75" customHeight="1">
      <c r="A643" s="179"/>
      <c r="B643" s="180"/>
      <c r="C643" s="180"/>
      <c r="D643" s="179"/>
      <c r="E643" s="179"/>
      <c r="F643" s="179"/>
      <c r="G643" s="179"/>
      <c r="H643" s="181"/>
      <c r="I643" s="181"/>
      <c r="J643" s="181"/>
      <c r="K643" s="179"/>
      <c r="L643" s="179"/>
      <c r="M643" s="179"/>
      <c r="N643" s="181"/>
      <c r="O643" s="179"/>
      <c r="P643" s="179"/>
      <c r="Q643" s="179"/>
      <c r="R643" s="179"/>
      <c r="S643" s="179"/>
      <c r="T643" s="179"/>
      <c r="U643" s="179"/>
      <c r="V643" s="179"/>
      <c r="W643" s="192"/>
      <c r="X643" s="192"/>
      <c r="Y643" s="192"/>
      <c r="Z643" s="158"/>
      <c r="AA643" s="158"/>
      <c r="AB643" s="158"/>
      <c r="AC643" s="158"/>
      <c r="AD643" s="158"/>
      <c r="AE643" s="158"/>
      <c r="AF643" s="158"/>
      <c r="AG643" s="158"/>
      <c r="AH643" s="158"/>
    </row>
    <row r="644" spans="1:34" ht="15.75" customHeight="1">
      <c r="A644" s="179"/>
      <c r="B644" s="180"/>
      <c r="C644" s="180"/>
      <c r="D644" s="179"/>
      <c r="E644" s="179"/>
      <c r="F644" s="179"/>
      <c r="G644" s="179"/>
      <c r="H644" s="181"/>
      <c r="I644" s="181"/>
      <c r="J644" s="181"/>
      <c r="K644" s="179"/>
      <c r="L644" s="179"/>
      <c r="M644" s="179"/>
      <c r="N644" s="181"/>
      <c r="O644" s="179"/>
      <c r="P644" s="179"/>
      <c r="Q644" s="179"/>
      <c r="R644" s="179"/>
      <c r="S644" s="179"/>
      <c r="T644" s="179"/>
      <c r="U644" s="179"/>
      <c r="V644" s="179"/>
      <c r="W644" s="192"/>
      <c r="X644" s="192"/>
      <c r="Y644" s="192"/>
      <c r="Z644" s="158"/>
      <c r="AA644" s="158"/>
      <c r="AB644" s="158"/>
      <c r="AC644" s="158"/>
      <c r="AD644" s="158"/>
      <c r="AE644" s="158"/>
      <c r="AF644" s="158"/>
      <c r="AG644" s="158"/>
      <c r="AH644" s="158"/>
    </row>
    <row r="645" spans="1:34" ht="15.75" customHeight="1">
      <c r="A645" s="179"/>
      <c r="B645" s="180"/>
      <c r="C645" s="180"/>
      <c r="D645" s="179"/>
      <c r="E645" s="179"/>
      <c r="F645" s="179"/>
      <c r="G645" s="179"/>
      <c r="H645" s="181"/>
      <c r="I645" s="181"/>
      <c r="J645" s="181"/>
      <c r="K645" s="179"/>
      <c r="L645" s="179"/>
      <c r="M645" s="179"/>
      <c r="N645" s="181"/>
      <c r="O645" s="179"/>
      <c r="P645" s="179"/>
      <c r="Q645" s="179"/>
      <c r="R645" s="179"/>
      <c r="S645" s="179"/>
      <c r="T645" s="179"/>
      <c r="U645" s="179"/>
      <c r="V645" s="179"/>
      <c r="W645" s="192"/>
      <c r="X645" s="192"/>
      <c r="Y645" s="192"/>
      <c r="Z645" s="158"/>
      <c r="AA645" s="158"/>
      <c r="AB645" s="158"/>
      <c r="AC645" s="158"/>
      <c r="AD645" s="158"/>
      <c r="AE645" s="158"/>
      <c r="AF645" s="158"/>
      <c r="AG645" s="158"/>
      <c r="AH645" s="158"/>
    </row>
    <row r="646" spans="1:34" ht="15.75" customHeight="1">
      <c r="A646" s="179"/>
      <c r="B646" s="180"/>
      <c r="C646" s="180"/>
      <c r="D646" s="179"/>
      <c r="E646" s="179"/>
      <c r="F646" s="179"/>
      <c r="G646" s="179"/>
      <c r="H646" s="181"/>
      <c r="I646" s="181"/>
      <c r="J646" s="181"/>
      <c r="K646" s="179"/>
      <c r="L646" s="179"/>
      <c r="M646" s="179"/>
      <c r="N646" s="181"/>
      <c r="O646" s="179"/>
      <c r="P646" s="179"/>
      <c r="Q646" s="179"/>
      <c r="R646" s="179"/>
      <c r="S646" s="179"/>
      <c r="T646" s="179"/>
      <c r="U646" s="179"/>
      <c r="V646" s="179"/>
      <c r="W646" s="192"/>
      <c r="X646" s="192"/>
      <c r="Y646" s="192"/>
      <c r="Z646" s="158"/>
      <c r="AA646" s="158"/>
      <c r="AB646" s="158"/>
      <c r="AC646" s="158"/>
      <c r="AD646" s="158"/>
      <c r="AE646" s="158"/>
      <c r="AF646" s="158"/>
      <c r="AG646" s="158"/>
      <c r="AH646" s="158"/>
    </row>
    <row r="647" spans="1:34" ht="15.75" customHeight="1">
      <c r="A647" s="179"/>
      <c r="B647" s="180"/>
      <c r="C647" s="180"/>
      <c r="D647" s="179"/>
      <c r="E647" s="179"/>
      <c r="F647" s="179"/>
      <c r="G647" s="179"/>
      <c r="H647" s="181"/>
      <c r="I647" s="181"/>
      <c r="J647" s="181"/>
      <c r="K647" s="179"/>
      <c r="L647" s="179"/>
      <c r="M647" s="179"/>
      <c r="N647" s="181"/>
      <c r="O647" s="179"/>
      <c r="P647" s="179"/>
      <c r="Q647" s="179"/>
      <c r="R647" s="179"/>
      <c r="S647" s="179"/>
      <c r="T647" s="179"/>
      <c r="U647" s="179"/>
      <c r="V647" s="179"/>
      <c r="W647" s="192"/>
      <c r="X647" s="192"/>
      <c r="Y647" s="192"/>
      <c r="Z647" s="158"/>
      <c r="AA647" s="158"/>
      <c r="AB647" s="158"/>
      <c r="AC647" s="158"/>
      <c r="AD647" s="158"/>
      <c r="AE647" s="158"/>
      <c r="AF647" s="158"/>
      <c r="AG647" s="158"/>
      <c r="AH647" s="158"/>
    </row>
    <row r="648" spans="1:34" ht="15.75" customHeight="1">
      <c r="A648" s="179"/>
      <c r="B648" s="180"/>
      <c r="C648" s="180"/>
      <c r="D648" s="179"/>
      <c r="E648" s="179"/>
      <c r="F648" s="179"/>
      <c r="G648" s="179"/>
      <c r="H648" s="181"/>
      <c r="I648" s="181"/>
      <c r="J648" s="181"/>
      <c r="K648" s="179"/>
      <c r="L648" s="179"/>
      <c r="M648" s="179"/>
      <c r="N648" s="181"/>
      <c r="O648" s="179"/>
      <c r="P648" s="179"/>
      <c r="Q648" s="179"/>
      <c r="R648" s="179"/>
      <c r="S648" s="179"/>
      <c r="T648" s="179"/>
      <c r="U648" s="179"/>
      <c r="V648" s="179"/>
      <c r="W648" s="192"/>
      <c r="X648" s="192"/>
      <c r="Y648" s="192"/>
      <c r="Z648" s="158"/>
      <c r="AA648" s="158"/>
      <c r="AB648" s="158"/>
      <c r="AC648" s="158"/>
      <c r="AD648" s="158"/>
      <c r="AE648" s="158"/>
      <c r="AF648" s="158"/>
      <c r="AG648" s="158"/>
      <c r="AH648" s="158"/>
    </row>
    <row r="649" spans="1:34" ht="15.75" customHeight="1">
      <c r="A649" s="179"/>
      <c r="B649" s="180"/>
      <c r="C649" s="180"/>
      <c r="D649" s="179"/>
      <c r="E649" s="179"/>
      <c r="F649" s="179"/>
      <c r="G649" s="179"/>
      <c r="H649" s="181"/>
      <c r="I649" s="181"/>
      <c r="J649" s="181"/>
      <c r="K649" s="179"/>
      <c r="L649" s="179"/>
      <c r="M649" s="179"/>
      <c r="N649" s="181"/>
      <c r="O649" s="179"/>
      <c r="P649" s="179"/>
      <c r="Q649" s="179"/>
      <c r="R649" s="179"/>
      <c r="S649" s="179"/>
      <c r="T649" s="179"/>
      <c r="U649" s="179"/>
      <c r="V649" s="179"/>
      <c r="W649" s="192"/>
      <c r="X649" s="192"/>
      <c r="Y649" s="192"/>
      <c r="Z649" s="158"/>
      <c r="AA649" s="158"/>
      <c r="AB649" s="158"/>
      <c r="AC649" s="158"/>
      <c r="AD649" s="158"/>
      <c r="AE649" s="158"/>
      <c r="AF649" s="158"/>
      <c r="AG649" s="158"/>
      <c r="AH649" s="158"/>
    </row>
    <row r="650" spans="1:34" ht="15.75" customHeight="1">
      <c r="A650" s="179"/>
      <c r="B650" s="180"/>
      <c r="C650" s="180"/>
      <c r="D650" s="179"/>
      <c r="E650" s="179"/>
      <c r="F650" s="179"/>
      <c r="G650" s="179"/>
      <c r="H650" s="181"/>
      <c r="I650" s="181"/>
      <c r="J650" s="181"/>
      <c r="K650" s="179"/>
      <c r="L650" s="179"/>
      <c r="M650" s="179"/>
      <c r="N650" s="181"/>
      <c r="O650" s="179"/>
      <c r="P650" s="179"/>
      <c r="Q650" s="179"/>
      <c r="R650" s="179"/>
      <c r="S650" s="179"/>
      <c r="T650" s="179"/>
      <c r="U650" s="179"/>
      <c r="V650" s="179"/>
      <c r="W650" s="192"/>
      <c r="X650" s="192"/>
      <c r="Y650" s="192"/>
      <c r="Z650" s="158"/>
      <c r="AA650" s="158"/>
      <c r="AB650" s="158"/>
      <c r="AC650" s="158"/>
      <c r="AD650" s="158"/>
      <c r="AE650" s="158"/>
      <c r="AF650" s="158"/>
      <c r="AG650" s="158"/>
      <c r="AH650" s="158"/>
    </row>
    <row r="651" spans="1:34" ht="15.75" customHeight="1">
      <c r="A651" s="179"/>
      <c r="B651" s="180"/>
      <c r="C651" s="180"/>
      <c r="D651" s="179"/>
      <c r="E651" s="179"/>
      <c r="F651" s="179"/>
      <c r="G651" s="179"/>
      <c r="H651" s="181"/>
      <c r="I651" s="181"/>
      <c r="J651" s="181"/>
      <c r="K651" s="179"/>
      <c r="L651" s="179"/>
      <c r="M651" s="179"/>
      <c r="N651" s="181"/>
      <c r="O651" s="179"/>
      <c r="P651" s="179"/>
      <c r="Q651" s="179"/>
      <c r="R651" s="179"/>
      <c r="S651" s="179"/>
      <c r="T651" s="179"/>
      <c r="U651" s="179"/>
      <c r="V651" s="179"/>
      <c r="W651" s="192"/>
      <c r="X651" s="192"/>
      <c r="Y651" s="192"/>
      <c r="Z651" s="158"/>
      <c r="AA651" s="158"/>
      <c r="AB651" s="158"/>
      <c r="AC651" s="158"/>
      <c r="AD651" s="158"/>
      <c r="AE651" s="158"/>
      <c r="AF651" s="158"/>
      <c r="AG651" s="158"/>
      <c r="AH651" s="158"/>
    </row>
    <row r="652" spans="1:34" ht="15.75" customHeight="1">
      <c r="A652" s="179"/>
      <c r="B652" s="180"/>
      <c r="C652" s="180"/>
      <c r="D652" s="179"/>
      <c r="E652" s="179"/>
      <c r="F652" s="179"/>
      <c r="G652" s="179"/>
      <c r="H652" s="181"/>
      <c r="I652" s="181"/>
      <c r="J652" s="181"/>
      <c r="K652" s="179"/>
      <c r="L652" s="179"/>
      <c r="M652" s="179"/>
      <c r="N652" s="181"/>
      <c r="O652" s="179"/>
      <c r="P652" s="179"/>
      <c r="Q652" s="179"/>
      <c r="R652" s="179"/>
      <c r="S652" s="179"/>
      <c r="T652" s="179"/>
      <c r="U652" s="179"/>
      <c r="V652" s="179"/>
      <c r="W652" s="192"/>
      <c r="X652" s="192"/>
      <c r="Y652" s="192"/>
      <c r="Z652" s="158"/>
      <c r="AA652" s="158"/>
      <c r="AB652" s="158"/>
      <c r="AC652" s="158"/>
      <c r="AD652" s="158"/>
      <c r="AE652" s="158"/>
      <c r="AF652" s="158"/>
      <c r="AG652" s="158"/>
      <c r="AH652" s="158"/>
    </row>
    <row r="653" spans="1:34" ht="15.75" customHeight="1">
      <c r="A653" s="179"/>
      <c r="B653" s="180"/>
      <c r="C653" s="180"/>
      <c r="D653" s="179"/>
      <c r="E653" s="179"/>
      <c r="F653" s="179"/>
      <c r="G653" s="179"/>
      <c r="H653" s="181"/>
      <c r="I653" s="181"/>
      <c r="J653" s="181"/>
      <c r="K653" s="179"/>
      <c r="L653" s="179"/>
      <c r="M653" s="179"/>
      <c r="N653" s="181"/>
      <c r="O653" s="179"/>
      <c r="P653" s="179"/>
      <c r="Q653" s="179"/>
      <c r="R653" s="179"/>
      <c r="S653" s="179"/>
      <c r="T653" s="179"/>
      <c r="U653" s="179"/>
      <c r="V653" s="179"/>
      <c r="W653" s="192"/>
      <c r="X653" s="192"/>
      <c r="Y653" s="192"/>
      <c r="Z653" s="158"/>
      <c r="AA653" s="158"/>
      <c r="AB653" s="158"/>
      <c r="AC653" s="158"/>
      <c r="AD653" s="158"/>
      <c r="AE653" s="158"/>
      <c r="AF653" s="158"/>
      <c r="AG653" s="158"/>
      <c r="AH653" s="158"/>
    </row>
    <row r="654" spans="1:34" ht="15.75" customHeight="1">
      <c r="A654" s="179"/>
      <c r="B654" s="180"/>
      <c r="C654" s="180"/>
      <c r="D654" s="179"/>
      <c r="E654" s="179"/>
      <c r="F654" s="179"/>
      <c r="G654" s="179"/>
      <c r="H654" s="181"/>
      <c r="I654" s="181"/>
      <c r="J654" s="181"/>
      <c r="K654" s="179"/>
      <c r="L654" s="179"/>
      <c r="M654" s="179"/>
      <c r="N654" s="181"/>
      <c r="O654" s="179"/>
      <c r="P654" s="179"/>
      <c r="Q654" s="179"/>
      <c r="R654" s="179"/>
      <c r="S654" s="179"/>
      <c r="T654" s="179"/>
      <c r="U654" s="179"/>
      <c r="V654" s="179"/>
      <c r="W654" s="192"/>
      <c r="X654" s="192"/>
      <c r="Y654" s="192"/>
      <c r="Z654" s="158"/>
      <c r="AA654" s="158"/>
      <c r="AB654" s="158"/>
      <c r="AC654" s="158"/>
      <c r="AD654" s="158"/>
      <c r="AE654" s="158"/>
      <c r="AF654" s="158"/>
      <c r="AG654" s="158"/>
      <c r="AH654" s="158"/>
    </row>
    <row r="655" spans="1:34" ht="15.75" customHeight="1">
      <c r="A655" s="179"/>
      <c r="B655" s="180"/>
      <c r="C655" s="180"/>
      <c r="D655" s="179"/>
      <c r="E655" s="179"/>
      <c r="F655" s="179"/>
      <c r="G655" s="179"/>
      <c r="H655" s="181"/>
      <c r="I655" s="181"/>
      <c r="J655" s="181"/>
      <c r="K655" s="179"/>
      <c r="L655" s="179"/>
      <c r="M655" s="179"/>
      <c r="N655" s="181"/>
      <c r="O655" s="179"/>
      <c r="P655" s="179"/>
      <c r="Q655" s="179"/>
      <c r="R655" s="179"/>
      <c r="S655" s="179"/>
      <c r="T655" s="179"/>
      <c r="U655" s="179"/>
      <c r="V655" s="179"/>
      <c r="W655" s="192"/>
      <c r="X655" s="192"/>
      <c r="Y655" s="192"/>
      <c r="Z655" s="158"/>
      <c r="AA655" s="158"/>
      <c r="AB655" s="158"/>
      <c r="AC655" s="158"/>
      <c r="AD655" s="158"/>
      <c r="AE655" s="158"/>
      <c r="AF655" s="158"/>
      <c r="AG655" s="158"/>
      <c r="AH655" s="158"/>
    </row>
    <row r="656" spans="1:34" ht="15.75" customHeight="1">
      <c r="A656" s="179"/>
      <c r="B656" s="180"/>
      <c r="C656" s="180"/>
      <c r="D656" s="179"/>
      <c r="E656" s="179"/>
      <c r="F656" s="179"/>
      <c r="G656" s="179"/>
      <c r="H656" s="181"/>
      <c r="I656" s="181"/>
      <c r="J656" s="181"/>
      <c r="K656" s="179"/>
      <c r="L656" s="179"/>
      <c r="M656" s="179"/>
      <c r="N656" s="181"/>
      <c r="O656" s="179"/>
      <c r="P656" s="179"/>
      <c r="Q656" s="179"/>
      <c r="R656" s="179"/>
      <c r="S656" s="179"/>
      <c r="T656" s="179"/>
      <c r="U656" s="179"/>
      <c r="V656" s="179"/>
      <c r="W656" s="192"/>
      <c r="X656" s="192"/>
      <c r="Y656" s="192"/>
      <c r="Z656" s="158"/>
      <c r="AA656" s="158"/>
      <c r="AB656" s="158"/>
      <c r="AC656" s="158"/>
      <c r="AD656" s="158"/>
      <c r="AE656" s="158"/>
      <c r="AF656" s="158"/>
      <c r="AG656" s="158"/>
      <c r="AH656" s="158"/>
    </row>
    <row r="657" spans="1:34" ht="15.75" customHeight="1">
      <c r="A657" s="179"/>
      <c r="B657" s="180"/>
      <c r="C657" s="180"/>
      <c r="D657" s="179"/>
      <c r="E657" s="179"/>
      <c r="F657" s="179"/>
      <c r="G657" s="179"/>
      <c r="H657" s="181"/>
      <c r="I657" s="181"/>
      <c r="J657" s="181"/>
      <c r="K657" s="179"/>
      <c r="L657" s="179"/>
      <c r="M657" s="179"/>
      <c r="N657" s="181"/>
      <c r="O657" s="179"/>
      <c r="P657" s="179"/>
      <c r="Q657" s="179"/>
      <c r="R657" s="179"/>
      <c r="S657" s="179"/>
      <c r="T657" s="179"/>
      <c r="U657" s="179"/>
      <c r="V657" s="179"/>
      <c r="W657" s="192"/>
      <c r="X657" s="192"/>
      <c r="Y657" s="192"/>
      <c r="Z657" s="158"/>
      <c r="AA657" s="158"/>
      <c r="AB657" s="158"/>
      <c r="AC657" s="158"/>
      <c r="AD657" s="158"/>
      <c r="AE657" s="158"/>
      <c r="AF657" s="158"/>
      <c r="AG657" s="158"/>
      <c r="AH657" s="158"/>
    </row>
    <row r="658" spans="1:34" ht="15.75" customHeight="1">
      <c r="A658" s="179"/>
      <c r="B658" s="180"/>
      <c r="C658" s="180"/>
      <c r="D658" s="179"/>
      <c r="E658" s="179"/>
      <c r="F658" s="179"/>
      <c r="G658" s="179"/>
      <c r="H658" s="181"/>
      <c r="I658" s="181"/>
      <c r="J658" s="181"/>
      <c r="K658" s="179"/>
      <c r="L658" s="179"/>
      <c r="M658" s="179"/>
      <c r="N658" s="181"/>
      <c r="O658" s="179"/>
      <c r="P658" s="179"/>
      <c r="Q658" s="179"/>
      <c r="R658" s="179"/>
      <c r="S658" s="179"/>
      <c r="T658" s="179"/>
      <c r="U658" s="179"/>
      <c r="V658" s="179"/>
      <c r="W658" s="192"/>
      <c r="X658" s="192"/>
      <c r="Y658" s="192"/>
      <c r="Z658" s="158"/>
      <c r="AA658" s="158"/>
      <c r="AB658" s="158"/>
      <c r="AC658" s="158"/>
      <c r="AD658" s="158"/>
      <c r="AE658" s="158"/>
      <c r="AF658" s="158"/>
      <c r="AG658" s="158"/>
      <c r="AH658" s="158"/>
    </row>
    <row r="659" spans="1:34" ht="15.75" customHeight="1">
      <c r="A659" s="179"/>
      <c r="B659" s="180"/>
      <c r="C659" s="180"/>
      <c r="D659" s="179"/>
      <c r="E659" s="179"/>
      <c r="F659" s="179"/>
      <c r="G659" s="179"/>
      <c r="H659" s="181"/>
      <c r="I659" s="181"/>
      <c r="J659" s="181"/>
      <c r="K659" s="179"/>
      <c r="L659" s="179"/>
      <c r="M659" s="179"/>
      <c r="N659" s="181"/>
      <c r="O659" s="179"/>
      <c r="P659" s="179"/>
      <c r="Q659" s="179"/>
      <c r="R659" s="179"/>
      <c r="S659" s="179"/>
      <c r="T659" s="179"/>
      <c r="U659" s="179"/>
      <c r="V659" s="179"/>
      <c r="W659" s="192"/>
      <c r="X659" s="192"/>
      <c r="Y659" s="192"/>
      <c r="Z659" s="158"/>
      <c r="AA659" s="158"/>
      <c r="AB659" s="158"/>
      <c r="AC659" s="158"/>
      <c r="AD659" s="158"/>
      <c r="AE659" s="158"/>
      <c r="AF659" s="158"/>
      <c r="AG659" s="158"/>
      <c r="AH659" s="158"/>
    </row>
    <row r="660" spans="1:34" ht="15.75" customHeight="1">
      <c r="A660" s="179"/>
      <c r="B660" s="180"/>
      <c r="C660" s="180"/>
      <c r="D660" s="179"/>
      <c r="E660" s="179"/>
      <c r="F660" s="179"/>
      <c r="G660" s="179"/>
      <c r="H660" s="181"/>
      <c r="I660" s="181"/>
      <c r="J660" s="181"/>
      <c r="K660" s="179"/>
      <c r="L660" s="179"/>
      <c r="M660" s="179"/>
      <c r="N660" s="181"/>
      <c r="O660" s="179"/>
      <c r="P660" s="179"/>
      <c r="Q660" s="179"/>
      <c r="R660" s="179"/>
      <c r="S660" s="179"/>
      <c r="T660" s="179"/>
      <c r="U660" s="179"/>
      <c r="V660" s="179"/>
      <c r="W660" s="192"/>
      <c r="X660" s="192"/>
      <c r="Y660" s="192"/>
      <c r="Z660" s="158"/>
      <c r="AA660" s="158"/>
      <c r="AB660" s="158"/>
      <c r="AC660" s="158"/>
      <c r="AD660" s="158"/>
      <c r="AE660" s="158"/>
      <c r="AF660" s="158"/>
      <c r="AG660" s="158"/>
      <c r="AH660" s="158"/>
    </row>
    <row r="661" spans="1:34" ht="15.75" customHeight="1">
      <c r="A661" s="179"/>
      <c r="B661" s="180"/>
      <c r="C661" s="180"/>
      <c r="D661" s="179"/>
      <c r="E661" s="179"/>
      <c r="F661" s="179"/>
      <c r="G661" s="179"/>
      <c r="H661" s="181"/>
      <c r="I661" s="181"/>
      <c r="J661" s="181"/>
      <c r="K661" s="179"/>
      <c r="L661" s="179"/>
      <c r="M661" s="179"/>
      <c r="N661" s="181"/>
      <c r="O661" s="179"/>
      <c r="P661" s="179"/>
      <c r="Q661" s="179"/>
      <c r="R661" s="179"/>
      <c r="S661" s="179"/>
      <c r="T661" s="179"/>
      <c r="U661" s="179"/>
      <c r="V661" s="179"/>
      <c r="W661" s="192"/>
      <c r="X661" s="192"/>
      <c r="Y661" s="192"/>
      <c r="Z661" s="158"/>
      <c r="AA661" s="158"/>
      <c r="AB661" s="158"/>
      <c r="AC661" s="158"/>
      <c r="AD661" s="158"/>
      <c r="AE661" s="158"/>
      <c r="AF661" s="158"/>
      <c r="AG661" s="158"/>
      <c r="AH661" s="158"/>
    </row>
    <row r="662" spans="1:34" ht="15.75" customHeight="1">
      <c r="A662" s="179"/>
      <c r="B662" s="180"/>
      <c r="C662" s="180"/>
      <c r="D662" s="179"/>
      <c r="E662" s="179"/>
      <c r="F662" s="179"/>
      <c r="G662" s="179"/>
      <c r="H662" s="181"/>
      <c r="I662" s="181"/>
      <c r="J662" s="181"/>
      <c r="K662" s="179"/>
      <c r="L662" s="179"/>
      <c r="M662" s="179"/>
      <c r="N662" s="181"/>
      <c r="O662" s="179"/>
      <c r="P662" s="179"/>
      <c r="Q662" s="179"/>
      <c r="R662" s="179"/>
      <c r="S662" s="179"/>
      <c r="T662" s="179"/>
      <c r="U662" s="179"/>
      <c r="V662" s="179"/>
      <c r="W662" s="192"/>
      <c r="X662" s="192"/>
      <c r="Y662" s="192"/>
      <c r="Z662" s="158"/>
      <c r="AA662" s="158"/>
      <c r="AB662" s="158"/>
      <c r="AC662" s="158"/>
      <c r="AD662" s="158"/>
      <c r="AE662" s="158"/>
      <c r="AF662" s="158"/>
      <c r="AG662" s="158"/>
      <c r="AH662" s="158"/>
    </row>
    <row r="663" spans="1:34" ht="15.75" customHeight="1">
      <c r="A663" s="179"/>
      <c r="B663" s="180"/>
      <c r="C663" s="180"/>
      <c r="D663" s="179"/>
      <c r="E663" s="179"/>
      <c r="F663" s="179"/>
      <c r="G663" s="179"/>
      <c r="H663" s="181"/>
      <c r="I663" s="181"/>
      <c r="J663" s="181"/>
      <c r="K663" s="179"/>
      <c r="L663" s="179"/>
      <c r="M663" s="179"/>
      <c r="N663" s="181"/>
      <c r="O663" s="179"/>
      <c r="P663" s="179"/>
      <c r="Q663" s="179"/>
      <c r="R663" s="179"/>
      <c r="S663" s="179"/>
      <c r="T663" s="179"/>
      <c r="U663" s="179"/>
      <c r="V663" s="179"/>
      <c r="W663" s="192"/>
      <c r="X663" s="192"/>
      <c r="Y663" s="192"/>
      <c r="Z663" s="158"/>
      <c r="AA663" s="158"/>
      <c r="AB663" s="158"/>
      <c r="AC663" s="158"/>
      <c r="AD663" s="158"/>
      <c r="AE663" s="158"/>
      <c r="AF663" s="158"/>
      <c r="AG663" s="158"/>
      <c r="AH663" s="158"/>
    </row>
    <row r="664" spans="1:34" ht="15.75" customHeight="1">
      <c r="A664" s="179"/>
      <c r="B664" s="180"/>
      <c r="C664" s="180"/>
      <c r="D664" s="179"/>
      <c r="E664" s="179"/>
      <c r="F664" s="179"/>
      <c r="G664" s="179"/>
      <c r="H664" s="181"/>
      <c r="I664" s="181"/>
      <c r="J664" s="181"/>
      <c r="K664" s="179"/>
      <c r="L664" s="179"/>
      <c r="M664" s="179"/>
      <c r="N664" s="181"/>
      <c r="O664" s="179"/>
      <c r="P664" s="179"/>
      <c r="Q664" s="179"/>
      <c r="R664" s="179"/>
      <c r="S664" s="179"/>
      <c r="T664" s="179"/>
      <c r="U664" s="179"/>
      <c r="V664" s="179"/>
      <c r="W664" s="192"/>
      <c r="X664" s="192"/>
      <c r="Y664" s="192"/>
      <c r="Z664" s="158"/>
      <c r="AA664" s="158"/>
      <c r="AB664" s="158"/>
      <c r="AC664" s="158"/>
      <c r="AD664" s="158"/>
      <c r="AE664" s="158"/>
      <c r="AF664" s="158"/>
      <c r="AG664" s="158"/>
      <c r="AH664" s="158"/>
    </row>
    <row r="665" spans="1:34" ht="15.75" customHeight="1">
      <c r="A665" s="179"/>
      <c r="B665" s="180"/>
      <c r="C665" s="180"/>
      <c r="D665" s="179"/>
      <c r="E665" s="179"/>
      <c r="F665" s="179"/>
      <c r="G665" s="179"/>
      <c r="H665" s="181"/>
      <c r="I665" s="181"/>
      <c r="J665" s="181"/>
      <c r="K665" s="179"/>
      <c r="L665" s="179"/>
      <c r="M665" s="179"/>
      <c r="N665" s="181"/>
      <c r="O665" s="179"/>
      <c r="P665" s="179"/>
      <c r="Q665" s="179"/>
      <c r="R665" s="179"/>
      <c r="S665" s="179"/>
      <c r="T665" s="179"/>
      <c r="U665" s="179"/>
      <c r="V665" s="179"/>
      <c r="W665" s="192"/>
      <c r="X665" s="192"/>
      <c r="Y665" s="192"/>
      <c r="Z665" s="158"/>
      <c r="AA665" s="158"/>
      <c r="AB665" s="158"/>
      <c r="AC665" s="158"/>
      <c r="AD665" s="158"/>
      <c r="AE665" s="158"/>
      <c r="AF665" s="158"/>
      <c r="AG665" s="158"/>
      <c r="AH665" s="158"/>
    </row>
    <row r="666" spans="1:34" ht="15.75" customHeight="1">
      <c r="A666" s="179"/>
      <c r="B666" s="180"/>
      <c r="C666" s="180"/>
      <c r="D666" s="179"/>
      <c r="E666" s="179"/>
      <c r="F666" s="179"/>
      <c r="G666" s="179"/>
      <c r="H666" s="181"/>
      <c r="I666" s="181"/>
      <c r="J666" s="181"/>
      <c r="K666" s="179"/>
      <c r="L666" s="179"/>
      <c r="M666" s="179"/>
      <c r="N666" s="181"/>
      <c r="O666" s="179"/>
      <c r="P666" s="179"/>
      <c r="Q666" s="179"/>
      <c r="R666" s="179"/>
      <c r="S666" s="179"/>
      <c r="T666" s="179"/>
      <c r="U666" s="179"/>
      <c r="V666" s="179"/>
      <c r="W666" s="192"/>
      <c r="X666" s="192"/>
      <c r="Y666" s="192"/>
      <c r="Z666" s="158"/>
      <c r="AA666" s="158"/>
      <c r="AB666" s="158"/>
      <c r="AC666" s="158"/>
      <c r="AD666" s="158"/>
      <c r="AE666" s="158"/>
      <c r="AF666" s="158"/>
      <c r="AG666" s="158"/>
      <c r="AH666" s="158"/>
    </row>
    <row r="667" spans="1:34" ht="15.75" customHeight="1">
      <c r="A667" s="179"/>
      <c r="B667" s="180"/>
      <c r="C667" s="180"/>
      <c r="D667" s="179"/>
      <c r="E667" s="179"/>
      <c r="F667" s="179"/>
      <c r="G667" s="179"/>
      <c r="H667" s="181"/>
      <c r="I667" s="181"/>
      <c r="J667" s="181"/>
      <c r="K667" s="179"/>
      <c r="L667" s="179"/>
      <c r="M667" s="179"/>
      <c r="N667" s="181"/>
      <c r="O667" s="179"/>
      <c r="P667" s="179"/>
      <c r="Q667" s="179"/>
      <c r="R667" s="179"/>
      <c r="S667" s="179"/>
      <c r="T667" s="179"/>
      <c r="U667" s="179"/>
      <c r="V667" s="179"/>
      <c r="W667" s="192"/>
      <c r="X667" s="192"/>
      <c r="Y667" s="192"/>
      <c r="Z667" s="158"/>
      <c r="AA667" s="158"/>
      <c r="AB667" s="158"/>
      <c r="AC667" s="158"/>
      <c r="AD667" s="158"/>
      <c r="AE667" s="158"/>
      <c r="AF667" s="158"/>
      <c r="AG667" s="158"/>
      <c r="AH667" s="158"/>
    </row>
    <row r="668" spans="1:34" ht="15.75" customHeight="1">
      <c r="A668" s="179"/>
      <c r="B668" s="180"/>
      <c r="C668" s="180"/>
      <c r="D668" s="179"/>
      <c r="E668" s="179"/>
      <c r="F668" s="179"/>
      <c r="G668" s="179"/>
      <c r="H668" s="181"/>
      <c r="I668" s="181"/>
      <c r="J668" s="181"/>
      <c r="K668" s="179"/>
      <c r="L668" s="179"/>
      <c r="M668" s="179"/>
      <c r="N668" s="181"/>
      <c r="O668" s="179"/>
      <c r="P668" s="179"/>
      <c r="Q668" s="179"/>
      <c r="R668" s="179"/>
      <c r="S668" s="179"/>
      <c r="T668" s="179"/>
      <c r="U668" s="179"/>
      <c r="V668" s="179"/>
      <c r="W668" s="192"/>
      <c r="X668" s="192"/>
      <c r="Y668" s="192"/>
      <c r="Z668" s="158"/>
      <c r="AA668" s="158"/>
      <c r="AB668" s="158"/>
      <c r="AC668" s="158"/>
      <c r="AD668" s="158"/>
      <c r="AE668" s="158"/>
      <c r="AF668" s="158"/>
      <c r="AG668" s="158"/>
      <c r="AH668" s="158"/>
    </row>
    <row r="669" spans="1:34" ht="15.75" customHeight="1">
      <c r="A669" s="179"/>
      <c r="B669" s="180"/>
      <c r="C669" s="180"/>
      <c r="D669" s="179"/>
      <c r="E669" s="179"/>
      <c r="F669" s="179"/>
      <c r="G669" s="179"/>
      <c r="H669" s="181"/>
      <c r="I669" s="181"/>
      <c r="J669" s="181"/>
      <c r="K669" s="179"/>
      <c r="L669" s="179"/>
      <c r="M669" s="179"/>
      <c r="N669" s="181"/>
      <c r="O669" s="179"/>
      <c r="P669" s="179"/>
      <c r="Q669" s="179"/>
      <c r="R669" s="179"/>
      <c r="S669" s="179"/>
      <c r="T669" s="179"/>
      <c r="U669" s="179"/>
      <c r="V669" s="179"/>
      <c r="W669" s="192"/>
      <c r="X669" s="192"/>
      <c r="Y669" s="192"/>
      <c r="Z669" s="158"/>
      <c r="AA669" s="158"/>
      <c r="AB669" s="158"/>
      <c r="AC669" s="158"/>
      <c r="AD669" s="158"/>
      <c r="AE669" s="158"/>
      <c r="AF669" s="158"/>
      <c r="AG669" s="158"/>
      <c r="AH669" s="158"/>
    </row>
    <row r="670" spans="1:34" ht="15.75" customHeight="1">
      <c r="A670" s="179"/>
      <c r="B670" s="180"/>
      <c r="C670" s="180"/>
      <c r="D670" s="179"/>
      <c r="E670" s="179"/>
      <c r="F670" s="179"/>
      <c r="G670" s="179"/>
      <c r="H670" s="181"/>
      <c r="I670" s="181"/>
      <c r="J670" s="181"/>
      <c r="K670" s="179"/>
      <c r="L670" s="179"/>
      <c r="M670" s="179"/>
      <c r="N670" s="181"/>
      <c r="O670" s="179"/>
      <c r="P670" s="179"/>
      <c r="Q670" s="179"/>
      <c r="R670" s="179"/>
      <c r="S670" s="179"/>
      <c r="T670" s="179"/>
      <c r="U670" s="179"/>
      <c r="V670" s="179"/>
      <c r="W670" s="192"/>
      <c r="X670" s="192"/>
      <c r="Y670" s="192"/>
      <c r="Z670" s="158"/>
      <c r="AA670" s="158"/>
      <c r="AB670" s="158"/>
      <c r="AC670" s="158"/>
      <c r="AD670" s="158"/>
      <c r="AE670" s="158"/>
      <c r="AF670" s="158"/>
      <c r="AG670" s="158"/>
      <c r="AH670" s="158"/>
    </row>
    <row r="671" spans="1:34" ht="15.75" customHeight="1">
      <c r="A671" s="179"/>
      <c r="B671" s="180"/>
      <c r="C671" s="180"/>
      <c r="D671" s="179"/>
      <c r="E671" s="179"/>
      <c r="F671" s="179"/>
      <c r="G671" s="179"/>
      <c r="H671" s="181"/>
      <c r="I671" s="181"/>
      <c r="J671" s="181"/>
      <c r="K671" s="179"/>
      <c r="L671" s="179"/>
      <c r="M671" s="179"/>
      <c r="N671" s="181"/>
      <c r="O671" s="179"/>
      <c r="P671" s="179"/>
      <c r="Q671" s="179"/>
      <c r="R671" s="179"/>
      <c r="S671" s="179"/>
      <c r="T671" s="179"/>
      <c r="U671" s="179"/>
      <c r="V671" s="179"/>
      <c r="W671" s="192"/>
      <c r="X671" s="192"/>
      <c r="Y671" s="192"/>
      <c r="Z671" s="158"/>
      <c r="AA671" s="158"/>
      <c r="AB671" s="158"/>
      <c r="AC671" s="158"/>
      <c r="AD671" s="158"/>
      <c r="AE671" s="158"/>
      <c r="AF671" s="158"/>
      <c r="AG671" s="158"/>
      <c r="AH671" s="158"/>
    </row>
    <row r="672" spans="1:34" ht="15.75" customHeight="1">
      <c r="A672" s="179"/>
      <c r="B672" s="180"/>
      <c r="C672" s="180"/>
      <c r="D672" s="179"/>
      <c r="E672" s="179"/>
      <c r="F672" s="179"/>
      <c r="G672" s="179"/>
      <c r="H672" s="181"/>
      <c r="I672" s="181"/>
      <c r="J672" s="181"/>
      <c r="K672" s="179"/>
      <c r="L672" s="179"/>
      <c r="M672" s="179"/>
      <c r="N672" s="181"/>
      <c r="O672" s="179"/>
      <c r="P672" s="179"/>
      <c r="Q672" s="179"/>
      <c r="R672" s="179"/>
      <c r="S672" s="179"/>
      <c r="T672" s="179"/>
      <c r="U672" s="179"/>
      <c r="V672" s="179"/>
      <c r="W672" s="192"/>
      <c r="X672" s="192"/>
      <c r="Y672" s="192"/>
      <c r="Z672" s="158"/>
      <c r="AA672" s="158"/>
      <c r="AB672" s="158"/>
      <c r="AC672" s="158"/>
      <c r="AD672" s="158"/>
      <c r="AE672" s="158"/>
      <c r="AF672" s="158"/>
      <c r="AG672" s="158"/>
      <c r="AH672" s="158"/>
    </row>
    <row r="673" spans="1:34" ht="15.75" customHeight="1">
      <c r="A673" s="179"/>
      <c r="B673" s="180"/>
      <c r="C673" s="180"/>
      <c r="D673" s="179"/>
      <c r="E673" s="179"/>
      <c r="F673" s="179"/>
      <c r="G673" s="179"/>
      <c r="H673" s="181"/>
      <c r="I673" s="181"/>
      <c r="J673" s="181"/>
      <c r="K673" s="179"/>
      <c r="L673" s="179"/>
      <c r="M673" s="179"/>
      <c r="N673" s="181"/>
      <c r="O673" s="179"/>
      <c r="P673" s="179"/>
      <c r="Q673" s="179"/>
      <c r="R673" s="179"/>
      <c r="S673" s="179"/>
      <c r="T673" s="179"/>
      <c r="U673" s="179"/>
      <c r="V673" s="179"/>
      <c r="W673" s="192"/>
      <c r="X673" s="192"/>
      <c r="Y673" s="192"/>
      <c r="Z673" s="158"/>
      <c r="AA673" s="158"/>
      <c r="AB673" s="158"/>
      <c r="AC673" s="158"/>
      <c r="AD673" s="158"/>
      <c r="AE673" s="158"/>
      <c r="AF673" s="158"/>
      <c r="AG673" s="158"/>
      <c r="AH673" s="158"/>
    </row>
    <row r="674" spans="1:34" ht="15.75" customHeight="1">
      <c r="A674" s="179"/>
      <c r="B674" s="180"/>
      <c r="C674" s="180"/>
      <c r="D674" s="179"/>
      <c r="E674" s="179"/>
      <c r="F674" s="179"/>
      <c r="G674" s="179"/>
      <c r="H674" s="181"/>
      <c r="I674" s="181"/>
      <c r="J674" s="181"/>
      <c r="K674" s="179"/>
      <c r="L674" s="179"/>
      <c r="M674" s="179"/>
      <c r="N674" s="181"/>
      <c r="O674" s="179"/>
      <c r="P674" s="179"/>
      <c r="Q674" s="179"/>
      <c r="R674" s="179"/>
      <c r="S674" s="179"/>
      <c r="T674" s="179"/>
      <c r="U674" s="179"/>
      <c r="V674" s="179"/>
      <c r="W674" s="192"/>
      <c r="X674" s="192"/>
      <c r="Y674" s="192"/>
      <c r="Z674" s="158"/>
      <c r="AA674" s="158"/>
      <c r="AB674" s="158"/>
      <c r="AC674" s="158"/>
      <c r="AD674" s="158"/>
      <c r="AE674" s="158"/>
      <c r="AF674" s="158"/>
      <c r="AG674" s="158"/>
      <c r="AH674" s="158"/>
    </row>
    <row r="675" spans="1:34" ht="15.75" customHeight="1">
      <c r="A675" s="179"/>
      <c r="B675" s="180"/>
      <c r="C675" s="180"/>
      <c r="D675" s="179"/>
      <c r="E675" s="179"/>
      <c r="F675" s="179"/>
      <c r="G675" s="179"/>
      <c r="H675" s="181"/>
      <c r="I675" s="181"/>
      <c r="J675" s="181"/>
      <c r="K675" s="179"/>
      <c r="L675" s="179"/>
      <c r="M675" s="179"/>
      <c r="N675" s="181"/>
      <c r="O675" s="179"/>
      <c r="P675" s="179"/>
      <c r="Q675" s="179"/>
      <c r="R675" s="179"/>
      <c r="S675" s="179"/>
      <c r="T675" s="179"/>
      <c r="U675" s="179"/>
      <c r="V675" s="179"/>
      <c r="W675" s="192"/>
      <c r="X675" s="192"/>
      <c r="Y675" s="192"/>
      <c r="Z675" s="158"/>
      <c r="AA675" s="158"/>
      <c r="AB675" s="158"/>
      <c r="AC675" s="158"/>
      <c r="AD675" s="158"/>
      <c r="AE675" s="158"/>
      <c r="AF675" s="158"/>
      <c r="AG675" s="158"/>
      <c r="AH675" s="158"/>
    </row>
    <row r="676" spans="1:34" ht="15.75" customHeight="1">
      <c r="A676" s="179"/>
      <c r="B676" s="180"/>
      <c r="C676" s="180"/>
      <c r="D676" s="179"/>
      <c r="E676" s="179"/>
      <c r="F676" s="179"/>
      <c r="G676" s="179"/>
      <c r="H676" s="181"/>
      <c r="I676" s="181"/>
      <c r="J676" s="181"/>
      <c r="K676" s="179"/>
      <c r="L676" s="179"/>
      <c r="M676" s="179"/>
      <c r="N676" s="181"/>
      <c r="O676" s="179"/>
      <c r="P676" s="179"/>
      <c r="Q676" s="179"/>
      <c r="R676" s="179"/>
      <c r="S676" s="179"/>
      <c r="T676" s="179"/>
      <c r="U676" s="179"/>
      <c r="V676" s="179"/>
      <c r="W676" s="192"/>
      <c r="X676" s="192"/>
      <c r="Y676" s="192"/>
      <c r="Z676" s="158"/>
      <c r="AA676" s="158"/>
      <c r="AB676" s="158"/>
      <c r="AC676" s="158"/>
      <c r="AD676" s="158"/>
      <c r="AE676" s="158"/>
      <c r="AF676" s="158"/>
      <c r="AG676" s="158"/>
      <c r="AH676" s="158"/>
    </row>
    <row r="677" spans="1:34" ht="15.75" customHeight="1">
      <c r="A677" s="179"/>
      <c r="B677" s="180"/>
      <c r="C677" s="180"/>
      <c r="D677" s="179"/>
      <c r="E677" s="179"/>
      <c r="F677" s="179"/>
      <c r="G677" s="179"/>
      <c r="H677" s="181"/>
      <c r="I677" s="181"/>
      <c r="J677" s="181"/>
      <c r="K677" s="179"/>
      <c r="L677" s="179"/>
      <c r="M677" s="179"/>
      <c r="N677" s="181"/>
      <c r="O677" s="179"/>
      <c r="P677" s="179"/>
      <c r="Q677" s="179"/>
      <c r="R677" s="179"/>
      <c r="S677" s="179"/>
      <c r="T677" s="179"/>
      <c r="U677" s="179"/>
      <c r="V677" s="179"/>
      <c r="W677" s="192"/>
      <c r="X677" s="192"/>
      <c r="Y677" s="192"/>
      <c r="Z677" s="158"/>
      <c r="AA677" s="158"/>
      <c r="AB677" s="158"/>
      <c r="AC677" s="158"/>
      <c r="AD677" s="158"/>
      <c r="AE677" s="158"/>
      <c r="AF677" s="158"/>
      <c r="AG677" s="158"/>
      <c r="AH677" s="158"/>
    </row>
    <row r="678" spans="1:34" ht="15.75" customHeight="1">
      <c r="A678" s="179"/>
      <c r="B678" s="180"/>
      <c r="C678" s="180"/>
      <c r="D678" s="179"/>
      <c r="E678" s="179"/>
      <c r="F678" s="179"/>
      <c r="G678" s="179"/>
      <c r="H678" s="181"/>
      <c r="I678" s="181"/>
      <c r="J678" s="181"/>
      <c r="K678" s="179"/>
      <c r="L678" s="179"/>
      <c r="M678" s="179"/>
      <c r="N678" s="181"/>
      <c r="O678" s="179"/>
      <c r="P678" s="179"/>
      <c r="Q678" s="179"/>
      <c r="R678" s="179"/>
      <c r="S678" s="179"/>
      <c r="T678" s="179"/>
      <c r="U678" s="179"/>
      <c r="V678" s="179"/>
      <c r="W678" s="192"/>
      <c r="X678" s="192"/>
      <c r="Y678" s="192"/>
      <c r="Z678" s="158"/>
      <c r="AA678" s="158"/>
      <c r="AB678" s="158"/>
      <c r="AC678" s="158"/>
      <c r="AD678" s="158"/>
      <c r="AE678" s="158"/>
      <c r="AF678" s="158"/>
      <c r="AG678" s="158"/>
      <c r="AH678" s="158"/>
    </row>
    <row r="679" spans="1:34" ht="15.75" customHeight="1">
      <c r="A679" s="179"/>
      <c r="B679" s="180"/>
      <c r="C679" s="180"/>
      <c r="D679" s="179"/>
      <c r="E679" s="179"/>
      <c r="F679" s="179"/>
      <c r="G679" s="179"/>
      <c r="H679" s="181"/>
      <c r="I679" s="181"/>
      <c r="J679" s="181"/>
      <c r="K679" s="179"/>
      <c r="L679" s="179"/>
      <c r="M679" s="179"/>
      <c r="N679" s="181"/>
      <c r="O679" s="179"/>
      <c r="P679" s="179"/>
      <c r="Q679" s="179"/>
      <c r="R679" s="179"/>
      <c r="S679" s="179"/>
      <c r="T679" s="179"/>
      <c r="U679" s="179"/>
      <c r="V679" s="179"/>
      <c r="W679" s="192"/>
      <c r="X679" s="192"/>
      <c r="Y679" s="192"/>
      <c r="Z679" s="158"/>
      <c r="AA679" s="158"/>
      <c r="AB679" s="158"/>
      <c r="AC679" s="158"/>
      <c r="AD679" s="158"/>
      <c r="AE679" s="158"/>
      <c r="AF679" s="158"/>
      <c r="AG679" s="158"/>
      <c r="AH679" s="158"/>
    </row>
    <row r="680" spans="1:34" ht="15.75" customHeight="1">
      <c r="A680" s="179"/>
      <c r="B680" s="180"/>
      <c r="C680" s="180"/>
      <c r="D680" s="179"/>
      <c r="E680" s="179"/>
      <c r="F680" s="179"/>
      <c r="G680" s="179"/>
      <c r="H680" s="181"/>
      <c r="I680" s="181"/>
      <c r="J680" s="181"/>
      <c r="K680" s="179"/>
      <c r="L680" s="179"/>
      <c r="M680" s="179"/>
      <c r="N680" s="181"/>
      <c r="O680" s="179"/>
      <c r="P680" s="179"/>
      <c r="Q680" s="179"/>
      <c r="R680" s="179"/>
      <c r="S680" s="179"/>
      <c r="T680" s="179"/>
      <c r="U680" s="179"/>
      <c r="V680" s="179"/>
      <c r="W680" s="192"/>
      <c r="X680" s="192"/>
      <c r="Y680" s="192"/>
      <c r="Z680" s="158"/>
      <c r="AA680" s="158"/>
      <c r="AB680" s="158"/>
      <c r="AC680" s="158"/>
      <c r="AD680" s="158"/>
      <c r="AE680" s="158"/>
      <c r="AF680" s="158"/>
      <c r="AG680" s="158"/>
      <c r="AH680" s="158"/>
    </row>
    <row r="681" spans="1:34" ht="15.75" customHeight="1">
      <c r="A681" s="179"/>
      <c r="B681" s="180"/>
      <c r="C681" s="180"/>
      <c r="D681" s="179"/>
      <c r="E681" s="179"/>
      <c r="F681" s="179"/>
      <c r="G681" s="179"/>
      <c r="H681" s="181"/>
      <c r="I681" s="181"/>
      <c r="J681" s="181"/>
      <c r="K681" s="179"/>
      <c r="L681" s="179"/>
      <c r="M681" s="179"/>
      <c r="N681" s="181"/>
      <c r="O681" s="179"/>
      <c r="P681" s="179"/>
      <c r="Q681" s="179"/>
      <c r="R681" s="179"/>
      <c r="S681" s="179"/>
      <c r="T681" s="179"/>
      <c r="U681" s="179"/>
      <c r="V681" s="179"/>
      <c r="W681" s="192"/>
      <c r="X681" s="192"/>
      <c r="Y681" s="192"/>
      <c r="Z681" s="158"/>
      <c r="AA681" s="158"/>
      <c r="AB681" s="158"/>
      <c r="AC681" s="158"/>
      <c r="AD681" s="158"/>
      <c r="AE681" s="158"/>
      <c r="AF681" s="158"/>
      <c r="AG681" s="158"/>
      <c r="AH681" s="158"/>
    </row>
    <row r="682" spans="1:34" ht="15.75" customHeight="1">
      <c r="A682" s="179"/>
      <c r="B682" s="180"/>
      <c r="C682" s="180"/>
      <c r="D682" s="179"/>
      <c r="E682" s="179"/>
      <c r="F682" s="179"/>
      <c r="G682" s="179"/>
      <c r="H682" s="181"/>
      <c r="I682" s="181"/>
      <c r="J682" s="181"/>
      <c r="K682" s="179"/>
      <c r="L682" s="179"/>
      <c r="M682" s="179"/>
      <c r="N682" s="181"/>
      <c r="O682" s="179"/>
      <c r="P682" s="179"/>
      <c r="Q682" s="179"/>
      <c r="R682" s="179"/>
      <c r="S682" s="179"/>
      <c r="T682" s="179"/>
      <c r="U682" s="179"/>
      <c r="V682" s="179"/>
      <c r="W682" s="192"/>
      <c r="X682" s="192"/>
      <c r="Y682" s="192"/>
      <c r="Z682" s="158"/>
      <c r="AA682" s="158"/>
      <c r="AB682" s="158"/>
      <c r="AC682" s="158"/>
      <c r="AD682" s="158"/>
      <c r="AE682" s="158"/>
      <c r="AF682" s="158"/>
      <c r="AG682" s="158"/>
      <c r="AH682" s="158"/>
    </row>
    <row r="683" spans="1:34" ht="15.75" customHeight="1">
      <c r="A683" s="179"/>
      <c r="B683" s="180"/>
      <c r="C683" s="180"/>
      <c r="D683" s="179"/>
      <c r="E683" s="179"/>
      <c r="F683" s="179"/>
      <c r="G683" s="179"/>
      <c r="H683" s="181"/>
      <c r="I683" s="181"/>
      <c r="J683" s="181"/>
      <c r="K683" s="179"/>
      <c r="L683" s="179"/>
      <c r="M683" s="179"/>
      <c r="N683" s="181"/>
      <c r="O683" s="179"/>
      <c r="P683" s="179"/>
      <c r="Q683" s="179"/>
      <c r="R683" s="179"/>
      <c r="S683" s="179"/>
      <c r="T683" s="179"/>
      <c r="U683" s="179"/>
      <c r="V683" s="179"/>
      <c r="W683" s="192"/>
      <c r="X683" s="192"/>
      <c r="Y683" s="192"/>
      <c r="Z683" s="158"/>
      <c r="AA683" s="158"/>
      <c r="AB683" s="158"/>
      <c r="AC683" s="158"/>
      <c r="AD683" s="158"/>
      <c r="AE683" s="158"/>
      <c r="AF683" s="158"/>
      <c r="AG683" s="158"/>
      <c r="AH683" s="158"/>
    </row>
    <row r="684" spans="1:34" ht="15.75" customHeight="1">
      <c r="A684" s="179"/>
      <c r="B684" s="180"/>
      <c r="C684" s="180"/>
      <c r="D684" s="179"/>
      <c r="E684" s="179"/>
      <c r="F684" s="179"/>
      <c r="G684" s="179"/>
      <c r="H684" s="181"/>
      <c r="I684" s="181"/>
      <c r="J684" s="181"/>
      <c r="K684" s="179"/>
      <c r="L684" s="179"/>
      <c r="M684" s="179"/>
      <c r="N684" s="181"/>
      <c r="O684" s="179"/>
      <c r="P684" s="179"/>
      <c r="Q684" s="179"/>
      <c r="R684" s="179"/>
      <c r="S684" s="179"/>
      <c r="T684" s="179"/>
      <c r="U684" s="179"/>
      <c r="V684" s="179"/>
      <c r="W684" s="192"/>
      <c r="X684" s="192"/>
      <c r="Y684" s="192"/>
      <c r="Z684" s="158"/>
      <c r="AA684" s="158"/>
      <c r="AB684" s="158"/>
      <c r="AC684" s="158"/>
      <c r="AD684" s="158"/>
      <c r="AE684" s="158"/>
      <c r="AF684" s="158"/>
      <c r="AG684" s="158"/>
      <c r="AH684" s="158"/>
    </row>
    <row r="685" spans="1:34" ht="15.75" customHeight="1">
      <c r="A685" s="179"/>
      <c r="B685" s="180"/>
      <c r="C685" s="180"/>
      <c r="D685" s="179"/>
      <c r="E685" s="179"/>
      <c r="F685" s="179"/>
      <c r="G685" s="179"/>
      <c r="H685" s="181"/>
      <c r="I685" s="181"/>
      <c r="J685" s="181"/>
      <c r="K685" s="179"/>
      <c r="L685" s="179"/>
      <c r="M685" s="179"/>
      <c r="N685" s="181"/>
      <c r="O685" s="179"/>
      <c r="P685" s="179"/>
      <c r="Q685" s="179"/>
      <c r="R685" s="179"/>
      <c r="S685" s="179"/>
      <c r="T685" s="179"/>
      <c r="U685" s="179"/>
      <c r="V685" s="179"/>
      <c r="W685" s="192"/>
      <c r="X685" s="192"/>
      <c r="Y685" s="192"/>
      <c r="Z685" s="158"/>
      <c r="AA685" s="158"/>
      <c r="AB685" s="158"/>
      <c r="AC685" s="158"/>
      <c r="AD685" s="158"/>
      <c r="AE685" s="158"/>
      <c r="AF685" s="158"/>
      <c r="AG685" s="158"/>
      <c r="AH685" s="158"/>
    </row>
    <row r="686" spans="1:34" ht="15.75" customHeight="1">
      <c r="A686" s="179"/>
      <c r="B686" s="180"/>
      <c r="C686" s="180"/>
      <c r="D686" s="179"/>
      <c r="E686" s="179"/>
      <c r="F686" s="179"/>
      <c r="G686" s="179"/>
      <c r="H686" s="181"/>
      <c r="I686" s="181"/>
      <c r="J686" s="181"/>
      <c r="K686" s="179"/>
      <c r="L686" s="179"/>
      <c r="M686" s="179"/>
      <c r="N686" s="181"/>
      <c r="O686" s="179"/>
      <c r="P686" s="179"/>
      <c r="Q686" s="179"/>
      <c r="R686" s="179"/>
      <c r="S686" s="179"/>
      <c r="T686" s="179"/>
      <c r="U686" s="179"/>
      <c r="V686" s="179"/>
      <c r="W686" s="192"/>
      <c r="X686" s="192"/>
      <c r="Y686" s="192"/>
      <c r="Z686" s="158"/>
      <c r="AA686" s="158"/>
      <c r="AB686" s="158"/>
      <c r="AC686" s="158"/>
      <c r="AD686" s="158"/>
      <c r="AE686" s="158"/>
      <c r="AF686" s="158"/>
      <c r="AG686" s="158"/>
      <c r="AH686" s="158"/>
    </row>
    <row r="687" spans="1:34" ht="15.75" customHeight="1">
      <c r="A687" s="179"/>
      <c r="B687" s="180"/>
      <c r="C687" s="180"/>
      <c r="D687" s="179"/>
      <c r="E687" s="179"/>
      <c r="F687" s="179"/>
      <c r="G687" s="179"/>
      <c r="H687" s="181"/>
      <c r="I687" s="181"/>
      <c r="J687" s="181"/>
      <c r="K687" s="179"/>
      <c r="L687" s="179"/>
      <c r="M687" s="179"/>
      <c r="N687" s="181"/>
      <c r="O687" s="179"/>
      <c r="P687" s="179"/>
      <c r="Q687" s="179"/>
      <c r="R687" s="179"/>
      <c r="S687" s="179"/>
      <c r="T687" s="179"/>
      <c r="U687" s="179"/>
      <c r="V687" s="179"/>
      <c r="W687" s="192"/>
      <c r="X687" s="192"/>
      <c r="Y687" s="192"/>
      <c r="Z687" s="158"/>
      <c r="AA687" s="158"/>
      <c r="AB687" s="158"/>
      <c r="AC687" s="158"/>
      <c r="AD687" s="158"/>
      <c r="AE687" s="158"/>
      <c r="AF687" s="158"/>
      <c r="AG687" s="158"/>
      <c r="AH687" s="158"/>
    </row>
    <row r="688" spans="1:34" ht="15.75" customHeight="1">
      <c r="A688" s="179"/>
      <c r="B688" s="180"/>
      <c r="C688" s="180"/>
      <c r="D688" s="179"/>
      <c r="E688" s="179"/>
      <c r="F688" s="179"/>
      <c r="G688" s="179"/>
      <c r="H688" s="181"/>
      <c r="I688" s="181"/>
      <c r="J688" s="181"/>
      <c r="K688" s="179"/>
      <c r="L688" s="179"/>
      <c r="M688" s="179"/>
      <c r="N688" s="181"/>
      <c r="O688" s="179"/>
      <c r="P688" s="179"/>
      <c r="Q688" s="179"/>
      <c r="R688" s="179"/>
      <c r="S688" s="179"/>
      <c r="T688" s="179"/>
      <c r="U688" s="179"/>
      <c r="V688" s="179"/>
      <c r="W688" s="192"/>
      <c r="X688" s="192"/>
      <c r="Y688" s="192"/>
      <c r="Z688" s="158"/>
      <c r="AA688" s="158"/>
      <c r="AB688" s="158"/>
      <c r="AC688" s="158"/>
      <c r="AD688" s="158"/>
      <c r="AE688" s="158"/>
      <c r="AF688" s="158"/>
      <c r="AG688" s="158"/>
      <c r="AH688" s="158"/>
    </row>
    <row r="689" spans="1:34" ht="15.75" customHeight="1">
      <c r="A689" s="179"/>
      <c r="B689" s="180"/>
      <c r="C689" s="180"/>
      <c r="D689" s="179"/>
      <c r="E689" s="179"/>
      <c r="F689" s="179"/>
      <c r="G689" s="179"/>
      <c r="H689" s="181"/>
      <c r="I689" s="181"/>
      <c r="J689" s="181"/>
      <c r="K689" s="179"/>
      <c r="L689" s="179"/>
      <c r="M689" s="179"/>
      <c r="N689" s="181"/>
      <c r="O689" s="179"/>
      <c r="P689" s="179"/>
      <c r="Q689" s="179"/>
      <c r="R689" s="179"/>
      <c r="S689" s="179"/>
      <c r="T689" s="179"/>
      <c r="U689" s="179"/>
      <c r="V689" s="179"/>
      <c r="W689" s="192"/>
      <c r="X689" s="192"/>
      <c r="Y689" s="192"/>
      <c r="Z689" s="158"/>
      <c r="AA689" s="158"/>
      <c r="AB689" s="158"/>
      <c r="AC689" s="158"/>
      <c r="AD689" s="158"/>
      <c r="AE689" s="158"/>
      <c r="AF689" s="158"/>
      <c r="AG689" s="158"/>
      <c r="AH689" s="158"/>
    </row>
    <row r="690" spans="1:34" ht="15.75" customHeight="1">
      <c r="A690" s="179"/>
      <c r="B690" s="180"/>
      <c r="C690" s="180"/>
      <c r="D690" s="179"/>
      <c r="E690" s="179"/>
      <c r="F690" s="179"/>
      <c r="G690" s="179"/>
      <c r="H690" s="181"/>
      <c r="I690" s="181"/>
      <c r="J690" s="181"/>
      <c r="K690" s="179"/>
      <c r="L690" s="179"/>
      <c r="M690" s="179"/>
      <c r="N690" s="181"/>
      <c r="O690" s="179"/>
      <c r="P690" s="179"/>
      <c r="Q690" s="179"/>
      <c r="R690" s="179"/>
      <c r="S690" s="179"/>
      <c r="T690" s="179"/>
      <c r="U690" s="179"/>
      <c r="V690" s="179"/>
      <c r="W690" s="192"/>
      <c r="X690" s="192"/>
      <c r="Y690" s="192"/>
      <c r="Z690" s="158"/>
      <c r="AA690" s="158"/>
      <c r="AB690" s="158"/>
      <c r="AC690" s="158"/>
      <c r="AD690" s="158"/>
      <c r="AE690" s="158"/>
      <c r="AF690" s="158"/>
      <c r="AG690" s="158"/>
      <c r="AH690" s="158"/>
    </row>
    <row r="691" spans="1:34" ht="15.75" customHeight="1">
      <c r="A691" s="179"/>
      <c r="B691" s="180"/>
      <c r="C691" s="180"/>
      <c r="D691" s="179"/>
      <c r="E691" s="179"/>
      <c r="F691" s="179"/>
      <c r="G691" s="179"/>
      <c r="H691" s="181"/>
      <c r="I691" s="181"/>
      <c r="J691" s="181"/>
      <c r="K691" s="179"/>
      <c r="L691" s="179"/>
      <c r="M691" s="179"/>
      <c r="N691" s="181"/>
      <c r="O691" s="179"/>
      <c r="P691" s="179"/>
      <c r="Q691" s="179"/>
      <c r="R691" s="179"/>
      <c r="S691" s="179"/>
      <c r="T691" s="179"/>
      <c r="U691" s="179"/>
      <c r="V691" s="179"/>
      <c r="W691" s="192"/>
      <c r="X691" s="192"/>
      <c r="Y691" s="192"/>
      <c r="Z691" s="158"/>
      <c r="AA691" s="158"/>
      <c r="AB691" s="158"/>
      <c r="AC691" s="158"/>
      <c r="AD691" s="158"/>
      <c r="AE691" s="158"/>
      <c r="AF691" s="158"/>
      <c r="AG691" s="158"/>
      <c r="AH691" s="158"/>
    </row>
    <row r="692" spans="1:34" ht="15.75" customHeight="1">
      <c r="A692" s="179"/>
      <c r="B692" s="180"/>
      <c r="C692" s="180"/>
      <c r="D692" s="179"/>
      <c r="E692" s="179"/>
      <c r="F692" s="179"/>
      <c r="G692" s="179"/>
      <c r="H692" s="181"/>
      <c r="I692" s="181"/>
      <c r="J692" s="181"/>
      <c r="K692" s="179"/>
      <c r="L692" s="179"/>
      <c r="M692" s="179"/>
      <c r="N692" s="181"/>
      <c r="O692" s="179"/>
      <c r="P692" s="179"/>
      <c r="Q692" s="179"/>
      <c r="R692" s="179"/>
      <c r="S692" s="179"/>
      <c r="T692" s="179"/>
      <c r="U692" s="179"/>
      <c r="V692" s="179"/>
      <c r="W692" s="192"/>
      <c r="X692" s="192"/>
      <c r="Y692" s="192"/>
      <c r="Z692" s="158"/>
      <c r="AA692" s="158"/>
      <c r="AB692" s="158"/>
      <c r="AC692" s="158"/>
      <c r="AD692" s="158"/>
      <c r="AE692" s="158"/>
      <c r="AF692" s="158"/>
      <c r="AG692" s="158"/>
      <c r="AH692" s="158"/>
    </row>
    <row r="693" spans="1:34" ht="15.75" customHeight="1">
      <c r="A693" s="179"/>
      <c r="B693" s="180"/>
      <c r="C693" s="180"/>
      <c r="D693" s="179"/>
      <c r="E693" s="179"/>
      <c r="F693" s="179"/>
      <c r="G693" s="179"/>
      <c r="H693" s="181"/>
      <c r="I693" s="181"/>
      <c r="J693" s="181"/>
      <c r="K693" s="179"/>
      <c r="L693" s="179"/>
      <c r="M693" s="179"/>
      <c r="N693" s="181"/>
      <c r="O693" s="179"/>
      <c r="P693" s="179"/>
      <c r="Q693" s="179"/>
      <c r="R693" s="179"/>
      <c r="S693" s="179"/>
      <c r="T693" s="179"/>
      <c r="U693" s="179"/>
      <c r="V693" s="179"/>
      <c r="W693" s="192"/>
      <c r="X693" s="192"/>
      <c r="Y693" s="192"/>
      <c r="Z693" s="158"/>
      <c r="AA693" s="158"/>
      <c r="AB693" s="158"/>
      <c r="AC693" s="158"/>
      <c r="AD693" s="158"/>
      <c r="AE693" s="158"/>
      <c r="AF693" s="158"/>
      <c r="AG693" s="158"/>
      <c r="AH693" s="158"/>
    </row>
    <row r="694" spans="1:34" ht="15.75" customHeight="1">
      <c r="A694" s="179"/>
      <c r="B694" s="180"/>
      <c r="C694" s="180"/>
      <c r="D694" s="179"/>
      <c r="E694" s="179"/>
      <c r="F694" s="179"/>
      <c r="G694" s="179"/>
      <c r="H694" s="181"/>
      <c r="I694" s="181"/>
      <c r="J694" s="181"/>
      <c r="K694" s="179"/>
      <c r="L694" s="179"/>
      <c r="M694" s="179"/>
      <c r="N694" s="181"/>
      <c r="O694" s="179"/>
      <c r="P694" s="179"/>
      <c r="Q694" s="179"/>
      <c r="R694" s="179"/>
      <c r="S694" s="179"/>
      <c r="T694" s="179"/>
      <c r="U694" s="179"/>
      <c r="V694" s="179"/>
      <c r="W694" s="192"/>
      <c r="X694" s="192"/>
      <c r="Y694" s="192"/>
      <c r="Z694" s="158"/>
      <c r="AA694" s="158"/>
      <c r="AB694" s="158"/>
      <c r="AC694" s="158"/>
      <c r="AD694" s="158"/>
      <c r="AE694" s="158"/>
      <c r="AF694" s="158"/>
      <c r="AG694" s="158"/>
      <c r="AH694" s="158"/>
    </row>
    <row r="695" spans="1:34" ht="15.75" customHeight="1">
      <c r="A695" s="179"/>
      <c r="B695" s="180"/>
      <c r="C695" s="180"/>
      <c r="D695" s="179"/>
      <c r="E695" s="179"/>
      <c r="F695" s="179"/>
      <c r="G695" s="179"/>
      <c r="H695" s="181"/>
      <c r="I695" s="181"/>
      <c r="J695" s="181"/>
      <c r="K695" s="179"/>
      <c r="L695" s="179"/>
      <c r="M695" s="179"/>
      <c r="N695" s="181"/>
      <c r="O695" s="179"/>
      <c r="P695" s="179"/>
      <c r="Q695" s="179"/>
      <c r="R695" s="179"/>
      <c r="S695" s="179"/>
      <c r="T695" s="179"/>
      <c r="U695" s="179"/>
      <c r="V695" s="179"/>
      <c r="W695" s="192"/>
      <c r="X695" s="192"/>
      <c r="Y695" s="192"/>
      <c r="Z695" s="158"/>
      <c r="AA695" s="158"/>
      <c r="AB695" s="158"/>
      <c r="AC695" s="158"/>
      <c r="AD695" s="158"/>
      <c r="AE695" s="158"/>
      <c r="AF695" s="158"/>
      <c r="AG695" s="158"/>
      <c r="AH695" s="158"/>
    </row>
    <row r="696" spans="1:34" ht="15.75" customHeight="1">
      <c r="A696" s="179"/>
      <c r="B696" s="180"/>
      <c r="C696" s="180"/>
      <c r="D696" s="179"/>
      <c r="E696" s="179"/>
      <c r="F696" s="179"/>
      <c r="G696" s="179"/>
      <c r="H696" s="181"/>
      <c r="I696" s="181"/>
      <c r="J696" s="181"/>
      <c r="K696" s="179"/>
      <c r="L696" s="179"/>
      <c r="M696" s="179"/>
      <c r="N696" s="181"/>
      <c r="O696" s="179"/>
      <c r="P696" s="179"/>
      <c r="Q696" s="179"/>
      <c r="R696" s="179"/>
      <c r="S696" s="179"/>
      <c r="T696" s="179"/>
      <c r="U696" s="179"/>
      <c r="V696" s="179"/>
      <c r="W696" s="192"/>
      <c r="X696" s="192"/>
      <c r="Y696" s="192"/>
      <c r="Z696" s="158"/>
      <c r="AA696" s="158"/>
      <c r="AB696" s="158"/>
      <c r="AC696" s="158"/>
      <c r="AD696" s="158"/>
      <c r="AE696" s="158"/>
      <c r="AF696" s="158"/>
      <c r="AG696" s="158"/>
      <c r="AH696" s="158"/>
    </row>
    <row r="697" spans="1:34" ht="15.75" customHeight="1">
      <c r="A697" s="179"/>
      <c r="B697" s="180"/>
      <c r="C697" s="180"/>
      <c r="D697" s="179"/>
      <c r="E697" s="179"/>
      <c r="F697" s="179"/>
      <c r="G697" s="179"/>
      <c r="H697" s="181"/>
      <c r="I697" s="181"/>
      <c r="J697" s="181"/>
      <c r="K697" s="179"/>
      <c r="L697" s="179"/>
      <c r="M697" s="179"/>
      <c r="N697" s="181"/>
      <c r="O697" s="179"/>
      <c r="P697" s="179"/>
      <c r="Q697" s="179"/>
      <c r="R697" s="179"/>
      <c r="S697" s="179"/>
      <c r="T697" s="179"/>
      <c r="U697" s="179"/>
      <c r="V697" s="179"/>
      <c r="W697" s="192"/>
      <c r="X697" s="192"/>
      <c r="Y697" s="192"/>
      <c r="Z697" s="158"/>
      <c r="AA697" s="158"/>
      <c r="AB697" s="158"/>
      <c r="AC697" s="158"/>
      <c r="AD697" s="158"/>
      <c r="AE697" s="158"/>
      <c r="AF697" s="158"/>
      <c r="AG697" s="158"/>
      <c r="AH697" s="158"/>
    </row>
    <row r="698" spans="1:34" ht="15.75" customHeight="1">
      <c r="A698" s="179"/>
      <c r="B698" s="180"/>
      <c r="C698" s="180"/>
      <c r="D698" s="179"/>
      <c r="E698" s="179"/>
      <c r="F698" s="179"/>
      <c r="G698" s="179"/>
      <c r="H698" s="181"/>
      <c r="I698" s="181"/>
      <c r="J698" s="181"/>
      <c r="K698" s="179"/>
      <c r="L698" s="179"/>
      <c r="M698" s="179"/>
      <c r="N698" s="181"/>
      <c r="O698" s="179"/>
      <c r="P698" s="179"/>
      <c r="Q698" s="179"/>
      <c r="R698" s="179"/>
      <c r="S698" s="179"/>
      <c r="T698" s="179"/>
      <c r="U698" s="179"/>
      <c r="V698" s="179"/>
      <c r="W698" s="192"/>
      <c r="X698" s="192"/>
      <c r="Y698" s="192"/>
      <c r="Z698" s="158"/>
      <c r="AA698" s="158"/>
      <c r="AB698" s="158"/>
      <c r="AC698" s="158"/>
      <c r="AD698" s="158"/>
      <c r="AE698" s="158"/>
      <c r="AF698" s="158"/>
      <c r="AG698" s="158"/>
      <c r="AH698" s="158"/>
    </row>
    <row r="699" spans="1:34" ht="15.75" customHeight="1">
      <c r="A699" s="179"/>
      <c r="B699" s="180"/>
      <c r="C699" s="180"/>
      <c r="D699" s="179"/>
      <c r="E699" s="179"/>
      <c r="F699" s="179"/>
      <c r="G699" s="179"/>
      <c r="H699" s="181"/>
      <c r="I699" s="181"/>
      <c r="J699" s="181"/>
      <c r="K699" s="179"/>
      <c r="L699" s="179"/>
      <c r="M699" s="179"/>
      <c r="N699" s="181"/>
      <c r="O699" s="179"/>
      <c r="P699" s="179"/>
      <c r="Q699" s="179"/>
      <c r="R699" s="179"/>
      <c r="S699" s="179"/>
      <c r="T699" s="179"/>
      <c r="U699" s="179"/>
      <c r="V699" s="179"/>
      <c r="W699" s="192"/>
      <c r="X699" s="192"/>
      <c r="Y699" s="192"/>
      <c r="Z699" s="158"/>
      <c r="AA699" s="158"/>
      <c r="AB699" s="158"/>
      <c r="AC699" s="158"/>
      <c r="AD699" s="158"/>
      <c r="AE699" s="158"/>
      <c r="AF699" s="158"/>
      <c r="AG699" s="158"/>
      <c r="AH699" s="158"/>
    </row>
    <row r="700" spans="1:34" ht="15.75" customHeight="1">
      <c r="A700" s="179"/>
      <c r="B700" s="180"/>
      <c r="C700" s="180"/>
      <c r="D700" s="179"/>
      <c r="E700" s="179"/>
      <c r="F700" s="179"/>
      <c r="G700" s="179"/>
      <c r="H700" s="181"/>
      <c r="I700" s="181"/>
      <c r="J700" s="181"/>
      <c r="K700" s="179"/>
      <c r="L700" s="179"/>
      <c r="M700" s="179"/>
      <c r="N700" s="181"/>
      <c r="O700" s="179"/>
      <c r="P700" s="179"/>
      <c r="Q700" s="179"/>
      <c r="R700" s="179"/>
      <c r="S700" s="179"/>
      <c r="T700" s="179"/>
      <c r="U700" s="179"/>
      <c r="V700" s="179"/>
      <c r="W700" s="192"/>
      <c r="X700" s="192"/>
      <c r="Y700" s="192"/>
      <c r="Z700" s="158"/>
      <c r="AA700" s="158"/>
      <c r="AB700" s="158"/>
      <c r="AC700" s="158"/>
      <c r="AD700" s="158"/>
      <c r="AE700" s="158"/>
      <c r="AF700" s="158"/>
      <c r="AG700" s="158"/>
      <c r="AH700" s="158"/>
    </row>
    <row r="701" spans="1:34" ht="15.75" customHeight="1">
      <c r="A701" s="179"/>
      <c r="B701" s="180"/>
      <c r="C701" s="180"/>
      <c r="D701" s="179"/>
      <c r="E701" s="179"/>
      <c r="F701" s="179"/>
      <c r="G701" s="179"/>
      <c r="H701" s="181"/>
      <c r="I701" s="181"/>
      <c r="J701" s="181"/>
      <c r="K701" s="179"/>
      <c r="L701" s="179"/>
      <c r="M701" s="179"/>
      <c r="N701" s="181"/>
      <c r="O701" s="179"/>
      <c r="P701" s="179"/>
      <c r="Q701" s="179"/>
      <c r="R701" s="179"/>
      <c r="S701" s="179"/>
      <c r="T701" s="179"/>
      <c r="U701" s="179"/>
      <c r="V701" s="179"/>
      <c r="W701" s="192"/>
      <c r="X701" s="192"/>
      <c r="Y701" s="192"/>
      <c r="Z701" s="158"/>
      <c r="AA701" s="158"/>
      <c r="AB701" s="158"/>
      <c r="AC701" s="158"/>
      <c r="AD701" s="158"/>
      <c r="AE701" s="158"/>
      <c r="AF701" s="158"/>
      <c r="AG701" s="158"/>
      <c r="AH701" s="158"/>
    </row>
    <row r="702" spans="1:34" ht="15.75" customHeight="1">
      <c r="A702" s="179"/>
      <c r="B702" s="180"/>
      <c r="C702" s="180"/>
      <c r="D702" s="179"/>
      <c r="E702" s="179"/>
      <c r="F702" s="179"/>
      <c r="G702" s="179"/>
      <c r="H702" s="181"/>
      <c r="I702" s="181"/>
      <c r="J702" s="181"/>
      <c r="K702" s="179"/>
      <c r="L702" s="179"/>
      <c r="M702" s="179"/>
      <c r="N702" s="181"/>
      <c r="O702" s="179"/>
      <c r="P702" s="179"/>
      <c r="Q702" s="179"/>
      <c r="R702" s="179"/>
      <c r="S702" s="179"/>
      <c r="T702" s="179"/>
      <c r="U702" s="179"/>
      <c r="V702" s="179"/>
      <c r="W702" s="192"/>
      <c r="X702" s="192"/>
      <c r="Y702" s="192"/>
      <c r="Z702" s="158"/>
      <c r="AA702" s="158"/>
      <c r="AB702" s="158"/>
      <c r="AC702" s="158"/>
      <c r="AD702" s="158"/>
      <c r="AE702" s="158"/>
      <c r="AF702" s="158"/>
      <c r="AG702" s="158"/>
      <c r="AH702" s="158"/>
    </row>
    <row r="703" spans="1:34" ht="15.75" customHeight="1">
      <c r="A703" s="179"/>
      <c r="B703" s="180"/>
      <c r="C703" s="180"/>
      <c r="D703" s="179"/>
      <c r="E703" s="179"/>
      <c r="F703" s="179"/>
      <c r="G703" s="179"/>
      <c r="H703" s="181"/>
      <c r="I703" s="181"/>
      <c r="J703" s="181"/>
      <c r="K703" s="179"/>
      <c r="L703" s="179"/>
      <c r="M703" s="179"/>
      <c r="N703" s="181"/>
      <c r="O703" s="179"/>
      <c r="P703" s="179"/>
      <c r="Q703" s="179"/>
      <c r="R703" s="179"/>
      <c r="S703" s="179"/>
      <c r="T703" s="179"/>
      <c r="U703" s="179"/>
      <c r="V703" s="179"/>
      <c r="W703" s="192"/>
      <c r="X703" s="192"/>
      <c r="Y703" s="192"/>
      <c r="Z703" s="158"/>
      <c r="AA703" s="158"/>
      <c r="AB703" s="158"/>
      <c r="AC703" s="158"/>
      <c r="AD703" s="158"/>
      <c r="AE703" s="158"/>
      <c r="AF703" s="158"/>
      <c r="AG703" s="158"/>
      <c r="AH703" s="158"/>
    </row>
    <row r="704" spans="1:34" ht="15.75" customHeight="1">
      <c r="A704" s="179"/>
      <c r="B704" s="180"/>
      <c r="C704" s="180"/>
      <c r="D704" s="179"/>
      <c r="E704" s="179"/>
      <c r="F704" s="179"/>
      <c r="G704" s="179"/>
      <c r="H704" s="181"/>
      <c r="I704" s="181"/>
      <c r="J704" s="181"/>
      <c r="K704" s="179"/>
      <c r="L704" s="179"/>
      <c r="M704" s="179"/>
      <c r="N704" s="181"/>
      <c r="O704" s="179"/>
      <c r="P704" s="179"/>
      <c r="Q704" s="179"/>
      <c r="R704" s="179"/>
      <c r="S704" s="179"/>
      <c r="T704" s="179"/>
      <c r="U704" s="179"/>
      <c r="V704" s="179"/>
      <c r="W704" s="192"/>
      <c r="X704" s="192"/>
      <c r="Y704" s="192"/>
      <c r="Z704" s="158"/>
      <c r="AA704" s="158"/>
      <c r="AB704" s="158"/>
      <c r="AC704" s="158"/>
      <c r="AD704" s="158"/>
      <c r="AE704" s="158"/>
      <c r="AF704" s="158"/>
      <c r="AG704" s="158"/>
      <c r="AH704" s="158"/>
    </row>
    <row r="705" spans="1:34" ht="15.75" customHeight="1">
      <c r="A705" s="179"/>
      <c r="B705" s="180"/>
      <c r="C705" s="180"/>
      <c r="D705" s="179"/>
      <c r="E705" s="179"/>
      <c r="F705" s="179"/>
      <c r="G705" s="179"/>
      <c r="H705" s="181"/>
      <c r="I705" s="181"/>
      <c r="J705" s="181"/>
      <c r="K705" s="179"/>
      <c r="L705" s="179"/>
      <c r="M705" s="179"/>
      <c r="N705" s="181"/>
      <c r="O705" s="179"/>
      <c r="P705" s="179"/>
      <c r="Q705" s="179"/>
      <c r="R705" s="179"/>
      <c r="S705" s="179"/>
      <c r="T705" s="179"/>
      <c r="U705" s="179"/>
      <c r="V705" s="179"/>
      <c r="W705" s="192"/>
      <c r="X705" s="192"/>
      <c r="Y705" s="192"/>
      <c r="Z705" s="158"/>
      <c r="AA705" s="158"/>
      <c r="AB705" s="158"/>
      <c r="AC705" s="158"/>
      <c r="AD705" s="158"/>
      <c r="AE705" s="158"/>
      <c r="AF705" s="158"/>
      <c r="AG705" s="158"/>
      <c r="AH705" s="158"/>
    </row>
    <row r="706" spans="1:34" ht="15.75" customHeight="1">
      <c r="A706" s="179"/>
      <c r="B706" s="180"/>
      <c r="C706" s="180"/>
      <c r="D706" s="179"/>
      <c r="E706" s="179"/>
      <c r="F706" s="179"/>
      <c r="G706" s="179"/>
      <c r="H706" s="181"/>
      <c r="I706" s="181"/>
      <c r="J706" s="181"/>
      <c r="K706" s="179"/>
      <c r="L706" s="179"/>
      <c r="M706" s="179"/>
      <c r="N706" s="181"/>
      <c r="O706" s="179"/>
      <c r="P706" s="179"/>
      <c r="Q706" s="179"/>
      <c r="R706" s="179"/>
      <c r="S706" s="179"/>
      <c r="T706" s="179"/>
      <c r="U706" s="179"/>
      <c r="V706" s="179"/>
      <c r="W706" s="192"/>
      <c r="X706" s="192"/>
      <c r="Y706" s="192"/>
      <c r="Z706" s="158"/>
      <c r="AA706" s="158"/>
      <c r="AB706" s="158"/>
      <c r="AC706" s="158"/>
      <c r="AD706" s="158"/>
      <c r="AE706" s="158"/>
      <c r="AF706" s="158"/>
      <c r="AG706" s="158"/>
      <c r="AH706" s="158"/>
    </row>
    <row r="707" spans="1:34" ht="15.75" customHeight="1">
      <c r="A707" s="179"/>
      <c r="B707" s="180"/>
      <c r="C707" s="180"/>
      <c r="D707" s="179"/>
      <c r="E707" s="179"/>
      <c r="F707" s="179"/>
      <c r="G707" s="179"/>
      <c r="H707" s="181"/>
      <c r="I707" s="181"/>
      <c r="J707" s="181"/>
      <c r="K707" s="179"/>
      <c r="L707" s="179"/>
      <c r="M707" s="179"/>
      <c r="N707" s="181"/>
      <c r="O707" s="179"/>
      <c r="P707" s="179"/>
      <c r="Q707" s="179"/>
      <c r="R707" s="179"/>
      <c r="S707" s="179"/>
      <c r="T707" s="179"/>
      <c r="U707" s="179"/>
      <c r="V707" s="179"/>
      <c r="W707" s="192"/>
      <c r="X707" s="192"/>
      <c r="Y707" s="192"/>
      <c r="Z707" s="158"/>
      <c r="AA707" s="158"/>
      <c r="AB707" s="158"/>
      <c r="AC707" s="158"/>
      <c r="AD707" s="158"/>
      <c r="AE707" s="158"/>
      <c r="AF707" s="158"/>
      <c r="AG707" s="158"/>
      <c r="AH707" s="158"/>
    </row>
    <row r="708" spans="1:34" ht="15.75" customHeight="1">
      <c r="A708" s="179"/>
      <c r="B708" s="180"/>
      <c r="C708" s="180"/>
      <c r="D708" s="179"/>
      <c r="E708" s="179"/>
      <c r="F708" s="179"/>
      <c r="G708" s="179"/>
      <c r="H708" s="181"/>
      <c r="I708" s="181"/>
      <c r="J708" s="181"/>
      <c r="K708" s="179"/>
      <c r="L708" s="179"/>
      <c r="M708" s="179"/>
      <c r="N708" s="181"/>
      <c r="O708" s="179"/>
      <c r="P708" s="179"/>
      <c r="Q708" s="179"/>
      <c r="R708" s="179"/>
      <c r="S708" s="179"/>
      <c r="T708" s="179"/>
      <c r="U708" s="179"/>
      <c r="V708" s="179"/>
      <c r="W708" s="192"/>
      <c r="X708" s="192"/>
      <c r="Y708" s="192"/>
      <c r="Z708" s="158"/>
      <c r="AA708" s="158"/>
      <c r="AB708" s="158"/>
      <c r="AC708" s="158"/>
      <c r="AD708" s="158"/>
      <c r="AE708" s="158"/>
      <c r="AF708" s="158"/>
      <c r="AG708" s="158"/>
      <c r="AH708" s="158"/>
    </row>
    <row r="709" spans="1:34" ht="15.75" customHeight="1">
      <c r="A709" s="179"/>
      <c r="B709" s="180"/>
      <c r="C709" s="180"/>
      <c r="D709" s="179"/>
      <c r="E709" s="179"/>
      <c r="F709" s="179"/>
      <c r="G709" s="179"/>
      <c r="H709" s="181"/>
      <c r="I709" s="181"/>
      <c r="J709" s="181"/>
      <c r="K709" s="179"/>
      <c r="L709" s="179"/>
      <c r="M709" s="179"/>
      <c r="N709" s="181"/>
      <c r="O709" s="179"/>
      <c r="P709" s="179"/>
      <c r="Q709" s="179"/>
      <c r="R709" s="179"/>
      <c r="S709" s="179"/>
      <c r="T709" s="179"/>
      <c r="U709" s="179"/>
      <c r="V709" s="179"/>
      <c r="W709" s="192"/>
      <c r="X709" s="192"/>
      <c r="Y709" s="192"/>
      <c r="Z709" s="158"/>
      <c r="AA709" s="158"/>
      <c r="AB709" s="158"/>
      <c r="AC709" s="158"/>
      <c r="AD709" s="158"/>
      <c r="AE709" s="158"/>
      <c r="AF709" s="158"/>
      <c r="AG709" s="158"/>
      <c r="AH709" s="158"/>
    </row>
    <row r="710" spans="1:34" ht="15.75" customHeight="1">
      <c r="A710" s="179"/>
      <c r="B710" s="180"/>
      <c r="C710" s="180"/>
      <c r="D710" s="179"/>
      <c r="E710" s="179"/>
      <c r="F710" s="179"/>
      <c r="G710" s="179"/>
      <c r="H710" s="181"/>
      <c r="I710" s="181"/>
      <c r="J710" s="181"/>
      <c r="K710" s="179"/>
      <c r="L710" s="179"/>
      <c r="M710" s="179"/>
      <c r="N710" s="181"/>
      <c r="O710" s="179"/>
      <c r="P710" s="179"/>
      <c r="Q710" s="179"/>
      <c r="R710" s="179"/>
      <c r="S710" s="179"/>
      <c r="T710" s="179"/>
      <c r="U710" s="179"/>
      <c r="V710" s="179"/>
      <c r="W710" s="192"/>
      <c r="X710" s="192"/>
      <c r="Y710" s="192"/>
      <c r="Z710" s="158"/>
      <c r="AA710" s="158"/>
      <c r="AB710" s="158"/>
      <c r="AC710" s="158"/>
      <c r="AD710" s="158"/>
      <c r="AE710" s="158"/>
      <c r="AF710" s="158"/>
      <c r="AG710" s="158"/>
      <c r="AH710" s="158"/>
    </row>
    <row r="711" spans="1:34" ht="15.75" customHeight="1">
      <c r="A711" s="179"/>
      <c r="B711" s="180"/>
      <c r="C711" s="180"/>
      <c r="D711" s="179"/>
      <c r="E711" s="179"/>
      <c r="F711" s="179"/>
      <c r="G711" s="179"/>
      <c r="H711" s="181"/>
      <c r="I711" s="181"/>
      <c r="J711" s="181"/>
      <c r="K711" s="179"/>
      <c r="L711" s="179"/>
      <c r="M711" s="179"/>
      <c r="N711" s="181"/>
      <c r="O711" s="179"/>
      <c r="P711" s="179"/>
      <c r="Q711" s="179"/>
      <c r="R711" s="179"/>
      <c r="S711" s="179"/>
      <c r="T711" s="179"/>
      <c r="U711" s="179"/>
      <c r="V711" s="179"/>
      <c r="W711" s="192"/>
      <c r="X711" s="192"/>
      <c r="Y711" s="192"/>
      <c r="Z711" s="158"/>
      <c r="AA711" s="158"/>
      <c r="AB711" s="158"/>
      <c r="AC711" s="158"/>
      <c r="AD711" s="158"/>
      <c r="AE711" s="158"/>
      <c r="AF711" s="158"/>
      <c r="AG711" s="158"/>
      <c r="AH711" s="158"/>
    </row>
    <row r="712" spans="1:34" ht="15.75" customHeight="1">
      <c r="A712" s="179"/>
      <c r="B712" s="180"/>
      <c r="C712" s="180"/>
      <c r="D712" s="179"/>
      <c r="E712" s="179"/>
      <c r="F712" s="179"/>
      <c r="G712" s="179"/>
      <c r="H712" s="181"/>
      <c r="I712" s="181"/>
      <c r="J712" s="181"/>
      <c r="K712" s="179"/>
      <c r="L712" s="179"/>
      <c r="M712" s="179"/>
      <c r="N712" s="181"/>
      <c r="O712" s="179"/>
      <c r="P712" s="179"/>
      <c r="Q712" s="179"/>
      <c r="R712" s="179"/>
      <c r="S712" s="179"/>
      <c r="T712" s="179"/>
      <c r="U712" s="179"/>
      <c r="V712" s="179"/>
      <c r="W712" s="192"/>
      <c r="X712" s="192"/>
      <c r="Y712" s="192"/>
      <c r="Z712" s="158"/>
      <c r="AA712" s="158"/>
      <c r="AB712" s="158"/>
      <c r="AC712" s="158"/>
      <c r="AD712" s="158"/>
      <c r="AE712" s="158"/>
      <c r="AF712" s="158"/>
      <c r="AG712" s="158"/>
      <c r="AH712" s="158"/>
    </row>
    <row r="713" spans="1:34" ht="15.75" customHeight="1">
      <c r="A713" s="179"/>
      <c r="B713" s="180"/>
      <c r="C713" s="180"/>
      <c r="D713" s="179"/>
      <c r="E713" s="179"/>
      <c r="F713" s="179"/>
      <c r="G713" s="179"/>
      <c r="H713" s="181"/>
      <c r="I713" s="181"/>
      <c r="J713" s="181"/>
      <c r="K713" s="179"/>
      <c r="L713" s="179"/>
      <c r="M713" s="179"/>
      <c r="N713" s="181"/>
      <c r="O713" s="179"/>
      <c r="P713" s="179"/>
      <c r="Q713" s="179"/>
      <c r="R713" s="179"/>
      <c r="S713" s="179"/>
      <c r="T713" s="179"/>
      <c r="U713" s="179"/>
      <c r="V713" s="179"/>
      <c r="W713" s="192"/>
      <c r="X713" s="192"/>
      <c r="Y713" s="192"/>
      <c r="Z713" s="158"/>
      <c r="AA713" s="158"/>
      <c r="AB713" s="158"/>
      <c r="AC713" s="158"/>
      <c r="AD713" s="158"/>
      <c r="AE713" s="158"/>
      <c r="AF713" s="158"/>
      <c r="AG713" s="158"/>
      <c r="AH713" s="158"/>
    </row>
    <row r="714" spans="1:34" ht="15.75" customHeight="1">
      <c r="A714" s="179"/>
      <c r="B714" s="180"/>
      <c r="C714" s="180"/>
      <c r="D714" s="179"/>
      <c r="E714" s="179"/>
      <c r="F714" s="179"/>
      <c r="G714" s="179"/>
      <c r="H714" s="181"/>
      <c r="I714" s="181"/>
      <c r="J714" s="181"/>
      <c r="K714" s="179"/>
      <c r="L714" s="179"/>
      <c r="M714" s="179"/>
      <c r="N714" s="181"/>
      <c r="O714" s="179"/>
      <c r="P714" s="179"/>
      <c r="Q714" s="179"/>
      <c r="R714" s="179"/>
      <c r="S714" s="179"/>
      <c r="T714" s="179"/>
      <c r="U714" s="179"/>
      <c r="V714" s="179"/>
      <c r="W714" s="192"/>
      <c r="X714" s="192"/>
      <c r="Y714" s="192"/>
      <c r="Z714" s="158"/>
      <c r="AA714" s="158"/>
      <c r="AB714" s="158"/>
      <c r="AC714" s="158"/>
      <c r="AD714" s="158"/>
      <c r="AE714" s="158"/>
      <c r="AF714" s="158"/>
      <c r="AG714" s="158"/>
      <c r="AH714" s="158"/>
    </row>
    <row r="715" spans="1:34" ht="15.75" customHeight="1">
      <c r="A715" s="179"/>
      <c r="B715" s="180"/>
      <c r="C715" s="180"/>
      <c r="D715" s="179"/>
      <c r="E715" s="179"/>
      <c r="F715" s="179"/>
      <c r="G715" s="179"/>
      <c r="H715" s="181"/>
      <c r="I715" s="181"/>
      <c r="J715" s="181"/>
      <c r="K715" s="179"/>
      <c r="L715" s="179"/>
      <c r="M715" s="179"/>
      <c r="N715" s="181"/>
      <c r="O715" s="179"/>
      <c r="P715" s="179"/>
      <c r="Q715" s="179"/>
      <c r="R715" s="179"/>
      <c r="S715" s="179"/>
      <c r="T715" s="179"/>
      <c r="U715" s="179"/>
      <c r="V715" s="179"/>
      <c r="W715" s="192"/>
      <c r="X715" s="192"/>
      <c r="Y715" s="192"/>
      <c r="Z715" s="158"/>
      <c r="AA715" s="158"/>
      <c r="AB715" s="158"/>
      <c r="AC715" s="158"/>
      <c r="AD715" s="158"/>
      <c r="AE715" s="158"/>
      <c r="AF715" s="158"/>
      <c r="AG715" s="158"/>
      <c r="AH715" s="158"/>
    </row>
    <row r="716" spans="1:34" ht="15.75" customHeight="1">
      <c r="A716" s="179"/>
      <c r="B716" s="180"/>
      <c r="C716" s="180"/>
      <c r="D716" s="179"/>
      <c r="E716" s="179"/>
      <c r="F716" s="179"/>
      <c r="G716" s="179"/>
      <c r="H716" s="181"/>
      <c r="I716" s="181"/>
      <c r="J716" s="181"/>
      <c r="K716" s="179"/>
      <c r="L716" s="179"/>
      <c r="M716" s="179"/>
      <c r="N716" s="181"/>
      <c r="O716" s="179"/>
      <c r="P716" s="179"/>
      <c r="Q716" s="179"/>
      <c r="R716" s="179"/>
      <c r="S716" s="179"/>
      <c r="T716" s="179"/>
      <c r="U716" s="179"/>
      <c r="V716" s="179"/>
      <c r="W716" s="192"/>
      <c r="X716" s="192"/>
      <c r="Y716" s="192"/>
      <c r="Z716" s="158"/>
      <c r="AA716" s="158"/>
      <c r="AB716" s="158"/>
      <c r="AC716" s="158"/>
      <c r="AD716" s="158"/>
      <c r="AE716" s="158"/>
      <c r="AF716" s="158"/>
      <c r="AG716" s="158"/>
      <c r="AH716" s="158"/>
    </row>
    <row r="717" spans="1:34" ht="15.75" customHeight="1">
      <c r="A717" s="179"/>
      <c r="B717" s="180"/>
      <c r="C717" s="180"/>
      <c r="D717" s="179"/>
      <c r="E717" s="179"/>
      <c r="F717" s="179"/>
      <c r="G717" s="179"/>
      <c r="H717" s="181"/>
      <c r="I717" s="181"/>
      <c r="J717" s="181"/>
      <c r="K717" s="179"/>
      <c r="L717" s="179"/>
      <c r="M717" s="179"/>
      <c r="N717" s="181"/>
      <c r="O717" s="179"/>
      <c r="P717" s="179"/>
      <c r="Q717" s="179"/>
      <c r="R717" s="179"/>
      <c r="S717" s="179"/>
      <c r="T717" s="179"/>
      <c r="U717" s="179"/>
      <c r="V717" s="179"/>
      <c r="W717" s="192"/>
      <c r="X717" s="192"/>
      <c r="Y717" s="192"/>
      <c r="Z717" s="158"/>
      <c r="AA717" s="158"/>
      <c r="AB717" s="158"/>
      <c r="AC717" s="158"/>
      <c r="AD717" s="158"/>
      <c r="AE717" s="158"/>
      <c r="AF717" s="158"/>
      <c r="AG717" s="158"/>
      <c r="AH717" s="158"/>
    </row>
    <row r="718" spans="1:34" ht="15.75" customHeight="1">
      <c r="A718" s="179"/>
      <c r="B718" s="180"/>
      <c r="C718" s="180"/>
      <c r="D718" s="179"/>
      <c r="E718" s="179"/>
      <c r="F718" s="179"/>
      <c r="G718" s="179"/>
      <c r="H718" s="181"/>
      <c r="I718" s="181"/>
      <c r="J718" s="181"/>
      <c r="K718" s="179"/>
      <c r="L718" s="179"/>
      <c r="M718" s="179"/>
      <c r="N718" s="181"/>
      <c r="O718" s="179"/>
      <c r="P718" s="179"/>
      <c r="Q718" s="179"/>
      <c r="R718" s="179"/>
      <c r="S718" s="179"/>
      <c r="T718" s="179"/>
      <c r="U718" s="179"/>
      <c r="V718" s="179"/>
      <c r="W718" s="192"/>
      <c r="X718" s="192"/>
      <c r="Y718" s="192"/>
      <c r="Z718" s="158"/>
      <c r="AA718" s="158"/>
      <c r="AB718" s="158"/>
      <c r="AC718" s="158"/>
      <c r="AD718" s="158"/>
      <c r="AE718" s="158"/>
      <c r="AF718" s="158"/>
      <c r="AG718" s="158"/>
      <c r="AH718" s="158"/>
    </row>
    <row r="719" spans="1:34" ht="15.75" customHeight="1">
      <c r="A719" s="179"/>
      <c r="B719" s="180"/>
      <c r="C719" s="180"/>
      <c r="D719" s="179"/>
      <c r="E719" s="179"/>
      <c r="F719" s="179"/>
      <c r="G719" s="179"/>
      <c r="H719" s="181"/>
      <c r="I719" s="181"/>
      <c r="J719" s="181"/>
      <c r="K719" s="179"/>
      <c r="L719" s="179"/>
      <c r="M719" s="179"/>
      <c r="N719" s="181"/>
      <c r="O719" s="179"/>
      <c r="P719" s="179"/>
      <c r="Q719" s="179"/>
      <c r="R719" s="179"/>
      <c r="S719" s="179"/>
      <c r="T719" s="179"/>
      <c r="U719" s="179"/>
      <c r="V719" s="179"/>
      <c r="W719" s="192"/>
      <c r="X719" s="192"/>
      <c r="Y719" s="192"/>
      <c r="Z719" s="158"/>
      <c r="AA719" s="158"/>
      <c r="AB719" s="158"/>
      <c r="AC719" s="158"/>
      <c r="AD719" s="158"/>
      <c r="AE719" s="158"/>
      <c r="AF719" s="158"/>
      <c r="AG719" s="158"/>
      <c r="AH719" s="158"/>
    </row>
    <row r="720" spans="1:34" ht="15.75" customHeight="1">
      <c r="A720" s="179"/>
      <c r="B720" s="180"/>
      <c r="C720" s="180"/>
      <c r="D720" s="179"/>
      <c r="E720" s="179"/>
      <c r="F720" s="179"/>
      <c r="G720" s="179"/>
      <c r="H720" s="181"/>
      <c r="I720" s="181"/>
      <c r="J720" s="181"/>
      <c r="K720" s="179"/>
      <c r="L720" s="179"/>
      <c r="M720" s="179"/>
      <c r="N720" s="181"/>
      <c r="O720" s="179"/>
      <c r="P720" s="179"/>
      <c r="Q720" s="179"/>
      <c r="R720" s="179"/>
      <c r="S720" s="179"/>
      <c r="T720" s="179"/>
      <c r="U720" s="179"/>
      <c r="V720" s="179"/>
      <c r="W720" s="192"/>
      <c r="X720" s="192"/>
      <c r="Y720" s="192"/>
      <c r="Z720" s="158"/>
      <c r="AA720" s="158"/>
      <c r="AB720" s="158"/>
      <c r="AC720" s="158"/>
      <c r="AD720" s="158"/>
      <c r="AE720" s="158"/>
      <c r="AF720" s="158"/>
      <c r="AG720" s="158"/>
      <c r="AH720" s="158"/>
    </row>
    <row r="721" spans="1:34" ht="15.75" customHeight="1">
      <c r="A721" s="179"/>
      <c r="B721" s="180"/>
      <c r="C721" s="180"/>
      <c r="D721" s="179"/>
      <c r="E721" s="179"/>
      <c r="F721" s="179"/>
      <c r="G721" s="179"/>
      <c r="H721" s="181"/>
      <c r="I721" s="181"/>
      <c r="J721" s="181"/>
      <c r="K721" s="179"/>
      <c r="L721" s="179"/>
      <c r="M721" s="179"/>
      <c r="N721" s="181"/>
      <c r="O721" s="179"/>
      <c r="P721" s="179"/>
      <c r="Q721" s="179"/>
      <c r="R721" s="179"/>
      <c r="S721" s="179"/>
      <c r="T721" s="179"/>
      <c r="U721" s="179"/>
      <c r="V721" s="179"/>
      <c r="W721" s="192"/>
      <c r="X721" s="192"/>
      <c r="Y721" s="192"/>
      <c r="Z721" s="158"/>
      <c r="AA721" s="158"/>
      <c r="AB721" s="158"/>
      <c r="AC721" s="158"/>
      <c r="AD721" s="158"/>
      <c r="AE721" s="158"/>
      <c r="AF721" s="158"/>
      <c r="AG721" s="158"/>
      <c r="AH721" s="158"/>
    </row>
    <row r="722" spans="1:34" ht="15.75" customHeight="1">
      <c r="A722" s="179"/>
      <c r="B722" s="180"/>
      <c r="C722" s="180"/>
      <c r="D722" s="179"/>
      <c r="E722" s="179"/>
      <c r="F722" s="179"/>
      <c r="G722" s="179"/>
      <c r="H722" s="181"/>
      <c r="I722" s="181"/>
      <c r="J722" s="181"/>
      <c r="K722" s="179"/>
      <c r="L722" s="179"/>
      <c r="M722" s="179"/>
      <c r="N722" s="181"/>
      <c r="O722" s="179"/>
      <c r="P722" s="179"/>
      <c r="Q722" s="179"/>
      <c r="R722" s="179"/>
      <c r="S722" s="179"/>
      <c r="T722" s="179"/>
      <c r="U722" s="179"/>
      <c r="V722" s="179"/>
      <c r="W722" s="192"/>
      <c r="X722" s="192"/>
      <c r="Y722" s="192"/>
      <c r="Z722" s="158"/>
      <c r="AA722" s="158"/>
      <c r="AB722" s="158"/>
      <c r="AC722" s="158"/>
      <c r="AD722" s="158"/>
      <c r="AE722" s="158"/>
      <c r="AF722" s="158"/>
      <c r="AG722" s="158"/>
      <c r="AH722" s="158"/>
    </row>
    <row r="723" spans="1:34" ht="15.75" customHeight="1">
      <c r="A723" s="179"/>
      <c r="B723" s="180"/>
      <c r="C723" s="180"/>
      <c r="D723" s="179"/>
      <c r="E723" s="179"/>
      <c r="F723" s="179"/>
      <c r="G723" s="179"/>
      <c r="H723" s="181"/>
      <c r="I723" s="181"/>
      <c r="J723" s="181"/>
      <c r="K723" s="179"/>
      <c r="L723" s="179"/>
      <c r="M723" s="179"/>
      <c r="N723" s="181"/>
      <c r="O723" s="179"/>
      <c r="P723" s="179"/>
      <c r="Q723" s="179"/>
      <c r="R723" s="179"/>
      <c r="S723" s="179"/>
      <c r="T723" s="179"/>
      <c r="U723" s="179"/>
      <c r="V723" s="179"/>
      <c r="W723" s="192"/>
      <c r="X723" s="192"/>
      <c r="Y723" s="192"/>
      <c r="Z723" s="158"/>
      <c r="AA723" s="158"/>
      <c r="AB723" s="158"/>
      <c r="AC723" s="158"/>
      <c r="AD723" s="158"/>
      <c r="AE723" s="158"/>
      <c r="AF723" s="158"/>
      <c r="AG723" s="158"/>
      <c r="AH723" s="158"/>
    </row>
    <row r="724" spans="1:34" ht="15.75" customHeight="1">
      <c r="A724" s="179"/>
      <c r="B724" s="180"/>
      <c r="C724" s="180"/>
      <c r="D724" s="179"/>
      <c r="E724" s="179"/>
      <c r="F724" s="179"/>
      <c r="G724" s="179"/>
      <c r="H724" s="181"/>
      <c r="I724" s="181"/>
      <c r="J724" s="181"/>
      <c r="K724" s="179"/>
      <c r="L724" s="179"/>
      <c r="M724" s="179"/>
      <c r="N724" s="181"/>
      <c r="O724" s="179"/>
      <c r="P724" s="179"/>
      <c r="Q724" s="179"/>
      <c r="R724" s="179"/>
      <c r="S724" s="179"/>
      <c r="T724" s="179"/>
      <c r="U724" s="179"/>
      <c r="V724" s="179"/>
      <c r="W724" s="192"/>
      <c r="X724" s="192"/>
      <c r="Y724" s="192"/>
      <c r="Z724" s="158"/>
      <c r="AA724" s="158"/>
      <c r="AB724" s="158"/>
      <c r="AC724" s="158"/>
      <c r="AD724" s="158"/>
      <c r="AE724" s="158"/>
      <c r="AF724" s="158"/>
      <c r="AG724" s="158"/>
      <c r="AH724" s="158"/>
    </row>
    <row r="725" spans="1:34" ht="15.75" customHeight="1">
      <c r="A725" s="179"/>
      <c r="B725" s="180"/>
      <c r="C725" s="180"/>
      <c r="D725" s="179"/>
      <c r="E725" s="179"/>
      <c r="F725" s="179"/>
      <c r="G725" s="179"/>
      <c r="H725" s="181"/>
      <c r="I725" s="181"/>
      <c r="J725" s="181"/>
      <c r="K725" s="179"/>
      <c r="L725" s="179"/>
      <c r="M725" s="179"/>
      <c r="N725" s="181"/>
      <c r="O725" s="179"/>
      <c r="P725" s="179"/>
      <c r="Q725" s="179"/>
      <c r="R725" s="179"/>
      <c r="S725" s="179"/>
      <c r="T725" s="179"/>
      <c r="U725" s="179"/>
      <c r="V725" s="179"/>
      <c r="W725" s="192"/>
      <c r="X725" s="192"/>
      <c r="Y725" s="192"/>
      <c r="Z725" s="158"/>
      <c r="AA725" s="158"/>
      <c r="AB725" s="158"/>
      <c r="AC725" s="158"/>
      <c r="AD725" s="158"/>
      <c r="AE725" s="158"/>
      <c r="AF725" s="158"/>
      <c r="AG725" s="158"/>
      <c r="AH725" s="158"/>
    </row>
    <row r="726" spans="1:34" ht="15.75" customHeight="1">
      <c r="A726" s="179"/>
      <c r="B726" s="180"/>
      <c r="C726" s="180"/>
      <c r="D726" s="179"/>
      <c r="E726" s="179"/>
      <c r="F726" s="179"/>
      <c r="G726" s="179"/>
      <c r="H726" s="181"/>
      <c r="I726" s="181"/>
      <c r="J726" s="181"/>
      <c r="K726" s="179"/>
      <c r="L726" s="179"/>
      <c r="M726" s="179"/>
      <c r="N726" s="181"/>
      <c r="O726" s="179"/>
      <c r="P726" s="179"/>
      <c r="Q726" s="179"/>
      <c r="R726" s="179"/>
      <c r="S726" s="179"/>
      <c r="T726" s="179"/>
      <c r="U726" s="179"/>
      <c r="V726" s="179"/>
      <c r="W726" s="192"/>
      <c r="X726" s="192"/>
      <c r="Y726" s="192"/>
      <c r="Z726" s="158"/>
      <c r="AA726" s="158"/>
      <c r="AB726" s="158"/>
      <c r="AC726" s="158"/>
      <c r="AD726" s="158"/>
      <c r="AE726" s="158"/>
      <c r="AF726" s="158"/>
      <c r="AG726" s="158"/>
      <c r="AH726" s="158"/>
    </row>
    <row r="727" spans="1:34" ht="15.75" customHeight="1">
      <c r="A727" s="179"/>
      <c r="B727" s="180"/>
      <c r="C727" s="180"/>
      <c r="D727" s="179"/>
      <c r="E727" s="179"/>
      <c r="F727" s="179"/>
      <c r="G727" s="179"/>
      <c r="H727" s="181"/>
      <c r="I727" s="181"/>
      <c r="J727" s="181"/>
      <c r="K727" s="179"/>
      <c r="L727" s="179"/>
      <c r="M727" s="179"/>
      <c r="N727" s="181"/>
      <c r="O727" s="179"/>
      <c r="P727" s="179"/>
      <c r="Q727" s="179"/>
      <c r="R727" s="179"/>
      <c r="S727" s="179"/>
      <c r="T727" s="179"/>
      <c r="U727" s="179"/>
      <c r="V727" s="179"/>
      <c r="W727" s="192"/>
      <c r="X727" s="192"/>
      <c r="Y727" s="192"/>
      <c r="Z727" s="158"/>
      <c r="AA727" s="158"/>
      <c r="AB727" s="158"/>
      <c r="AC727" s="158"/>
      <c r="AD727" s="158"/>
      <c r="AE727" s="158"/>
      <c r="AF727" s="158"/>
      <c r="AG727" s="158"/>
      <c r="AH727" s="158"/>
    </row>
    <row r="728" spans="1:34" ht="15.75" customHeight="1">
      <c r="A728" s="179"/>
      <c r="B728" s="180"/>
      <c r="C728" s="180"/>
      <c r="D728" s="179"/>
      <c r="E728" s="179"/>
      <c r="F728" s="179"/>
      <c r="G728" s="179"/>
      <c r="H728" s="181"/>
      <c r="I728" s="181"/>
      <c r="J728" s="181"/>
      <c r="K728" s="179"/>
      <c r="L728" s="179"/>
      <c r="M728" s="179"/>
      <c r="N728" s="181"/>
      <c r="O728" s="179"/>
      <c r="P728" s="179"/>
      <c r="Q728" s="179"/>
      <c r="R728" s="179"/>
      <c r="S728" s="179"/>
      <c r="T728" s="179"/>
      <c r="U728" s="179"/>
      <c r="V728" s="179"/>
      <c r="W728" s="192"/>
      <c r="X728" s="192"/>
      <c r="Y728" s="192"/>
      <c r="Z728" s="158"/>
      <c r="AA728" s="158"/>
      <c r="AB728" s="158"/>
      <c r="AC728" s="158"/>
      <c r="AD728" s="158"/>
      <c r="AE728" s="158"/>
      <c r="AF728" s="158"/>
      <c r="AG728" s="158"/>
      <c r="AH728" s="158"/>
    </row>
    <row r="729" spans="1:34" ht="15.75" customHeight="1">
      <c r="A729" s="179"/>
      <c r="B729" s="180"/>
      <c r="C729" s="180"/>
      <c r="D729" s="179"/>
      <c r="E729" s="179"/>
      <c r="F729" s="179"/>
      <c r="G729" s="179"/>
      <c r="H729" s="181"/>
      <c r="I729" s="181"/>
      <c r="J729" s="181"/>
      <c r="K729" s="179"/>
      <c r="L729" s="179"/>
      <c r="M729" s="179"/>
      <c r="N729" s="181"/>
      <c r="O729" s="179"/>
      <c r="P729" s="179"/>
      <c r="Q729" s="179"/>
      <c r="R729" s="179"/>
      <c r="S729" s="179"/>
      <c r="T729" s="179"/>
      <c r="U729" s="179"/>
      <c r="V729" s="179"/>
      <c r="W729" s="192"/>
      <c r="X729" s="192"/>
      <c r="Y729" s="192"/>
      <c r="Z729" s="158"/>
      <c r="AA729" s="158"/>
      <c r="AB729" s="158"/>
      <c r="AC729" s="158"/>
      <c r="AD729" s="158"/>
      <c r="AE729" s="158"/>
      <c r="AF729" s="158"/>
      <c r="AG729" s="158"/>
      <c r="AH729" s="158"/>
    </row>
    <row r="730" spans="1:34" ht="15.75" customHeight="1">
      <c r="A730" s="179"/>
      <c r="B730" s="180"/>
      <c r="C730" s="180"/>
      <c r="D730" s="179"/>
      <c r="E730" s="179"/>
      <c r="F730" s="179"/>
      <c r="G730" s="179"/>
      <c r="H730" s="181"/>
      <c r="I730" s="181"/>
      <c r="J730" s="181"/>
      <c r="K730" s="179"/>
      <c r="L730" s="179"/>
      <c r="M730" s="179"/>
      <c r="N730" s="181"/>
      <c r="O730" s="179"/>
      <c r="P730" s="179"/>
      <c r="Q730" s="179"/>
      <c r="R730" s="179"/>
      <c r="S730" s="179"/>
      <c r="T730" s="179"/>
      <c r="U730" s="179"/>
      <c r="V730" s="179"/>
      <c r="W730" s="192"/>
      <c r="X730" s="192"/>
      <c r="Y730" s="192"/>
      <c r="Z730" s="158"/>
      <c r="AA730" s="158"/>
      <c r="AB730" s="158"/>
      <c r="AC730" s="158"/>
      <c r="AD730" s="158"/>
      <c r="AE730" s="158"/>
      <c r="AF730" s="158"/>
      <c r="AG730" s="158"/>
      <c r="AH730" s="158"/>
    </row>
    <row r="731" spans="1:34" ht="15.75" customHeight="1">
      <c r="A731" s="179"/>
      <c r="B731" s="180"/>
      <c r="C731" s="180"/>
      <c r="D731" s="179"/>
      <c r="E731" s="179"/>
      <c r="F731" s="179"/>
      <c r="G731" s="179"/>
      <c r="H731" s="181"/>
      <c r="I731" s="181"/>
      <c r="J731" s="181"/>
      <c r="K731" s="179"/>
      <c r="L731" s="179"/>
      <c r="M731" s="179"/>
      <c r="N731" s="181"/>
      <c r="O731" s="179"/>
      <c r="P731" s="179"/>
      <c r="Q731" s="179"/>
      <c r="R731" s="179"/>
      <c r="S731" s="179"/>
      <c r="T731" s="179"/>
      <c r="U731" s="179"/>
      <c r="V731" s="179"/>
      <c r="W731" s="192"/>
      <c r="X731" s="192"/>
      <c r="Y731" s="192"/>
      <c r="Z731" s="158"/>
      <c r="AA731" s="158"/>
      <c r="AB731" s="158"/>
      <c r="AC731" s="158"/>
      <c r="AD731" s="158"/>
      <c r="AE731" s="158"/>
      <c r="AF731" s="158"/>
      <c r="AG731" s="158"/>
      <c r="AH731" s="158"/>
    </row>
    <row r="732" spans="1:34" ht="15.75" customHeight="1">
      <c r="A732" s="179"/>
      <c r="B732" s="180"/>
      <c r="C732" s="180"/>
      <c r="D732" s="179"/>
      <c r="E732" s="179"/>
      <c r="F732" s="179"/>
      <c r="G732" s="179"/>
      <c r="H732" s="181"/>
      <c r="I732" s="181"/>
      <c r="J732" s="181"/>
      <c r="K732" s="179"/>
      <c r="L732" s="179"/>
      <c r="M732" s="179"/>
      <c r="N732" s="181"/>
      <c r="O732" s="179"/>
      <c r="P732" s="179"/>
      <c r="Q732" s="179"/>
      <c r="R732" s="179"/>
      <c r="S732" s="179"/>
      <c r="T732" s="179"/>
      <c r="U732" s="179"/>
      <c r="V732" s="179"/>
      <c r="W732" s="192"/>
      <c r="X732" s="192"/>
      <c r="Y732" s="192"/>
      <c r="Z732" s="158"/>
      <c r="AA732" s="158"/>
      <c r="AB732" s="158"/>
      <c r="AC732" s="158"/>
      <c r="AD732" s="158"/>
      <c r="AE732" s="158"/>
      <c r="AF732" s="158"/>
      <c r="AG732" s="158"/>
      <c r="AH732" s="158"/>
    </row>
    <row r="733" spans="1:34" ht="15.75" customHeight="1">
      <c r="A733" s="179"/>
      <c r="B733" s="180"/>
      <c r="C733" s="180"/>
      <c r="D733" s="179"/>
      <c r="E733" s="179"/>
      <c r="F733" s="179"/>
      <c r="G733" s="179"/>
      <c r="H733" s="181"/>
      <c r="I733" s="181"/>
      <c r="J733" s="181"/>
      <c r="K733" s="179"/>
      <c r="L733" s="179"/>
      <c r="M733" s="179"/>
      <c r="N733" s="181"/>
      <c r="O733" s="179"/>
      <c r="P733" s="179"/>
      <c r="Q733" s="179"/>
      <c r="R733" s="179"/>
      <c r="S733" s="179"/>
      <c r="T733" s="179"/>
      <c r="U733" s="179"/>
      <c r="V733" s="179"/>
      <c r="W733" s="192"/>
      <c r="X733" s="192"/>
      <c r="Y733" s="192"/>
      <c r="Z733" s="158"/>
      <c r="AA733" s="158"/>
      <c r="AB733" s="158"/>
      <c r="AC733" s="158"/>
      <c r="AD733" s="158"/>
      <c r="AE733" s="158"/>
      <c r="AF733" s="158"/>
      <c r="AG733" s="158"/>
      <c r="AH733" s="158"/>
    </row>
    <row r="734" spans="1:34" ht="15.75" customHeight="1">
      <c r="A734" s="179"/>
      <c r="B734" s="180"/>
      <c r="C734" s="180"/>
      <c r="D734" s="179"/>
      <c r="E734" s="179"/>
      <c r="F734" s="179"/>
      <c r="G734" s="179"/>
      <c r="H734" s="181"/>
      <c r="I734" s="181"/>
      <c r="J734" s="181"/>
      <c r="K734" s="179"/>
      <c r="L734" s="179"/>
      <c r="M734" s="179"/>
      <c r="N734" s="181"/>
      <c r="O734" s="179"/>
      <c r="P734" s="179"/>
      <c r="Q734" s="179"/>
      <c r="R734" s="179"/>
      <c r="S734" s="179"/>
      <c r="T734" s="179"/>
      <c r="U734" s="179"/>
      <c r="V734" s="179"/>
      <c r="W734" s="192"/>
      <c r="X734" s="192"/>
      <c r="Y734" s="192"/>
      <c r="Z734" s="158"/>
      <c r="AA734" s="158"/>
      <c r="AB734" s="158"/>
      <c r="AC734" s="158"/>
      <c r="AD734" s="158"/>
      <c r="AE734" s="158"/>
      <c r="AF734" s="158"/>
      <c r="AG734" s="158"/>
      <c r="AH734" s="158"/>
    </row>
    <row r="735" spans="1:34" ht="15.75" customHeight="1">
      <c r="A735" s="179"/>
      <c r="B735" s="180"/>
      <c r="C735" s="180"/>
      <c r="D735" s="179"/>
      <c r="E735" s="179"/>
      <c r="F735" s="179"/>
      <c r="G735" s="179"/>
      <c r="H735" s="181"/>
      <c r="I735" s="181"/>
      <c r="J735" s="181"/>
      <c r="K735" s="179"/>
      <c r="L735" s="179"/>
      <c r="M735" s="179"/>
      <c r="N735" s="181"/>
      <c r="O735" s="179"/>
      <c r="P735" s="179"/>
      <c r="Q735" s="179"/>
      <c r="R735" s="179"/>
      <c r="S735" s="179"/>
      <c r="T735" s="179"/>
      <c r="U735" s="179"/>
      <c r="V735" s="179"/>
      <c r="W735" s="192"/>
      <c r="X735" s="192"/>
      <c r="Y735" s="192"/>
      <c r="Z735" s="158"/>
      <c r="AA735" s="158"/>
      <c r="AB735" s="158"/>
      <c r="AC735" s="158"/>
      <c r="AD735" s="158"/>
      <c r="AE735" s="158"/>
      <c r="AF735" s="158"/>
      <c r="AG735" s="158"/>
      <c r="AH735" s="158"/>
    </row>
    <row r="736" spans="1:34" ht="15.75" customHeight="1">
      <c r="A736" s="179"/>
      <c r="B736" s="180"/>
      <c r="C736" s="180"/>
      <c r="D736" s="179"/>
      <c r="E736" s="179"/>
      <c r="F736" s="179"/>
      <c r="G736" s="179"/>
      <c r="H736" s="181"/>
      <c r="I736" s="181"/>
      <c r="J736" s="181"/>
      <c r="K736" s="179"/>
      <c r="L736" s="179"/>
      <c r="M736" s="179"/>
      <c r="N736" s="181"/>
      <c r="O736" s="179"/>
      <c r="P736" s="179"/>
      <c r="Q736" s="179"/>
      <c r="R736" s="179"/>
      <c r="S736" s="179"/>
      <c r="T736" s="179"/>
      <c r="U736" s="179"/>
      <c r="V736" s="179"/>
      <c r="W736" s="192"/>
      <c r="X736" s="192"/>
      <c r="Y736" s="192"/>
      <c r="Z736" s="158"/>
      <c r="AA736" s="158"/>
      <c r="AB736" s="158"/>
      <c r="AC736" s="158"/>
      <c r="AD736" s="158"/>
      <c r="AE736" s="158"/>
      <c r="AF736" s="158"/>
      <c r="AG736" s="158"/>
      <c r="AH736" s="158"/>
    </row>
    <row r="737" spans="1:34" ht="15.75" customHeight="1">
      <c r="A737" s="179"/>
      <c r="B737" s="180"/>
      <c r="C737" s="180"/>
      <c r="D737" s="179"/>
      <c r="E737" s="179"/>
      <c r="F737" s="179"/>
      <c r="G737" s="179"/>
      <c r="H737" s="181"/>
      <c r="I737" s="181"/>
      <c r="J737" s="181"/>
      <c r="K737" s="179"/>
      <c r="L737" s="179"/>
      <c r="M737" s="179"/>
      <c r="N737" s="181"/>
      <c r="O737" s="179"/>
      <c r="P737" s="179"/>
      <c r="Q737" s="179"/>
      <c r="R737" s="179"/>
      <c r="S737" s="179"/>
      <c r="T737" s="179"/>
      <c r="U737" s="179"/>
      <c r="V737" s="179"/>
      <c r="W737" s="192"/>
      <c r="X737" s="192"/>
      <c r="Y737" s="192"/>
      <c r="Z737" s="158"/>
      <c r="AA737" s="158"/>
      <c r="AB737" s="158"/>
      <c r="AC737" s="158"/>
      <c r="AD737" s="158"/>
      <c r="AE737" s="158"/>
      <c r="AF737" s="158"/>
      <c r="AG737" s="158"/>
      <c r="AH737" s="158"/>
    </row>
    <row r="738" spans="1:34" ht="15.75" customHeight="1">
      <c r="A738" s="179"/>
      <c r="B738" s="180"/>
      <c r="C738" s="180"/>
      <c r="D738" s="179"/>
      <c r="E738" s="179"/>
      <c r="F738" s="179"/>
      <c r="G738" s="179"/>
      <c r="H738" s="181"/>
      <c r="I738" s="181"/>
      <c r="J738" s="181"/>
      <c r="K738" s="179"/>
      <c r="L738" s="179"/>
      <c r="M738" s="179"/>
      <c r="N738" s="181"/>
      <c r="O738" s="179"/>
      <c r="P738" s="179"/>
      <c r="Q738" s="179"/>
      <c r="R738" s="179"/>
      <c r="S738" s="179"/>
      <c r="T738" s="179"/>
      <c r="U738" s="179"/>
      <c r="V738" s="179"/>
      <c r="W738" s="192"/>
      <c r="X738" s="192"/>
      <c r="Y738" s="192"/>
      <c r="Z738" s="158"/>
      <c r="AA738" s="158"/>
      <c r="AB738" s="158"/>
      <c r="AC738" s="158"/>
      <c r="AD738" s="158"/>
      <c r="AE738" s="158"/>
      <c r="AF738" s="158"/>
      <c r="AG738" s="158"/>
      <c r="AH738" s="158"/>
    </row>
    <row r="739" spans="1:34" ht="15.75" customHeight="1">
      <c r="A739" s="179"/>
      <c r="B739" s="180"/>
      <c r="C739" s="180"/>
      <c r="D739" s="179"/>
      <c r="E739" s="179"/>
      <c r="F739" s="179"/>
      <c r="G739" s="179"/>
      <c r="H739" s="181"/>
      <c r="I739" s="181"/>
      <c r="J739" s="181"/>
      <c r="K739" s="179"/>
      <c r="L739" s="179"/>
      <c r="M739" s="179"/>
      <c r="N739" s="181"/>
      <c r="O739" s="179"/>
      <c r="P739" s="179"/>
      <c r="Q739" s="179"/>
      <c r="R739" s="179"/>
      <c r="S739" s="179"/>
      <c r="T739" s="179"/>
      <c r="U739" s="179"/>
      <c r="V739" s="179"/>
      <c r="W739" s="192"/>
      <c r="X739" s="192"/>
      <c r="Y739" s="192"/>
      <c r="Z739" s="158"/>
      <c r="AA739" s="158"/>
      <c r="AB739" s="158"/>
      <c r="AC739" s="158"/>
      <c r="AD739" s="158"/>
      <c r="AE739" s="158"/>
      <c r="AF739" s="158"/>
      <c r="AG739" s="158"/>
      <c r="AH739" s="158"/>
    </row>
    <row r="740" spans="1:34" ht="15.75" customHeight="1">
      <c r="A740" s="179"/>
      <c r="B740" s="180"/>
      <c r="C740" s="180"/>
      <c r="D740" s="179"/>
      <c r="E740" s="179"/>
      <c r="F740" s="179"/>
      <c r="G740" s="179"/>
      <c r="H740" s="181"/>
      <c r="I740" s="181"/>
      <c r="J740" s="181"/>
      <c r="K740" s="179"/>
      <c r="L740" s="179"/>
      <c r="M740" s="179"/>
      <c r="N740" s="181"/>
      <c r="O740" s="179"/>
      <c r="P740" s="179"/>
      <c r="Q740" s="179"/>
      <c r="R740" s="179"/>
      <c r="S740" s="179"/>
      <c r="T740" s="179"/>
      <c r="U740" s="179"/>
      <c r="V740" s="179"/>
      <c r="W740" s="192"/>
      <c r="X740" s="192"/>
      <c r="Y740" s="192"/>
      <c r="Z740" s="158"/>
      <c r="AA740" s="158"/>
      <c r="AB740" s="158"/>
      <c r="AC740" s="158"/>
      <c r="AD740" s="158"/>
      <c r="AE740" s="158"/>
      <c r="AF740" s="158"/>
      <c r="AG740" s="158"/>
      <c r="AH740" s="158"/>
    </row>
    <row r="741" spans="1:34" ht="15.75" customHeight="1">
      <c r="A741" s="179"/>
      <c r="B741" s="180"/>
      <c r="C741" s="180"/>
      <c r="D741" s="179"/>
      <c r="E741" s="179"/>
      <c r="F741" s="179"/>
      <c r="G741" s="179"/>
      <c r="H741" s="181"/>
      <c r="I741" s="181"/>
      <c r="J741" s="181"/>
      <c r="K741" s="179"/>
      <c r="L741" s="179"/>
      <c r="M741" s="179"/>
      <c r="N741" s="181"/>
      <c r="O741" s="179"/>
      <c r="P741" s="179"/>
      <c r="Q741" s="179"/>
      <c r="R741" s="179"/>
      <c r="S741" s="179"/>
      <c r="T741" s="179"/>
      <c r="U741" s="179"/>
      <c r="V741" s="179"/>
      <c r="W741" s="192"/>
      <c r="X741" s="192"/>
      <c r="Y741" s="192"/>
      <c r="Z741" s="158"/>
      <c r="AA741" s="158"/>
      <c r="AB741" s="158"/>
      <c r="AC741" s="158"/>
      <c r="AD741" s="158"/>
      <c r="AE741" s="158"/>
      <c r="AF741" s="158"/>
      <c r="AG741" s="158"/>
      <c r="AH741" s="158"/>
    </row>
    <row r="742" spans="1:34" ht="15.75" customHeight="1">
      <c r="A742" s="179"/>
      <c r="B742" s="180"/>
      <c r="C742" s="180"/>
      <c r="D742" s="179"/>
      <c r="E742" s="179"/>
      <c r="F742" s="179"/>
      <c r="G742" s="179"/>
      <c r="H742" s="181"/>
      <c r="I742" s="181"/>
      <c r="J742" s="181"/>
      <c r="K742" s="179"/>
      <c r="L742" s="179"/>
      <c r="M742" s="179"/>
      <c r="N742" s="181"/>
      <c r="O742" s="179"/>
      <c r="P742" s="179"/>
      <c r="Q742" s="179"/>
      <c r="R742" s="179"/>
      <c r="S742" s="179"/>
      <c r="T742" s="179"/>
      <c r="U742" s="179"/>
      <c r="V742" s="179"/>
      <c r="W742" s="192"/>
      <c r="X742" s="192"/>
      <c r="Y742" s="192"/>
      <c r="Z742" s="158"/>
      <c r="AA742" s="158"/>
      <c r="AB742" s="158"/>
      <c r="AC742" s="158"/>
      <c r="AD742" s="158"/>
      <c r="AE742" s="158"/>
      <c r="AF742" s="158"/>
      <c r="AG742" s="158"/>
      <c r="AH742" s="158"/>
    </row>
    <row r="743" spans="1:34" ht="15.75" customHeight="1">
      <c r="A743" s="179"/>
      <c r="B743" s="180"/>
      <c r="C743" s="180"/>
      <c r="D743" s="179"/>
      <c r="E743" s="179"/>
      <c r="F743" s="179"/>
      <c r="G743" s="179"/>
      <c r="H743" s="181"/>
      <c r="I743" s="181"/>
      <c r="J743" s="181"/>
      <c r="K743" s="179"/>
      <c r="L743" s="179"/>
      <c r="M743" s="179"/>
      <c r="N743" s="181"/>
      <c r="O743" s="179"/>
      <c r="P743" s="179"/>
      <c r="Q743" s="179"/>
      <c r="R743" s="179"/>
      <c r="S743" s="179"/>
      <c r="T743" s="179"/>
      <c r="U743" s="179"/>
      <c r="V743" s="179"/>
      <c r="W743" s="192"/>
      <c r="X743" s="192"/>
      <c r="Y743" s="192"/>
      <c r="Z743" s="158"/>
      <c r="AA743" s="158"/>
      <c r="AB743" s="158"/>
      <c r="AC743" s="158"/>
      <c r="AD743" s="158"/>
      <c r="AE743" s="158"/>
      <c r="AF743" s="158"/>
      <c r="AG743" s="158"/>
      <c r="AH743" s="158"/>
    </row>
    <row r="744" spans="1:34" ht="15.75" customHeight="1">
      <c r="A744" s="179"/>
      <c r="B744" s="180"/>
      <c r="C744" s="180"/>
      <c r="D744" s="179"/>
      <c r="E744" s="179"/>
      <c r="F744" s="179"/>
      <c r="G744" s="179"/>
      <c r="H744" s="181"/>
      <c r="I744" s="181"/>
      <c r="J744" s="181"/>
      <c r="K744" s="179"/>
      <c r="L744" s="179"/>
      <c r="M744" s="179"/>
      <c r="N744" s="181"/>
      <c r="O744" s="179"/>
      <c r="P744" s="179"/>
      <c r="Q744" s="179"/>
      <c r="R744" s="179"/>
      <c r="S744" s="179"/>
      <c r="T744" s="179"/>
      <c r="U744" s="179"/>
      <c r="V744" s="179"/>
      <c r="W744" s="192"/>
      <c r="X744" s="192"/>
      <c r="Y744" s="192"/>
      <c r="Z744" s="158"/>
      <c r="AA744" s="158"/>
      <c r="AB744" s="158"/>
      <c r="AC744" s="158"/>
      <c r="AD744" s="158"/>
      <c r="AE744" s="158"/>
      <c r="AF744" s="158"/>
      <c r="AG744" s="158"/>
      <c r="AH744" s="158"/>
    </row>
    <row r="745" spans="1:34" ht="15.75" customHeight="1">
      <c r="A745" s="179"/>
      <c r="B745" s="180"/>
      <c r="C745" s="180"/>
      <c r="D745" s="179"/>
      <c r="E745" s="179"/>
      <c r="F745" s="179"/>
      <c r="G745" s="179"/>
      <c r="H745" s="181"/>
      <c r="I745" s="181"/>
      <c r="J745" s="181"/>
      <c r="K745" s="179"/>
      <c r="L745" s="179"/>
      <c r="M745" s="179"/>
      <c r="N745" s="181"/>
      <c r="O745" s="179"/>
      <c r="P745" s="179"/>
      <c r="Q745" s="179"/>
      <c r="R745" s="179"/>
      <c r="S745" s="179"/>
      <c r="T745" s="179"/>
      <c r="U745" s="179"/>
      <c r="V745" s="179"/>
      <c r="W745" s="192"/>
      <c r="X745" s="192"/>
      <c r="Y745" s="192"/>
      <c r="Z745" s="158"/>
      <c r="AA745" s="158"/>
      <c r="AB745" s="158"/>
      <c r="AC745" s="158"/>
      <c r="AD745" s="158"/>
      <c r="AE745" s="158"/>
      <c r="AF745" s="158"/>
      <c r="AG745" s="158"/>
      <c r="AH745" s="158"/>
    </row>
    <row r="746" spans="1:34" ht="15.75" customHeight="1">
      <c r="A746" s="179"/>
      <c r="B746" s="180"/>
      <c r="C746" s="180"/>
      <c r="D746" s="179"/>
      <c r="E746" s="179"/>
      <c r="F746" s="179"/>
      <c r="G746" s="179"/>
      <c r="H746" s="181"/>
      <c r="I746" s="181"/>
      <c r="J746" s="181"/>
      <c r="K746" s="179"/>
      <c r="L746" s="179"/>
      <c r="M746" s="179"/>
      <c r="N746" s="181"/>
      <c r="O746" s="179"/>
      <c r="P746" s="179"/>
      <c r="Q746" s="179"/>
      <c r="R746" s="179"/>
      <c r="S746" s="179"/>
      <c r="T746" s="179"/>
      <c r="U746" s="179"/>
      <c r="V746" s="179"/>
      <c r="W746" s="192"/>
      <c r="X746" s="192"/>
      <c r="Y746" s="192"/>
      <c r="Z746" s="158"/>
      <c r="AA746" s="158"/>
      <c r="AB746" s="158"/>
      <c r="AC746" s="158"/>
      <c r="AD746" s="158"/>
      <c r="AE746" s="158"/>
      <c r="AF746" s="158"/>
      <c r="AG746" s="158"/>
      <c r="AH746" s="158"/>
    </row>
    <row r="747" spans="1:34" ht="15.75" customHeight="1">
      <c r="A747" s="179"/>
      <c r="B747" s="180"/>
      <c r="C747" s="180"/>
      <c r="D747" s="179"/>
      <c r="E747" s="179"/>
      <c r="F747" s="179"/>
      <c r="G747" s="179"/>
      <c r="H747" s="181"/>
      <c r="I747" s="181"/>
      <c r="J747" s="181"/>
      <c r="K747" s="179"/>
      <c r="L747" s="179"/>
      <c r="M747" s="179"/>
      <c r="N747" s="181"/>
      <c r="O747" s="179"/>
      <c r="P747" s="179"/>
      <c r="Q747" s="179"/>
      <c r="R747" s="179"/>
      <c r="S747" s="179"/>
      <c r="T747" s="179"/>
      <c r="U747" s="179"/>
      <c r="V747" s="179"/>
      <c r="W747" s="192"/>
      <c r="X747" s="192"/>
      <c r="Y747" s="192"/>
      <c r="Z747" s="158"/>
      <c r="AA747" s="158"/>
      <c r="AB747" s="158"/>
      <c r="AC747" s="158"/>
      <c r="AD747" s="158"/>
      <c r="AE747" s="158"/>
      <c r="AF747" s="158"/>
      <c r="AG747" s="158"/>
      <c r="AH747" s="158"/>
    </row>
    <row r="748" spans="1:34" ht="15.75" customHeight="1">
      <c r="A748" s="179"/>
      <c r="B748" s="180"/>
      <c r="C748" s="180"/>
      <c r="D748" s="179"/>
      <c r="E748" s="179"/>
      <c r="F748" s="179"/>
      <c r="G748" s="179"/>
      <c r="H748" s="181"/>
      <c r="I748" s="181"/>
      <c r="J748" s="181"/>
      <c r="K748" s="179"/>
      <c r="L748" s="179"/>
      <c r="M748" s="179"/>
      <c r="N748" s="181"/>
      <c r="O748" s="179"/>
      <c r="P748" s="179"/>
      <c r="Q748" s="179"/>
      <c r="R748" s="179"/>
      <c r="S748" s="179"/>
      <c r="T748" s="179"/>
      <c r="U748" s="179"/>
      <c r="V748" s="179"/>
      <c r="W748" s="192"/>
      <c r="X748" s="192"/>
      <c r="Y748" s="192"/>
      <c r="Z748" s="158"/>
      <c r="AA748" s="158"/>
      <c r="AB748" s="158"/>
      <c r="AC748" s="158"/>
      <c r="AD748" s="158"/>
      <c r="AE748" s="158"/>
      <c r="AF748" s="158"/>
      <c r="AG748" s="158"/>
      <c r="AH748" s="158"/>
    </row>
    <row r="749" spans="1:34" ht="15.75" customHeight="1">
      <c r="A749" s="179"/>
      <c r="B749" s="180"/>
      <c r="C749" s="180"/>
      <c r="D749" s="179"/>
      <c r="E749" s="179"/>
      <c r="F749" s="179"/>
      <c r="G749" s="179"/>
      <c r="H749" s="181"/>
      <c r="I749" s="181"/>
      <c r="J749" s="181"/>
      <c r="K749" s="179"/>
      <c r="L749" s="179"/>
      <c r="M749" s="179"/>
      <c r="N749" s="181"/>
      <c r="O749" s="179"/>
      <c r="P749" s="179"/>
      <c r="Q749" s="179"/>
      <c r="R749" s="179"/>
      <c r="S749" s="179"/>
      <c r="T749" s="179"/>
      <c r="U749" s="179"/>
      <c r="V749" s="179"/>
      <c r="W749" s="192"/>
      <c r="X749" s="192"/>
      <c r="Y749" s="192"/>
      <c r="Z749" s="158"/>
      <c r="AA749" s="158"/>
      <c r="AB749" s="158"/>
      <c r="AC749" s="158"/>
      <c r="AD749" s="158"/>
      <c r="AE749" s="158"/>
      <c r="AF749" s="158"/>
      <c r="AG749" s="158"/>
      <c r="AH749" s="158"/>
    </row>
    <row r="750" spans="1:34" ht="15.75" customHeight="1">
      <c r="A750" s="179"/>
      <c r="B750" s="180"/>
      <c r="C750" s="180"/>
      <c r="D750" s="179"/>
      <c r="E750" s="179"/>
      <c r="F750" s="179"/>
      <c r="G750" s="179"/>
      <c r="H750" s="181"/>
      <c r="I750" s="181"/>
      <c r="J750" s="181"/>
      <c r="K750" s="179"/>
      <c r="L750" s="179"/>
      <c r="M750" s="179"/>
      <c r="N750" s="181"/>
      <c r="O750" s="179"/>
      <c r="P750" s="179"/>
      <c r="Q750" s="179"/>
      <c r="R750" s="179"/>
      <c r="S750" s="179"/>
      <c r="T750" s="179"/>
      <c r="U750" s="179"/>
      <c r="V750" s="179"/>
      <c r="W750" s="192"/>
      <c r="X750" s="192"/>
      <c r="Y750" s="192"/>
      <c r="Z750" s="158"/>
      <c r="AA750" s="158"/>
      <c r="AB750" s="158"/>
      <c r="AC750" s="158"/>
      <c r="AD750" s="158"/>
      <c r="AE750" s="158"/>
      <c r="AF750" s="158"/>
      <c r="AG750" s="158"/>
      <c r="AH750" s="158"/>
    </row>
    <row r="751" spans="1:34" ht="15.75" customHeight="1">
      <c r="A751" s="179"/>
      <c r="B751" s="180"/>
      <c r="C751" s="180"/>
      <c r="D751" s="179"/>
      <c r="E751" s="179"/>
      <c r="F751" s="179"/>
      <c r="G751" s="179"/>
      <c r="H751" s="181"/>
      <c r="I751" s="181"/>
      <c r="J751" s="181"/>
      <c r="K751" s="179"/>
      <c r="L751" s="179"/>
      <c r="M751" s="179"/>
      <c r="N751" s="181"/>
      <c r="O751" s="179"/>
      <c r="P751" s="179"/>
      <c r="Q751" s="179"/>
      <c r="R751" s="179"/>
      <c r="S751" s="179"/>
      <c r="T751" s="179"/>
      <c r="U751" s="179"/>
      <c r="V751" s="179"/>
      <c r="W751" s="192"/>
      <c r="X751" s="192"/>
      <c r="Y751" s="192"/>
      <c r="Z751" s="158"/>
      <c r="AA751" s="158"/>
      <c r="AB751" s="158"/>
      <c r="AC751" s="158"/>
      <c r="AD751" s="158"/>
      <c r="AE751" s="158"/>
      <c r="AF751" s="158"/>
      <c r="AG751" s="158"/>
      <c r="AH751" s="158"/>
    </row>
    <row r="752" spans="1:34" ht="15.75" customHeight="1">
      <c r="A752" s="179"/>
      <c r="B752" s="180"/>
      <c r="C752" s="180"/>
      <c r="D752" s="179"/>
      <c r="E752" s="179"/>
      <c r="F752" s="179"/>
      <c r="G752" s="179"/>
      <c r="H752" s="181"/>
      <c r="I752" s="181"/>
      <c r="J752" s="181"/>
      <c r="K752" s="179"/>
      <c r="L752" s="179"/>
      <c r="M752" s="179"/>
      <c r="N752" s="181"/>
      <c r="O752" s="179"/>
      <c r="P752" s="179"/>
      <c r="Q752" s="179"/>
      <c r="R752" s="179"/>
      <c r="S752" s="179"/>
      <c r="T752" s="179"/>
      <c r="U752" s="179"/>
      <c r="V752" s="179"/>
      <c r="W752" s="192"/>
      <c r="X752" s="192"/>
      <c r="Y752" s="192"/>
      <c r="Z752" s="158"/>
      <c r="AA752" s="158"/>
      <c r="AB752" s="158"/>
      <c r="AC752" s="158"/>
      <c r="AD752" s="158"/>
      <c r="AE752" s="158"/>
      <c r="AF752" s="158"/>
      <c r="AG752" s="158"/>
      <c r="AH752" s="158"/>
    </row>
    <row r="753" spans="1:34" ht="15.75" customHeight="1">
      <c r="A753" s="179"/>
      <c r="B753" s="180"/>
      <c r="C753" s="180"/>
      <c r="D753" s="179"/>
      <c r="E753" s="179"/>
      <c r="F753" s="179"/>
      <c r="G753" s="179"/>
      <c r="H753" s="181"/>
      <c r="I753" s="181"/>
      <c r="J753" s="181"/>
      <c r="K753" s="179"/>
      <c r="L753" s="179"/>
      <c r="M753" s="179"/>
      <c r="N753" s="181"/>
      <c r="O753" s="179"/>
      <c r="P753" s="179"/>
      <c r="Q753" s="179"/>
      <c r="R753" s="179"/>
      <c r="S753" s="179"/>
      <c r="T753" s="179"/>
      <c r="U753" s="179"/>
      <c r="V753" s="179"/>
      <c r="W753" s="192"/>
      <c r="X753" s="192"/>
      <c r="Y753" s="192"/>
      <c r="Z753" s="158"/>
      <c r="AA753" s="158"/>
      <c r="AB753" s="158"/>
      <c r="AC753" s="158"/>
      <c r="AD753" s="158"/>
      <c r="AE753" s="158"/>
      <c r="AF753" s="158"/>
      <c r="AG753" s="158"/>
      <c r="AH753" s="158"/>
    </row>
    <row r="754" spans="1:34" ht="15.75" customHeight="1">
      <c r="A754" s="179"/>
      <c r="B754" s="180"/>
      <c r="C754" s="180"/>
      <c r="D754" s="179"/>
      <c r="E754" s="179"/>
      <c r="F754" s="179"/>
      <c r="G754" s="179"/>
      <c r="H754" s="181"/>
      <c r="I754" s="181"/>
      <c r="J754" s="181"/>
      <c r="K754" s="179"/>
      <c r="L754" s="179"/>
      <c r="M754" s="179"/>
      <c r="N754" s="181"/>
      <c r="O754" s="179"/>
      <c r="P754" s="179"/>
      <c r="Q754" s="179"/>
      <c r="R754" s="179"/>
      <c r="S754" s="179"/>
      <c r="T754" s="179"/>
      <c r="U754" s="179"/>
      <c r="V754" s="179"/>
      <c r="W754" s="192"/>
      <c r="X754" s="192"/>
      <c r="Y754" s="192"/>
      <c r="Z754" s="158"/>
      <c r="AA754" s="158"/>
      <c r="AB754" s="158"/>
      <c r="AC754" s="158"/>
      <c r="AD754" s="158"/>
      <c r="AE754" s="158"/>
      <c r="AF754" s="158"/>
      <c r="AG754" s="158"/>
      <c r="AH754" s="158"/>
    </row>
    <row r="755" spans="1:34" ht="15.75" customHeight="1">
      <c r="A755" s="179"/>
      <c r="B755" s="180"/>
      <c r="C755" s="180"/>
      <c r="D755" s="179"/>
      <c r="E755" s="179"/>
      <c r="F755" s="179"/>
      <c r="G755" s="179"/>
      <c r="H755" s="181"/>
      <c r="I755" s="181"/>
      <c r="J755" s="181"/>
      <c r="K755" s="179"/>
      <c r="L755" s="179"/>
      <c r="M755" s="179"/>
      <c r="N755" s="181"/>
      <c r="O755" s="179"/>
      <c r="P755" s="179"/>
      <c r="Q755" s="179"/>
      <c r="R755" s="179"/>
      <c r="S755" s="179"/>
      <c r="T755" s="179"/>
      <c r="U755" s="179"/>
      <c r="V755" s="179"/>
      <c r="W755" s="192"/>
      <c r="X755" s="192"/>
      <c r="Y755" s="192"/>
      <c r="Z755" s="158"/>
      <c r="AA755" s="158"/>
      <c r="AB755" s="158"/>
      <c r="AC755" s="158"/>
      <c r="AD755" s="158"/>
      <c r="AE755" s="158"/>
      <c r="AF755" s="158"/>
      <c r="AG755" s="158"/>
      <c r="AH755" s="158"/>
    </row>
    <row r="756" spans="1:34" ht="15.75" customHeight="1">
      <c r="A756" s="179"/>
      <c r="B756" s="180"/>
      <c r="C756" s="180"/>
      <c r="D756" s="179"/>
      <c r="E756" s="179"/>
      <c r="F756" s="179"/>
      <c r="G756" s="179"/>
      <c r="H756" s="181"/>
      <c r="I756" s="181"/>
      <c r="J756" s="181"/>
      <c r="K756" s="179"/>
      <c r="L756" s="179"/>
      <c r="M756" s="179"/>
      <c r="N756" s="181"/>
      <c r="O756" s="179"/>
      <c r="P756" s="179"/>
      <c r="Q756" s="179"/>
      <c r="R756" s="179"/>
      <c r="S756" s="179"/>
      <c r="T756" s="179"/>
      <c r="U756" s="179"/>
      <c r="V756" s="179"/>
      <c r="W756" s="192"/>
      <c r="X756" s="192"/>
      <c r="Y756" s="192"/>
      <c r="Z756" s="158"/>
      <c r="AA756" s="158"/>
      <c r="AB756" s="158"/>
      <c r="AC756" s="158"/>
      <c r="AD756" s="158"/>
      <c r="AE756" s="158"/>
      <c r="AF756" s="158"/>
      <c r="AG756" s="158"/>
      <c r="AH756" s="158"/>
    </row>
    <row r="757" spans="1:34" ht="15.75" customHeight="1">
      <c r="A757" s="179"/>
      <c r="B757" s="180"/>
      <c r="C757" s="180"/>
      <c r="D757" s="179"/>
      <c r="E757" s="179"/>
      <c r="F757" s="179"/>
      <c r="G757" s="179"/>
      <c r="H757" s="181"/>
      <c r="I757" s="181"/>
      <c r="J757" s="181"/>
      <c r="K757" s="179"/>
      <c r="L757" s="179"/>
      <c r="M757" s="179"/>
      <c r="N757" s="181"/>
      <c r="O757" s="179"/>
      <c r="P757" s="179"/>
      <c r="Q757" s="179"/>
      <c r="R757" s="179"/>
      <c r="S757" s="179"/>
      <c r="T757" s="179"/>
      <c r="U757" s="179"/>
      <c r="V757" s="179"/>
      <c r="W757" s="192"/>
      <c r="X757" s="192"/>
      <c r="Y757" s="192"/>
      <c r="Z757" s="158"/>
      <c r="AA757" s="158"/>
      <c r="AB757" s="158"/>
      <c r="AC757" s="158"/>
      <c r="AD757" s="158"/>
      <c r="AE757" s="158"/>
      <c r="AF757" s="158"/>
      <c r="AG757" s="158"/>
      <c r="AH757" s="158"/>
    </row>
    <row r="758" spans="1:34" ht="15.75" customHeight="1">
      <c r="A758" s="179"/>
      <c r="B758" s="180"/>
      <c r="C758" s="180"/>
      <c r="D758" s="179"/>
      <c r="E758" s="179"/>
      <c r="F758" s="179"/>
      <c r="G758" s="179"/>
      <c r="H758" s="181"/>
      <c r="I758" s="181"/>
      <c r="J758" s="181"/>
      <c r="K758" s="179"/>
      <c r="L758" s="179"/>
      <c r="M758" s="179"/>
      <c r="N758" s="181"/>
      <c r="O758" s="179"/>
      <c r="P758" s="179"/>
      <c r="Q758" s="179"/>
      <c r="R758" s="179"/>
      <c r="S758" s="179"/>
      <c r="T758" s="179"/>
      <c r="U758" s="179"/>
      <c r="V758" s="179"/>
      <c r="W758" s="192"/>
      <c r="X758" s="192"/>
      <c r="Y758" s="192"/>
      <c r="Z758" s="158"/>
      <c r="AA758" s="158"/>
      <c r="AB758" s="158"/>
      <c r="AC758" s="158"/>
      <c r="AD758" s="158"/>
      <c r="AE758" s="158"/>
      <c r="AF758" s="158"/>
      <c r="AG758" s="158"/>
      <c r="AH758" s="158"/>
    </row>
    <row r="759" spans="1:34" ht="15.75" customHeight="1">
      <c r="A759" s="179"/>
      <c r="B759" s="180"/>
      <c r="C759" s="180"/>
      <c r="D759" s="179"/>
      <c r="E759" s="179"/>
      <c r="F759" s="179"/>
      <c r="G759" s="179"/>
      <c r="H759" s="181"/>
      <c r="I759" s="181"/>
      <c r="J759" s="181"/>
      <c r="K759" s="179"/>
      <c r="L759" s="179"/>
      <c r="M759" s="179"/>
      <c r="N759" s="181"/>
      <c r="O759" s="179"/>
      <c r="P759" s="179"/>
      <c r="Q759" s="179"/>
      <c r="R759" s="179"/>
      <c r="S759" s="179"/>
      <c r="T759" s="179"/>
      <c r="U759" s="179"/>
      <c r="V759" s="179"/>
      <c r="W759" s="192"/>
      <c r="X759" s="192"/>
      <c r="Y759" s="192"/>
      <c r="Z759" s="158"/>
      <c r="AA759" s="158"/>
      <c r="AB759" s="158"/>
      <c r="AC759" s="158"/>
      <c r="AD759" s="158"/>
      <c r="AE759" s="158"/>
      <c r="AF759" s="158"/>
      <c r="AG759" s="158"/>
      <c r="AH759" s="158"/>
    </row>
    <row r="760" spans="1:34" ht="15.75" customHeight="1">
      <c r="A760" s="179"/>
      <c r="B760" s="180"/>
      <c r="C760" s="180"/>
      <c r="D760" s="179"/>
      <c r="E760" s="179"/>
      <c r="F760" s="179"/>
      <c r="G760" s="179"/>
      <c r="H760" s="181"/>
      <c r="I760" s="181"/>
      <c r="J760" s="181"/>
      <c r="K760" s="179"/>
      <c r="L760" s="179"/>
      <c r="M760" s="179"/>
      <c r="N760" s="181"/>
      <c r="O760" s="179"/>
      <c r="P760" s="179"/>
      <c r="Q760" s="179"/>
      <c r="R760" s="179"/>
      <c r="S760" s="179"/>
      <c r="T760" s="179"/>
      <c r="U760" s="179"/>
      <c r="V760" s="179"/>
      <c r="W760" s="192"/>
      <c r="X760" s="192"/>
      <c r="Y760" s="192"/>
      <c r="Z760" s="158"/>
      <c r="AA760" s="158"/>
      <c r="AB760" s="158"/>
      <c r="AC760" s="158"/>
      <c r="AD760" s="158"/>
      <c r="AE760" s="158"/>
      <c r="AF760" s="158"/>
      <c r="AG760" s="158"/>
      <c r="AH760" s="158"/>
    </row>
    <row r="761" spans="1:34" ht="15.75" customHeight="1">
      <c r="A761" s="179"/>
      <c r="B761" s="180"/>
      <c r="C761" s="180"/>
      <c r="D761" s="179"/>
      <c r="E761" s="179"/>
      <c r="F761" s="179"/>
      <c r="G761" s="179"/>
      <c r="H761" s="181"/>
      <c r="I761" s="181"/>
      <c r="J761" s="181"/>
      <c r="K761" s="179"/>
      <c r="L761" s="179"/>
      <c r="M761" s="179"/>
      <c r="N761" s="181"/>
      <c r="O761" s="179"/>
      <c r="P761" s="179"/>
      <c r="Q761" s="179"/>
      <c r="R761" s="179"/>
      <c r="S761" s="179"/>
      <c r="T761" s="179"/>
      <c r="U761" s="179"/>
      <c r="V761" s="179"/>
      <c r="W761" s="192"/>
      <c r="X761" s="192"/>
      <c r="Y761" s="192"/>
      <c r="Z761" s="158"/>
      <c r="AA761" s="158"/>
      <c r="AB761" s="158"/>
      <c r="AC761" s="158"/>
      <c r="AD761" s="158"/>
      <c r="AE761" s="158"/>
      <c r="AF761" s="158"/>
      <c r="AG761" s="158"/>
      <c r="AH761" s="158"/>
    </row>
    <row r="762" spans="1:34" ht="15.75" customHeight="1">
      <c r="A762" s="179"/>
      <c r="B762" s="180"/>
      <c r="C762" s="180"/>
      <c r="D762" s="179"/>
      <c r="E762" s="179"/>
      <c r="F762" s="179"/>
      <c r="G762" s="179"/>
      <c r="H762" s="181"/>
      <c r="I762" s="181"/>
      <c r="J762" s="181"/>
      <c r="K762" s="179"/>
      <c r="L762" s="179"/>
      <c r="M762" s="179"/>
      <c r="N762" s="181"/>
      <c r="O762" s="179"/>
      <c r="P762" s="179"/>
      <c r="Q762" s="179"/>
      <c r="R762" s="179"/>
      <c r="S762" s="179"/>
      <c r="T762" s="179"/>
      <c r="U762" s="179"/>
      <c r="V762" s="179"/>
      <c r="W762" s="192"/>
      <c r="X762" s="192"/>
      <c r="Y762" s="192"/>
      <c r="Z762" s="158"/>
      <c r="AA762" s="158"/>
      <c r="AB762" s="158"/>
      <c r="AC762" s="158"/>
      <c r="AD762" s="158"/>
      <c r="AE762" s="158"/>
      <c r="AF762" s="158"/>
      <c r="AG762" s="158"/>
      <c r="AH762" s="158"/>
    </row>
    <row r="763" spans="1:34" ht="15.75" customHeight="1">
      <c r="A763" s="179"/>
      <c r="B763" s="180"/>
      <c r="C763" s="180"/>
      <c r="D763" s="179"/>
      <c r="E763" s="179"/>
      <c r="F763" s="179"/>
      <c r="G763" s="179"/>
      <c r="H763" s="181"/>
      <c r="I763" s="181"/>
      <c r="J763" s="181"/>
      <c r="K763" s="179"/>
      <c r="L763" s="179"/>
      <c r="M763" s="179"/>
      <c r="N763" s="181"/>
      <c r="O763" s="179"/>
      <c r="P763" s="179"/>
      <c r="Q763" s="179"/>
      <c r="R763" s="179"/>
      <c r="S763" s="179"/>
      <c r="T763" s="179"/>
      <c r="U763" s="179"/>
      <c r="V763" s="179"/>
      <c r="W763" s="192"/>
      <c r="X763" s="192"/>
      <c r="Y763" s="192"/>
      <c r="Z763" s="158"/>
      <c r="AA763" s="158"/>
      <c r="AB763" s="158"/>
      <c r="AC763" s="158"/>
      <c r="AD763" s="158"/>
      <c r="AE763" s="158"/>
      <c r="AF763" s="158"/>
      <c r="AG763" s="158"/>
      <c r="AH763" s="158"/>
    </row>
    <row r="764" spans="1:34" ht="15.75" customHeight="1">
      <c r="A764" s="179"/>
      <c r="B764" s="180"/>
      <c r="C764" s="180"/>
      <c r="D764" s="179"/>
      <c r="E764" s="179"/>
      <c r="F764" s="179"/>
      <c r="G764" s="179"/>
      <c r="H764" s="181"/>
      <c r="I764" s="181"/>
      <c r="J764" s="181"/>
      <c r="K764" s="179"/>
      <c r="L764" s="179"/>
      <c r="M764" s="179"/>
      <c r="N764" s="181"/>
      <c r="O764" s="179"/>
      <c r="P764" s="179"/>
      <c r="Q764" s="179"/>
      <c r="R764" s="179"/>
      <c r="S764" s="179"/>
      <c r="T764" s="179"/>
      <c r="U764" s="179"/>
      <c r="V764" s="179"/>
      <c r="W764" s="192"/>
      <c r="X764" s="192"/>
      <c r="Y764" s="192"/>
      <c r="Z764" s="158"/>
      <c r="AA764" s="158"/>
      <c r="AB764" s="158"/>
      <c r="AC764" s="158"/>
      <c r="AD764" s="158"/>
      <c r="AE764" s="158"/>
      <c r="AF764" s="158"/>
      <c r="AG764" s="158"/>
      <c r="AH764" s="158"/>
    </row>
    <row r="765" spans="1:34" ht="15.75" customHeight="1">
      <c r="A765" s="179"/>
      <c r="B765" s="180"/>
      <c r="C765" s="180"/>
      <c r="D765" s="179"/>
      <c r="E765" s="179"/>
      <c r="F765" s="179"/>
      <c r="G765" s="179"/>
      <c r="H765" s="181"/>
      <c r="I765" s="181"/>
      <c r="J765" s="181"/>
      <c r="K765" s="179"/>
      <c r="L765" s="179"/>
      <c r="M765" s="179"/>
      <c r="N765" s="181"/>
      <c r="O765" s="179"/>
      <c r="P765" s="179"/>
      <c r="Q765" s="179"/>
      <c r="R765" s="179"/>
      <c r="S765" s="179"/>
      <c r="T765" s="179"/>
      <c r="U765" s="179"/>
      <c r="V765" s="179"/>
      <c r="W765" s="192"/>
      <c r="X765" s="192"/>
      <c r="Y765" s="192"/>
      <c r="Z765" s="158"/>
      <c r="AA765" s="158"/>
      <c r="AB765" s="158"/>
      <c r="AC765" s="158"/>
      <c r="AD765" s="158"/>
      <c r="AE765" s="158"/>
      <c r="AF765" s="158"/>
      <c r="AG765" s="158"/>
      <c r="AH765" s="158"/>
    </row>
    <row r="766" spans="1:34" ht="15.75" customHeight="1">
      <c r="A766" s="179"/>
      <c r="B766" s="180"/>
      <c r="C766" s="180"/>
      <c r="D766" s="179"/>
      <c r="E766" s="179"/>
      <c r="F766" s="179"/>
      <c r="G766" s="179"/>
      <c r="H766" s="181"/>
      <c r="I766" s="181"/>
      <c r="J766" s="181"/>
      <c r="K766" s="179"/>
      <c r="L766" s="179"/>
      <c r="M766" s="179"/>
      <c r="N766" s="181"/>
      <c r="O766" s="179"/>
      <c r="P766" s="179"/>
      <c r="Q766" s="179"/>
      <c r="R766" s="179"/>
      <c r="S766" s="179"/>
      <c r="T766" s="179"/>
      <c r="U766" s="179"/>
      <c r="V766" s="179"/>
      <c r="W766" s="192"/>
      <c r="X766" s="192"/>
      <c r="Y766" s="192"/>
      <c r="Z766" s="158"/>
      <c r="AA766" s="158"/>
      <c r="AB766" s="158"/>
      <c r="AC766" s="158"/>
      <c r="AD766" s="158"/>
      <c r="AE766" s="158"/>
      <c r="AF766" s="158"/>
      <c r="AG766" s="158"/>
      <c r="AH766" s="158"/>
    </row>
    <row r="767" spans="1:34" ht="15.75" customHeight="1">
      <c r="A767" s="179"/>
      <c r="B767" s="180"/>
      <c r="C767" s="180"/>
      <c r="D767" s="179"/>
      <c r="E767" s="179"/>
      <c r="F767" s="179"/>
      <c r="G767" s="179"/>
      <c r="H767" s="181"/>
      <c r="I767" s="181"/>
      <c r="J767" s="181"/>
      <c r="K767" s="179"/>
      <c r="L767" s="179"/>
      <c r="M767" s="179"/>
      <c r="N767" s="181"/>
      <c r="O767" s="179"/>
      <c r="P767" s="179"/>
      <c r="Q767" s="179"/>
      <c r="R767" s="179"/>
      <c r="S767" s="179"/>
      <c r="T767" s="179"/>
      <c r="U767" s="179"/>
      <c r="V767" s="179"/>
      <c r="W767" s="192"/>
      <c r="X767" s="192"/>
      <c r="Y767" s="192"/>
      <c r="Z767" s="158"/>
      <c r="AA767" s="158"/>
      <c r="AB767" s="158"/>
      <c r="AC767" s="158"/>
      <c r="AD767" s="158"/>
      <c r="AE767" s="158"/>
      <c r="AF767" s="158"/>
      <c r="AG767" s="158"/>
      <c r="AH767" s="158"/>
    </row>
    <row r="768" spans="1:34" ht="15.75" customHeight="1">
      <c r="A768" s="179"/>
      <c r="B768" s="180"/>
      <c r="C768" s="180"/>
      <c r="D768" s="179"/>
      <c r="E768" s="179"/>
      <c r="F768" s="179"/>
      <c r="G768" s="179"/>
      <c r="H768" s="181"/>
      <c r="I768" s="181"/>
      <c r="J768" s="181"/>
      <c r="K768" s="179"/>
      <c r="L768" s="179"/>
      <c r="M768" s="179"/>
      <c r="N768" s="181"/>
      <c r="O768" s="179"/>
      <c r="P768" s="179"/>
      <c r="Q768" s="179"/>
      <c r="R768" s="179"/>
      <c r="S768" s="179"/>
      <c r="T768" s="179"/>
      <c r="U768" s="179"/>
      <c r="V768" s="179"/>
      <c r="W768" s="192"/>
      <c r="X768" s="192"/>
      <c r="Y768" s="192"/>
      <c r="Z768" s="158"/>
      <c r="AA768" s="158"/>
      <c r="AB768" s="158"/>
      <c r="AC768" s="158"/>
      <c r="AD768" s="158"/>
      <c r="AE768" s="158"/>
      <c r="AF768" s="158"/>
      <c r="AG768" s="158"/>
      <c r="AH768" s="158"/>
    </row>
    <row r="769" spans="1:34" ht="15.75" customHeight="1">
      <c r="A769" s="179"/>
      <c r="B769" s="180"/>
      <c r="C769" s="180"/>
      <c r="D769" s="179"/>
      <c r="E769" s="179"/>
      <c r="F769" s="179"/>
      <c r="G769" s="179"/>
      <c r="H769" s="181"/>
      <c r="I769" s="181"/>
      <c r="J769" s="181"/>
      <c r="K769" s="179"/>
      <c r="L769" s="179"/>
      <c r="M769" s="179"/>
      <c r="N769" s="181"/>
      <c r="O769" s="179"/>
      <c r="P769" s="179"/>
      <c r="Q769" s="179"/>
      <c r="R769" s="179"/>
      <c r="S769" s="179"/>
      <c r="T769" s="179"/>
      <c r="U769" s="179"/>
      <c r="V769" s="179"/>
      <c r="W769" s="192"/>
      <c r="X769" s="192"/>
      <c r="Y769" s="192"/>
      <c r="Z769" s="158"/>
      <c r="AA769" s="158"/>
      <c r="AB769" s="158"/>
      <c r="AC769" s="158"/>
      <c r="AD769" s="158"/>
      <c r="AE769" s="158"/>
      <c r="AF769" s="158"/>
      <c r="AG769" s="158"/>
      <c r="AH769" s="158"/>
    </row>
    <row r="770" spans="1:34" ht="15.75" customHeight="1">
      <c r="A770" s="179"/>
      <c r="B770" s="180"/>
      <c r="C770" s="180"/>
      <c r="D770" s="179"/>
      <c r="E770" s="179"/>
      <c r="F770" s="179"/>
      <c r="G770" s="179"/>
      <c r="H770" s="181"/>
      <c r="I770" s="181"/>
      <c r="J770" s="181"/>
      <c r="K770" s="179"/>
      <c r="L770" s="179"/>
      <c r="M770" s="179"/>
      <c r="N770" s="181"/>
      <c r="O770" s="179"/>
      <c r="P770" s="179"/>
      <c r="Q770" s="179"/>
      <c r="R770" s="179"/>
      <c r="S770" s="179"/>
      <c r="T770" s="179"/>
      <c r="U770" s="179"/>
      <c r="V770" s="179"/>
      <c r="W770" s="192"/>
      <c r="X770" s="192"/>
      <c r="Y770" s="192"/>
      <c r="Z770" s="158"/>
      <c r="AA770" s="158"/>
      <c r="AB770" s="158"/>
      <c r="AC770" s="158"/>
      <c r="AD770" s="158"/>
      <c r="AE770" s="158"/>
      <c r="AF770" s="158"/>
      <c r="AG770" s="158"/>
      <c r="AH770" s="158"/>
    </row>
    <row r="771" spans="1:34" ht="15.75" customHeight="1">
      <c r="A771" s="179"/>
      <c r="B771" s="180"/>
      <c r="C771" s="180"/>
      <c r="D771" s="179"/>
      <c r="E771" s="179"/>
      <c r="F771" s="179"/>
      <c r="G771" s="179"/>
      <c r="H771" s="181"/>
      <c r="I771" s="181"/>
      <c r="J771" s="181"/>
      <c r="K771" s="179"/>
      <c r="L771" s="179"/>
      <c r="M771" s="179"/>
      <c r="N771" s="181"/>
      <c r="O771" s="179"/>
      <c r="P771" s="179"/>
      <c r="Q771" s="179"/>
      <c r="R771" s="179"/>
      <c r="S771" s="179"/>
      <c r="T771" s="179"/>
      <c r="U771" s="179"/>
      <c r="V771" s="179"/>
      <c r="W771" s="192"/>
      <c r="X771" s="192"/>
      <c r="Y771" s="192"/>
      <c r="Z771" s="158"/>
      <c r="AA771" s="158"/>
      <c r="AB771" s="158"/>
      <c r="AC771" s="158"/>
      <c r="AD771" s="158"/>
      <c r="AE771" s="158"/>
      <c r="AF771" s="158"/>
      <c r="AG771" s="158"/>
      <c r="AH771" s="158"/>
    </row>
    <row r="772" spans="1:34" ht="15.75" customHeight="1">
      <c r="A772" s="179"/>
      <c r="B772" s="180"/>
      <c r="C772" s="180"/>
      <c r="D772" s="179"/>
      <c r="E772" s="179"/>
      <c r="F772" s="179"/>
      <c r="G772" s="179"/>
      <c r="H772" s="181"/>
      <c r="I772" s="181"/>
      <c r="J772" s="181"/>
      <c r="K772" s="179"/>
      <c r="L772" s="179"/>
      <c r="M772" s="179"/>
      <c r="N772" s="181"/>
      <c r="O772" s="179"/>
      <c r="P772" s="179"/>
      <c r="Q772" s="179"/>
      <c r="R772" s="179"/>
      <c r="S772" s="179"/>
      <c r="T772" s="179"/>
      <c r="U772" s="179"/>
      <c r="V772" s="179"/>
      <c r="W772" s="192"/>
      <c r="X772" s="192"/>
      <c r="Y772" s="192"/>
      <c r="Z772" s="158"/>
      <c r="AA772" s="158"/>
      <c r="AB772" s="158"/>
      <c r="AC772" s="158"/>
      <c r="AD772" s="158"/>
      <c r="AE772" s="158"/>
      <c r="AF772" s="158"/>
      <c r="AG772" s="158"/>
      <c r="AH772" s="158"/>
    </row>
    <row r="773" spans="1:34" ht="15.75" customHeight="1">
      <c r="A773" s="179"/>
      <c r="B773" s="180"/>
      <c r="C773" s="180"/>
      <c r="D773" s="179"/>
      <c r="E773" s="179"/>
      <c r="F773" s="179"/>
      <c r="G773" s="179"/>
      <c r="H773" s="181"/>
      <c r="I773" s="181"/>
      <c r="J773" s="181"/>
      <c r="K773" s="179"/>
      <c r="L773" s="179"/>
      <c r="M773" s="179"/>
      <c r="N773" s="181"/>
      <c r="O773" s="179"/>
      <c r="P773" s="179"/>
      <c r="Q773" s="179"/>
      <c r="R773" s="179"/>
      <c r="S773" s="179"/>
      <c r="T773" s="179"/>
      <c r="U773" s="179"/>
      <c r="V773" s="179"/>
      <c r="W773" s="192"/>
      <c r="X773" s="192"/>
      <c r="Y773" s="192"/>
      <c r="Z773" s="158"/>
      <c r="AA773" s="158"/>
      <c r="AB773" s="158"/>
      <c r="AC773" s="158"/>
      <c r="AD773" s="158"/>
      <c r="AE773" s="158"/>
      <c r="AF773" s="158"/>
      <c r="AG773" s="158"/>
      <c r="AH773" s="158"/>
    </row>
    <row r="774" spans="1:34" ht="15.75" customHeight="1">
      <c r="A774" s="179"/>
      <c r="B774" s="180"/>
      <c r="C774" s="180"/>
      <c r="D774" s="179"/>
      <c r="E774" s="179"/>
      <c r="F774" s="179"/>
      <c r="G774" s="179"/>
      <c r="H774" s="181"/>
      <c r="I774" s="181"/>
      <c r="J774" s="181"/>
      <c r="K774" s="179"/>
      <c r="L774" s="179"/>
      <c r="M774" s="179"/>
      <c r="N774" s="181"/>
      <c r="O774" s="179"/>
      <c r="P774" s="179"/>
      <c r="Q774" s="179"/>
      <c r="R774" s="179"/>
      <c r="S774" s="179"/>
      <c r="T774" s="179"/>
      <c r="U774" s="179"/>
      <c r="V774" s="179"/>
      <c r="W774" s="192"/>
      <c r="X774" s="192"/>
      <c r="Y774" s="192"/>
      <c r="Z774" s="158"/>
      <c r="AA774" s="158"/>
      <c r="AB774" s="158"/>
      <c r="AC774" s="158"/>
      <c r="AD774" s="158"/>
      <c r="AE774" s="158"/>
      <c r="AF774" s="158"/>
      <c r="AG774" s="158"/>
      <c r="AH774" s="158"/>
    </row>
    <row r="775" spans="1:34" ht="15.75" customHeight="1">
      <c r="A775" s="179"/>
      <c r="B775" s="180"/>
      <c r="C775" s="180"/>
      <c r="D775" s="179"/>
      <c r="E775" s="179"/>
      <c r="F775" s="179"/>
      <c r="G775" s="179"/>
      <c r="H775" s="181"/>
      <c r="I775" s="181"/>
      <c r="J775" s="181"/>
      <c r="K775" s="179"/>
      <c r="L775" s="179"/>
      <c r="M775" s="179"/>
      <c r="N775" s="181"/>
      <c r="O775" s="179"/>
      <c r="P775" s="179"/>
      <c r="Q775" s="179"/>
      <c r="R775" s="179"/>
      <c r="S775" s="179"/>
      <c r="T775" s="179"/>
      <c r="U775" s="179"/>
      <c r="V775" s="179"/>
      <c r="W775" s="192"/>
      <c r="X775" s="192"/>
      <c r="Y775" s="192"/>
      <c r="Z775" s="158"/>
      <c r="AA775" s="158"/>
      <c r="AB775" s="158"/>
      <c r="AC775" s="158"/>
      <c r="AD775" s="158"/>
      <c r="AE775" s="158"/>
      <c r="AF775" s="158"/>
      <c r="AG775" s="158"/>
      <c r="AH775" s="158"/>
    </row>
    <row r="776" spans="1:34" ht="15.75" customHeight="1">
      <c r="A776" s="179"/>
      <c r="B776" s="180"/>
      <c r="C776" s="180"/>
      <c r="D776" s="179"/>
      <c r="E776" s="179"/>
      <c r="F776" s="179"/>
      <c r="G776" s="179"/>
      <c r="H776" s="181"/>
      <c r="I776" s="181"/>
      <c r="J776" s="181"/>
      <c r="K776" s="179"/>
      <c r="L776" s="179"/>
      <c r="M776" s="179"/>
      <c r="N776" s="181"/>
      <c r="O776" s="179"/>
      <c r="P776" s="179"/>
      <c r="Q776" s="179"/>
      <c r="R776" s="179"/>
      <c r="S776" s="179"/>
      <c r="T776" s="179"/>
      <c r="U776" s="179"/>
      <c r="V776" s="179"/>
      <c r="W776" s="192"/>
      <c r="X776" s="192"/>
      <c r="Y776" s="192"/>
      <c r="Z776" s="158"/>
      <c r="AA776" s="158"/>
      <c r="AB776" s="158"/>
      <c r="AC776" s="158"/>
      <c r="AD776" s="158"/>
      <c r="AE776" s="158"/>
      <c r="AF776" s="158"/>
      <c r="AG776" s="158"/>
      <c r="AH776" s="158"/>
    </row>
    <row r="777" spans="1:34" ht="15.75" customHeight="1">
      <c r="A777" s="179"/>
      <c r="B777" s="180"/>
      <c r="C777" s="180"/>
      <c r="D777" s="179"/>
      <c r="E777" s="179"/>
      <c r="F777" s="179"/>
      <c r="G777" s="179"/>
      <c r="H777" s="181"/>
      <c r="I777" s="181"/>
      <c r="J777" s="181"/>
      <c r="K777" s="179"/>
      <c r="L777" s="179"/>
      <c r="M777" s="179"/>
      <c r="N777" s="181"/>
      <c r="O777" s="179"/>
      <c r="P777" s="179"/>
      <c r="Q777" s="179"/>
      <c r="R777" s="179"/>
      <c r="S777" s="179"/>
      <c r="T777" s="179"/>
      <c r="U777" s="179"/>
      <c r="V777" s="179"/>
      <c r="W777" s="192"/>
      <c r="X777" s="192"/>
      <c r="Y777" s="192"/>
      <c r="Z777" s="158"/>
      <c r="AA777" s="158"/>
      <c r="AB777" s="158"/>
      <c r="AC777" s="158"/>
      <c r="AD777" s="158"/>
      <c r="AE777" s="158"/>
      <c r="AF777" s="158"/>
      <c r="AG777" s="158"/>
      <c r="AH777" s="158"/>
    </row>
    <row r="778" spans="1:34" ht="15.75" customHeight="1">
      <c r="A778" s="179"/>
      <c r="B778" s="180"/>
      <c r="C778" s="180"/>
      <c r="D778" s="179"/>
      <c r="E778" s="179"/>
      <c r="F778" s="179"/>
      <c r="G778" s="179"/>
      <c r="H778" s="181"/>
      <c r="I778" s="181"/>
      <c r="J778" s="181"/>
      <c r="K778" s="179"/>
      <c r="L778" s="179"/>
      <c r="M778" s="179"/>
      <c r="N778" s="181"/>
      <c r="O778" s="179"/>
      <c r="P778" s="179"/>
      <c r="Q778" s="179"/>
      <c r="R778" s="179"/>
      <c r="S778" s="179"/>
      <c r="T778" s="179"/>
      <c r="U778" s="179"/>
      <c r="V778" s="179"/>
      <c r="W778" s="192"/>
      <c r="X778" s="192"/>
      <c r="Y778" s="192"/>
      <c r="Z778" s="158"/>
      <c r="AA778" s="158"/>
      <c r="AB778" s="158"/>
      <c r="AC778" s="158"/>
      <c r="AD778" s="158"/>
      <c r="AE778" s="158"/>
      <c r="AF778" s="158"/>
      <c r="AG778" s="158"/>
      <c r="AH778" s="158"/>
    </row>
    <row r="779" spans="1:34" ht="15.75" customHeight="1">
      <c r="A779" s="179"/>
      <c r="B779" s="180"/>
      <c r="C779" s="180"/>
      <c r="D779" s="179"/>
      <c r="E779" s="179"/>
      <c r="F779" s="179"/>
      <c r="G779" s="179"/>
      <c r="H779" s="181"/>
      <c r="I779" s="181"/>
      <c r="J779" s="181"/>
      <c r="K779" s="179"/>
      <c r="L779" s="179"/>
      <c r="M779" s="179"/>
      <c r="N779" s="181"/>
      <c r="O779" s="179"/>
      <c r="P779" s="179"/>
      <c r="Q779" s="179"/>
      <c r="R779" s="179"/>
      <c r="S779" s="179"/>
      <c r="T779" s="179"/>
      <c r="U779" s="179"/>
      <c r="V779" s="179"/>
      <c r="W779" s="192"/>
      <c r="X779" s="192"/>
      <c r="Y779" s="192"/>
      <c r="Z779" s="158"/>
      <c r="AA779" s="158"/>
      <c r="AB779" s="158"/>
      <c r="AC779" s="158"/>
      <c r="AD779" s="158"/>
      <c r="AE779" s="158"/>
      <c r="AF779" s="158"/>
      <c r="AG779" s="158"/>
      <c r="AH779" s="158"/>
    </row>
    <row r="780" spans="1:34" ht="15.75" customHeight="1">
      <c r="A780" s="179"/>
      <c r="B780" s="180"/>
      <c r="C780" s="180"/>
      <c r="D780" s="179"/>
      <c r="E780" s="179"/>
      <c r="F780" s="179"/>
      <c r="G780" s="179"/>
      <c r="H780" s="181"/>
      <c r="I780" s="181"/>
      <c r="J780" s="181"/>
      <c r="K780" s="179"/>
      <c r="L780" s="179"/>
      <c r="M780" s="179"/>
      <c r="N780" s="181"/>
      <c r="O780" s="179"/>
      <c r="P780" s="179"/>
      <c r="Q780" s="179"/>
      <c r="R780" s="179"/>
      <c r="S780" s="179"/>
      <c r="T780" s="179"/>
      <c r="U780" s="179"/>
      <c r="V780" s="179"/>
      <c r="W780" s="192"/>
      <c r="X780" s="192"/>
      <c r="Y780" s="192"/>
      <c r="Z780" s="158"/>
      <c r="AA780" s="158"/>
      <c r="AB780" s="158"/>
      <c r="AC780" s="158"/>
      <c r="AD780" s="158"/>
      <c r="AE780" s="158"/>
      <c r="AF780" s="158"/>
      <c r="AG780" s="158"/>
      <c r="AH780" s="158"/>
    </row>
    <row r="781" spans="1:34" ht="15.75" customHeight="1">
      <c r="A781" s="179"/>
      <c r="B781" s="180"/>
      <c r="C781" s="180"/>
      <c r="D781" s="179"/>
      <c r="E781" s="179"/>
      <c r="F781" s="179"/>
      <c r="G781" s="179"/>
      <c r="H781" s="181"/>
      <c r="I781" s="181"/>
      <c r="J781" s="181"/>
      <c r="K781" s="179"/>
      <c r="L781" s="179"/>
      <c r="M781" s="179"/>
      <c r="N781" s="181"/>
      <c r="O781" s="179"/>
      <c r="P781" s="179"/>
      <c r="Q781" s="179"/>
      <c r="R781" s="179"/>
      <c r="S781" s="179"/>
      <c r="T781" s="179"/>
      <c r="U781" s="179"/>
      <c r="V781" s="179"/>
      <c r="W781" s="192"/>
      <c r="X781" s="192"/>
      <c r="Y781" s="192"/>
      <c r="Z781" s="158"/>
      <c r="AA781" s="158"/>
      <c r="AB781" s="158"/>
      <c r="AC781" s="158"/>
      <c r="AD781" s="158"/>
      <c r="AE781" s="158"/>
      <c r="AF781" s="158"/>
      <c r="AG781" s="158"/>
      <c r="AH781" s="158"/>
    </row>
    <row r="782" spans="1:34" ht="15.75" customHeight="1">
      <c r="A782" s="179"/>
      <c r="B782" s="180"/>
      <c r="C782" s="180"/>
      <c r="D782" s="179"/>
      <c r="E782" s="179"/>
      <c r="F782" s="179"/>
      <c r="G782" s="179"/>
      <c r="H782" s="181"/>
      <c r="I782" s="181"/>
      <c r="J782" s="181"/>
      <c r="K782" s="179"/>
      <c r="L782" s="179"/>
      <c r="M782" s="179"/>
      <c r="N782" s="181"/>
      <c r="O782" s="179"/>
      <c r="P782" s="179"/>
      <c r="Q782" s="179"/>
      <c r="R782" s="179"/>
      <c r="S782" s="179"/>
      <c r="T782" s="179"/>
      <c r="U782" s="179"/>
      <c r="V782" s="179"/>
      <c r="W782" s="192"/>
      <c r="X782" s="192"/>
      <c r="Y782" s="192"/>
      <c r="Z782" s="158"/>
      <c r="AA782" s="158"/>
      <c r="AB782" s="158"/>
      <c r="AC782" s="158"/>
      <c r="AD782" s="158"/>
      <c r="AE782" s="158"/>
      <c r="AF782" s="158"/>
      <c r="AG782" s="158"/>
      <c r="AH782" s="158"/>
    </row>
    <row r="783" spans="1:34" ht="15.75" customHeight="1">
      <c r="A783" s="179"/>
      <c r="B783" s="180"/>
      <c r="C783" s="180"/>
      <c r="D783" s="179"/>
      <c r="E783" s="179"/>
      <c r="F783" s="179"/>
      <c r="G783" s="179"/>
      <c r="H783" s="181"/>
      <c r="I783" s="181"/>
      <c r="J783" s="181"/>
      <c r="K783" s="179"/>
      <c r="L783" s="179"/>
      <c r="M783" s="179"/>
      <c r="N783" s="181"/>
      <c r="O783" s="179"/>
      <c r="P783" s="179"/>
      <c r="Q783" s="179"/>
      <c r="R783" s="179"/>
      <c r="S783" s="179"/>
      <c r="T783" s="179"/>
      <c r="U783" s="179"/>
      <c r="V783" s="179"/>
      <c r="W783" s="192"/>
      <c r="X783" s="192"/>
      <c r="Y783" s="192"/>
      <c r="Z783" s="158"/>
      <c r="AA783" s="158"/>
      <c r="AB783" s="158"/>
      <c r="AC783" s="158"/>
      <c r="AD783" s="158"/>
      <c r="AE783" s="158"/>
      <c r="AF783" s="158"/>
      <c r="AG783" s="158"/>
      <c r="AH783" s="158"/>
    </row>
    <row r="784" spans="1:34" ht="15.75" customHeight="1">
      <c r="A784" s="179"/>
      <c r="B784" s="180"/>
      <c r="C784" s="180"/>
      <c r="D784" s="179"/>
      <c r="E784" s="179"/>
      <c r="F784" s="179"/>
      <c r="G784" s="179"/>
      <c r="H784" s="181"/>
      <c r="I784" s="181"/>
      <c r="J784" s="181"/>
      <c r="K784" s="179"/>
      <c r="L784" s="179"/>
      <c r="M784" s="179"/>
      <c r="N784" s="181"/>
      <c r="O784" s="179"/>
      <c r="P784" s="179"/>
      <c r="Q784" s="179"/>
      <c r="R784" s="179"/>
      <c r="S784" s="179"/>
      <c r="T784" s="179"/>
      <c r="U784" s="179"/>
      <c r="V784" s="179"/>
      <c r="W784" s="192"/>
      <c r="X784" s="192"/>
      <c r="Y784" s="192"/>
      <c r="Z784" s="158"/>
      <c r="AA784" s="158"/>
      <c r="AB784" s="158"/>
      <c r="AC784" s="158"/>
      <c r="AD784" s="158"/>
      <c r="AE784" s="158"/>
      <c r="AF784" s="158"/>
      <c r="AG784" s="158"/>
      <c r="AH784" s="158"/>
    </row>
    <row r="785" spans="1:34" ht="15.75" customHeight="1">
      <c r="A785" s="179"/>
      <c r="B785" s="180"/>
      <c r="C785" s="180"/>
      <c r="D785" s="179"/>
      <c r="E785" s="179"/>
      <c r="F785" s="179"/>
      <c r="G785" s="179"/>
      <c r="H785" s="181"/>
      <c r="I785" s="181"/>
      <c r="J785" s="181"/>
      <c r="K785" s="179"/>
      <c r="L785" s="179"/>
      <c r="M785" s="179"/>
      <c r="N785" s="181"/>
      <c r="O785" s="179"/>
      <c r="P785" s="179"/>
      <c r="Q785" s="179"/>
      <c r="R785" s="179"/>
      <c r="S785" s="179"/>
      <c r="T785" s="179"/>
      <c r="U785" s="179"/>
      <c r="V785" s="179"/>
      <c r="W785" s="192"/>
      <c r="X785" s="192"/>
      <c r="Y785" s="192"/>
      <c r="Z785" s="158"/>
      <c r="AA785" s="158"/>
      <c r="AB785" s="158"/>
      <c r="AC785" s="158"/>
      <c r="AD785" s="158"/>
      <c r="AE785" s="158"/>
      <c r="AF785" s="158"/>
      <c r="AG785" s="158"/>
      <c r="AH785" s="158"/>
    </row>
    <row r="786" spans="1:34" ht="15.75" customHeight="1">
      <c r="A786" s="179"/>
      <c r="B786" s="180"/>
      <c r="C786" s="180"/>
      <c r="D786" s="179"/>
      <c r="E786" s="179"/>
      <c r="F786" s="179"/>
      <c r="G786" s="179"/>
      <c r="H786" s="181"/>
      <c r="I786" s="181"/>
      <c r="J786" s="181"/>
      <c r="K786" s="179"/>
      <c r="L786" s="179"/>
      <c r="M786" s="179"/>
      <c r="N786" s="181"/>
      <c r="O786" s="179"/>
      <c r="P786" s="179"/>
      <c r="Q786" s="179"/>
      <c r="R786" s="179"/>
      <c r="S786" s="179"/>
      <c r="T786" s="179"/>
      <c r="U786" s="179"/>
      <c r="V786" s="179"/>
      <c r="W786" s="192"/>
      <c r="X786" s="192"/>
      <c r="Y786" s="192"/>
      <c r="Z786" s="158"/>
      <c r="AA786" s="158"/>
      <c r="AB786" s="158"/>
      <c r="AC786" s="158"/>
      <c r="AD786" s="158"/>
      <c r="AE786" s="158"/>
      <c r="AF786" s="158"/>
      <c r="AG786" s="158"/>
      <c r="AH786" s="158"/>
    </row>
    <row r="787" spans="1:34" ht="15.75" customHeight="1">
      <c r="A787" s="179"/>
      <c r="B787" s="180"/>
      <c r="C787" s="180"/>
      <c r="D787" s="179"/>
      <c r="E787" s="179"/>
      <c r="F787" s="179"/>
      <c r="G787" s="179"/>
      <c r="H787" s="181"/>
      <c r="I787" s="181"/>
      <c r="J787" s="181"/>
      <c r="K787" s="179"/>
      <c r="L787" s="179"/>
      <c r="M787" s="179"/>
      <c r="N787" s="181"/>
      <c r="O787" s="179"/>
      <c r="P787" s="179"/>
      <c r="Q787" s="179"/>
      <c r="R787" s="179"/>
      <c r="S787" s="179"/>
      <c r="T787" s="179"/>
      <c r="U787" s="179"/>
      <c r="V787" s="179"/>
      <c r="W787" s="192"/>
      <c r="X787" s="192"/>
      <c r="Y787" s="192"/>
      <c r="Z787" s="158"/>
      <c r="AA787" s="158"/>
      <c r="AB787" s="158"/>
      <c r="AC787" s="158"/>
      <c r="AD787" s="158"/>
      <c r="AE787" s="158"/>
      <c r="AF787" s="158"/>
      <c r="AG787" s="158"/>
      <c r="AH787" s="158"/>
    </row>
    <row r="788" spans="1:34" ht="15.75" customHeight="1">
      <c r="A788" s="179"/>
      <c r="B788" s="180"/>
      <c r="C788" s="180"/>
      <c r="D788" s="179"/>
      <c r="E788" s="179"/>
      <c r="F788" s="179"/>
      <c r="G788" s="179"/>
      <c r="H788" s="181"/>
      <c r="I788" s="181"/>
      <c r="J788" s="181"/>
      <c r="K788" s="179"/>
      <c r="L788" s="179"/>
      <c r="M788" s="179"/>
      <c r="N788" s="181"/>
      <c r="O788" s="179"/>
      <c r="P788" s="179"/>
      <c r="Q788" s="179"/>
      <c r="R788" s="179"/>
      <c r="S788" s="179"/>
      <c r="T788" s="179"/>
      <c r="U788" s="179"/>
      <c r="V788" s="179"/>
      <c r="W788" s="192"/>
      <c r="X788" s="192"/>
      <c r="Y788" s="192"/>
      <c r="Z788" s="158"/>
      <c r="AA788" s="158"/>
      <c r="AB788" s="158"/>
      <c r="AC788" s="158"/>
      <c r="AD788" s="158"/>
      <c r="AE788" s="158"/>
      <c r="AF788" s="158"/>
      <c r="AG788" s="158"/>
      <c r="AH788" s="158"/>
    </row>
    <row r="789" spans="1:34" ht="15.75" customHeight="1">
      <c r="A789" s="179"/>
      <c r="B789" s="180"/>
      <c r="C789" s="180"/>
      <c r="D789" s="179"/>
      <c r="E789" s="179"/>
      <c r="F789" s="179"/>
      <c r="G789" s="179"/>
      <c r="H789" s="181"/>
      <c r="I789" s="181"/>
      <c r="J789" s="181"/>
      <c r="K789" s="179"/>
      <c r="L789" s="179"/>
      <c r="M789" s="179"/>
      <c r="N789" s="181"/>
      <c r="O789" s="179"/>
      <c r="P789" s="179"/>
      <c r="Q789" s="179"/>
      <c r="R789" s="179"/>
      <c r="S789" s="179"/>
      <c r="T789" s="179"/>
      <c r="U789" s="179"/>
      <c r="V789" s="179"/>
      <c r="W789" s="192"/>
      <c r="X789" s="192"/>
      <c r="Y789" s="192"/>
      <c r="Z789" s="158"/>
      <c r="AA789" s="158"/>
      <c r="AB789" s="158"/>
      <c r="AC789" s="158"/>
      <c r="AD789" s="158"/>
      <c r="AE789" s="158"/>
      <c r="AF789" s="158"/>
      <c r="AG789" s="158"/>
      <c r="AH789" s="158"/>
    </row>
    <row r="790" spans="1:34" ht="15.75" customHeight="1">
      <c r="A790" s="179"/>
      <c r="B790" s="180"/>
      <c r="C790" s="180"/>
      <c r="D790" s="179"/>
      <c r="E790" s="179"/>
      <c r="F790" s="179"/>
      <c r="G790" s="179"/>
      <c r="H790" s="181"/>
      <c r="I790" s="181"/>
      <c r="J790" s="181"/>
      <c r="K790" s="179"/>
      <c r="L790" s="179"/>
      <c r="M790" s="179"/>
      <c r="N790" s="181"/>
      <c r="O790" s="179"/>
      <c r="P790" s="179"/>
      <c r="Q790" s="179"/>
      <c r="R790" s="179"/>
      <c r="S790" s="179"/>
      <c r="T790" s="179"/>
      <c r="U790" s="179"/>
      <c r="V790" s="179"/>
      <c r="W790" s="192"/>
      <c r="X790" s="192"/>
      <c r="Y790" s="192"/>
      <c r="Z790" s="158"/>
      <c r="AA790" s="158"/>
      <c r="AB790" s="158"/>
      <c r="AC790" s="158"/>
      <c r="AD790" s="158"/>
      <c r="AE790" s="158"/>
      <c r="AF790" s="158"/>
      <c r="AG790" s="158"/>
      <c r="AH790" s="158"/>
    </row>
    <row r="791" spans="1:34" ht="15.75" customHeight="1">
      <c r="A791" s="179"/>
      <c r="B791" s="180"/>
      <c r="C791" s="180"/>
      <c r="D791" s="179"/>
      <c r="E791" s="179"/>
      <c r="F791" s="179"/>
      <c r="G791" s="179"/>
      <c r="H791" s="181"/>
      <c r="I791" s="181"/>
      <c r="J791" s="181"/>
      <c r="K791" s="179"/>
      <c r="L791" s="179"/>
      <c r="M791" s="179"/>
      <c r="N791" s="181"/>
      <c r="O791" s="179"/>
      <c r="P791" s="179"/>
      <c r="Q791" s="179"/>
      <c r="R791" s="179"/>
      <c r="S791" s="179"/>
      <c r="T791" s="179"/>
      <c r="U791" s="179"/>
      <c r="V791" s="179"/>
      <c r="W791" s="192"/>
      <c r="X791" s="192"/>
      <c r="Y791" s="192"/>
      <c r="Z791" s="158"/>
      <c r="AA791" s="158"/>
      <c r="AB791" s="158"/>
      <c r="AC791" s="158"/>
      <c r="AD791" s="158"/>
      <c r="AE791" s="158"/>
      <c r="AF791" s="158"/>
      <c r="AG791" s="158"/>
      <c r="AH791" s="158"/>
    </row>
    <row r="792" spans="1:34" ht="15.75" customHeight="1">
      <c r="A792" s="179"/>
      <c r="B792" s="180"/>
      <c r="C792" s="180"/>
      <c r="D792" s="179"/>
      <c r="E792" s="179"/>
      <c r="F792" s="179"/>
      <c r="G792" s="179"/>
      <c r="H792" s="181"/>
      <c r="I792" s="181"/>
      <c r="J792" s="181"/>
      <c r="K792" s="179"/>
      <c r="L792" s="179"/>
      <c r="M792" s="179"/>
      <c r="N792" s="181"/>
      <c r="O792" s="179"/>
      <c r="P792" s="179"/>
      <c r="Q792" s="179"/>
      <c r="R792" s="179"/>
      <c r="S792" s="179"/>
      <c r="T792" s="179"/>
      <c r="U792" s="179"/>
      <c r="V792" s="179"/>
      <c r="W792" s="192"/>
      <c r="X792" s="192"/>
      <c r="Y792" s="192"/>
      <c r="Z792" s="158"/>
      <c r="AA792" s="158"/>
      <c r="AB792" s="158"/>
      <c r="AC792" s="158"/>
      <c r="AD792" s="158"/>
      <c r="AE792" s="158"/>
      <c r="AF792" s="158"/>
      <c r="AG792" s="158"/>
      <c r="AH792" s="158"/>
    </row>
    <row r="793" spans="1:34" ht="15.75" customHeight="1">
      <c r="A793" s="179"/>
      <c r="B793" s="180"/>
      <c r="C793" s="180"/>
      <c r="D793" s="179"/>
      <c r="E793" s="179"/>
      <c r="F793" s="179"/>
      <c r="G793" s="179"/>
      <c r="H793" s="181"/>
      <c r="I793" s="181"/>
      <c r="J793" s="181"/>
      <c r="K793" s="179"/>
      <c r="L793" s="179"/>
      <c r="M793" s="179"/>
      <c r="N793" s="181"/>
      <c r="O793" s="179"/>
      <c r="P793" s="179"/>
      <c r="Q793" s="179"/>
      <c r="R793" s="179"/>
      <c r="S793" s="179"/>
      <c r="T793" s="179"/>
      <c r="U793" s="179"/>
      <c r="V793" s="179"/>
      <c r="W793" s="192"/>
      <c r="X793" s="192"/>
      <c r="Y793" s="192"/>
      <c r="Z793" s="158"/>
      <c r="AA793" s="158"/>
      <c r="AB793" s="158"/>
      <c r="AC793" s="158"/>
      <c r="AD793" s="158"/>
      <c r="AE793" s="158"/>
      <c r="AF793" s="158"/>
      <c r="AG793" s="158"/>
      <c r="AH793" s="158"/>
    </row>
    <row r="794" spans="1:34" ht="15.75" customHeight="1">
      <c r="A794" s="179"/>
      <c r="B794" s="180"/>
      <c r="C794" s="180"/>
      <c r="D794" s="179"/>
      <c r="E794" s="179"/>
      <c r="F794" s="179"/>
      <c r="G794" s="179"/>
      <c r="H794" s="181"/>
      <c r="I794" s="181"/>
      <c r="J794" s="181"/>
      <c r="K794" s="179"/>
      <c r="L794" s="179"/>
      <c r="M794" s="179"/>
      <c r="N794" s="181"/>
      <c r="O794" s="179"/>
      <c r="P794" s="179"/>
      <c r="Q794" s="179"/>
      <c r="R794" s="179"/>
      <c r="S794" s="179"/>
      <c r="T794" s="179"/>
      <c r="U794" s="179"/>
      <c r="V794" s="179"/>
      <c r="W794" s="192"/>
      <c r="X794" s="192"/>
      <c r="Y794" s="192"/>
      <c r="Z794" s="158"/>
      <c r="AA794" s="158"/>
      <c r="AB794" s="158"/>
      <c r="AC794" s="158"/>
      <c r="AD794" s="158"/>
      <c r="AE794" s="158"/>
      <c r="AF794" s="158"/>
      <c r="AG794" s="158"/>
      <c r="AH794" s="158"/>
    </row>
    <row r="795" spans="1:34" ht="15.75" customHeight="1">
      <c r="A795" s="179"/>
      <c r="B795" s="180"/>
      <c r="C795" s="180"/>
      <c r="D795" s="179"/>
      <c r="E795" s="179"/>
      <c r="F795" s="179"/>
      <c r="G795" s="179"/>
      <c r="H795" s="181"/>
      <c r="I795" s="181"/>
      <c r="J795" s="181"/>
      <c r="K795" s="179"/>
      <c r="L795" s="179"/>
      <c r="M795" s="179"/>
      <c r="N795" s="181"/>
      <c r="O795" s="179"/>
      <c r="P795" s="179"/>
      <c r="Q795" s="179"/>
      <c r="R795" s="179"/>
      <c r="S795" s="179"/>
      <c r="T795" s="179"/>
      <c r="U795" s="179"/>
      <c r="V795" s="179"/>
      <c r="W795" s="192"/>
      <c r="X795" s="192"/>
      <c r="Y795" s="192"/>
      <c r="Z795" s="158"/>
      <c r="AA795" s="158"/>
      <c r="AB795" s="158"/>
      <c r="AC795" s="158"/>
      <c r="AD795" s="158"/>
      <c r="AE795" s="158"/>
      <c r="AF795" s="158"/>
      <c r="AG795" s="158"/>
      <c r="AH795" s="158"/>
    </row>
    <row r="796" spans="1:34" ht="15.75" customHeight="1">
      <c r="A796" s="179"/>
      <c r="B796" s="180"/>
      <c r="C796" s="180"/>
      <c r="D796" s="179"/>
      <c r="E796" s="179"/>
      <c r="F796" s="179"/>
      <c r="G796" s="179"/>
      <c r="H796" s="181"/>
      <c r="I796" s="181"/>
      <c r="J796" s="181"/>
      <c r="K796" s="179"/>
      <c r="L796" s="179"/>
      <c r="M796" s="179"/>
      <c r="N796" s="181"/>
      <c r="O796" s="179"/>
      <c r="P796" s="179"/>
      <c r="Q796" s="179"/>
      <c r="R796" s="179"/>
      <c r="S796" s="179"/>
      <c r="T796" s="179"/>
      <c r="U796" s="179"/>
      <c r="V796" s="179"/>
      <c r="W796" s="192"/>
      <c r="X796" s="192"/>
      <c r="Y796" s="192"/>
      <c r="Z796" s="158"/>
      <c r="AA796" s="158"/>
      <c r="AB796" s="158"/>
      <c r="AC796" s="158"/>
      <c r="AD796" s="158"/>
      <c r="AE796" s="158"/>
      <c r="AF796" s="158"/>
      <c r="AG796" s="158"/>
      <c r="AH796" s="158"/>
    </row>
    <row r="797" spans="1:34" ht="15.75" customHeight="1">
      <c r="A797" s="179"/>
      <c r="B797" s="180"/>
      <c r="C797" s="180"/>
      <c r="D797" s="179"/>
      <c r="E797" s="179"/>
      <c r="F797" s="179"/>
      <c r="G797" s="179"/>
      <c r="H797" s="181"/>
      <c r="I797" s="181"/>
      <c r="J797" s="181"/>
      <c r="K797" s="179"/>
      <c r="L797" s="179"/>
      <c r="M797" s="179"/>
      <c r="N797" s="181"/>
      <c r="O797" s="179"/>
      <c r="P797" s="179"/>
      <c r="Q797" s="179"/>
      <c r="R797" s="179"/>
      <c r="S797" s="179"/>
      <c r="T797" s="179"/>
      <c r="U797" s="179"/>
      <c r="V797" s="179"/>
      <c r="W797" s="192"/>
      <c r="X797" s="192"/>
      <c r="Y797" s="192"/>
      <c r="Z797" s="158"/>
      <c r="AA797" s="158"/>
      <c r="AB797" s="158"/>
      <c r="AC797" s="158"/>
      <c r="AD797" s="158"/>
      <c r="AE797" s="158"/>
      <c r="AF797" s="158"/>
      <c r="AG797" s="158"/>
      <c r="AH797" s="158"/>
    </row>
    <row r="798" spans="1:34" ht="15.75" customHeight="1">
      <c r="A798" s="179"/>
      <c r="B798" s="180"/>
      <c r="C798" s="180"/>
      <c r="D798" s="179"/>
      <c r="E798" s="179"/>
      <c r="F798" s="179"/>
      <c r="G798" s="179"/>
      <c r="H798" s="181"/>
      <c r="I798" s="181"/>
      <c r="J798" s="181"/>
      <c r="K798" s="179"/>
      <c r="L798" s="179"/>
      <c r="M798" s="179"/>
      <c r="N798" s="181"/>
      <c r="O798" s="179"/>
      <c r="P798" s="179"/>
      <c r="Q798" s="179"/>
      <c r="R798" s="179"/>
      <c r="S798" s="179"/>
      <c r="T798" s="179"/>
      <c r="U798" s="179"/>
      <c r="V798" s="179"/>
      <c r="W798" s="192"/>
      <c r="X798" s="192"/>
      <c r="Y798" s="192"/>
      <c r="Z798" s="158"/>
      <c r="AA798" s="158"/>
      <c r="AB798" s="158"/>
      <c r="AC798" s="158"/>
      <c r="AD798" s="158"/>
      <c r="AE798" s="158"/>
      <c r="AF798" s="158"/>
      <c r="AG798" s="158"/>
      <c r="AH798" s="158"/>
    </row>
    <row r="799" spans="1:34" ht="15.75" customHeight="1">
      <c r="A799" s="179"/>
      <c r="B799" s="180"/>
      <c r="C799" s="180"/>
      <c r="D799" s="179"/>
      <c r="E799" s="179"/>
      <c r="F799" s="179"/>
      <c r="G799" s="179"/>
      <c r="H799" s="181"/>
      <c r="I799" s="181"/>
      <c r="J799" s="181"/>
      <c r="K799" s="179"/>
      <c r="L799" s="179"/>
      <c r="M799" s="179"/>
      <c r="N799" s="181"/>
      <c r="O799" s="179"/>
      <c r="P799" s="179"/>
      <c r="Q799" s="179"/>
      <c r="R799" s="179"/>
      <c r="S799" s="179"/>
      <c r="T799" s="179"/>
      <c r="U799" s="179"/>
      <c r="V799" s="179"/>
      <c r="W799" s="192"/>
      <c r="X799" s="192"/>
      <c r="Y799" s="192"/>
      <c r="Z799" s="158"/>
      <c r="AA799" s="158"/>
      <c r="AB799" s="158"/>
      <c r="AC799" s="158"/>
      <c r="AD799" s="158"/>
      <c r="AE799" s="158"/>
      <c r="AF799" s="158"/>
      <c r="AG799" s="158"/>
      <c r="AH799" s="158"/>
    </row>
    <row r="800" spans="1:34" ht="15.75" customHeight="1">
      <c r="A800" s="179"/>
      <c r="B800" s="180"/>
      <c r="C800" s="180"/>
      <c r="D800" s="179"/>
      <c r="E800" s="179"/>
      <c r="F800" s="179"/>
      <c r="G800" s="179"/>
      <c r="H800" s="181"/>
      <c r="I800" s="181"/>
      <c r="J800" s="181"/>
      <c r="K800" s="179"/>
      <c r="L800" s="179"/>
      <c r="M800" s="179"/>
      <c r="N800" s="181"/>
      <c r="O800" s="179"/>
      <c r="P800" s="179"/>
      <c r="Q800" s="179"/>
      <c r="R800" s="179"/>
      <c r="S800" s="179"/>
      <c r="T800" s="179"/>
      <c r="U800" s="179"/>
      <c r="V800" s="179"/>
      <c r="W800" s="192"/>
      <c r="X800" s="192"/>
      <c r="Y800" s="192"/>
      <c r="Z800" s="158"/>
      <c r="AA800" s="158"/>
      <c r="AB800" s="158"/>
      <c r="AC800" s="158"/>
      <c r="AD800" s="158"/>
      <c r="AE800" s="158"/>
      <c r="AF800" s="158"/>
      <c r="AG800" s="158"/>
      <c r="AH800" s="158"/>
    </row>
    <row r="801" spans="1:34" ht="15.75" customHeight="1">
      <c r="A801" s="179"/>
      <c r="B801" s="180"/>
      <c r="C801" s="180"/>
      <c r="D801" s="179"/>
      <c r="E801" s="179"/>
      <c r="F801" s="179"/>
      <c r="G801" s="179"/>
      <c r="H801" s="181"/>
      <c r="I801" s="181"/>
      <c r="J801" s="181"/>
      <c r="K801" s="179"/>
      <c r="L801" s="179"/>
      <c r="M801" s="179"/>
      <c r="N801" s="181"/>
      <c r="O801" s="179"/>
      <c r="P801" s="179"/>
      <c r="Q801" s="179"/>
      <c r="R801" s="179"/>
      <c r="S801" s="179"/>
      <c r="T801" s="179"/>
      <c r="U801" s="179"/>
      <c r="V801" s="179"/>
      <c r="W801" s="192"/>
      <c r="X801" s="192"/>
      <c r="Y801" s="192"/>
      <c r="Z801" s="158"/>
      <c r="AA801" s="158"/>
      <c r="AB801" s="158"/>
      <c r="AC801" s="158"/>
      <c r="AD801" s="158"/>
      <c r="AE801" s="158"/>
      <c r="AF801" s="158"/>
      <c r="AG801" s="158"/>
      <c r="AH801" s="158"/>
    </row>
    <row r="802" spans="1:34" ht="15.75" customHeight="1">
      <c r="A802" s="179"/>
      <c r="B802" s="180"/>
      <c r="C802" s="180"/>
      <c r="D802" s="179"/>
      <c r="E802" s="179"/>
      <c r="F802" s="179"/>
      <c r="G802" s="179"/>
      <c r="H802" s="181"/>
      <c r="I802" s="181"/>
      <c r="J802" s="181"/>
      <c r="K802" s="179"/>
      <c r="L802" s="179"/>
      <c r="M802" s="179"/>
      <c r="N802" s="181"/>
      <c r="O802" s="179"/>
      <c r="P802" s="179"/>
      <c r="Q802" s="179"/>
      <c r="R802" s="179"/>
      <c r="S802" s="179"/>
      <c r="T802" s="179"/>
      <c r="U802" s="179"/>
      <c r="V802" s="179"/>
      <c r="W802" s="192"/>
      <c r="X802" s="192"/>
      <c r="Y802" s="192"/>
      <c r="Z802" s="158"/>
      <c r="AA802" s="158"/>
      <c r="AB802" s="158"/>
      <c r="AC802" s="158"/>
      <c r="AD802" s="158"/>
      <c r="AE802" s="158"/>
      <c r="AF802" s="158"/>
      <c r="AG802" s="158"/>
      <c r="AH802" s="158"/>
    </row>
    <row r="803" spans="1:34" ht="15.75" customHeight="1">
      <c r="A803" s="179"/>
      <c r="B803" s="180"/>
      <c r="C803" s="180"/>
      <c r="D803" s="179"/>
      <c r="E803" s="179"/>
      <c r="F803" s="179"/>
      <c r="G803" s="179"/>
      <c r="H803" s="181"/>
      <c r="I803" s="181"/>
      <c r="J803" s="181"/>
      <c r="K803" s="179"/>
      <c r="L803" s="179"/>
      <c r="M803" s="179"/>
      <c r="N803" s="181"/>
      <c r="O803" s="179"/>
      <c r="P803" s="179"/>
      <c r="Q803" s="179"/>
      <c r="R803" s="179"/>
      <c r="S803" s="179"/>
      <c r="T803" s="179"/>
      <c r="U803" s="179"/>
      <c r="V803" s="179"/>
      <c r="W803" s="192"/>
      <c r="X803" s="192"/>
      <c r="Y803" s="192"/>
      <c r="Z803" s="158"/>
      <c r="AA803" s="158"/>
      <c r="AB803" s="158"/>
      <c r="AC803" s="158"/>
      <c r="AD803" s="158"/>
      <c r="AE803" s="158"/>
      <c r="AF803" s="158"/>
      <c r="AG803" s="158"/>
      <c r="AH803" s="158"/>
    </row>
    <row r="804" spans="1:34" ht="15.75" customHeight="1">
      <c r="A804" s="179"/>
      <c r="B804" s="180"/>
      <c r="C804" s="180"/>
      <c r="D804" s="179"/>
      <c r="E804" s="179"/>
      <c r="F804" s="179"/>
      <c r="G804" s="179"/>
      <c r="H804" s="181"/>
      <c r="I804" s="181"/>
      <c r="J804" s="181"/>
      <c r="K804" s="179"/>
      <c r="L804" s="179"/>
      <c r="M804" s="179"/>
      <c r="N804" s="181"/>
      <c r="O804" s="179"/>
      <c r="P804" s="179"/>
      <c r="Q804" s="179"/>
      <c r="R804" s="179"/>
      <c r="S804" s="179"/>
      <c r="T804" s="179"/>
      <c r="U804" s="179"/>
      <c r="V804" s="179"/>
      <c r="W804" s="192"/>
      <c r="X804" s="192"/>
      <c r="Y804" s="192"/>
      <c r="Z804" s="158"/>
      <c r="AA804" s="158"/>
      <c r="AB804" s="158"/>
      <c r="AC804" s="158"/>
      <c r="AD804" s="158"/>
      <c r="AE804" s="158"/>
      <c r="AF804" s="158"/>
      <c r="AG804" s="158"/>
      <c r="AH804" s="158"/>
    </row>
    <row r="805" spans="1:34" ht="15.75" customHeight="1">
      <c r="A805" s="179"/>
      <c r="B805" s="180"/>
      <c r="C805" s="180"/>
      <c r="D805" s="179"/>
      <c r="E805" s="179"/>
      <c r="F805" s="179"/>
      <c r="G805" s="179"/>
      <c r="H805" s="181"/>
      <c r="I805" s="181"/>
      <c r="J805" s="181"/>
      <c r="K805" s="179"/>
      <c r="L805" s="179"/>
      <c r="M805" s="179"/>
      <c r="N805" s="181"/>
      <c r="O805" s="179"/>
      <c r="P805" s="179"/>
      <c r="Q805" s="179"/>
      <c r="R805" s="179"/>
      <c r="S805" s="179"/>
      <c r="T805" s="179"/>
      <c r="U805" s="179"/>
      <c r="V805" s="179"/>
      <c r="W805" s="192"/>
      <c r="X805" s="192"/>
      <c r="Y805" s="192"/>
      <c r="Z805" s="158"/>
      <c r="AA805" s="158"/>
      <c r="AB805" s="158"/>
      <c r="AC805" s="158"/>
      <c r="AD805" s="158"/>
      <c r="AE805" s="158"/>
      <c r="AF805" s="158"/>
      <c r="AG805" s="158"/>
      <c r="AH805" s="158"/>
    </row>
    <row r="806" spans="1:34" ht="15.75" customHeight="1">
      <c r="A806" s="179"/>
      <c r="B806" s="180"/>
      <c r="C806" s="180"/>
      <c r="D806" s="179"/>
      <c r="E806" s="179"/>
      <c r="F806" s="179"/>
      <c r="G806" s="179"/>
      <c r="H806" s="181"/>
      <c r="I806" s="181"/>
      <c r="J806" s="181"/>
      <c r="K806" s="179"/>
      <c r="L806" s="179"/>
      <c r="M806" s="179"/>
      <c r="N806" s="181"/>
      <c r="O806" s="179"/>
      <c r="P806" s="179"/>
      <c r="Q806" s="179"/>
      <c r="R806" s="179"/>
      <c r="S806" s="179"/>
      <c r="T806" s="179"/>
      <c r="U806" s="179"/>
      <c r="V806" s="179"/>
      <c r="W806" s="192"/>
      <c r="X806" s="192"/>
      <c r="Y806" s="192"/>
      <c r="Z806" s="158"/>
      <c r="AA806" s="158"/>
      <c r="AB806" s="158"/>
      <c r="AC806" s="158"/>
      <c r="AD806" s="158"/>
      <c r="AE806" s="158"/>
      <c r="AF806" s="158"/>
      <c r="AG806" s="158"/>
      <c r="AH806" s="158"/>
    </row>
    <row r="807" spans="1:34" ht="15.75" customHeight="1">
      <c r="A807" s="179"/>
      <c r="B807" s="180"/>
      <c r="C807" s="180"/>
      <c r="D807" s="179"/>
      <c r="E807" s="179"/>
      <c r="F807" s="179"/>
      <c r="G807" s="179"/>
      <c r="H807" s="181"/>
      <c r="I807" s="181"/>
      <c r="J807" s="181"/>
      <c r="K807" s="179"/>
      <c r="L807" s="179"/>
      <c r="M807" s="179"/>
      <c r="N807" s="181"/>
      <c r="O807" s="179"/>
      <c r="P807" s="179"/>
      <c r="Q807" s="179"/>
      <c r="R807" s="179"/>
      <c r="S807" s="179"/>
      <c r="T807" s="179"/>
      <c r="U807" s="179"/>
      <c r="V807" s="179"/>
      <c r="W807" s="192"/>
      <c r="X807" s="192"/>
      <c r="Y807" s="192"/>
      <c r="Z807" s="158"/>
      <c r="AA807" s="158"/>
      <c r="AB807" s="158"/>
      <c r="AC807" s="158"/>
      <c r="AD807" s="158"/>
      <c r="AE807" s="158"/>
      <c r="AF807" s="158"/>
      <c r="AG807" s="158"/>
      <c r="AH807" s="158"/>
    </row>
    <row r="808" spans="1:34" ht="15.75" customHeight="1">
      <c r="A808" s="179"/>
      <c r="B808" s="180"/>
      <c r="C808" s="180"/>
      <c r="D808" s="179"/>
      <c r="E808" s="179"/>
      <c r="F808" s="179"/>
      <c r="G808" s="179"/>
      <c r="H808" s="181"/>
      <c r="I808" s="181"/>
      <c r="J808" s="181"/>
      <c r="K808" s="179"/>
      <c r="L808" s="179"/>
      <c r="M808" s="179"/>
      <c r="N808" s="181"/>
      <c r="O808" s="179"/>
      <c r="P808" s="179"/>
      <c r="Q808" s="179"/>
      <c r="R808" s="179"/>
      <c r="S808" s="179"/>
      <c r="T808" s="179"/>
      <c r="U808" s="179"/>
      <c r="V808" s="179"/>
      <c r="W808" s="192"/>
      <c r="X808" s="192"/>
      <c r="Y808" s="192"/>
      <c r="Z808" s="158"/>
      <c r="AA808" s="158"/>
      <c r="AB808" s="158"/>
      <c r="AC808" s="158"/>
      <c r="AD808" s="158"/>
      <c r="AE808" s="158"/>
      <c r="AF808" s="158"/>
      <c r="AG808" s="158"/>
      <c r="AH808" s="158"/>
    </row>
    <row r="809" spans="1:34" ht="15.75" customHeight="1">
      <c r="A809" s="179"/>
      <c r="B809" s="180"/>
      <c r="C809" s="180"/>
      <c r="D809" s="179"/>
      <c r="E809" s="179"/>
      <c r="F809" s="179"/>
      <c r="G809" s="179"/>
      <c r="H809" s="181"/>
      <c r="I809" s="181"/>
      <c r="J809" s="181"/>
      <c r="K809" s="179"/>
      <c r="L809" s="179"/>
      <c r="M809" s="179"/>
      <c r="N809" s="181"/>
      <c r="O809" s="179"/>
      <c r="P809" s="179"/>
      <c r="Q809" s="179"/>
      <c r="R809" s="179"/>
      <c r="S809" s="179"/>
      <c r="T809" s="179"/>
      <c r="U809" s="179"/>
      <c r="V809" s="179"/>
      <c r="W809" s="192"/>
      <c r="X809" s="192"/>
      <c r="Y809" s="192"/>
      <c r="Z809" s="158"/>
      <c r="AA809" s="158"/>
      <c r="AB809" s="158"/>
      <c r="AC809" s="158"/>
      <c r="AD809" s="158"/>
      <c r="AE809" s="158"/>
      <c r="AF809" s="158"/>
      <c r="AG809" s="158"/>
      <c r="AH809" s="158"/>
    </row>
    <row r="810" spans="1:34" ht="15.75" customHeight="1">
      <c r="A810" s="179"/>
      <c r="B810" s="180"/>
      <c r="C810" s="180"/>
      <c r="D810" s="179"/>
      <c r="E810" s="179"/>
      <c r="F810" s="179"/>
      <c r="G810" s="179"/>
      <c r="H810" s="181"/>
      <c r="I810" s="181"/>
      <c r="J810" s="181"/>
      <c r="K810" s="179"/>
      <c r="L810" s="179"/>
      <c r="M810" s="179"/>
      <c r="N810" s="181"/>
      <c r="O810" s="179"/>
      <c r="P810" s="179"/>
      <c r="Q810" s="179"/>
      <c r="R810" s="179"/>
      <c r="S810" s="179"/>
      <c r="T810" s="179"/>
      <c r="U810" s="179"/>
      <c r="V810" s="179"/>
      <c r="W810" s="192"/>
      <c r="X810" s="192"/>
      <c r="Y810" s="192"/>
      <c r="Z810" s="158"/>
      <c r="AA810" s="158"/>
      <c r="AB810" s="158"/>
      <c r="AC810" s="158"/>
      <c r="AD810" s="158"/>
      <c r="AE810" s="158"/>
      <c r="AF810" s="158"/>
      <c r="AG810" s="158"/>
      <c r="AH810" s="158"/>
    </row>
    <row r="811" spans="1:34" ht="15.75" customHeight="1">
      <c r="A811" s="179"/>
      <c r="B811" s="180"/>
      <c r="C811" s="180"/>
      <c r="D811" s="179"/>
      <c r="E811" s="179"/>
      <c r="F811" s="179"/>
      <c r="G811" s="179"/>
      <c r="H811" s="181"/>
      <c r="I811" s="181"/>
      <c r="J811" s="181"/>
      <c r="K811" s="179"/>
      <c r="L811" s="179"/>
      <c r="M811" s="179"/>
      <c r="N811" s="181"/>
      <c r="O811" s="179"/>
      <c r="P811" s="179"/>
      <c r="Q811" s="179"/>
      <c r="R811" s="179"/>
      <c r="S811" s="179"/>
      <c r="T811" s="179"/>
      <c r="U811" s="179"/>
      <c r="V811" s="179"/>
      <c r="W811" s="192"/>
      <c r="X811" s="192"/>
      <c r="Y811" s="192"/>
      <c r="Z811" s="158"/>
      <c r="AA811" s="158"/>
      <c r="AB811" s="158"/>
      <c r="AC811" s="158"/>
      <c r="AD811" s="158"/>
      <c r="AE811" s="158"/>
      <c r="AF811" s="158"/>
      <c r="AG811" s="158"/>
      <c r="AH811" s="158"/>
    </row>
    <row r="812" spans="1:34" ht="15.75" customHeight="1">
      <c r="A812" s="179"/>
      <c r="B812" s="180"/>
      <c r="C812" s="180"/>
      <c r="D812" s="179"/>
      <c r="E812" s="179"/>
      <c r="F812" s="179"/>
      <c r="G812" s="179"/>
      <c r="H812" s="181"/>
      <c r="I812" s="181"/>
      <c r="J812" s="181"/>
      <c r="K812" s="179"/>
      <c r="L812" s="179"/>
      <c r="M812" s="179"/>
      <c r="N812" s="181"/>
      <c r="O812" s="179"/>
      <c r="P812" s="179"/>
      <c r="Q812" s="179"/>
      <c r="R812" s="179"/>
      <c r="S812" s="179"/>
      <c r="T812" s="179"/>
      <c r="U812" s="179"/>
      <c r="V812" s="179"/>
      <c r="W812" s="192"/>
      <c r="X812" s="192"/>
      <c r="Y812" s="192"/>
      <c r="Z812" s="158"/>
      <c r="AA812" s="158"/>
      <c r="AB812" s="158"/>
      <c r="AC812" s="158"/>
      <c r="AD812" s="158"/>
      <c r="AE812" s="158"/>
      <c r="AF812" s="158"/>
      <c r="AG812" s="158"/>
      <c r="AH812" s="158"/>
    </row>
    <row r="813" spans="1:34" ht="15.75" customHeight="1">
      <c r="A813" s="179"/>
      <c r="B813" s="180"/>
      <c r="C813" s="180"/>
      <c r="D813" s="179"/>
      <c r="E813" s="179"/>
      <c r="F813" s="179"/>
      <c r="G813" s="179"/>
      <c r="H813" s="181"/>
      <c r="I813" s="181"/>
      <c r="J813" s="181"/>
      <c r="K813" s="179"/>
      <c r="L813" s="179"/>
      <c r="M813" s="179"/>
      <c r="N813" s="181"/>
      <c r="O813" s="179"/>
      <c r="P813" s="179"/>
      <c r="Q813" s="179"/>
      <c r="R813" s="179"/>
      <c r="S813" s="179"/>
      <c r="T813" s="179"/>
      <c r="U813" s="179"/>
      <c r="V813" s="179"/>
      <c r="W813" s="192"/>
      <c r="X813" s="192"/>
      <c r="Y813" s="192"/>
      <c r="Z813" s="158"/>
      <c r="AA813" s="158"/>
      <c r="AB813" s="158"/>
      <c r="AC813" s="158"/>
      <c r="AD813" s="158"/>
      <c r="AE813" s="158"/>
      <c r="AF813" s="158"/>
      <c r="AG813" s="158"/>
      <c r="AH813" s="158"/>
    </row>
    <row r="814" spans="1:34" ht="15.75" customHeight="1">
      <c r="A814" s="179"/>
      <c r="B814" s="180"/>
      <c r="C814" s="180"/>
      <c r="D814" s="179"/>
      <c r="E814" s="179"/>
      <c r="F814" s="179"/>
      <c r="G814" s="179"/>
      <c r="H814" s="181"/>
      <c r="I814" s="181"/>
      <c r="J814" s="181"/>
      <c r="K814" s="179"/>
      <c r="L814" s="179"/>
      <c r="M814" s="179"/>
      <c r="N814" s="181"/>
      <c r="O814" s="179"/>
      <c r="P814" s="179"/>
      <c r="Q814" s="179"/>
      <c r="R814" s="179"/>
      <c r="S814" s="179"/>
      <c r="T814" s="179"/>
      <c r="U814" s="179"/>
      <c r="V814" s="179"/>
      <c r="W814" s="192"/>
      <c r="X814" s="192"/>
      <c r="Y814" s="192"/>
      <c r="Z814" s="158"/>
      <c r="AA814" s="158"/>
      <c r="AB814" s="158"/>
      <c r="AC814" s="158"/>
      <c r="AD814" s="158"/>
      <c r="AE814" s="158"/>
      <c r="AF814" s="158"/>
      <c r="AG814" s="158"/>
      <c r="AH814" s="158"/>
    </row>
    <row r="815" spans="1:34" ht="15.75" customHeight="1">
      <c r="A815" s="179"/>
      <c r="B815" s="180"/>
      <c r="C815" s="180"/>
      <c r="D815" s="179"/>
      <c r="E815" s="179"/>
      <c r="F815" s="179"/>
      <c r="G815" s="179"/>
      <c r="H815" s="181"/>
      <c r="I815" s="181"/>
      <c r="J815" s="181"/>
      <c r="K815" s="179"/>
      <c r="L815" s="179"/>
      <c r="M815" s="179"/>
      <c r="N815" s="181"/>
      <c r="O815" s="179"/>
      <c r="P815" s="179"/>
      <c r="Q815" s="179"/>
      <c r="R815" s="179"/>
      <c r="S815" s="179"/>
      <c r="T815" s="179"/>
      <c r="U815" s="179"/>
      <c r="V815" s="179"/>
      <c r="W815" s="192"/>
      <c r="X815" s="192"/>
      <c r="Y815" s="192"/>
      <c r="Z815" s="158"/>
      <c r="AA815" s="158"/>
      <c r="AB815" s="158"/>
      <c r="AC815" s="158"/>
      <c r="AD815" s="158"/>
      <c r="AE815" s="158"/>
      <c r="AF815" s="158"/>
      <c r="AG815" s="158"/>
      <c r="AH815" s="158"/>
    </row>
    <row r="816" spans="1:34" ht="15.75" customHeight="1">
      <c r="A816" s="179"/>
      <c r="B816" s="180"/>
      <c r="C816" s="180"/>
      <c r="D816" s="179"/>
      <c r="E816" s="179"/>
      <c r="F816" s="179"/>
      <c r="G816" s="179"/>
      <c r="H816" s="181"/>
      <c r="I816" s="181"/>
      <c r="J816" s="181"/>
      <c r="K816" s="179"/>
      <c r="L816" s="179"/>
      <c r="M816" s="179"/>
      <c r="N816" s="181"/>
      <c r="O816" s="179"/>
      <c r="P816" s="179"/>
      <c r="Q816" s="179"/>
      <c r="R816" s="179"/>
      <c r="S816" s="179"/>
      <c r="T816" s="179"/>
      <c r="U816" s="179"/>
      <c r="V816" s="179"/>
      <c r="W816" s="192"/>
      <c r="X816" s="192"/>
      <c r="Y816" s="192"/>
      <c r="Z816" s="158"/>
      <c r="AA816" s="158"/>
      <c r="AB816" s="158"/>
      <c r="AC816" s="158"/>
      <c r="AD816" s="158"/>
      <c r="AE816" s="158"/>
      <c r="AF816" s="158"/>
      <c r="AG816" s="158"/>
      <c r="AH816" s="158"/>
    </row>
    <row r="817" spans="1:34" ht="15.75" customHeight="1">
      <c r="A817" s="179"/>
      <c r="B817" s="180"/>
      <c r="C817" s="180"/>
      <c r="D817" s="179"/>
      <c r="E817" s="179"/>
      <c r="F817" s="179"/>
      <c r="G817" s="179"/>
      <c r="H817" s="181"/>
      <c r="I817" s="181"/>
      <c r="J817" s="181"/>
      <c r="K817" s="179"/>
      <c r="L817" s="179"/>
      <c r="M817" s="179"/>
      <c r="N817" s="181"/>
      <c r="O817" s="179"/>
      <c r="P817" s="179"/>
      <c r="Q817" s="179"/>
      <c r="R817" s="179"/>
      <c r="S817" s="179"/>
      <c r="T817" s="179"/>
      <c r="U817" s="179"/>
      <c r="V817" s="179"/>
      <c r="W817" s="192"/>
      <c r="X817" s="192"/>
      <c r="Y817" s="192"/>
      <c r="Z817" s="158"/>
      <c r="AA817" s="158"/>
      <c r="AB817" s="158"/>
      <c r="AC817" s="158"/>
      <c r="AD817" s="158"/>
      <c r="AE817" s="158"/>
      <c r="AF817" s="158"/>
      <c r="AG817" s="158"/>
      <c r="AH817" s="158"/>
    </row>
    <row r="818" spans="1:34" ht="15.75" customHeight="1">
      <c r="A818" s="179"/>
      <c r="B818" s="180"/>
      <c r="C818" s="180"/>
      <c r="D818" s="179"/>
      <c r="E818" s="179"/>
      <c r="F818" s="179"/>
      <c r="G818" s="179"/>
      <c r="H818" s="181"/>
      <c r="I818" s="181"/>
      <c r="J818" s="181"/>
      <c r="K818" s="179"/>
      <c r="L818" s="179"/>
      <c r="M818" s="179"/>
      <c r="N818" s="181"/>
      <c r="O818" s="179"/>
      <c r="P818" s="179"/>
      <c r="Q818" s="179"/>
      <c r="R818" s="179"/>
      <c r="S818" s="179"/>
      <c r="T818" s="179"/>
      <c r="U818" s="179"/>
      <c r="V818" s="179"/>
      <c r="W818" s="192"/>
      <c r="X818" s="192"/>
      <c r="Y818" s="192"/>
      <c r="Z818" s="158"/>
      <c r="AA818" s="158"/>
      <c r="AB818" s="158"/>
      <c r="AC818" s="158"/>
      <c r="AD818" s="158"/>
      <c r="AE818" s="158"/>
      <c r="AF818" s="158"/>
      <c r="AG818" s="158"/>
      <c r="AH818" s="158"/>
    </row>
    <row r="819" spans="1:34" ht="15.75" customHeight="1">
      <c r="A819" s="179"/>
      <c r="B819" s="180"/>
      <c r="C819" s="180"/>
      <c r="D819" s="179"/>
      <c r="E819" s="179"/>
      <c r="F819" s="179"/>
      <c r="G819" s="179"/>
      <c r="H819" s="181"/>
      <c r="I819" s="181"/>
      <c r="J819" s="181"/>
      <c r="K819" s="179"/>
      <c r="L819" s="179"/>
      <c r="M819" s="179"/>
      <c r="N819" s="181"/>
      <c r="O819" s="179"/>
      <c r="P819" s="179"/>
      <c r="Q819" s="179"/>
      <c r="R819" s="179"/>
      <c r="S819" s="179"/>
      <c r="T819" s="179"/>
      <c r="U819" s="179"/>
      <c r="V819" s="179"/>
      <c r="W819" s="192"/>
      <c r="X819" s="192"/>
      <c r="Y819" s="192"/>
      <c r="Z819" s="158"/>
      <c r="AA819" s="158"/>
      <c r="AB819" s="158"/>
      <c r="AC819" s="158"/>
      <c r="AD819" s="158"/>
      <c r="AE819" s="158"/>
      <c r="AF819" s="158"/>
      <c r="AG819" s="158"/>
      <c r="AH819" s="158"/>
    </row>
    <row r="820" spans="1:34" ht="15.75" customHeight="1">
      <c r="A820" s="179"/>
      <c r="B820" s="180"/>
      <c r="C820" s="180"/>
      <c r="D820" s="179"/>
      <c r="E820" s="179"/>
      <c r="F820" s="179"/>
      <c r="G820" s="179"/>
      <c r="H820" s="181"/>
      <c r="I820" s="181"/>
      <c r="J820" s="181"/>
      <c r="K820" s="179"/>
      <c r="L820" s="179"/>
      <c r="M820" s="179"/>
      <c r="N820" s="181"/>
      <c r="O820" s="179"/>
      <c r="P820" s="179"/>
      <c r="Q820" s="179"/>
      <c r="R820" s="179"/>
      <c r="S820" s="179"/>
      <c r="T820" s="179"/>
      <c r="U820" s="179"/>
      <c r="V820" s="179"/>
      <c r="W820" s="192"/>
      <c r="X820" s="192"/>
      <c r="Y820" s="192"/>
      <c r="Z820" s="158"/>
      <c r="AA820" s="158"/>
      <c r="AB820" s="158"/>
      <c r="AC820" s="158"/>
      <c r="AD820" s="158"/>
      <c r="AE820" s="158"/>
      <c r="AF820" s="158"/>
      <c r="AG820" s="158"/>
      <c r="AH820" s="158"/>
    </row>
    <row r="821" spans="1:34" ht="15.75" customHeight="1">
      <c r="A821" s="179"/>
      <c r="B821" s="180"/>
      <c r="C821" s="180"/>
      <c r="D821" s="179"/>
      <c r="E821" s="179"/>
      <c r="F821" s="179"/>
      <c r="G821" s="179"/>
      <c r="H821" s="181"/>
      <c r="I821" s="181"/>
      <c r="J821" s="181"/>
      <c r="K821" s="179"/>
      <c r="L821" s="179"/>
      <c r="M821" s="179"/>
      <c r="N821" s="181"/>
      <c r="O821" s="179"/>
      <c r="P821" s="179"/>
      <c r="Q821" s="179"/>
      <c r="R821" s="179"/>
      <c r="S821" s="179"/>
      <c r="T821" s="179"/>
      <c r="U821" s="179"/>
      <c r="V821" s="179"/>
      <c r="W821" s="192"/>
      <c r="X821" s="192"/>
      <c r="Y821" s="192"/>
      <c r="Z821" s="158"/>
      <c r="AA821" s="158"/>
      <c r="AB821" s="158"/>
      <c r="AC821" s="158"/>
      <c r="AD821" s="158"/>
      <c r="AE821" s="158"/>
      <c r="AF821" s="158"/>
      <c r="AG821" s="158"/>
      <c r="AH821" s="158"/>
    </row>
    <row r="822" spans="1:34" ht="15.75" customHeight="1">
      <c r="A822" s="179"/>
      <c r="B822" s="180"/>
      <c r="C822" s="180"/>
      <c r="D822" s="179"/>
      <c r="E822" s="179"/>
      <c r="F822" s="179"/>
      <c r="G822" s="179"/>
      <c r="H822" s="181"/>
      <c r="I822" s="181"/>
      <c r="J822" s="181"/>
      <c r="K822" s="179"/>
      <c r="L822" s="179"/>
      <c r="M822" s="179"/>
      <c r="N822" s="181"/>
      <c r="O822" s="179"/>
      <c r="P822" s="179"/>
      <c r="Q822" s="179"/>
      <c r="R822" s="179"/>
      <c r="S822" s="179"/>
      <c r="T822" s="179"/>
      <c r="U822" s="179"/>
      <c r="V822" s="179"/>
      <c r="W822" s="192"/>
      <c r="X822" s="192"/>
      <c r="Y822" s="192"/>
      <c r="Z822" s="158"/>
      <c r="AA822" s="158"/>
      <c r="AB822" s="158"/>
      <c r="AC822" s="158"/>
      <c r="AD822" s="158"/>
      <c r="AE822" s="158"/>
      <c r="AF822" s="158"/>
      <c r="AG822" s="158"/>
      <c r="AH822" s="158"/>
    </row>
    <row r="823" spans="1:34" ht="15.75" customHeight="1">
      <c r="A823" s="179"/>
      <c r="B823" s="180"/>
      <c r="C823" s="180"/>
      <c r="D823" s="179"/>
      <c r="E823" s="179"/>
      <c r="F823" s="179"/>
      <c r="G823" s="179"/>
      <c r="H823" s="181"/>
      <c r="I823" s="181"/>
      <c r="J823" s="181"/>
      <c r="K823" s="179"/>
      <c r="L823" s="179"/>
      <c r="M823" s="179"/>
      <c r="N823" s="181"/>
      <c r="O823" s="179"/>
      <c r="P823" s="179"/>
      <c r="Q823" s="179"/>
      <c r="R823" s="179"/>
      <c r="S823" s="179"/>
      <c r="T823" s="179"/>
      <c r="U823" s="179"/>
      <c r="V823" s="179"/>
      <c r="W823" s="192"/>
      <c r="X823" s="192"/>
      <c r="Y823" s="192"/>
      <c r="Z823" s="158"/>
      <c r="AA823" s="158"/>
      <c r="AB823" s="158"/>
      <c r="AC823" s="158"/>
      <c r="AD823" s="158"/>
      <c r="AE823" s="158"/>
      <c r="AF823" s="158"/>
      <c r="AG823" s="158"/>
      <c r="AH823" s="158"/>
    </row>
    <row r="824" spans="1:34" ht="15.75" customHeight="1">
      <c r="A824" s="179"/>
      <c r="B824" s="180"/>
      <c r="C824" s="180"/>
      <c r="D824" s="179"/>
      <c r="E824" s="179"/>
      <c r="F824" s="179"/>
      <c r="G824" s="179"/>
      <c r="H824" s="181"/>
      <c r="I824" s="181"/>
      <c r="J824" s="181"/>
      <c r="K824" s="179"/>
      <c r="L824" s="179"/>
      <c r="M824" s="179"/>
      <c r="N824" s="181"/>
      <c r="O824" s="179"/>
      <c r="P824" s="179"/>
      <c r="Q824" s="179"/>
      <c r="R824" s="179"/>
      <c r="S824" s="179"/>
      <c r="T824" s="179"/>
      <c r="U824" s="179"/>
      <c r="V824" s="179"/>
      <c r="W824" s="192"/>
      <c r="X824" s="192"/>
      <c r="Y824" s="192"/>
      <c r="Z824" s="158"/>
      <c r="AA824" s="158"/>
      <c r="AB824" s="158"/>
      <c r="AC824" s="158"/>
      <c r="AD824" s="158"/>
      <c r="AE824" s="158"/>
      <c r="AF824" s="158"/>
      <c r="AG824" s="158"/>
      <c r="AH824" s="158"/>
    </row>
    <row r="825" spans="1:34" ht="15.75" customHeight="1">
      <c r="A825" s="179"/>
      <c r="B825" s="180"/>
      <c r="C825" s="180"/>
      <c r="D825" s="179"/>
      <c r="E825" s="179"/>
      <c r="F825" s="179"/>
      <c r="G825" s="179"/>
      <c r="H825" s="181"/>
      <c r="I825" s="181"/>
      <c r="J825" s="181"/>
      <c r="K825" s="179"/>
      <c r="L825" s="179"/>
      <c r="M825" s="179"/>
      <c r="N825" s="181"/>
      <c r="O825" s="179"/>
      <c r="P825" s="179"/>
      <c r="Q825" s="179"/>
      <c r="R825" s="179"/>
      <c r="S825" s="179"/>
      <c r="T825" s="179"/>
      <c r="U825" s="179"/>
      <c r="V825" s="179"/>
      <c r="W825" s="192"/>
      <c r="X825" s="192"/>
      <c r="Y825" s="192"/>
      <c r="Z825" s="158"/>
      <c r="AA825" s="158"/>
      <c r="AB825" s="158"/>
      <c r="AC825" s="158"/>
      <c r="AD825" s="158"/>
      <c r="AE825" s="158"/>
      <c r="AF825" s="158"/>
      <c r="AG825" s="158"/>
      <c r="AH825" s="158"/>
    </row>
    <row r="826" spans="1:34" ht="15.75" customHeight="1">
      <c r="A826" s="179"/>
      <c r="B826" s="180"/>
      <c r="C826" s="180"/>
      <c r="D826" s="179"/>
      <c r="E826" s="179"/>
      <c r="F826" s="179"/>
      <c r="G826" s="179"/>
      <c r="H826" s="181"/>
      <c r="I826" s="181"/>
      <c r="J826" s="181"/>
      <c r="K826" s="179"/>
      <c r="L826" s="179"/>
      <c r="M826" s="179"/>
      <c r="N826" s="181"/>
      <c r="O826" s="179"/>
      <c r="P826" s="179"/>
      <c r="Q826" s="179"/>
      <c r="R826" s="179"/>
      <c r="S826" s="179"/>
      <c r="T826" s="179"/>
      <c r="U826" s="179"/>
      <c r="V826" s="179"/>
      <c r="W826" s="192"/>
      <c r="X826" s="192"/>
      <c r="Y826" s="192"/>
      <c r="Z826" s="158"/>
      <c r="AA826" s="158"/>
      <c r="AB826" s="158"/>
      <c r="AC826" s="158"/>
      <c r="AD826" s="158"/>
      <c r="AE826" s="158"/>
      <c r="AF826" s="158"/>
      <c r="AG826" s="158"/>
      <c r="AH826" s="158"/>
    </row>
    <row r="827" spans="1:34" ht="15.75" customHeight="1">
      <c r="A827" s="179"/>
      <c r="B827" s="180"/>
      <c r="C827" s="180"/>
      <c r="D827" s="179"/>
      <c r="E827" s="179"/>
      <c r="F827" s="179"/>
      <c r="G827" s="179"/>
      <c r="H827" s="181"/>
      <c r="I827" s="181"/>
      <c r="J827" s="181"/>
      <c r="K827" s="179"/>
      <c r="L827" s="179"/>
      <c r="M827" s="179"/>
      <c r="N827" s="181"/>
      <c r="O827" s="179"/>
      <c r="P827" s="179"/>
      <c r="Q827" s="179"/>
      <c r="R827" s="179"/>
      <c r="S827" s="179"/>
      <c r="T827" s="179"/>
      <c r="U827" s="179"/>
      <c r="V827" s="179"/>
      <c r="W827" s="192"/>
      <c r="X827" s="192"/>
      <c r="Y827" s="192"/>
      <c r="Z827" s="158"/>
      <c r="AA827" s="158"/>
      <c r="AB827" s="158"/>
      <c r="AC827" s="158"/>
      <c r="AD827" s="158"/>
      <c r="AE827" s="158"/>
      <c r="AF827" s="158"/>
      <c r="AG827" s="158"/>
      <c r="AH827" s="158"/>
    </row>
    <row r="828" spans="1:34" ht="15.75" customHeight="1">
      <c r="A828" s="179"/>
      <c r="B828" s="180"/>
      <c r="C828" s="180"/>
      <c r="D828" s="179"/>
      <c r="E828" s="179"/>
      <c r="F828" s="179"/>
      <c r="G828" s="179"/>
      <c r="H828" s="181"/>
      <c r="I828" s="181"/>
      <c r="J828" s="181"/>
      <c r="K828" s="179"/>
      <c r="L828" s="179"/>
      <c r="M828" s="179"/>
      <c r="N828" s="181"/>
      <c r="O828" s="179"/>
      <c r="P828" s="179"/>
      <c r="Q828" s="179"/>
      <c r="R828" s="179"/>
      <c r="S828" s="179"/>
      <c r="T828" s="179"/>
      <c r="U828" s="179"/>
      <c r="V828" s="179"/>
      <c r="W828" s="192"/>
      <c r="X828" s="192"/>
      <c r="Y828" s="192"/>
      <c r="Z828" s="158"/>
      <c r="AA828" s="158"/>
      <c r="AB828" s="158"/>
      <c r="AC828" s="158"/>
      <c r="AD828" s="158"/>
      <c r="AE828" s="158"/>
      <c r="AF828" s="158"/>
      <c r="AG828" s="158"/>
      <c r="AH828" s="158"/>
    </row>
    <row r="829" spans="1:34" ht="15.75" customHeight="1">
      <c r="A829" s="179"/>
      <c r="B829" s="180"/>
      <c r="C829" s="180"/>
      <c r="D829" s="179"/>
      <c r="E829" s="179"/>
      <c r="F829" s="179"/>
      <c r="G829" s="179"/>
      <c r="H829" s="181"/>
      <c r="I829" s="181"/>
      <c r="J829" s="181"/>
      <c r="K829" s="179"/>
      <c r="L829" s="179"/>
      <c r="M829" s="179"/>
      <c r="N829" s="181"/>
      <c r="O829" s="179"/>
      <c r="P829" s="179"/>
      <c r="Q829" s="179"/>
      <c r="R829" s="179"/>
      <c r="S829" s="179"/>
      <c r="T829" s="179"/>
      <c r="U829" s="179"/>
      <c r="V829" s="179"/>
      <c r="W829" s="192"/>
      <c r="X829" s="192"/>
      <c r="Y829" s="192"/>
      <c r="Z829" s="158"/>
      <c r="AA829" s="158"/>
      <c r="AB829" s="158"/>
      <c r="AC829" s="158"/>
      <c r="AD829" s="158"/>
      <c r="AE829" s="158"/>
      <c r="AF829" s="158"/>
      <c r="AG829" s="158"/>
      <c r="AH829" s="158"/>
    </row>
    <row r="830" spans="1:34" ht="15.75" customHeight="1">
      <c r="A830" s="179"/>
      <c r="B830" s="180"/>
      <c r="C830" s="180"/>
      <c r="D830" s="179"/>
      <c r="E830" s="179"/>
      <c r="F830" s="179"/>
      <c r="G830" s="179"/>
      <c r="H830" s="181"/>
      <c r="I830" s="181"/>
      <c r="J830" s="181"/>
      <c r="K830" s="179"/>
      <c r="L830" s="179"/>
      <c r="M830" s="179"/>
      <c r="N830" s="181"/>
      <c r="O830" s="179"/>
      <c r="P830" s="179"/>
      <c r="Q830" s="179"/>
      <c r="R830" s="179"/>
      <c r="S830" s="179"/>
      <c r="T830" s="179"/>
      <c r="U830" s="179"/>
      <c r="V830" s="179"/>
      <c r="W830" s="192"/>
      <c r="X830" s="192"/>
      <c r="Y830" s="192"/>
      <c r="Z830" s="158"/>
      <c r="AA830" s="158"/>
      <c r="AB830" s="158"/>
      <c r="AC830" s="158"/>
      <c r="AD830" s="158"/>
      <c r="AE830" s="158"/>
      <c r="AF830" s="158"/>
      <c r="AG830" s="158"/>
      <c r="AH830" s="158"/>
    </row>
    <row r="831" spans="1:34" ht="15.75" customHeight="1">
      <c r="A831" s="179"/>
      <c r="B831" s="180"/>
      <c r="C831" s="180"/>
      <c r="D831" s="179"/>
      <c r="E831" s="179"/>
      <c r="F831" s="179"/>
      <c r="G831" s="179"/>
      <c r="H831" s="181"/>
      <c r="I831" s="181"/>
      <c r="J831" s="181"/>
      <c r="K831" s="179"/>
      <c r="L831" s="179"/>
      <c r="M831" s="179"/>
      <c r="N831" s="181"/>
      <c r="O831" s="179"/>
      <c r="P831" s="179"/>
      <c r="Q831" s="179"/>
      <c r="R831" s="179"/>
      <c r="S831" s="179"/>
      <c r="T831" s="179"/>
      <c r="U831" s="179"/>
      <c r="V831" s="179"/>
      <c r="W831" s="192"/>
      <c r="X831" s="192"/>
      <c r="Y831" s="192"/>
      <c r="Z831" s="158"/>
      <c r="AA831" s="158"/>
      <c r="AB831" s="158"/>
      <c r="AC831" s="158"/>
      <c r="AD831" s="158"/>
      <c r="AE831" s="158"/>
      <c r="AF831" s="158"/>
      <c r="AG831" s="158"/>
      <c r="AH831" s="158"/>
    </row>
    <row r="832" spans="1:34" ht="15.75" customHeight="1">
      <c r="A832" s="179"/>
      <c r="B832" s="180"/>
      <c r="C832" s="180"/>
      <c r="D832" s="179"/>
      <c r="E832" s="179"/>
      <c r="F832" s="179"/>
      <c r="G832" s="179"/>
      <c r="H832" s="181"/>
      <c r="I832" s="181"/>
      <c r="J832" s="181"/>
      <c r="K832" s="179"/>
      <c r="L832" s="179"/>
      <c r="M832" s="179"/>
      <c r="N832" s="181"/>
      <c r="O832" s="179"/>
      <c r="P832" s="179"/>
      <c r="Q832" s="179"/>
      <c r="R832" s="179"/>
      <c r="S832" s="179"/>
      <c r="T832" s="179"/>
      <c r="U832" s="179"/>
      <c r="V832" s="179"/>
      <c r="W832" s="192"/>
      <c r="X832" s="192"/>
      <c r="Y832" s="192"/>
      <c r="Z832" s="158"/>
      <c r="AA832" s="158"/>
      <c r="AB832" s="158"/>
      <c r="AC832" s="158"/>
      <c r="AD832" s="158"/>
      <c r="AE832" s="158"/>
      <c r="AF832" s="158"/>
      <c r="AG832" s="158"/>
      <c r="AH832" s="158"/>
    </row>
    <row r="833" spans="1:34" ht="15.75" customHeight="1">
      <c r="A833" s="179"/>
      <c r="B833" s="180"/>
      <c r="C833" s="180"/>
      <c r="D833" s="179"/>
      <c r="E833" s="179"/>
      <c r="F833" s="179"/>
      <c r="G833" s="179"/>
      <c r="H833" s="181"/>
      <c r="I833" s="181"/>
      <c r="J833" s="181"/>
      <c r="K833" s="179"/>
      <c r="L833" s="179"/>
      <c r="M833" s="179"/>
      <c r="N833" s="181"/>
      <c r="O833" s="179"/>
      <c r="P833" s="179"/>
      <c r="Q833" s="179"/>
      <c r="R833" s="179"/>
      <c r="S833" s="179"/>
      <c r="T833" s="179"/>
      <c r="U833" s="179"/>
      <c r="V833" s="179"/>
      <c r="W833" s="192"/>
      <c r="X833" s="192"/>
      <c r="Y833" s="192"/>
      <c r="Z833" s="158"/>
      <c r="AA833" s="158"/>
      <c r="AB833" s="158"/>
      <c r="AC833" s="158"/>
      <c r="AD833" s="158"/>
      <c r="AE833" s="158"/>
      <c r="AF833" s="158"/>
      <c r="AG833" s="158"/>
      <c r="AH833" s="158"/>
    </row>
    <row r="834" spans="1:34" ht="15.75" customHeight="1">
      <c r="A834" s="179"/>
      <c r="B834" s="180"/>
      <c r="C834" s="180"/>
      <c r="D834" s="179"/>
      <c r="E834" s="179"/>
      <c r="F834" s="179"/>
      <c r="G834" s="179"/>
      <c r="H834" s="181"/>
      <c r="I834" s="181"/>
      <c r="J834" s="181"/>
      <c r="K834" s="179"/>
      <c r="L834" s="179"/>
      <c r="M834" s="179"/>
      <c r="N834" s="181"/>
      <c r="O834" s="179"/>
      <c r="P834" s="179"/>
      <c r="Q834" s="179"/>
      <c r="R834" s="179"/>
      <c r="S834" s="179"/>
      <c r="T834" s="179"/>
      <c r="U834" s="179"/>
      <c r="V834" s="179"/>
      <c r="W834" s="192"/>
      <c r="X834" s="192"/>
      <c r="Y834" s="192"/>
      <c r="Z834" s="158"/>
      <c r="AA834" s="158"/>
      <c r="AB834" s="158"/>
      <c r="AC834" s="158"/>
      <c r="AD834" s="158"/>
      <c r="AE834" s="158"/>
      <c r="AF834" s="158"/>
      <c r="AG834" s="158"/>
      <c r="AH834" s="158"/>
    </row>
    <row r="835" spans="1:34" ht="15.75" customHeight="1">
      <c r="A835" s="179"/>
      <c r="B835" s="180"/>
      <c r="C835" s="180"/>
      <c r="D835" s="179"/>
      <c r="E835" s="179"/>
      <c r="F835" s="179"/>
      <c r="G835" s="179"/>
      <c r="H835" s="181"/>
      <c r="I835" s="181"/>
      <c r="J835" s="181"/>
      <c r="K835" s="179"/>
      <c r="L835" s="179"/>
      <c r="M835" s="179"/>
      <c r="N835" s="181"/>
      <c r="O835" s="179"/>
      <c r="P835" s="179"/>
      <c r="Q835" s="179"/>
      <c r="R835" s="179"/>
      <c r="S835" s="179"/>
      <c r="T835" s="179"/>
      <c r="U835" s="179"/>
      <c r="V835" s="179"/>
      <c r="W835" s="192"/>
      <c r="X835" s="192"/>
      <c r="Y835" s="192"/>
      <c r="Z835" s="158"/>
      <c r="AA835" s="158"/>
      <c r="AB835" s="158"/>
      <c r="AC835" s="158"/>
      <c r="AD835" s="158"/>
      <c r="AE835" s="158"/>
      <c r="AF835" s="158"/>
      <c r="AG835" s="158"/>
      <c r="AH835" s="158"/>
    </row>
    <row r="836" spans="1:34" ht="15.75" customHeight="1">
      <c r="A836" s="179"/>
      <c r="B836" s="180"/>
      <c r="C836" s="180"/>
      <c r="D836" s="179"/>
      <c r="E836" s="179"/>
      <c r="F836" s="179"/>
      <c r="G836" s="179"/>
      <c r="H836" s="181"/>
      <c r="I836" s="181"/>
      <c r="J836" s="181"/>
      <c r="K836" s="179"/>
      <c r="L836" s="179"/>
      <c r="M836" s="179"/>
      <c r="N836" s="181"/>
      <c r="O836" s="179"/>
      <c r="P836" s="179"/>
      <c r="Q836" s="179"/>
      <c r="R836" s="179"/>
      <c r="S836" s="179"/>
      <c r="T836" s="179"/>
      <c r="U836" s="179"/>
      <c r="V836" s="179"/>
      <c r="W836" s="192"/>
      <c r="X836" s="192"/>
      <c r="Y836" s="192"/>
      <c r="Z836" s="158"/>
      <c r="AA836" s="158"/>
      <c r="AB836" s="158"/>
      <c r="AC836" s="158"/>
      <c r="AD836" s="158"/>
      <c r="AE836" s="158"/>
      <c r="AF836" s="158"/>
      <c r="AG836" s="158"/>
      <c r="AH836" s="158"/>
    </row>
    <row r="837" spans="1:34" ht="15.75" customHeight="1">
      <c r="A837" s="179"/>
      <c r="B837" s="180"/>
      <c r="C837" s="180"/>
      <c r="D837" s="179"/>
      <c r="E837" s="179"/>
      <c r="F837" s="179"/>
      <c r="G837" s="179"/>
      <c r="H837" s="181"/>
      <c r="I837" s="181"/>
      <c r="J837" s="181"/>
      <c r="K837" s="179"/>
      <c r="L837" s="179"/>
      <c r="M837" s="179"/>
      <c r="N837" s="181"/>
      <c r="O837" s="179"/>
      <c r="P837" s="179"/>
      <c r="Q837" s="179"/>
      <c r="R837" s="179"/>
      <c r="S837" s="179"/>
      <c r="T837" s="179"/>
      <c r="U837" s="179"/>
      <c r="V837" s="179"/>
      <c r="W837" s="192"/>
      <c r="X837" s="192"/>
      <c r="Y837" s="192"/>
      <c r="Z837" s="158"/>
      <c r="AA837" s="158"/>
      <c r="AB837" s="158"/>
      <c r="AC837" s="158"/>
      <c r="AD837" s="158"/>
      <c r="AE837" s="158"/>
      <c r="AF837" s="158"/>
      <c r="AG837" s="158"/>
      <c r="AH837" s="158"/>
    </row>
    <row r="838" spans="1:34" ht="15.75" customHeight="1">
      <c r="A838" s="179"/>
      <c r="B838" s="180"/>
      <c r="C838" s="180"/>
      <c r="D838" s="179"/>
      <c r="E838" s="179"/>
      <c r="F838" s="179"/>
      <c r="G838" s="179"/>
      <c r="H838" s="181"/>
      <c r="I838" s="181"/>
      <c r="J838" s="181"/>
      <c r="K838" s="179"/>
      <c r="L838" s="179"/>
      <c r="M838" s="179"/>
      <c r="N838" s="181"/>
      <c r="O838" s="179"/>
      <c r="P838" s="179"/>
      <c r="Q838" s="179"/>
      <c r="R838" s="179"/>
      <c r="S838" s="179"/>
      <c r="T838" s="179"/>
      <c r="U838" s="179"/>
      <c r="V838" s="179"/>
      <c r="W838" s="192"/>
      <c r="X838" s="192"/>
      <c r="Y838" s="192"/>
      <c r="Z838" s="158"/>
      <c r="AA838" s="158"/>
      <c r="AB838" s="158"/>
      <c r="AC838" s="158"/>
      <c r="AD838" s="158"/>
      <c r="AE838" s="158"/>
      <c r="AF838" s="158"/>
      <c r="AG838" s="158"/>
      <c r="AH838" s="158"/>
    </row>
    <row r="839" spans="1:34" ht="15.75" customHeight="1">
      <c r="A839" s="179"/>
      <c r="B839" s="180"/>
      <c r="C839" s="180"/>
      <c r="D839" s="179"/>
      <c r="E839" s="179"/>
      <c r="F839" s="179"/>
      <c r="G839" s="179"/>
      <c r="H839" s="181"/>
      <c r="I839" s="181"/>
      <c r="J839" s="181"/>
      <c r="K839" s="179"/>
      <c r="L839" s="179"/>
      <c r="M839" s="179"/>
      <c r="N839" s="181"/>
      <c r="O839" s="179"/>
      <c r="P839" s="179"/>
      <c r="Q839" s="179"/>
      <c r="R839" s="179"/>
      <c r="S839" s="179"/>
      <c r="T839" s="179"/>
      <c r="U839" s="179"/>
      <c r="V839" s="179"/>
      <c r="W839" s="192"/>
      <c r="X839" s="192"/>
      <c r="Y839" s="192"/>
      <c r="Z839" s="158"/>
      <c r="AA839" s="158"/>
      <c r="AB839" s="158"/>
      <c r="AC839" s="158"/>
      <c r="AD839" s="158"/>
      <c r="AE839" s="158"/>
      <c r="AF839" s="158"/>
      <c r="AG839" s="158"/>
      <c r="AH839" s="158"/>
    </row>
    <row r="840" spans="1:34" ht="15.75" customHeight="1">
      <c r="A840" s="179"/>
      <c r="B840" s="180"/>
      <c r="C840" s="180"/>
      <c r="D840" s="179"/>
      <c r="E840" s="179"/>
      <c r="F840" s="179"/>
      <c r="G840" s="179"/>
      <c r="H840" s="181"/>
      <c r="I840" s="181"/>
      <c r="J840" s="181"/>
      <c r="K840" s="179"/>
      <c r="L840" s="179"/>
      <c r="M840" s="179"/>
      <c r="N840" s="181"/>
      <c r="O840" s="179"/>
      <c r="P840" s="179"/>
      <c r="Q840" s="179"/>
      <c r="R840" s="179"/>
      <c r="S840" s="179"/>
      <c r="T840" s="179"/>
      <c r="U840" s="179"/>
      <c r="V840" s="179"/>
      <c r="W840" s="192"/>
      <c r="X840" s="192"/>
      <c r="Y840" s="192"/>
      <c r="Z840" s="158"/>
      <c r="AA840" s="158"/>
      <c r="AB840" s="158"/>
      <c r="AC840" s="158"/>
      <c r="AD840" s="158"/>
      <c r="AE840" s="158"/>
      <c r="AF840" s="158"/>
      <c r="AG840" s="158"/>
      <c r="AH840" s="158"/>
    </row>
    <row r="841" spans="1:34" ht="15.75" customHeight="1">
      <c r="A841" s="179"/>
      <c r="B841" s="180"/>
      <c r="C841" s="180"/>
      <c r="D841" s="179"/>
      <c r="E841" s="179"/>
      <c r="F841" s="179"/>
      <c r="G841" s="179"/>
      <c r="H841" s="181"/>
      <c r="I841" s="181"/>
      <c r="J841" s="181"/>
      <c r="K841" s="179"/>
      <c r="L841" s="179"/>
      <c r="M841" s="179"/>
      <c r="N841" s="181"/>
      <c r="O841" s="179"/>
      <c r="P841" s="179"/>
      <c r="Q841" s="179"/>
      <c r="R841" s="179"/>
      <c r="S841" s="179"/>
      <c r="T841" s="179"/>
      <c r="U841" s="179"/>
      <c r="V841" s="179"/>
      <c r="W841" s="192"/>
      <c r="X841" s="192"/>
      <c r="Y841" s="192"/>
      <c r="Z841" s="158"/>
      <c r="AA841" s="158"/>
      <c r="AB841" s="158"/>
      <c r="AC841" s="158"/>
      <c r="AD841" s="158"/>
      <c r="AE841" s="158"/>
      <c r="AF841" s="158"/>
      <c r="AG841" s="158"/>
      <c r="AH841" s="158"/>
    </row>
    <row r="842" spans="1:34" ht="15.75" customHeight="1">
      <c r="A842" s="179"/>
      <c r="B842" s="180"/>
      <c r="C842" s="180"/>
      <c r="D842" s="179"/>
      <c r="E842" s="179"/>
      <c r="F842" s="179"/>
      <c r="G842" s="179"/>
      <c r="H842" s="181"/>
      <c r="I842" s="181"/>
      <c r="J842" s="181"/>
      <c r="K842" s="179"/>
      <c r="L842" s="179"/>
      <c r="M842" s="179"/>
      <c r="N842" s="181"/>
      <c r="O842" s="179"/>
      <c r="P842" s="179"/>
      <c r="Q842" s="179"/>
      <c r="R842" s="179"/>
      <c r="S842" s="179"/>
      <c r="T842" s="179"/>
      <c r="U842" s="179"/>
      <c r="V842" s="179"/>
      <c r="W842" s="192"/>
      <c r="X842" s="192"/>
      <c r="Y842" s="192"/>
      <c r="Z842" s="158"/>
      <c r="AA842" s="158"/>
      <c r="AB842" s="158"/>
      <c r="AC842" s="158"/>
      <c r="AD842" s="158"/>
      <c r="AE842" s="158"/>
      <c r="AF842" s="158"/>
      <c r="AG842" s="158"/>
      <c r="AH842" s="158"/>
    </row>
    <row r="843" spans="1:34" ht="15.75" customHeight="1">
      <c r="A843" s="179"/>
      <c r="B843" s="180"/>
      <c r="C843" s="180"/>
      <c r="D843" s="179"/>
      <c r="E843" s="179"/>
      <c r="F843" s="179"/>
      <c r="G843" s="179"/>
      <c r="H843" s="181"/>
      <c r="I843" s="181"/>
      <c r="J843" s="181"/>
      <c r="K843" s="179"/>
      <c r="L843" s="179"/>
      <c r="M843" s="179"/>
      <c r="N843" s="181"/>
      <c r="O843" s="179"/>
      <c r="P843" s="179"/>
      <c r="Q843" s="179"/>
      <c r="R843" s="179"/>
      <c r="S843" s="179"/>
      <c r="T843" s="179"/>
      <c r="U843" s="179"/>
      <c r="V843" s="179"/>
      <c r="W843" s="192"/>
      <c r="X843" s="192"/>
      <c r="Y843" s="192"/>
      <c r="Z843" s="158"/>
      <c r="AA843" s="158"/>
      <c r="AB843" s="158"/>
      <c r="AC843" s="158"/>
      <c r="AD843" s="158"/>
      <c r="AE843" s="158"/>
      <c r="AF843" s="158"/>
      <c r="AG843" s="158"/>
      <c r="AH843" s="158"/>
    </row>
    <row r="844" spans="1:34" ht="15.75" customHeight="1">
      <c r="A844" s="179"/>
      <c r="B844" s="180"/>
      <c r="C844" s="180"/>
      <c r="D844" s="179"/>
      <c r="E844" s="179"/>
      <c r="F844" s="179"/>
      <c r="G844" s="179"/>
      <c r="H844" s="181"/>
      <c r="I844" s="181"/>
      <c r="J844" s="181"/>
      <c r="K844" s="179"/>
      <c r="L844" s="179"/>
      <c r="M844" s="179"/>
      <c r="N844" s="181"/>
      <c r="O844" s="179"/>
      <c r="P844" s="179"/>
      <c r="Q844" s="179"/>
      <c r="R844" s="179"/>
      <c r="S844" s="179"/>
      <c r="T844" s="179"/>
      <c r="U844" s="179"/>
      <c r="V844" s="179"/>
      <c r="W844" s="192"/>
      <c r="X844" s="192"/>
      <c r="Y844" s="192"/>
      <c r="Z844" s="158"/>
      <c r="AA844" s="158"/>
      <c r="AB844" s="158"/>
      <c r="AC844" s="158"/>
      <c r="AD844" s="158"/>
      <c r="AE844" s="158"/>
      <c r="AF844" s="158"/>
      <c r="AG844" s="158"/>
      <c r="AH844" s="158"/>
    </row>
    <row r="845" spans="1:34" ht="15.75" customHeight="1">
      <c r="A845" s="179"/>
      <c r="B845" s="180"/>
      <c r="C845" s="180"/>
      <c r="D845" s="179"/>
      <c r="E845" s="179"/>
      <c r="F845" s="179"/>
      <c r="G845" s="179"/>
      <c r="H845" s="181"/>
      <c r="I845" s="181"/>
      <c r="J845" s="181"/>
      <c r="K845" s="179"/>
      <c r="L845" s="179"/>
      <c r="M845" s="179"/>
      <c r="N845" s="181"/>
      <c r="O845" s="179"/>
      <c r="P845" s="179"/>
      <c r="Q845" s="179"/>
      <c r="R845" s="179"/>
      <c r="S845" s="179"/>
      <c r="T845" s="179"/>
      <c r="U845" s="179"/>
      <c r="V845" s="179"/>
      <c r="W845" s="192"/>
      <c r="X845" s="192"/>
      <c r="Y845" s="192"/>
      <c r="Z845" s="158"/>
      <c r="AA845" s="158"/>
      <c r="AB845" s="158"/>
      <c r="AC845" s="158"/>
      <c r="AD845" s="158"/>
      <c r="AE845" s="158"/>
      <c r="AF845" s="158"/>
      <c r="AG845" s="158"/>
      <c r="AH845" s="158"/>
    </row>
    <row r="846" spans="1:34" ht="15.75" customHeight="1">
      <c r="A846" s="179"/>
      <c r="B846" s="180"/>
      <c r="C846" s="180"/>
      <c r="D846" s="179"/>
      <c r="E846" s="179"/>
      <c r="F846" s="179"/>
      <c r="G846" s="179"/>
      <c r="H846" s="181"/>
      <c r="I846" s="181"/>
      <c r="J846" s="181"/>
      <c r="K846" s="179"/>
      <c r="L846" s="179"/>
      <c r="M846" s="179"/>
      <c r="N846" s="181"/>
      <c r="O846" s="179"/>
      <c r="P846" s="179"/>
      <c r="Q846" s="179"/>
      <c r="R846" s="179"/>
      <c r="S846" s="179"/>
      <c r="T846" s="179"/>
      <c r="U846" s="179"/>
      <c r="V846" s="179"/>
      <c r="W846" s="192"/>
      <c r="X846" s="192"/>
      <c r="Y846" s="192"/>
      <c r="Z846" s="158"/>
      <c r="AA846" s="158"/>
      <c r="AB846" s="158"/>
      <c r="AC846" s="158"/>
      <c r="AD846" s="158"/>
      <c r="AE846" s="158"/>
      <c r="AF846" s="158"/>
      <c r="AG846" s="158"/>
      <c r="AH846" s="158"/>
    </row>
    <row r="847" spans="1:34" ht="15.75" customHeight="1">
      <c r="A847" s="179"/>
      <c r="B847" s="180"/>
      <c r="C847" s="180"/>
      <c r="D847" s="179"/>
      <c r="E847" s="179"/>
      <c r="F847" s="179"/>
      <c r="G847" s="179"/>
      <c r="H847" s="181"/>
      <c r="I847" s="181"/>
      <c r="J847" s="181"/>
      <c r="K847" s="179"/>
      <c r="L847" s="179"/>
      <c r="M847" s="179"/>
      <c r="N847" s="181"/>
      <c r="O847" s="179"/>
      <c r="P847" s="179"/>
      <c r="Q847" s="179"/>
      <c r="R847" s="179"/>
      <c r="S847" s="179"/>
      <c r="T847" s="179"/>
      <c r="U847" s="179"/>
      <c r="V847" s="179"/>
      <c r="W847" s="192"/>
      <c r="X847" s="192"/>
      <c r="Y847" s="192"/>
      <c r="Z847" s="158"/>
      <c r="AA847" s="158"/>
      <c r="AB847" s="158"/>
      <c r="AC847" s="158"/>
      <c r="AD847" s="158"/>
      <c r="AE847" s="158"/>
      <c r="AF847" s="158"/>
      <c r="AG847" s="158"/>
      <c r="AH847" s="158"/>
    </row>
    <row r="848" spans="1:34" ht="15.75" customHeight="1">
      <c r="A848" s="179"/>
      <c r="B848" s="180"/>
      <c r="C848" s="180"/>
      <c r="D848" s="179"/>
      <c r="E848" s="179"/>
      <c r="F848" s="179"/>
      <c r="G848" s="179"/>
      <c r="H848" s="181"/>
      <c r="I848" s="181"/>
      <c r="J848" s="181"/>
      <c r="K848" s="179"/>
      <c r="L848" s="179"/>
      <c r="M848" s="179"/>
      <c r="N848" s="181"/>
      <c r="O848" s="179"/>
      <c r="P848" s="179"/>
      <c r="Q848" s="179"/>
      <c r="R848" s="179"/>
      <c r="S848" s="179"/>
      <c r="T848" s="179"/>
      <c r="U848" s="179"/>
      <c r="V848" s="179"/>
      <c r="W848" s="192"/>
      <c r="X848" s="192"/>
      <c r="Y848" s="192"/>
      <c r="Z848" s="158"/>
      <c r="AA848" s="158"/>
      <c r="AB848" s="158"/>
      <c r="AC848" s="158"/>
      <c r="AD848" s="158"/>
      <c r="AE848" s="158"/>
      <c r="AF848" s="158"/>
      <c r="AG848" s="158"/>
      <c r="AH848" s="158"/>
    </row>
    <row r="849" spans="1:34" ht="15.75" customHeight="1">
      <c r="A849" s="179"/>
      <c r="B849" s="180"/>
      <c r="C849" s="180"/>
      <c r="D849" s="179"/>
      <c r="E849" s="179"/>
      <c r="F849" s="179"/>
      <c r="G849" s="179"/>
      <c r="H849" s="181"/>
      <c r="I849" s="181"/>
      <c r="J849" s="181"/>
      <c r="K849" s="179"/>
      <c r="L849" s="179"/>
      <c r="M849" s="179"/>
      <c r="N849" s="181"/>
      <c r="O849" s="179"/>
      <c r="P849" s="179"/>
      <c r="Q849" s="179"/>
      <c r="R849" s="179"/>
      <c r="S849" s="179"/>
      <c r="T849" s="179"/>
      <c r="U849" s="179"/>
      <c r="V849" s="179"/>
      <c r="W849" s="192"/>
      <c r="X849" s="192"/>
      <c r="Y849" s="192"/>
      <c r="Z849" s="158"/>
      <c r="AA849" s="158"/>
      <c r="AB849" s="158"/>
      <c r="AC849" s="158"/>
      <c r="AD849" s="158"/>
      <c r="AE849" s="158"/>
      <c r="AF849" s="158"/>
      <c r="AG849" s="158"/>
      <c r="AH849" s="158"/>
    </row>
    <row r="850" spans="1:34" ht="15.75" customHeight="1">
      <c r="A850" s="179"/>
      <c r="B850" s="180"/>
      <c r="C850" s="180"/>
      <c r="D850" s="179"/>
      <c r="E850" s="179"/>
      <c r="F850" s="179"/>
      <c r="G850" s="179"/>
      <c r="H850" s="181"/>
      <c r="I850" s="181"/>
      <c r="J850" s="181"/>
      <c r="K850" s="179"/>
      <c r="L850" s="179"/>
      <c r="M850" s="179"/>
      <c r="N850" s="181"/>
      <c r="O850" s="179"/>
      <c r="P850" s="179"/>
      <c r="Q850" s="179"/>
      <c r="R850" s="179"/>
      <c r="S850" s="179"/>
      <c r="T850" s="179"/>
      <c r="U850" s="179"/>
      <c r="V850" s="179"/>
      <c r="W850" s="192"/>
      <c r="X850" s="192"/>
      <c r="Y850" s="192"/>
      <c r="Z850" s="158"/>
      <c r="AA850" s="158"/>
      <c r="AB850" s="158"/>
      <c r="AC850" s="158"/>
      <c r="AD850" s="158"/>
      <c r="AE850" s="158"/>
      <c r="AF850" s="158"/>
      <c r="AG850" s="158"/>
      <c r="AH850" s="158"/>
    </row>
    <row r="851" spans="1:34" ht="15.75" customHeight="1">
      <c r="A851" s="179"/>
      <c r="B851" s="180"/>
      <c r="C851" s="180"/>
      <c r="D851" s="179"/>
      <c r="E851" s="179"/>
      <c r="F851" s="179"/>
      <c r="G851" s="179"/>
      <c r="H851" s="181"/>
      <c r="I851" s="181"/>
      <c r="J851" s="181"/>
      <c r="K851" s="179"/>
      <c r="L851" s="179"/>
      <c r="M851" s="179"/>
      <c r="N851" s="181"/>
      <c r="O851" s="179"/>
      <c r="P851" s="179"/>
      <c r="Q851" s="179"/>
      <c r="R851" s="179"/>
      <c r="S851" s="179"/>
      <c r="T851" s="179"/>
      <c r="U851" s="179"/>
      <c r="V851" s="179"/>
      <c r="W851" s="192"/>
      <c r="X851" s="192"/>
      <c r="Y851" s="192"/>
      <c r="Z851" s="158"/>
      <c r="AA851" s="158"/>
      <c r="AB851" s="158"/>
      <c r="AC851" s="158"/>
      <c r="AD851" s="158"/>
      <c r="AE851" s="158"/>
      <c r="AF851" s="158"/>
      <c r="AG851" s="158"/>
      <c r="AH851" s="158"/>
    </row>
    <row r="852" spans="1:34" ht="15.75" customHeight="1">
      <c r="A852" s="179"/>
      <c r="B852" s="180"/>
      <c r="C852" s="180"/>
      <c r="D852" s="179"/>
      <c r="E852" s="179"/>
      <c r="F852" s="179"/>
      <c r="G852" s="179"/>
      <c r="H852" s="181"/>
      <c r="I852" s="181"/>
      <c r="J852" s="181"/>
      <c r="K852" s="179"/>
      <c r="L852" s="179"/>
      <c r="M852" s="179"/>
      <c r="N852" s="181"/>
      <c r="O852" s="179"/>
      <c r="P852" s="179"/>
      <c r="Q852" s="179"/>
      <c r="R852" s="179"/>
      <c r="S852" s="179"/>
      <c r="T852" s="179"/>
      <c r="U852" s="179"/>
      <c r="V852" s="179"/>
      <c r="W852" s="192"/>
      <c r="X852" s="192"/>
      <c r="Y852" s="192"/>
      <c r="Z852" s="158"/>
      <c r="AA852" s="158"/>
      <c r="AB852" s="158"/>
      <c r="AC852" s="158"/>
      <c r="AD852" s="158"/>
      <c r="AE852" s="158"/>
      <c r="AF852" s="158"/>
      <c r="AG852" s="158"/>
      <c r="AH852" s="158"/>
    </row>
    <row r="853" spans="1:34" ht="15.75" customHeight="1">
      <c r="A853" s="179"/>
      <c r="B853" s="180"/>
      <c r="C853" s="180"/>
      <c r="D853" s="179"/>
      <c r="E853" s="179"/>
      <c r="F853" s="179"/>
      <c r="G853" s="179"/>
      <c r="H853" s="181"/>
      <c r="I853" s="181"/>
      <c r="J853" s="181"/>
      <c r="K853" s="179"/>
      <c r="L853" s="179"/>
      <c r="M853" s="179"/>
      <c r="N853" s="181"/>
      <c r="O853" s="179"/>
      <c r="P853" s="179"/>
      <c r="Q853" s="179"/>
      <c r="R853" s="179"/>
      <c r="S853" s="179"/>
      <c r="T853" s="179"/>
      <c r="U853" s="179"/>
      <c r="V853" s="179"/>
      <c r="W853" s="192"/>
      <c r="X853" s="192"/>
      <c r="Y853" s="192"/>
      <c r="Z853" s="158"/>
      <c r="AA853" s="158"/>
      <c r="AB853" s="158"/>
      <c r="AC853" s="158"/>
      <c r="AD853" s="158"/>
      <c r="AE853" s="158"/>
      <c r="AF853" s="158"/>
      <c r="AG853" s="158"/>
      <c r="AH853" s="158"/>
    </row>
    <row r="854" spans="1:34" ht="15.75" customHeight="1">
      <c r="A854" s="179"/>
      <c r="B854" s="180"/>
      <c r="C854" s="180"/>
      <c r="D854" s="179"/>
      <c r="E854" s="179"/>
      <c r="F854" s="179"/>
      <c r="G854" s="179"/>
      <c r="H854" s="181"/>
      <c r="I854" s="181"/>
      <c r="J854" s="181"/>
      <c r="K854" s="179"/>
      <c r="L854" s="179"/>
      <c r="M854" s="179"/>
      <c r="N854" s="181"/>
      <c r="O854" s="179"/>
      <c r="P854" s="179"/>
      <c r="Q854" s="179"/>
      <c r="R854" s="179"/>
      <c r="S854" s="179"/>
      <c r="T854" s="179"/>
      <c r="U854" s="179"/>
      <c r="V854" s="179"/>
      <c r="W854" s="192"/>
      <c r="X854" s="192"/>
      <c r="Y854" s="192"/>
      <c r="Z854" s="158"/>
      <c r="AA854" s="158"/>
      <c r="AB854" s="158"/>
      <c r="AC854" s="158"/>
      <c r="AD854" s="158"/>
      <c r="AE854" s="158"/>
      <c r="AF854" s="158"/>
      <c r="AG854" s="158"/>
      <c r="AH854" s="158"/>
    </row>
    <row r="855" spans="1:34" ht="15.75" customHeight="1">
      <c r="A855" s="179"/>
      <c r="B855" s="180"/>
      <c r="C855" s="180"/>
      <c r="D855" s="179"/>
      <c r="E855" s="179"/>
      <c r="F855" s="179"/>
      <c r="G855" s="179"/>
      <c r="H855" s="181"/>
      <c r="I855" s="181"/>
      <c r="J855" s="181"/>
      <c r="K855" s="179"/>
      <c r="L855" s="179"/>
      <c r="M855" s="179"/>
      <c r="N855" s="181"/>
      <c r="O855" s="179"/>
      <c r="P855" s="179"/>
      <c r="Q855" s="179"/>
      <c r="R855" s="179"/>
      <c r="S855" s="179"/>
      <c r="T855" s="179"/>
      <c r="U855" s="179"/>
      <c r="V855" s="179"/>
      <c r="W855" s="192"/>
      <c r="X855" s="192"/>
      <c r="Y855" s="192"/>
      <c r="Z855" s="158"/>
      <c r="AA855" s="158"/>
      <c r="AB855" s="158"/>
      <c r="AC855" s="158"/>
      <c r="AD855" s="158"/>
      <c r="AE855" s="158"/>
      <c r="AF855" s="158"/>
      <c r="AG855" s="158"/>
      <c r="AH855" s="158"/>
    </row>
    <row r="856" spans="1:34" ht="15.75" customHeight="1">
      <c r="A856" s="179"/>
      <c r="B856" s="180"/>
      <c r="C856" s="180"/>
      <c r="D856" s="179"/>
      <c r="E856" s="179"/>
      <c r="F856" s="179"/>
      <c r="G856" s="179"/>
      <c r="H856" s="181"/>
      <c r="I856" s="181"/>
      <c r="J856" s="181"/>
      <c r="K856" s="179"/>
      <c r="L856" s="179"/>
      <c r="M856" s="179"/>
      <c r="N856" s="181"/>
      <c r="O856" s="179"/>
      <c r="P856" s="179"/>
      <c r="Q856" s="179"/>
      <c r="R856" s="179"/>
      <c r="S856" s="179"/>
      <c r="T856" s="179"/>
      <c r="U856" s="179"/>
      <c r="V856" s="179"/>
      <c r="W856" s="192"/>
      <c r="X856" s="192"/>
      <c r="Y856" s="192"/>
      <c r="Z856" s="158"/>
      <c r="AA856" s="158"/>
      <c r="AB856" s="158"/>
      <c r="AC856" s="158"/>
      <c r="AD856" s="158"/>
      <c r="AE856" s="158"/>
      <c r="AF856" s="158"/>
      <c r="AG856" s="158"/>
      <c r="AH856" s="158"/>
    </row>
    <row r="857" spans="1:34" ht="15.75" customHeight="1">
      <c r="A857" s="179"/>
      <c r="B857" s="180"/>
      <c r="C857" s="180"/>
      <c r="D857" s="179"/>
      <c r="E857" s="179"/>
      <c r="F857" s="179"/>
      <c r="G857" s="179"/>
      <c r="H857" s="181"/>
      <c r="I857" s="181"/>
      <c r="J857" s="181"/>
      <c r="K857" s="179"/>
      <c r="L857" s="179"/>
      <c r="M857" s="179"/>
      <c r="N857" s="181"/>
      <c r="O857" s="179"/>
      <c r="P857" s="179"/>
      <c r="Q857" s="179"/>
      <c r="R857" s="179"/>
      <c r="S857" s="179"/>
      <c r="T857" s="179"/>
      <c r="U857" s="179"/>
      <c r="V857" s="179"/>
      <c r="W857" s="192"/>
      <c r="X857" s="192"/>
      <c r="Y857" s="192"/>
      <c r="Z857" s="158"/>
      <c r="AA857" s="158"/>
      <c r="AB857" s="158"/>
      <c r="AC857" s="158"/>
      <c r="AD857" s="158"/>
      <c r="AE857" s="158"/>
      <c r="AF857" s="158"/>
      <c r="AG857" s="158"/>
      <c r="AH857" s="158"/>
    </row>
    <row r="858" spans="1:34" ht="15.75" customHeight="1">
      <c r="A858" s="179"/>
      <c r="B858" s="180"/>
      <c r="C858" s="180"/>
      <c r="D858" s="179"/>
      <c r="E858" s="179"/>
      <c r="F858" s="179"/>
      <c r="G858" s="179"/>
      <c r="H858" s="181"/>
      <c r="I858" s="181"/>
      <c r="J858" s="181"/>
      <c r="K858" s="179"/>
      <c r="L858" s="179"/>
      <c r="M858" s="179"/>
      <c r="N858" s="181"/>
      <c r="O858" s="179"/>
      <c r="P858" s="179"/>
      <c r="Q858" s="179"/>
      <c r="R858" s="179"/>
      <c r="S858" s="179"/>
      <c r="T858" s="179"/>
      <c r="U858" s="179"/>
      <c r="V858" s="179"/>
      <c r="W858" s="192"/>
      <c r="X858" s="192"/>
      <c r="Y858" s="192"/>
      <c r="Z858" s="158"/>
      <c r="AA858" s="158"/>
      <c r="AB858" s="158"/>
      <c r="AC858" s="158"/>
      <c r="AD858" s="158"/>
      <c r="AE858" s="158"/>
      <c r="AF858" s="158"/>
      <c r="AG858" s="158"/>
      <c r="AH858" s="158"/>
    </row>
    <row r="859" spans="1:34" ht="15.75" customHeight="1">
      <c r="A859" s="179"/>
      <c r="B859" s="180"/>
      <c r="C859" s="180"/>
      <c r="D859" s="179"/>
      <c r="E859" s="179"/>
      <c r="F859" s="179"/>
      <c r="G859" s="179"/>
      <c r="H859" s="181"/>
      <c r="I859" s="181"/>
      <c r="J859" s="181"/>
      <c r="K859" s="179"/>
      <c r="L859" s="179"/>
      <c r="M859" s="179"/>
      <c r="N859" s="181"/>
      <c r="O859" s="179"/>
      <c r="P859" s="179"/>
      <c r="Q859" s="179"/>
      <c r="R859" s="179"/>
      <c r="S859" s="179"/>
      <c r="T859" s="179"/>
      <c r="U859" s="179"/>
      <c r="V859" s="179"/>
      <c r="W859" s="192"/>
      <c r="X859" s="192"/>
      <c r="Y859" s="192"/>
      <c r="Z859" s="158"/>
      <c r="AA859" s="158"/>
      <c r="AB859" s="158"/>
      <c r="AC859" s="158"/>
      <c r="AD859" s="158"/>
      <c r="AE859" s="158"/>
      <c r="AF859" s="158"/>
      <c r="AG859" s="158"/>
      <c r="AH859" s="158"/>
    </row>
    <row r="860" spans="1:34" ht="15.75" customHeight="1">
      <c r="A860" s="179"/>
      <c r="B860" s="180"/>
      <c r="C860" s="180"/>
      <c r="D860" s="179"/>
      <c r="E860" s="179"/>
      <c r="F860" s="179"/>
      <c r="G860" s="179"/>
      <c r="H860" s="181"/>
      <c r="I860" s="181"/>
      <c r="J860" s="181"/>
      <c r="K860" s="179"/>
      <c r="L860" s="179"/>
      <c r="M860" s="179"/>
      <c r="N860" s="181"/>
      <c r="O860" s="179"/>
      <c r="P860" s="179"/>
      <c r="Q860" s="179"/>
      <c r="R860" s="179"/>
      <c r="S860" s="179"/>
      <c r="T860" s="179"/>
      <c r="U860" s="179"/>
      <c r="V860" s="179"/>
      <c r="W860" s="192"/>
      <c r="X860" s="192"/>
      <c r="Y860" s="192"/>
      <c r="Z860" s="158"/>
      <c r="AA860" s="158"/>
      <c r="AB860" s="158"/>
      <c r="AC860" s="158"/>
      <c r="AD860" s="158"/>
      <c r="AE860" s="158"/>
      <c r="AF860" s="158"/>
      <c r="AG860" s="158"/>
      <c r="AH860" s="158"/>
    </row>
    <row r="861" spans="1:34" ht="15.75" customHeight="1">
      <c r="A861" s="179"/>
      <c r="B861" s="180"/>
      <c r="C861" s="180"/>
      <c r="D861" s="179"/>
      <c r="E861" s="179"/>
      <c r="F861" s="179"/>
      <c r="G861" s="179"/>
      <c r="H861" s="181"/>
      <c r="I861" s="181"/>
      <c r="J861" s="181"/>
      <c r="K861" s="179"/>
      <c r="L861" s="179"/>
      <c r="M861" s="179"/>
      <c r="N861" s="181"/>
      <c r="O861" s="179"/>
      <c r="P861" s="179"/>
      <c r="Q861" s="179"/>
      <c r="R861" s="179"/>
      <c r="S861" s="179"/>
      <c r="T861" s="179"/>
      <c r="U861" s="179"/>
      <c r="V861" s="179"/>
      <c r="W861" s="192"/>
      <c r="X861" s="192"/>
      <c r="Y861" s="192"/>
      <c r="Z861" s="158"/>
      <c r="AA861" s="158"/>
      <c r="AB861" s="158"/>
      <c r="AC861" s="158"/>
      <c r="AD861" s="158"/>
      <c r="AE861" s="158"/>
      <c r="AF861" s="158"/>
      <c r="AG861" s="158"/>
      <c r="AH861" s="158"/>
    </row>
    <row r="862" spans="1:34" ht="15.75" customHeight="1">
      <c r="A862" s="179"/>
      <c r="B862" s="180"/>
      <c r="C862" s="180"/>
      <c r="D862" s="179"/>
      <c r="E862" s="179"/>
      <c r="F862" s="179"/>
      <c r="G862" s="179"/>
      <c r="H862" s="181"/>
      <c r="I862" s="181"/>
      <c r="J862" s="181"/>
      <c r="K862" s="179"/>
      <c r="L862" s="179"/>
      <c r="M862" s="179"/>
      <c r="N862" s="181"/>
      <c r="O862" s="179"/>
      <c r="P862" s="179"/>
      <c r="Q862" s="179"/>
      <c r="R862" s="179"/>
      <c r="S862" s="179"/>
      <c r="T862" s="179"/>
      <c r="U862" s="179"/>
      <c r="V862" s="179"/>
      <c r="W862" s="192"/>
      <c r="X862" s="192"/>
      <c r="Y862" s="192"/>
      <c r="Z862" s="158"/>
      <c r="AA862" s="158"/>
      <c r="AB862" s="158"/>
      <c r="AC862" s="158"/>
      <c r="AD862" s="158"/>
      <c r="AE862" s="158"/>
      <c r="AF862" s="158"/>
      <c r="AG862" s="158"/>
      <c r="AH862" s="158"/>
    </row>
    <row r="863" spans="1:34" ht="15.75" customHeight="1">
      <c r="A863" s="179"/>
      <c r="B863" s="180"/>
      <c r="C863" s="180"/>
      <c r="D863" s="179"/>
      <c r="E863" s="179"/>
      <c r="F863" s="179"/>
      <c r="G863" s="179"/>
      <c r="H863" s="181"/>
      <c r="I863" s="181"/>
      <c r="J863" s="181"/>
      <c r="K863" s="179"/>
      <c r="L863" s="179"/>
      <c r="M863" s="179"/>
      <c r="N863" s="181"/>
      <c r="O863" s="179"/>
      <c r="P863" s="179"/>
      <c r="Q863" s="179"/>
      <c r="R863" s="179"/>
      <c r="S863" s="179"/>
      <c r="T863" s="179"/>
      <c r="U863" s="179"/>
      <c r="V863" s="179"/>
      <c r="W863" s="192"/>
      <c r="X863" s="192"/>
      <c r="Y863" s="192"/>
      <c r="Z863" s="158"/>
      <c r="AA863" s="158"/>
      <c r="AB863" s="158"/>
      <c r="AC863" s="158"/>
      <c r="AD863" s="158"/>
      <c r="AE863" s="158"/>
      <c r="AF863" s="158"/>
      <c r="AG863" s="158"/>
      <c r="AH863" s="158"/>
    </row>
    <row r="864" spans="1:34" ht="15.75" customHeight="1">
      <c r="A864" s="179"/>
      <c r="B864" s="180"/>
      <c r="C864" s="180"/>
      <c r="D864" s="179"/>
      <c r="E864" s="179"/>
      <c r="F864" s="179"/>
      <c r="G864" s="179"/>
      <c r="H864" s="181"/>
      <c r="I864" s="181"/>
      <c r="J864" s="181"/>
      <c r="K864" s="179"/>
      <c r="L864" s="179"/>
      <c r="M864" s="179"/>
      <c r="N864" s="181"/>
      <c r="O864" s="179"/>
      <c r="P864" s="179"/>
      <c r="Q864" s="179"/>
      <c r="R864" s="179"/>
      <c r="S864" s="179"/>
      <c r="T864" s="179"/>
      <c r="U864" s="179"/>
      <c r="V864" s="179"/>
      <c r="W864" s="192"/>
      <c r="X864" s="192"/>
      <c r="Y864" s="192"/>
      <c r="Z864" s="158"/>
      <c r="AA864" s="158"/>
      <c r="AB864" s="158"/>
      <c r="AC864" s="158"/>
      <c r="AD864" s="158"/>
      <c r="AE864" s="158"/>
      <c r="AF864" s="158"/>
      <c r="AG864" s="158"/>
      <c r="AH864" s="158"/>
    </row>
    <row r="865" spans="1:34" ht="15.75" customHeight="1">
      <c r="A865" s="179"/>
      <c r="B865" s="180"/>
      <c r="C865" s="180"/>
      <c r="D865" s="179"/>
      <c r="E865" s="179"/>
      <c r="F865" s="179"/>
      <c r="G865" s="179"/>
      <c r="H865" s="181"/>
      <c r="I865" s="181"/>
      <c r="J865" s="181"/>
      <c r="K865" s="179"/>
      <c r="L865" s="179"/>
      <c r="M865" s="179"/>
      <c r="N865" s="181"/>
      <c r="O865" s="179"/>
      <c r="P865" s="179"/>
      <c r="Q865" s="179"/>
      <c r="R865" s="179"/>
      <c r="S865" s="179"/>
      <c r="T865" s="179"/>
      <c r="U865" s="179"/>
      <c r="V865" s="179"/>
      <c r="W865" s="192"/>
      <c r="X865" s="192"/>
      <c r="Y865" s="192"/>
      <c r="Z865" s="158"/>
      <c r="AA865" s="158"/>
      <c r="AB865" s="158"/>
      <c r="AC865" s="158"/>
      <c r="AD865" s="158"/>
      <c r="AE865" s="158"/>
      <c r="AF865" s="158"/>
      <c r="AG865" s="158"/>
      <c r="AH865" s="158"/>
    </row>
    <row r="866" spans="1:34" ht="15.75" customHeight="1">
      <c r="A866" s="179"/>
      <c r="B866" s="180"/>
      <c r="C866" s="180"/>
      <c r="D866" s="179"/>
      <c r="E866" s="179"/>
      <c r="F866" s="179"/>
      <c r="G866" s="179"/>
      <c r="H866" s="181"/>
      <c r="I866" s="181"/>
      <c r="J866" s="181"/>
      <c r="K866" s="179"/>
      <c r="L866" s="179"/>
      <c r="M866" s="179"/>
      <c r="N866" s="181"/>
      <c r="O866" s="179"/>
      <c r="P866" s="179"/>
      <c r="Q866" s="179"/>
      <c r="R866" s="179"/>
      <c r="S866" s="179"/>
      <c r="T866" s="179"/>
      <c r="U866" s="179"/>
      <c r="V866" s="179"/>
      <c r="W866" s="192"/>
      <c r="X866" s="192"/>
      <c r="Y866" s="192"/>
      <c r="Z866" s="158"/>
      <c r="AA866" s="158"/>
      <c r="AB866" s="158"/>
      <c r="AC866" s="158"/>
      <c r="AD866" s="158"/>
      <c r="AE866" s="158"/>
      <c r="AF866" s="158"/>
      <c r="AG866" s="158"/>
      <c r="AH866" s="158"/>
    </row>
    <row r="867" spans="1:34" ht="15.75" customHeight="1">
      <c r="A867" s="179"/>
      <c r="B867" s="180"/>
      <c r="C867" s="180"/>
      <c r="D867" s="179"/>
      <c r="E867" s="179"/>
      <c r="F867" s="179"/>
      <c r="G867" s="179"/>
      <c r="H867" s="181"/>
      <c r="I867" s="181"/>
      <c r="J867" s="181"/>
      <c r="K867" s="179"/>
      <c r="L867" s="179"/>
      <c r="M867" s="179"/>
      <c r="N867" s="181"/>
      <c r="O867" s="179"/>
      <c r="P867" s="179"/>
      <c r="Q867" s="179"/>
      <c r="R867" s="179"/>
      <c r="S867" s="179"/>
      <c r="T867" s="179"/>
      <c r="U867" s="179"/>
      <c r="V867" s="179"/>
      <c r="W867" s="192"/>
      <c r="X867" s="192"/>
      <c r="Y867" s="192"/>
      <c r="Z867" s="158"/>
      <c r="AA867" s="158"/>
      <c r="AB867" s="158"/>
      <c r="AC867" s="158"/>
      <c r="AD867" s="158"/>
      <c r="AE867" s="158"/>
      <c r="AF867" s="158"/>
      <c r="AG867" s="158"/>
      <c r="AH867" s="158"/>
    </row>
    <row r="868" spans="1:34" ht="15.75" customHeight="1">
      <c r="A868" s="179"/>
      <c r="B868" s="180"/>
      <c r="C868" s="180"/>
      <c r="D868" s="179"/>
      <c r="E868" s="179"/>
      <c r="F868" s="179"/>
      <c r="G868" s="179"/>
      <c r="H868" s="181"/>
      <c r="I868" s="181"/>
      <c r="J868" s="181"/>
      <c r="K868" s="179"/>
      <c r="L868" s="179"/>
      <c r="M868" s="179"/>
      <c r="N868" s="181"/>
      <c r="O868" s="179"/>
      <c r="P868" s="179"/>
      <c r="Q868" s="179"/>
      <c r="R868" s="179"/>
      <c r="S868" s="179"/>
      <c r="T868" s="179"/>
      <c r="U868" s="179"/>
      <c r="V868" s="179"/>
      <c r="W868" s="192"/>
      <c r="X868" s="192"/>
      <c r="Y868" s="192"/>
      <c r="Z868" s="158"/>
      <c r="AA868" s="158"/>
      <c r="AB868" s="158"/>
      <c r="AC868" s="158"/>
      <c r="AD868" s="158"/>
      <c r="AE868" s="158"/>
      <c r="AF868" s="158"/>
      <c r="AG868" s="158"/>
      <c r="AH868" s="158"/>
    </row>
    <row r="869" spans="1:34" ht="15.75" customHeight="1">
      <c r="A869" s="179"/>
      <c r="B869" s="180"/>
      <c r="C869" s="180"/>
      <c r="D869" s="179"/>
      <c r="E869" s="179"/>
      <c r="F869" s="179"/>
      <c r="G869" s="179"/>
      <c r="H869" s="181"/>
      <c r="I869" s="181"/>
      <c r="J869" s="181"/>
      <c r="K869" s="179"/>
      <c r="L869" s="179"/>
      <c r="M869" s="179"/>
      <c r="N869" s="181"/>
      <c r="O869" s="179"/>
      <c r="P869" s="179"/>
      <c r="Q869" s="179"/>
      <c r="R869" s="179"/>
      <c r="S869" s="179"/>
      <c r="T869" s="179"/>
      <c r="U869" s="179"/>
      <c r="V869" s="179"/>
      <c r="W869" s="192"/>
      <c r="X869" s="192"/>
      <c r="Y869" s="192"/>
      <c r="Z869" s="158"/>
      <c r="AA869" s="158"/>
      <c r="AB869" s="158"/>
      <c r="AC869" s="158"/>
      <c r="AD869" s="158"/>
      <c r="AE869" s="158"/>
      <c r="AF869" s="158"/>
      <c r="AG869" s="158"/>
      <c r="AH869" s="158"/>
    </row>
    <row r="870" spans="1:34" ht="15.75" customHeight="1">
      <c r="A870" s="179"/>
      <c r="B870" s="180"/>
      <c r="C870" s="180"/>
      <c r="D870" s="179"/>
      <c r="E870" s="179"/>
      <c r="F870" s="179"/>
      <c r="G870" s="179"/>
      <c r="H870" s="181"/>
      <c r="I870" s="181"/>
      <c r="J870" s="181"/>
      <c r="K870" s="179"/>
      <c r="L870" s="179"/>
      <c r="M870" s="179"/>
      <c r="N870" s="181"/>
      <c r="O870" s="179"/>
      <c r="P870" s="179"/>
      <c r="Q870" s="179"/>
      <c r="R870" s="179"/>
      <c r="S870" s="179"/>
      <c r="T870" s="179"/>
      <c r="U870" s="179"/>
      <c r="V870" s="179"/>
      <c r="W870" s="192"/>
      <c r="X870" s="192"/>
      <c r="Y870" s="192"/>
      <c r="Z870" s="158"/>
      <c r="AA870" s="158"/>
      <c r="AB870" s="158"/>
      <c r="AC870" s="158"/>
      <c r="AD870" s="158"/>
      <c r="AE870" s="158"/>
      <c r="AF870" s="158"/>
      <c r="AG870" s="158"/>
      <c r="AH870" s="158"/>
    </row>
    <row r="871" spans="1:34" ht="15.75" customHeight="1">
      <c r="A871" s="179"/>
      <c r="B871" s="180"/>
      <c r="C871" s="180"/>
      <c r="D871" s="179"/>
      <c r="E871" s="179"/>
      <c r="F871" s="179"/>
      <c r="G871" s="179"/>
      <c r="H871" s="181"/>
      <c r="I871" s="181"/>
      <c r="J871" s="181"/>
      <c r="K871" s="179"/>
      <c r="L871" s="179"/>
      <c r="M871" s="179"/>
      <c r="N871" s="181"/>
      <c r="O871" s="179"/>
      <c r="P871" s="179"/>
      <c r="Q871" s="179"/>
      <c r="R871" s="179"/>
      <c r="S871" s="179"/>
      <c r="T871" s="179"/>
      <c r="U871" s="179"/>
      <c r="V871" s="179"/>
      <c r="W871" s="192"/>
      <c r="X871" s="192"/>
      <c r="Y871" s="192"/>
      <c r="Z871" s="158"/>
      <c r="AA871" s="158"/>
      <c r="AB871" s="158"/>
      <c r="AC871" s="158"/>
      <c r="AD871" s="158"/>
      <c r="AE871" s="158"/>
      <c r="AF871" s="158"/>
      <c r="AG871" s="158"/>
      <c r="AH871" s="158"/>
    </row>
    <row r="872" spans="1:34" ht="15.75" customHeight="1">
      <c r="A872" s="179"/>
      <c r="B872" s="180"/>
      <c r="C872" s="180"/>
      <c r="D872" s="179"/>
      <c r="E872" s="179"/>
      <c r="F872" s="179"/>
      <c r="G872" s="179"/>
      <c r="H872" s="181"/>
      <c r="I872" s="181"/>
      <c r="J872" s="181"/>
      <c r="K872" s="179"/>
      <c r="L872" s="179"/>
      <c r="M872" s="179"/>
      <c r="N872" s="181"/>
      <c r="O872" s="179"/>
      <c r="P872" s="179"/>
      <c r="Q872" s="179"/>
      <c r="R872" s="179"/>
      <c r="S872" s="179"/>
      <c r="T872" s="179"/>
      <c r="U872" s="179"/>
      <c r="V872" s="179"/>
      <c r="W872" s="192"/>
      <c r="X872" s="192"/>
      <c r="Y872" s="192"/>
      <c r="Z872" s="158"/>
      <c r="AA872" s="158"/>
      <c r="AB872" s="158"/>
      <c r="AC872" s="158"/>
      <c r="AD872" s="158"/>
      <c r="AE872" s="158"/>
      <c r="AF872" s="158"/>
      <c r="AG872" s="158"/>
      <c r="AH872" s="158"/>
    </row>
    <row r="873" spans="1:34" ht="15.75" customHeight="1">
      <c r="A873" s="179"/>
      <c r="B873" s="180"/>
      <c r="C873" s="180"/>
      <c r="D873" s="179"/>
      <c r="E873" s="179"/>
      <c r="F873" s="179"/>
      <c r="G873" s="179"/>
      <c r="H873" s="181"/>
      <c r="I873" s="181"/>
      <c r="J873" s="181"/>
      <c r="K873" s="179"/>
      <c r="L873" s="179"/>
      <c r="M873" s="179"/>
      <c r="N873" s="181"/>
      <c r="O873" s="179"/>
      <c r="P873" s="179"/>
      <c r="Q873" s="179"/>
      <c r="R873" s="179"/>
      <c r="S873" s="179"/>
      <c r="T873" s="179"/>
      <c r="U873" s="179"/>
      <c r="V873" s="179"/>
      <c r="W873" s="192"/>
      <c r="X873" s="192"/>
      <c r="Y873" s="192"/>
      <c r="Z873" s="158"/>
      <c r="AA873" s="158"/>
      <c r="AB873" s="158"/>
      <c r="AC873" s="158"/>
      <c r="AD873" s="158"/>
      <c r="AE873" s="158"/>
      <c r="AF873" s="158"/>
      <c r="AG873" s="158"/>
      <c r="AH873" s="158"/>
    </row>
    <row r="874" spans="1:34" ht="15.75" customHeight="1">
      <c r="A874" s="179"/>
      <c r="B874" s="180"/>
      <c r="C874" s="180"/>
      <c r="D874" s="179"/>
      <c r="E874" s="179"/>
      <c r="F874" s="179"/>
      <c r="G874" s="179"/>
      <c r="H874" s="181"/>
      <c r="I874" s="181"/>
      <c r="J874" s="181"/>
      <c r="K874" s="179"/>
      <c r="L874" s="179"/>
      <c r="M874" s="179"/>
      <c r="N874" s="181"/>
      <c r="O874" s="179"/>
      <c r="P874" s="179"/>
      <c r="Q874" s="179"/>
      <c r="R874" s="179"/>
      <c r="S874" s="179"/>
      <c r="T874" s="179"/>
      <c r="U874" s="179"/>
      <c r="V874" s="179"/>
      <c r="W874" s="192"/>
      <c r="X874" s="192"/>
      <c r="Y874" s="192"/>
      <c r="Z874" s="158"/>
      <c r="AA874" s="158"/>
      <c r="AB874" s="158"/>
      <c r="AC874" s="158"/>
      <c r="AD874" s="158"/>
      <c r="AE874" s="158"/>
      <c r="AF874" s="158"/>
      <c r="AG874" s="158"/>
      <c r="AH874" s="158"/>
    </row>
    <row r="875" spans="1:34" ht="15.75" customHeight="1">
      <c r="A875" s="179"/>
      <c r="B875" s="180"/>
      <c r="C875" s="180"/>
      <c r="D875" s="179"/>
      <c r="E875" s="179"/>
      <c r="F875" s="179"/>
      <c r="G875" s="179"/>
      <c r="H875" s="181"/>
      <c r="I875" s="181"/>
      <c r="J875" s="181"/>
      <c r="K875" s="179"/>
      <c r="L875" s="179"/>
      <c r="M875" s="179"/>
      <c r="N875" s="181"/>
      <c r="O875" s="179"/>
      <c r="P875" s="179"/>
      <c r="Q875" s="179"/>
      <c r="R875" s="179"/>
      <c r="S875" s="179"/>
      <c r="T875" s="179"/>
      <c r="U875" s="179"/>
      <c r="V875" s="179"/>
      <c r="W875" s="192"/>
      <c r="X875" s="192"/>
      <c r="Y875" s="192"/>
      <c r="Z875" s="158"/>
      <c r="AA875" s="158"/>
      <c r="AB875" s="158"/>
      <c r="AC875" s="158"/>
      <c r="AD875" s="158"/>
      <c r="AE875" s="158"/>
      <c r="AF875" s="158"/>
      <c r="AG875" s="158"/>
      <c r="AH875" s="158"/>
    </row>
    <row r="876" spans="1:34" ht="15.75" customHeight="1">
      <c r="A876" s="179"/>
      <c r="B876" s="180"/>
      <c r="C876" s="180"/>
      <c r="D876" s="179"/>
      <c r="E876" s="179"/>
      <c r="F876" s="179"/>
      <c r="G876" s="179"/>
      <c r="H876" s="181"/>
      <c r="I876" s="181"/>
      <c r="J876" s="181"/>
      <c r="K876" s="179"/>
      <c r="L876" s="179"/>
      <c r="M876" s="179"/>
      <c r="N876" s="181"/>
      <c r="O876" s="179"/>
      <c r="P876" s="179"/>
      <c r="Q876" s="179"/>
      <c r="R876" s="179"/>
      <c r="S876" s="179"/>
      <c r="T876" s="179"/>
      <c r="U876" s="179"/>
      <c r="V876" s="179"/>
      <c r="W876" s="192"/>
      <c r="X876" s="192"/>
      <c r="Y876" s="192"/>
      <c r="Z876" s="158"/>
      <c r="AA876" s="158"/>
      <c r="AB876" s="158"/>
      <c r="AC876" s="158"/>
      <c r="AD876" s="158"/>
      <c r="AE876" s="158"/>
      <c r="AF876" s="158"/>
      <c r="AG876" s="158"/>
      <c r="AH876" s="158"/>
    </row>
    <row r="877" spans="1:34" ht="15.75" customHeight="1">
      <c r="A877" s="179"/>
      <c r="B877" s="180"/>
      <c r="C877" s="180"/>
      <c r="D877" s="179"/>
      <c r="E877" s="179"/>
      <c r="F877" s="179"/>
      <c r="G877" s="179"/>
      <c r="H877" s="181"/>
      <c r="I877" s="181"/>
      <c r="J877" s="181"/>
      <c r="K877" s="179"/>
      <c r="L877" s="179"/>
      <c r="M877" s="179"/>
      <c r="N877" s="181"/>
      <c r="O877" s="179"/>
      <c r="P877" s="179"/>
      <c r="Q877" s="179"/>
      <c r="R877" s="179"/>
      <c r="S877" s="179"/>
      <c r="T877" s="179"/>
      <c r="U877" s="179"/>
      <c r="V877" s="179"/>
      <c r="W877" s="192"/>
      <c r="X877" s="192"/>
      <c r="Y877" s="192"/>
      <c r="Z877" s="158"/>
      <c r="AA877" s="158"/>
      <c r="AB877" s="158"/>
      <c r="AC877" s="158"/>
      <c r="AD877" s="158"/>
      <c r="AE877" s="158"/>
      <c r="AF877" s="158"/>
      <c r="AG877" s="158"/>
      <c r="AH877" s="158"/>
    </row>
    <row r="878" spans="1:34" ht="15.75" customHeight="1">
      <c r="A878" s="179"/>
      <c r="B878" s="180"/>
      <c r="C878" s="180"/>
      <c r="D878" s="179"/>
      <c r="E878" s="179"/>
      <c r="F878" s="179"/>
      <c r="G878" s="179"/>
      <c r="H878" s="181"/>
      <c r="I878" s="181"/>
      <c r="J878" s="181"/>
      <c r="K878" s="179"/>
      <c r="L878" s="179"/>
      <c r="M878" s="179"/>
      <c r="N878" s="181"/>
      <c r="O878" s="179"/>
      <c r="P878" s="179"/>
      <c r="Q878" s="179"/>
      <c r="R878" s="179"/>
      <c r="S878" s="179"/>
      <c r="T878" s="179"/>
      <c r="U878" s="179"/>
      <c r="V878" s="179"/>
      <c r="W878" s="192"/>
      <c r="X878" s="192"/>
      <c r="Y878" s="192"/>
      <c r="Z878" s="158"/>
      <c r="AA878" s="158"/>
      <c r="AB878" s="158"/>
      <c r="AC878" s="158"/>
      <c r="AD878" s="158"/>
      <c r="AE878" s="158"/>
      <c r="AF878" s="158"/>
      <c r="AG878" s="158"/>
      <c r="AH878" s="158"/>
    </row>
    <row r="879" spans="1:34" ht="15.75" customHeight="1">
      <c r="A879" s="179"/>
      <c r="B879" s="180"/>
      <c r="C879" s="180"/>
      <c r="D879" s="179"/>
      <c r="E879" s="179"/>
      <c r="F879" s="179"/>
      <c r="G879" s="179"/>
      <c r="H879" s="181"/>
      <c r="I879" s="181"/>
      <c r="J879" s="181"/>
      <c r="K879" s="179"/>
      <c r="L879" s="179"/>
      <c r="M879" s="179"/>
      <c r="N879" s="181"/>
      <c r="O879" s="179"/>
      <c r="P879" s="179"/>
      <c r="Q879" s="179"/>
      <c r="R879" s="179"/>
      <c r="S879" s="179"/>
      <c r="T879" s="179"/>
      <c r="U879" s="179"/>
      <c r="V879" s="179"/>
      <c r="W879" s="192"/>
      <c r="X879" s="192"/>
      <c r="Y879" s="192"/>
      <c r="Z879" s="158"/>
      <c r="AA879" s="158"/>
      <c r="AB879" s="158"/>
      <c r="AC879" s="158"/>
      <c r="AD879" s="158"/>
      <c r="AE879" s="158"/>
      <c r="AF879" s="158"/>
      <c r="AG879" s="158"/>
      <c r="AH879" s="158"/>
    </row>
    <row r="880" spans="1:34" ht="15.75" customHeight="1">
      <c r="A880" s="179"/>
      <c r="B880" s="180"/>
      <c r="C880" s="180"/>
      <c r="D880" s="179"/>
      <c r="E880" s="179"/>
      <c r="F880" s="179"/>
      <c r="G880" s="179"/>
      <c r="H880" s="181"/>
      <c r="I880" s="181"/>
      <c r="J880" s="181"/>
      <c r="K880" s="179"/>
      <c r="L880" s="179"/>
      <c r="M880" s="179"/>
      <c r="N880" s="181"/>
      <c r="O880" s="179"/>
      <c r="P880" s="179"/>
      <c r="Q880" s="179"/>
      <c r="R880" s="179"/>
      <c r="S880" s="179"/>
      <c r="T880" s="179"/>
      <c r="U880" s="179"/>
      <c r="V880" s="179"/>
      <c r="W880" s="192"/>
      <c r="X880" s="192"/>
      <c r="Y880" s="192"/>
      <c r="Z880" s="158"/>
      <c r="AA880" s="158"/>
      <c r="AB880" s="158"/>
      <c r="AC880" s="158"/>
      <c r="AD880" s="158"/>
      <c r="AE880" s="158"/>
      <c r="AF880" s="158"/>
      <c r="AG880" s="158"/>
      <c r="AH880" s="158"/>
    </row>
    <row r="881" spans="1:34" ht="15.75" customHeight="1">
      <c r="A881" s="179"/>
      <c r="B881" s="180"/>
      <c r="C881" s="180"/>
      <c r="D881" s="179"/>
      <c r="E881" s="179"/>
      <c r="F881" s="179"/>
      <c r="G881" s="179"/>
      <c r="H881" s="181"/>
      <c r="I881" s="181"/>
      <c r="J881" s="181"/>
      <c r="K881" s="179"/>
      <c r="L881" s="179"/>
      <c r="M881" s="179"/>
      <c r="N881" s="181"/>
      <c r="O881" s="179"/>
      <c r="P881" s="179"/>
      <c r="Q881" s="179"/>
      <c r="R881" s="179"/>
      <c r="S881" s="179"/>
      <c r="T881" s="179"/>
      <c r="U881" s="179"/>
      <c r="V881" s="179"/>
      <c r="W881" s="192"/>
      <c r="X881" s="192"/>
      <c r="Y881" s="192"/>
      <c r="Z881" s="158"/>
      <c r="AA881" s="158"/>
      <c r="AB881" s="158"/>
      <c r="AC881" s="158"/>
      <c r="AD881" s="158"/>
      <c r="AE881" s="158"/>
      <c r="AF881" s="158"/>
      <c r="AG881" s="158"/>
      <c r="AH881" s="158"/>
    </row>
    <row r="882" spans="1:34" ht="15.75" customHeight="1">
      <c r="A882" s="179"/>
      <c r="B882" s="180"/>
      <c r="C882" s="180"/>
      <c r="D882" s="179"/>
      <c r="E882" s="179"/>
      <c r="F882" s="179"/>
      <c r="G882" s="179"/>
      <c r="H882" s="181"/>
      <c r="I882" s="181"/>
      <c r="J882" s="181"/>
      <c r="K882" s="179"/>
      <c r="L882" s="179"/>
      <c r="M882" s="179"/>
      <c r="N882" s="181"/>
      <c r="O882" s="179"/>
      <c r="P882" s="179"/>
      <c r="Q882" s="179"/>
      <c r="R882" s="179"/>
      <c r="S882" s="179"/>
      <c r="T882" s="179"/>
      <c r="U882" s="179"/>
      <c r="V882" s="179"/>
      <c r="W882" s="192"/>
      <c r="X882" s="192"/>
      <c r="Y882" s="192"/>
      <c r="Z882" s="158"/>
      <c r="AA882" s="158"/>
      <c r="AB882" s="158"/>
      <c r="AC882" s="158"/>
      <c r="AD882" s="158"/>
      <c r="AE882" s="158"/>
      <c r="AF882" s="158"/>
      <c r="AG882" s="158"/>
      <c r="AH882" s="158"/>
    </row>
    <row r="883" spans="1:34" ht="15.75" customHeight="1">
      <c r="A883" s="179"/>
      <c r="B883" s="180"/>
      <c r="C883" s="180"/>
      <c r="D883" s="179"/>
      <c r="E883" s="179"/>
      <c r="F883" s="179"/>
      <c r="G883" s="179"/>
      <c r="H883" s="181"/>
      <c r="I883" s="181"/>
      <c r="J883" s="181"/>
      <c r="K883" s="179"/>
      <c r="L883" s="179"/>
      <c r="M883" s="179"/>
      <c r="N883" s="181"/>
      <c r="O883" s="179"/>
      <c r="P883" s="179"/>
      <c r="Q883" s="179"/>
      <c r="R883" s="179"/>
      <c r="S883" s="179"/>
      <c r="T883" s="179"/>
      <c r="U883" s="179"/>
      <c r="V883" s="179"/>
      <c r="W883" s="192"/>
      <c r="X883" s="192"/>
      <c r="Y883" s="192"/>
      <c r="Z883" s="158"/>
      <c r="AA883" s="158"/>
      <c r="AB883" s="158"/>
      <c r="AC883" s="158"/>
      <c r="AD883" s="158"/>
      <c r="AE883" s="158"/>
      <c r="AF883" s="158"/>
      <c r="AG883" s="158"/>
      <c r="AH883" s="158"/>
    </row>
    <row r="884" spans="1:34" ht="15.75" customHeight="1">
      <c r="A884" s="179"/>
      <c r="B884" s="180"/>
      <c r="C884" s="180"/>
      <c r="D884" s="179"/>
      <c r="E884" s="179"/>
      <c r="F884" s="179"/>
      <c r="G884" s="179"/>
      <c r="H884" s="181"/>
      <c r="I884" s="181"/>
      <c r="J884" s="181"/>
      <c r="K884" s="179"/>
      <c r="L884" s="179"/>
      <c r="M884" s="179"/>
      <c r="N884" s="181"/>
      <c r="O884" s="179"/>
      <c r="P884" s="179"/>
      <c r="Q884" s="179"/>
      <c r="R884" s="179"/>
      <c r="S884" s="179"/>
      <c r="T884" s="179"/>
      <c r="U884" s="179"/>
      <c r="V884" s="179"/>
      <c r="W884" s="192"/>
      <c r="X884" s="192"/>
      <c r="Y884" s="192"/>
      <c r="Z884" s="158"/>
      <c r="AA884" s="158"/>
      <c r="AB884" s="158"/>
      <c r="AC884" s="158"/>
      <c r="AD884" s="158"/>
      <c r="AE884" s="158"/>
      <c r="AF884" s="158"/>
      <c r="AG884" s="158"/>
      <c r="AH884" s="158"/>
    </row>
    <row r="885" spans="1:34" ht="15.75" customHeight="1">
      <c r="A885" s="179"/>
      <c r="B885" s="180"/>
      <c r="C885" s="180"/>
      <c r="D885" s="179"/>
      <c r="E885" s="179"/>
      <c r="F885" s="179"/>
      <c r="G885" s="179"/>
      <c r="H885" s="181"/>
      <c r="I885" s="181"/>
      <c r="J885" s="181"/>
      <c r="K885" s="179"/>
      <c r="L885" s="179"/>
      <c r="M885" s="179"/>
      <c r="N885" s="181"/>
      <c r="O885" s="179"/>
      <c r="P885" s="179"/>
      <c r="Q885" s="179"/>
      <c r="R885" s="179"/>
      <c r="S885" s="179"/>
      <c r="T885" s="179"/>
      <c r="U885" s="179"/>
      <c r="V885" s="179"/>
      <c r="W885" s="192"/>
      <c r="X885" s="192"/>
      <c r="Y885" s="192"/>
      <c r="Z885" s="158"/>
      <c r="AA885" s="158"/>
      <c r="AB885" s="158"/>
      <c r="AC885" s="158"/>
      <c r="AD885" s="158"/>
      <c r="AE885" s="158"/>
      <c r="AF885" s="158"/>
      <c r="AG885" s="158"/>
      <c r="AH885" s="158"/>
    </row>
    <row r="886" spans="1:34" ht="15.75" customHeight="1">
      <c r="A886" s="179"/>
      <c r="B886" s="180"/>
      <c r="C886" s="180"/>
      <c r="D886" s="179"/>
      <c r="E886" s="179"/>
      <c r="F886" s="179"/>
      <c r="G886" s="179"/>
      <c r="H886" s="181"/>
      <c r="I886" s="181"/>
      <c r="J886" s="181"/>
      <c r="K886" s="179"/>
      <c r="L886" s="179"/>
      <c r="M886" s="179"/>
      <c r="N886" s="181"/>
      <c r="O886" s="179"/>
      <c r="P886" s="179"/>
      <c r="Q886" s="179"/>
      <c r="R886" s="179"/>
      <c r="S886" s="179"/>
      <c r="T886" s="179"/>
      <c r="U886" s="179"/>
      <c r="V886" s="179"/>
      <c r="W886" s="192"/>
      <c r="X886" s="192"/>
      <c r="Y886" s="192"/>
      <c r="Z886" s="158"/>
      <c r="AA886" s="158"/>
      <c r="AB886" s="158"/>
      <c r="AC886" s="158"/>
      <c r="AD886" s="158"/>
      <c r="AE886" s="158"/>
      <c r="AF886" s="158"/>
      <c r="AG886" s="158"/>
      <c r="AH886" s="158"/>
    </row>
    <row r="887" spans="1:34" ht="15.75" customHeight="1">
      <c r="A887" s="179"/>
      <c r="B887" s="180"/>
      <c r="C887" s="180"/>
      <c r="D887" s="179"/>
      <c r="E887" s="179"/>
      <c r="F887" s="179"/>
      <c r="G887" s="179"/>
      <c r="H887" s="181"/>
      <c r="I887" s="181"/>
      <c r="J887" s="181"/>
      <c r="K887" s="179"/>
      <c r="L887" s="179"/>
      <c r="M887" s="179"/>
      <c r="N887" s="181"/>
      <c r="O887" s="179"/>
      <c r="P887" s="179"/>
      <c r="Q887" s="179"/>
      <c r="R887" s="179"/>
      <c r="S887" s="179"/>
      <c r="T887" s="179"/>
      <c r="U887" s="179"/>
      <c r="V887" s="179"/>
      <c r="W887" s="192"/>
      <c r="X887" s="192"/>
      <c r="Y887" s="192"/>
      <c r="Z887" s="158"/>
      <c r="AA887" s="158"/>
      <c r="AB887" s="158"/>
      <c r="AC887" s="158"/>
      <c r="AD887" s="158"/>
      <c r="AE887" s="158"/>
      <c r="AF887" s="158"/>
      <c r="AG887" s="158"/>
      <c r="AH887" s="158"/>
    </row>
    <row r="888" spans="1:34" ht="15.75" customHeight="1">
      <c r="A888" s="179"/>
      <c r="B888" s="180"/>
      <c r="C888" s="180"/>
      <c r="D888" s="179"/>
      <c r="E888" s="179"/>
      <c r="F888" s="179"/>
      <c r="G888" s="179"/>
      <c r="H888" s="181"/>
      <c r="I888" s="181"/>
      <c r="J888" s="181"/>
      <c r="K888" s="179"/>
      <c r="L888" s="179"/>
      <c r="M888" s="179"/>
      <c r="N888" s="181"/>
      <c r="O888" s="179"/>
      <c r="P888" s="179"/>
      <c r="Q888" s="179"/>
      <c r="R888" s="179"/>
      <c r="S888" s="179"/>
      <c r="T888" s="179"/>
      <c r="U888" s="179"/>
      <c r="V888" s="179"/>
      <c r="W888" s="192"/>
      <c r="X888" s="192"/>
      <c r="Y888" s="192"/>
      <c r="Z888" s="158"/>
      <c r="AA888" s="158"/>
      <c r="AB888" s="158"/>
      <c r="AC888" s="158"/>
      <c r="AD888" s="158"/>
      <c r="AE888" s="158"/>
      <c r="AF888" s="158"/>
      <c r="AG888" s="158"/>
      <c r="AH888" s="158"/>
    </row>
    <row r="889" spans="1:34" ht="15.75" customHeight="1">
      <c r="A889" s="179"/>
      <c r="B889" s="180"/>
      <c r="C889" s="180"/>
      <c r="D889" s="179"/>
      <c r="E889" s="179"/>
      <c r="F889" s="179"/>
      <c r="G889" s="179"/>
      <c r="H889" s="181"/>
      <c r="I889" s="181"/>
      <c r="J889" s="181"/>
      <c r="K889" s="179"/>
      <c r="L889" s="179"/>
      <c r="M889" s="179"/>
      <c r="N889" s="181"/>
      <c r="O889" s="179"/>
      <c r="P889" s="179"/>
      <c r="Q889" s="179"/>
      <c r="R889" s="179"/>
      <c r="S889" s="179"/>
      <c r="T889" s="179"/>
      <c r="U889" s="179"/>
      <c r="V889" s="179"/>
      <c r="W889" s="192"/>
      <c r="X889" s="192"/>
      <c r="Y889" s="192"/>
      <c r="Z889" s="158"/>
      <c r="AA889" s="158"/>
      <c r="AB889" s="158"/>
      <c r="AC889" s="158"/>
      <c r="AD889" s="158"/>
      <c r="AE889" s="158"/>
      <c r="AF889" s="158"/>
      <c r="AG889" s="158"/>
      <c r="AH889" s="158"/>
    </row>
    <row r="890" spans="1:34" ht="15.75" customHeight="1">
      <c r="A890" s="179"/>
      <c r="B890" s="180"/>
      <c r="C890" s="180"/>
      <c r="D890" s="179"/>
      <c r="E890" s="179"/>
      <c r="F890" s="179"/>
      <c r="G890" s="179"/>
      <c r="H890" s="181"/>
      <c r="I890" s="181"/>
      <c r="J890" s="181"/>
      <c r="K890" s="179"/>
      <c r="L890" s="179"/>
      <c r="M890" s="179"/>
      <c r="N890" s="181"/>
      <c r="O890" s="179"/>
      <c r="P890" s="179"/>
      <c r="Q890" s="179"/>
      <c r="R890" s="179"/>
      <c r="S890" s="179"/>
      <c r="T890" s="179"/>
      <c r="U890" s="179"/>
      <c r="V890" s="179"/>
      <c r="W890" s="192"/>
      <c r="X890" s="192"/>
      <c r="Y890" s="192"/>
      <c r="Z890" s="158"/>
      <c r="AA890" s="158"/>
      <c r="AB890" s="158"/>
      <c r="AC890" s="158"/>
      <c r="AD890" s="158"/>
      <c r="AE890" s="158"/>
      <c r="AF890" s="158"/>
      <c r="AG890" s="158"/>
      <c r="AH890" s="158"/>
    </row>
    <row r="891" spans="1:34" ht="15.75" customHeight="1">
      <c r="A891" s="179"/>
      <c r="B891" s="180"/>
      <c r="C891" s="180"/>
      <c r="D891" s="179"/>
      <c r="E891" s="179"/>
      <c r="F891" s="179"/>
      <c r="G891" s="179"/>
      <c r="H891" s="181"/>
      <c r="I891" s="181"/>
      <c r="J891" s="181"/>
      <c r="K891" s="179"/>
      <c r="L891" s="179"/>
      <c r="M891" s="179"/>
      <c r="N891" s="181"/>
      <c r="O891" s="179"/>
      <c r="P891" s="179"/>
      <c r="Q891" s="179"/>
      <c r="R891" s="179"/>
      <c r="S891" s="179"/>
      <c r="T891" s="179"/>
      <c r="U891" s="179"/>
      <c r="V891" s="179"/>
      <c r="W891" s="192"/>
      <c r="X891" s="192"/>
      <c r="Y891" s="192"/>
      <c r="Z891" s="158"/>
      <c r="AA891" s="158"/>
      <c r="AB891" s="158"/>
      <c r="AC891" s="158"/>
      <c r="AD891" s="158"/>
      <c r="AE891" s="158"/>
      <c r="AF891" s="158"/>
      <c r="AG891" s="158"/>
      <c r="AH891" s="158"/>
    </row>
    <row r="892" spans="1:34" ht="15.75" customHeight="1">
      <c r="A892" s="179"/>
      <c r="B892" s="180"/>
      <c r="C892" s="180"/>
      <c r="D892" s="179"/>
      <c r="E892" s="179"/>
      <c r="F892" s="179"/>
      <c r="G892" s="179"/>
      <c r="H892" s="181"/>
      <c r="I892" s="181"/>
      <c r="J892" s="181"/>
      <c r="K892" s="179"/>
      <c r="L892" s="179"/>
      <c r="M892" s="179"/>
      <c r="N892" s="181"/>
      <c r="O892" s="179"/>
      <c r="P892" s="179"/>
      <c r="Q892" s="179"/>
      <c r="R892" s="179"/>
      <c r="S892" s="179"/>
      <c r="T892" s="179"/>
      <c r="U892" s="179"/>
      <c r="V892" s="179"/>
      <c r="W892" s="192"/>
      <c r="X892" s="192"/>
      <c r="Y892" s="192"/>
      <c r="Z892" s="158"/>
      <c r="AA892" s="158"/>
      <c r="AB892" s="158"/>
      <c r="AC892" s="158"/>
      <c r="AD892" s="158"/>
      <c r="AE892" s="158"/>
      <c r="AF892" s="158"/>
      <c r="AG892" s="158"/>
      <c r="AH892" s="158"/>
    </row>
    <row r="893" spans="1:34" ht="15.75" customHeight="1">
      <c r="A893" s="179"/>
      <c r="B893" s="180"/>
      <c r="C893" s="180"/>
      <c r="D893" s="179"/>
      <c r="E893" s="179"/>
      <c r="F893" s="179"/>
      <c r="G893" s="179"/>
      <c r="H893" s="181"/>
      <c r="I893" s="181"/>
      <c r="J893" s="181"/>
      <c r="K893" s="179"/>
      <c r="L893" s="179"/>
      <c r="M893" s="179"/>
      <c r="N893" s="181"/>
      <c r="O893" s="179"/>
      <c r="P893" s="179"/>
      <c r="Q893" s="179"/>
      <c r="R893" s="179"/>
      <c r="S893" s="179"/>
      <c r="T893" s="179"/>
      <c r="U893" s="179"/>
      <c r="V893" s="179"/>
      <c r="W893" s="192"/>
      <c r="X893" s="192"/>
      <c r="Y893" s="192"/>
      <c r="Z893" s="158"/>
      <c r="AA893" s="158"/>
      <c r="AB893" s="158"/>
      <c r="AC893" s="158"/>
      <c r="AD893" s="158"/>
      <c r="AE893" s="158"/>
      <c r="AF893" s="158"/>
      <c r="AG893" s="158"/>
      <c r="AH893" s="158"/>
    </row>
    <row r="894" spans="1:34" ht="15.75" customHeight="1">
      <c r="A894" s="179"/>
      <c r="B894" s="180"/>
      <c r="C894" s="180"/>
      <c r="D894" s="179"/>
      <c r="E894" s="179"/>
      <c r="F894" s="179"/>
      <c r="G894" s="179"/>
      <c r="H894" s="181"/>
      <c r="I894" s="181"/>
      <c r="J894" s="181"/>
      <c r="K894" s="179"/>
      <c r="L894" s="179"/>
      <c r="M894" s="179"/>
      <c r="N894" s="181"/>
      <c r="O894" s="179"/>
      <c r="P894" s="179"/>
      <c r="Q894" s="179"/>
      <c r="R894" s="179"/>
      <c r="S894" s="179"/>
      <c r="T894" s="179"/>
      <c r="U894" s="179"/>
      <c r="V894" s="179"/>
      <c r="W894" s="192"/>
      <c r="X894" s="192"/>
      <c r="Y894" s="192"/>
      <c r="Z894" s="158"/>
      <c r="AA894" s="158"/>
      <c r="AB894" s="158"/>
      <c r="AC894" s="158"/>
      <c r="AD894" s="158"/>
      <c r="AE894" s="158"/>
      <c r="AF894" s="158"/>
      <c r="AG894" s="158"/>
      <c r="AH894" s="158"/>
    </row>
    <row r="895" spans="1:34" ht="15.75" customHeight="1">
      <c r="A895" s="179"/>
      <c r="B895" s="180"/>
      <c r="C895" s="180"/>
      <c r="D895" s="179"/>
      <c r="E895" s="179"/>
      <c r="F895" s="179"/>
      <c r="G895" s="179"/>
      <c r="H895" s="181"/>
      <c r="I895" s="181"/>
      <c r="J895" s="181"/>
      <c r="K895" s="179"/>
      <c r="L895" s="179"/>
      <c r="M895" s="179"/>
      <c r="N895" s="181"/>
      <c r="O895" s="179"/>
      <c r="P895" s="179"/>
      <c r="Q895" s="179"/>
      <c r="R895" s="179"/>
      <c r="S895" s="179"/>
      <c r="T895" s="179"/>
      <c r="U895" s="179"/>
      <c r="V895" s="179"/>
      <c r="W895" s="192"/>
      <c r="X895" s="192"/>
      <c r="Y895" s="192"/>
      <c r="Z895" s="158"/>
      <c r="AA895" s="158"/>
      <c r="AB895" s="158"/>
      <c r="AC895" s="158"/>
      <c r="AD895" s="158"/>
      <c r="AE895" s="158"/>
      <c r="AF895" s="158"/>
      <c r="AG895" s="158"/>
      <c r="AH895" s="158"/>
    </row>
    <row r="896" spans="1:34" ht="15.75" customHeight="1">
      <c r="A896" s="179"/>
      <c r="B896" s="180"/>
      <c r="C896" s="180"/>
      <c r="D896" s="179"/>
      <c r="E896" s="179"/>
      <c r="F896" s="179"/>
      <c r="G896" s="179"/>
      <c r="H896" s="181"/>
      <c r="I896" s="181"/>
      <c r="J896" s="181"/>
      <c r="K896" s="179"/>
      <c r="L896" s="179"/>
      <c r="M896" s="179"/>
      <c r="N896" s="181"/>
      <c r="O896" s="179"/>
      <c r="P896" s="179"/>
      <c r="Q896" s="179"/>
      <c r="R896" s="179"/>
      <c r="S896" s="179"/>
      <c r="T896" s="179"/>
      <c r="U896" s="179"/>
      <c r="V896" s="179"/>
      <c r="W896" s="192"/>
      <c r="X896" s="192"/>
      <c r="Y896" s="192"/>
      <c r="Z896" s="158"/>
      <c r="AA896" s="158"/>
      <c r="AB896" s="158"/>
      <c r="AC896" s="158"/>
      <c r="AD896" s="158"/>
      <c r="AE896" s="158"/>
      <c r="AF896" s="158"/>
      <c r="AG896" s="158"/>
      <c r="AH896" s="158"/>
    </row>
    <row r="897" spans="1:34" ht="15.75" customHeight="1">
      <c r="A897" s="179"/>
      <c r="B897" s="180"/>
      <c r="C897" s="180"/>
      <c r="D897" s="179"/>
      <c r="E897" s="179"/>
      <c r="F897" s="179"/>
      <c r="G897" s="179"/>
      <c r="H897" s="181"/>
      <c r="I897" s="181"/>
      <c r="J897" s="181"/>
      <c r="K897" s="179"/>
      <c r="L897" s="179"/>
      <c r="M897" s="179"/>
      <c r="N897" s="181"/>
      <c r="O897" s="179"/>
      <c r="P897" s="179"/>
      <c r="Q897" s="179"/>
      <c r="R897" s="179"/>
      <c r="S897" s="179"/>
      <c r="T897" s="179"/>
      <c r="U897" s="179"/>
      <c r="V897" s="179"/>
      <c r="W897" s="192"/>
      <c r="X897" s="192"/>
      <c r="Y897" s="192"/>
      <c r="Z897" s="158"/>
      <c r="AA897" s="158"/>
      <c r="AB897" s="158"/>
      <c r="AC897" s="158"/>
      <c r="AD897" s="158"/>
      <c r="AE897" s="158"/>
      <c r="AF897" s="158"/>
      <c r="AG897" s="158"/>
      <c r="AH897" s="158"/>
    </row>
    <row r="898" spans="1:34" ht="15.75" customHeight="1">
      <c r="A898" s="179"/>
      <c r="B898" s="180"/>
      <c r="C898" s="180"/>
      <c r="D898" s="179"/>
      <c r="E898" s="179"/>
      <c r="F898" s="179"/>
      <c r="G898" s="179"/>
      <c r="H898" s="181"/>
      <c r="I898" s="181"/>
      <c r="J898" s="181"/>
      <c r="K898" s="179"/>
      <c r="L898" s="179"/>
      <c r="M898" s="179"/>
      <c r="N898" s="181"/>
      <c r="O898" s="179"/>
      <c r="P898" s="179"/>
      <c r="Q898" s="179"/>
      <c r="R898" s="179"/>
      <c r="S898" s="179"/>
      <c r="T898" s="179"/>
      <c r="U898" s="179"/>
      <c r="V898" s="179"/>
      <c r="W898" s="192"/>
      <c r="X898" s="192"/>
      <c r="Y898" s="192"/>
      <c r="Z898" s="158"/>
      <c r="AA898" s="158"/>
      <c r="AB898" s="158"/>
      <c r="AC898" s="158"/>
      <c r="AD898" s="158"/>
      <c r="AE898" s="158"/>
      <c r="AF898" s="158"/>
      <c r="AG898" s="158"/>
      <c r="AH898" s="158"/>
    </row>
    <row r="899" spans="1:34" ht="15.75" customHeight="1">
      <c r="A899" s="179"/>
      <c r="B899" s="180"/>
      <c r="C899" s="180"/>
      <c r="D899" s="179"/>
      <c r="E899" s="179"/>
      <c r="F899" s="179"/>
      <c r="G899" s="179"/>
      <c r="H899" s="181"/>
      <c r="I899" s="181"/>
      <c r="J899" s="181"/>
      <c r="K899" s="179"/>
      <c r="L899" s="179"/>
      <c r="M899" s="179"/>
      <c r="N899" s="181"/>
      <c r="O899" s="179"/>
      <c r="P899" s="179"/>
      <c r="Q899" s="179"/>
      <c r="R899" s="179"/>
      <c r="S899" s="179"/>
      <c r="T899" s="179"/>
      <c r="U899" s="179"/>
      <c r="V899" s="179"/>
      <c r="W899" s="192"/>
      <c r="X899" s="192"/>
      <c r="Y899" s="192"/>
      <c r="Z899" s="158"/>
      <c r="AA899" s="158"/>
      <c r="AB899" s="158"/>
      <c r="AC899" s="158"/>
      <c r="AD899" s="158"/>
      <c r="AE899" s="158"/>
      <c r="AF899" s="158"/>
      <c r="AG899" s="158"/>
      <c r="AH899" s="158"/>
    </row>
    <row r="900" spans="1:34" ht="15.75" customHeight="1">
      <c r="A900" s="179"/>
      <c r="B900" s="180"/>
      <c r="C900" s="180"/>
      <c r="D900" s="179"/>
      <c r="E900" s="179"/>
      <c r="F900" s="179"/>
      <c r="G900" s="179"/>
      <c r="H900" s="181"/>
      <c r="I900" s="181"/>
      <c r="J900" s="181"/>
      <c r="K900" s="179"/>
      <c r="L900" s="179"/>
      <c r="M900" s="179"/>
      <c r="N900" s="181"/>
      <c r="O900" s="179"/>
      <c r="P900" s="179"/>
      <c r="Q900" s="179"/>
      <c r="R900" s="179"/>
      <c r="S900" s="179"/>
      <c r="T900" s="179"/>
      <c r="U900" s="179"/>
      <c r="V900" s="179"/>
      <c r="W900" s="192"/>
      <c r="X900" s="192"/>
      <c r="Y900" s="192"/>
      <c r="Z900" s="158"/>
      <c r="AA900" s="158"/>
      <c r="AB900" s="158"/>
      <c r="AC900" s="158"/>
      <c r="AD900" s="158"/>
      <c r="AE900" s="158"/>
      <c r="AF900" s="158"/>
      <c r="AG900" s="158"/>
      <c r="AH900" s="158"/>
    </row>
    <row r="901" spans="1:34" ht="15.75" customHeight="1">
      <c r="A901" s="179"/>
      <c r="B901" s="180"/>
      <c r="C901" s="180"/>
      <c r="D901" s="179"/>
      <c r="E901" s="179"/>
      <c r="F901" s="179"/>
      <c r="G901" s="179"/>
      <c r="H901" s="181"/>
      <c r="I901" s="181"/>
      <c r="J901" s="181"/>
      <c r="K901" s="179"/>
      <c r="L901" s="179"/>
      <c r="M901" s="179"/>
      <c r="N901" s="181"/>
      <c r="O901" s="179"/>
      <c r="P901" s="179"/>
      <c r="Q901" s="179"/>
      <c r="R901" s="179"/>
      <c r="S901" s="179"/>
      <c r="T901" s="179"/>
      <c r="U901" s="179"/>
      <c r="V901" s="179"/>
      <c r="W901" s="192"/>
      <c r="X901" s="192"/>
      <c r="Y901" s="192"/>
      <c r="Z901" s="158"/>
      <c r="AA901" s="158"/>
      <c r="AB901" s="158"/>
      <c r="AC901" s="158"/>
      <c r="AD901" s="158"/>
      <c r="AE901" s="158"/>
      <c r="AF901" s="158"/>
      <c r="AG901" s="158"/>
      <c r="AH901" s="158"/>
    </row>
    <row r="902" spans="1:34" ht="15.75" customHeight="1">
      <c r="A902" s="179"/>
      <c r="B902" s="180"/>
      <c r="C902" s="180"/>
      <c r="D902" s="179"/>
      <c r="E902" s="179"/>
      <c r="F902" s="179"/>
      <c r="G902" s="179"/>
      <c r="H902" s="181"/>
      <c r="I902" s="181"/>
      <c r="J902" s="181"/>
      <c r="K902" s="179"/>
      <c r="L902" s="179"/>
      <c r="M902" s="179"/>
      <c r="N902" s="181"/>
      <c r="O902" s="179"/>
      <c r="P902" s="179"/>
      <c r="Q902" s="179"/>
      <c r="R902" s="179"/>
      <c r="S902" s="179"/>
      <c r="T902" s="179"/>
      <c r="U902" s="179"/>
      <c r="V902" s="179"/>
      <c r="W902" s="192"/>
      <c r="X902" s="192"/>
      <c r="Y902" s="192"/>
      <c r="Z902" s="158"/>
      <c r="AA902" s="158"/>
      <c r="AB902" s="158"/>
      <c r="AC902" s="158"/>
      <c r="AD902" s="158"/>
      <c r="AE902" s="158"/>
      <c r="AF902" s="158"/>
      <c r="AG902" s="158"/>
      <c r="AH902" s="158"/>
    </row>
    <row r="903" spans="1:34" ht="15.75" customHeight="1">
      <c r="A903" s="179"/>
      <c r="B903" s="180"/>
      <c r="C903" s="180"/>
      <c r="D903" s="179"/>
      <c r="E903" s="179"/>
      <c r="F903" s="179"/>
      <c r="G903" s="179"/>
      <c r="H903" s="181"/>
      <c r="I903" s="181"/>
      <c r="J903" s="181"/>
      <c r="K903" s="179"/>
      <c r="L903" s="179"/>
      <c r="M903" s="179"/>
      <c r="N903" s="181"/>
      <c r="O903" s="179"/>
      <c r="P903" s="179"/>
      <c r="Q903" s="179"/>
      <c r="R903" s="179"/>
      <c r="S903" s="179"/>
      <c r="T903" s="179"/>
      <c r="U903" s="179"/>
      <c r="V903" s="179"/>
      <c r="W903" s="192"/>
      <c r="X903" s="192"/>
      <c r="Y903" s="192"/>
      <c r="Z903" s="158"/>
      <c r="AA903" s="158"/>
      <c r="AB903" s="158"/>
      <c r="AC903" s="158"/>
      <c r="AD903" s="158"/>
      <c r="AE903" s="158"/>
      <c r="AF903" s="158"/>
      <c r="AG903" s="158"/>
      <c r="AH903" s="158"/>
    </row>
    <row r="904" spans="1:34" ht="15.75" customHeight="1">
      <c r="A904" s="179"/>
      <c r="B904" s="180"/>
      <c r="C904" s="180"/>
      <c r="D904" s="179"/>
      <c r="E904" s="179"/>
      <c r="F904" s="179"/>
      <c r="G904" s="179"/>
      <c r="H904" s="181"/>
      <c r="I904" s="181"/>
      <c r="J904" s="181"/>
      <c r="K904" s="179"/>
      <c r="L904" s="179"/>
      <c r="M904" s="179"/>
      <c r="N904" s="181"/>
      <c r="O904" s="179"/>
      <c r="P904" s="179"/>
      <c r="Q904" s="179"/>
      <c r="R904" s="179"/>
      <c r="S904" s="179"/>
      <c r="T904" s="179"/>
      <c r="U904" s="179"/>
      <c r="V904" s="179"/>
      <c r="W904" s="192"/>
      <c r="X904" s="192"/>
      <c r="Y904" s="192"/>
      <c r="Z904" s="158"/>
      <c r="AA904" s="158"/>
      <c r="AB904" s="158"/>
      <c r="AC904" s="158"/>
      <c r="AD904" s="158"/>
      <c r="AE904" s="158"/>
      <c r="AF904" s="158"/>
      <c r="AG904" s="158"/>
      <c r="AH904" s="158"/>
    </row>
    <row r="905" spans="1:34" ht="15.75" customHeight="1">
      <c r="A905" s="179"/>
      <c r="B905" s="180"/>
      <c r="C905" s="180"/>
      <c r="D905" s="179"/>
      <c r="E905" s="179"/>
      <c r="F905" s="179"/>
      <c r="G905" s="179"/>
      <c r="H905" s="181"/>
      <c r="I905" s="181"/>
      <c r="J905" s="181"/>
      <c r="K905" s="179"/>
      <c r="L905" s="179"/>
      <c r="M905" s="179"/>
      <c r="N905" s="181"/>
      <c r="O905" s="179"/>
      <c r="P905" s="179"/>
      <c r="Q905" s="179"/>
      <c r="R905" s="179"/>
      <c r="S905" s="179"/>
      <c r="T905" s="179"/>
      <c r="U905" s="179"/>
      <c r="V905" s="179"/>
      <c r="W905" s="192"/>
      <c r="X905" s="192"/>
      <c r="Y905" s="192"/>
      <c r="Z905" s="158"/>
      <c r="AA905" s="158"/>
      <c r="AB905" s="158"/>
      <c r="AC905" s="158"/>
      <c r="AD905" s="158"/>
      <c r="AE905" s="158"/>
      <c r="AF905" s="158"/>
      <c r="AG905" s="158"/>
      <c r="AH905" s="158"/>
    </row>
    <row r="906" spans="1:34" ht="15.75" customHeight="1">
      <c r="A906" s="179"/>
      <c r="B906" s="180"/>
      <c r="C906" s="180"/>
      <c r="D906" s="179"/>
      <c r="E906" s="179"/>
      <c r="F906" s="179"/>
      <c r="G906" s="179"/>
      <c r="H906" s="181"/>
      <c r="I906" s="181"/>
      <c r="J906" s="181"/>
      <c r="K906" s="179"/>
      <c r="L906" s="179"/>
      <c r="M906" s="179"/>
      <c r="N906" s="181"/>
      <c r="O906" s="179"/>
      <c r="P906" s="179"/>
      <c r="Q906" s="179"/>
      <c r="R906" s="179"/>
      <c r="S906" s="179"/>
      <c r="T906" s="179"/>
      <c r="U906" s="179"/>
      <c r="V906" s="179"/>
      <c r="W906" s="192"/>
      <c r="X906" s="192"/>
      <c r="Y906" s="192"/>
      <c r="Z906" s="158"/>
      <c r="AA906" s="158"/>
      <c r="AB906" s="158"/>
      <c r="AC906" s="158"/>
      <c r="AD906" s="158"/>
      <c r="AE906" s="158"/>
      <c r="AF906" s="158"/>
      <c r="AG906" s="158"/>
      <c r="AH906" s="158"/>
    </row>
    <row r="907" spans="1:34" ht="15.75" customHeight="1">
      <c r="A907" s="179"/>
      <c r="B907" s="180"/>
      <c r="C907" s="180"/>
      <c r="D907" s="179"/>
      <c r="E907" s="179"/>
      <c r="F907" s="179"/>
      <c r="G907" s="179"/>
      <c r="H907" s="181"/>
      <c r="I907" s="181"/>
      <c r="J907" s="181"/>
      <c r="K907" s="179"/>
      <c r="L907" s="179"/>
      <c r="M907" s="179"/>
      <c r="N907" s="181"/>
      <c r="O907" s="179"/>
      <c r="P907" s="179"/>
      <c r="Q907" s="179"/>
      <c r="R907" s="179"/>
      <c r="S907" s="179"/>
      <c r="T907" s="179"/>
      <c r="U907" s="179"/>
      <c r="V907" s="179"/>
      <c r="W907" s="192"/>
      <c r="X907" s="192"/>
      <c r="Y907" s="192"/>
      <c r="Z907" s="158"/>
      <c r="AA907" s="158"/>
      <c r="AB907" s="158"/>
      <c r="AC907" s="158"/>
      <c r="AD907" s="158"/>
      <c r="AE907" s="158"/>
      <c r="AF907" s="158"/>
      <c r="AG907" s="158"/>
      <c r="AH907" s="158"/>
    </row>
    <row r="908" spans="1:34" ht="15.75" customHeight="1">
      <c r="A908" s="179"/>
      <c r="B908" s="180"/>
      <c r="C908" s="180"/>
      <c r="D908" s="179"/>
      <c r="E908" s="179"/>
      <c r="F908" s="179"/>
      <c r="G908" s="179"/>
      <c r="H908" s="181"/>
      <c r="I908" s="181"/>
      <c r="J908" s="181"/>
      <c r="K908" s="179"/>
      <c r="L908" s="179"/>
      <c r="M908" s="179"/>
      <c r="N908" s="181"/>
      <c r="O908" s="179"/>
      <c r="P908" s="179"/>
      <c r="Q908" s="179"/>
      <c r="R908" s="179"/>
      <c r="S908" s="179"/>
      <c r="T908" s="179"/>
      <c r="U908" s="179"/>
      <c r="V908" s="179"/>
      <c r="W908" s="192"/>
      <c r="X908" s="192"/>
      <c r="Y908" s="192"/>
      <c r="Z908" s="158"/>
      <c r="AA908" s="158"/>
      <c r="AB908" s="158"/>
      <c r="AC908" s="158"/>
      <c r="AD908" s="158"/>
      <c r="AE908" s="158"/>
      <c r="AF908" s="158"/>
      <c r="AG908" s="158"/>
      <c r="AH908" s="158"/>
    </row>
    <row r="909" spans="1:34" ht="15.75" customHeight="1">
      <c r="A909" s="179"/>
      <c r="B909" s="180"/>
      <c r="C909" s="180"/>
      <c r="D909" s="179"/>
      <c r="E909" s="179"/>
      <c r="F909" s="179"/>
      <c r="G909" s="179"/>
      <c r="H909" s="181"/>
      <c r="I909" s="181"/>
      <c r="J909" s="181"/>
      <c r="K909" s="179"/>
      <c r="L909" s="179"/>
      <c r="M909" s="179"/>
      <c r="N909" s="181"/>
      <c r="O909" s="179"/>
      <c r="P909" s="179"/>
      <c r="Q909" s="179"/>
      <c r="R909" s="179"/>
      <c r="S909" s="179"/>
      <c r="T909" s="179"/>
      <c r="U909" s="179"/>
      <c r="V909" s="179"/>
      <c r="W909" s="192"/>
      <c r="X909" s="192"/>
      <c r="Y909" s="192"/>
      <c r="Z909" s="158"/>
      <c r="AA909" s="158"/>
      <c r="AB909" s="158"/>
      <c r="AC909" s="158"/>
      <c r="AD909" s="158"/>
      <c r="AE909" s="158"/>
      <c r="AF909" s="158"/>
      <c r="AG909" s="158"/>
      <c r="AH909" s="158"/>
    </row>
    <row r="910" spans="1:34" ht="15.75" customHeight="1">
      <c r="A910" s="179"/>
      <c r="B910" s="180"/>
      <c r="C910" s="180"/>
      <c r="D910" s="179"/>
      <c r="E910" s="179"/>
      <c r="F910" s="179"/>
      <c r="G910" s="179"/>
      <c r="H910" s="181"/>
      <c r="I910" s="181"/>
      <c r="J910" s="181"/>
      <c r="K910" s="179"/>
      <c r="L910" s="179"/>
      <c r="M910" s="179"/>
      <c r="N910" s="181"/>
      <c r="O910" s="179"/>
      <c r="P910" s="179"/>
      <c r="Q910" s="179"/>
      <c r="R910" s="179"/>
      <c r="S910" s="179"/>
      <c r="T910" s="179"/>
      <c r="U910" s="179"/>
      <c r="V910" s="179"/>
      <c r="W910" s="192"/>
      <c r="X910" s="192"/>
      <c r="Y910" s="192"/>
      <c r="Z910" s="158"/>
      <c r="AA910" s="158"/>
      <c r="AB910" s="158"/>
      <c r="AC910" s="158"/>
      <c r="AD910" s="158"/>
      <c r="AE910" s="158"/>
      <c r="AF910" s="158"/>
      <c r="AG910" s="158"/>
      <c r="AH910" s="158"/>
    </row>
    <row r="911" spans="1:34" ht="15.75" customHeight="1">
      <c r="A911" s="179"/>
      <c r="B911" s="180"/>
      <c r="C911" s="180"/>
      <c r="D911" s="179"/>
      <c r="E911" s="179"/>
      <c r="F911" s="179"/>
      <c r="G911" s="179"/>
      <c r="H911" s="181"/>
      <c r="I911" s="181"/>
      <c r="J911" s="181"/>
      <c r="K911" s="179"/>
      <c r="L911" s="179"/>
      <c r="M911" s="179"/>
      <c r="N911" s="181"/>
      <c r="O911" s="179"/>
      <c r="P911" s="179"/>
      <c r="Q911" s="179"/>
      <c r="R911" s="179"/>
      <c r="S911" s="179"/>
      <c r="T911" s="179"/>
      <c r="U911" s="179"/>
      <c r="V911" s="179"/>
      <c r="W911" s="192"/>
      <c r="X911" s="192"/>
      <c r="Y911" s="192"/>
      <c r="Z911" s="158"/>
      <c r="AA911" s="158"/>
      <c r="AB911" s="158"/>
      <c r="AC911" s="158"/>
      <c r="AD911" s="158"/>
      <c r="AE911" s="158"/>
      <c r="AF911" s="158"/>
      <c r="AG911" s="158"/>
      <c r="AH911" s="158"/>
    </row>
    <row r="912" spans="1:34" ht="15.75" customHeight="1">
      <c r="A912" s="179"/>
      <c r="B912" s="180"/>
      <c r="C912" s="180"/>
      <c r="D912" s="179"/>
      <c r="E912" s="179"/>
      <c r="F912" s="179"/>
      <c r="G912" s="179"/>
      <c r="H912" s="181"/>
      <c r="I912" s="181"/>
      <c r="J912" s="181"/>
      <c r="K912" s="179"/>
      <c r="L912" s="179"/>
      <c r="M912" s="179"/>
      <c r="N912" s="181"/>
      <c r="O912" s="179"/>
      <c r="P912" s="179"/>
      <c r="Q912" s="179"/>
      <c r="R912" s="179"/>
      <c r="S912" s="179"/>
      <c r="T912" s="179"/>
      <c r="U912" s="179"/>
      <c r="V912" s="179"/>
      <c r="W912" s="192"/>
      <c r="X912" s="192"/>
      <c r="Y912" s="192"/>
      <c r="Z912" s="158"/>
      <c r="AA912" s="158"/>
      <c r="AB912" s="158"/>
      <c r="AC912" s="158"/>
      <c r="AD912" s="158"/>
      <c r="AE912" s="158"/>
      <c r="AF912" s="158"/>
      <c r="AG912" s="158"/>
      <c r="AH912" s="158"/>
    </row>
    <row r="913" spans="1:34" ht="15.75" customHeight="1">
      <c r="A913" s="179"/>
      <c r="B913" s="180"/>
      <c r="C913" s="180"/>
      <c r="D913" s="179"/>
      <c r="E913" s="179"/>
      <c r="F913" s="179"/>
      <c r="G913" s="179"/>
      <c r="H913" s="181"/>
      <c r="I913" s="181"/>
      <c r="J913" s="181"/>
      <c r="K913" s="179"/>
      <c r="L913" s="179"/>
      <c r="M913" s="179"/>
      <c r="N913" s="181"/>
      <c r="O913" s="179"/>
      <c r="P913" s="179"/>
      <c r="Q913" s="179"/>
      <c r="R913" s="179"/>
      <c r="S913" s="179"/>
      <c r="T913" s="179"/>
      <c r="U913" s="179"/>
      <c r="V913" s="179"/>
      <c r="W913" s="192"/>
      <c r="X913" s="192"/>
      <c r="Y913" s="192"/>
      <c r="Z913" s="158"/>
      <c r="AA913" s="158"/>
      <c r="AB913" s="158"/>
      <c r="AC913" s="158"/>
      <c r="AD913" s="158"/>
      <c r="AE913" s="158"/>
      <c r="AF913" s="158"/>
      <c r="AG913" s="158"/>
      <c r="AH913" s="158"/>
    </row>
    <row r="914" spans="1:34" ht="15.75" customHeight="1">
      <c r="A914" s="179"/>
      <c r="B914" s="180"/>
      <c r="C914" s="180"/>
      <c r="D914" s="179"/>
      <c r="E914" s="179"/>
      <c r="F914" s="179"/>
      <c r="G914" s="179"/>
      <c r="H914" s="181"/>
      <c r="I914" s="181"/>
      <c r="J914" s="181"/>
      <c r="K914" s="179"/>
      <c r="L914" s="179"/>
      <c r="M914" s="179"/>
      <c r="N914" s="181"/>
      <c r="O914" s="179"/>
      <c r="P914" s="179"/>
      <c r="Q914" s="179"/>
      <c r="R914" s="179"/>
      <c r="S914" s="179"/>
      <c r="T914" s="179"/>
      <c r="U914" s="179"/>
      <c r="V914" s="179"/>
      <c r="W914" s="192"/>
      <c r="X914" s="192"/>
      <c r="Y914" s="192"/>
      <c r="Z914" s="158"/>
      <c r="AA914" s="158"/>
      <c r="AB914" s="158"/>
      <c r="AC914" s="158"/>
      <c r="AD914" s="158"/>
      <c r="AE914" s="158"/>
      <c r="AF914" s="158"/>
      <c r="AG914" s="158"/>
      <c r="AH914" s="158"/>
    </row>
    <row r="915" spans="1:34" ht="15.75" customHeight="1">
      <c r="A915" s="179"/>
      <c r="B915" s="180"/>
      <c r="C915" s="180"/>
      <c r="D915" s="179"/>
      <c r="E915" s="179"/>
      <c r="F915" s="179"/>
      <c r="G915" s="179"/>
      <c r="H915" s="181"/>
      <c r="I915" s="181"/>
      <c r="J915" s="181"/>
      <c r="K915" s="179"/>
      <c r="L915" s="179"/>
      <c r="M915" s="179"/>
      <c r="N915" s="181"/>
      <c r="O915" s="179"/>
      <c r="P915" s="179"/>
      <c r="Q915" s="179"/>
      <c r="R915" s="179"/>
      <c r="S915" s="179"/>
      <c r="T915" s="179"/>
      <c r="U915" s="179"/>
      <c r="V915" s="179"/>
      <c r="W915" s="192"/>
      <c r="X915" s="192"/>
      <c r="Y915" s="192"/>
      <c r="Z915" s="158"/>
      <c r="AA915" s="158"/>
      <c r="AB915" s="158"/>
      <c r="AC915" s="158"/>
      <c r="AD915" s="158"/>
      <c r="AE915" s="158"/>
      <c r="AF915" s="158"/>
      <c r="AG915" s="158"/>
      <c r="AH915" s="158"/>
    </row>
    <row r="916" spans="1:34" ht="15.75" customHeight="1">
      <c r="A916" s="179"/>
      <c r="B916" s="180"/>
      <c r="C916" s="180"/>
      <c r="D916" s="179"/>
      <c r="E916" s="179"/>
      <c r="F916" s="179"/>
      <c r="G916" s="179"/>
      <c r="H916" s="181"/>
      <c r="I916" s="181"/>
      <c r="J916" s="181"/>
      <c r="K916" s="179"/>
      <c r="L916" s="179"/>
      <c r="M916" s="179"/>
      <c r="N916" s="181"/>
      <c r="O916" s="179"/>
      <c r="P916" s="179"/>
      <c r="Q916" s="179"/>
      <c r="R916" s="179"/>
      <c r="S916" s="179"/>
      <c r="T916" s="179"/>
      <c r="U916" s="179"/>
      <c r="V916" s="179"/>
      <c r="W916" s="192"/>
      <c r="X916" s="192"/>
      <c r="Y916" s="192"/>
      <c r="Z916" s="158"/>
      <c r="AA916" s="158"/>
      <c r="AB916" s="158"/>
      <c r="AC916" s="158"/>
      <c r="AD916" s="158"/>
      <c r="AE916" s="158"/>
      <c r="AF916" s="158"/>
      <c r="AG916" s="158"/>
      <c r="AH916" s="158"/>
    </row>
    <row r="917" spans="1:34" ht="15.75" customHeight="1">
      <c r="A917" s="179"/>
      <c r="B917" s="180"/>
      <c r="C917" s="180"/>
      <c r="D917" s="179"/>
      <c r="E917" s="179"/>
      <c r="F917" s="179"/>
      <c r="G917" s="179"/>
      <c r="H917" s="181"/>
      <c r="I917" s="181"/>
      <c r="J917" s="181"/>
      <c r="K917" s="179"/>
      <c r="L917" s="179"/>
      <c r="M917" s="179"/>
      <c r="N917" s="181"/>
      <c r="O917" s="179"/>
      <c r="P917" s="179"/>
      <c r="Q917" s="179"/>
      <c r="R917" s="179"/>
      <c r="S917" s="179"/>
      <c r="T917" s="179"/>
      <c r="U917" s="179"/>
      <c r="V917" s="179"/>
      <c r="W917" s="192"/>
      <c r="X917" s="192"/>
      <c r="Y917" s="192"/>
      <c r="Z917" s="158"/>
      <c r="AA917" s="158"/>
      <c r="AB917" s="158"/>
      <c r="AC917" s="158"/>
      <c r="AD917" s="158"/>
      <c r="AE917" s="158"/>
      <c r="AF917" s="158"/>
      <c r="AG917" s="158"/>
      <c r="AH917" s="158"/>
    </row>
    <row r="918" spans="1:34" ht="15.75" customHeight="1">
      <c r="A918" s="179"/>
      <c r="B918" s="180"/>
      <c r="C918" s="180"/>
      <c r="D918" s="179"/>
      <c r="E918" s="179"/>
      <c r="F918" s="179"/>
      <c r="G918" s="179"/>
      <c r="H918" s="181"/>
      <c r="I918" s="181"/>
      <c r="J918" s="181"/>
      <c r="K918" s="179"/>
      <c r="L918" s="179"/>
      <c r="M918" s="179"/>
      <c r="N918" s="181"/>
      <c r="O918" s="179"/>
      <c r="P918" s="179"/>
      <c r="Q918" s="179"/>
      <c r="R918" s="179"/>
      <c r="S918" s="179"/>
      <c r="T918" s="179"/>
      <c r="U918" s="179"/>
      <c r="V918" s="179"/>
      <c r="W918" s="192"/>
      <c r="X918" s="192"/>
      <c r="Y918" s="192"/>
      <c r="Z918" s="158"/>
      <c r="AA918" s="158"/>
      <c r="AB918" s="158"/>
      <c r="AC918" s="158"/>
      <c r="AD918" s="158"/>
      <c r="AE918" s="158"/>
      <c r="AF918" s="158"/>
      <c r="AG918" s="158"/>
      <c r="AH918" s="158"/>
    </row>
    <row r="919" spans="1:34" ht="15.75" customHeight="1">
      <c r="A919" s="179"/>
      <c r="B919" s="180"/>
      <c r="C919" s="180"/>
      <c r="D919" s="179"/>
      <c r="E919" s="179"/>
      <c r="F919" s="179"/>
      <c r="G919" s="179"/>
      <c r="H919" s="181"/>
      <c r="I919" s="181"/>
      <c r="J919" s="181"/>
      <c r="K919" s="179"/>
      <c r="L919" s="179"/>
      <c r="M919" s="179"/>
      <c r="N919" s="181"/>
      <c r="O919" s="179"/>
      <c r="P919" s="179"/>
      <c r="Q919" s="179"/>
      <c r="R919" s="179"/>
      <c r="S919" s="179"/>
      <c r="T919" s="179"/>
      <c r="U919" s="179"/>
      <c r="V919" s="179"/>
      <c r="W919" s="192"/>
      <c r="X919" s="192"/>
      <c r="Y919" s="192"/>
      <c r="Z919" s="158"/>
      <c r="AA919" s="158"/>
      <c r="AB919" s="158"/>
      <c r="AC919" s="158"/>
      <c r="AD919" s="158"/>
      <c r="AE919" s="158"/>
      <c r="AF919" s="158"/>
      <c r="AG919" s="158"/>
      <c r="AH919" s="158"/>
    </row>
    <row r="920" spans="1:34" ht="15.75" customHeight="1">
      <c r="A920" s="179"/>
      <c r="B920" s="180"/>
      <c r="C920" s="180"/>
      <c r="D920" s="179"/>
      <c r="E920" s="179"/>
      <c r="F920" s="179"/>
      <c r="G920" s="179"/>
      <c r="H920" s="181"/>
      <c r="I920" s="181"/>
      <c r="J920" s="181"/>
      <c r="K920" s="179"/>
      <c r="L920" s="179"/>
      <c r="M920" s="179"/>
      <c r="N920" s="181"/>
      <c r="O920" s="179"/>
      <c r="P920" s="179"/>
      <c r="Q920" s="179"/>
      <c r="R920" s="179"/>
      <c r="S920" s="179"/>
      <c r="T920" s="179"/>
      <c r="U920" s="179"/>
      <c r="V920" s="179"/>
      <c r="W920" s="192"/>
      <c r="X920" s="192"/>
      <c r="Y920" s="192"/>
      <c r="Z920" s="158"/>
      <c r="AA920" s="158"/>
      <c r="AB920" s="158"/>
      <c r="AC920" s="158"/>
      <c r="AD920" s="158"/>
      <c r="AE920" s="158"/>
      <c r="AF920" s="158"/>
      <c r="AG920" s="158"/>
      <c r="AH920" s="158"/>
    </row>
    <row r="921" spans="1:34" ht="15.75" customHeight="1">
      <c r="A921" s="179"/>
      <c r="B921" s="180"/>
      <c r="C921" s="180"/>
      <c r="D921" s="179"/>
      <c r="E921" s="179"/>
      <c r="F921" s="179"/>
      <c r="G921" s="179"/>
      <c r="H921" s="181"/>
      <c r="I921" s="181"/>
      <c r="J921" s="181"/>
      <c r="K921" s="179"/>
      <c r="L921" s="179"/>
      <c r="M921" s="179"/>
      <c r="N921" s="181"/>
      <c r="O921" s="179"/>
      <c r="P921" s="179"/>
      <c r="Q921" s="179"/>
      <c r="R921" s="179"/>
      <c r="S921" s="179"/>
      <c r="T921" s="179"/>
      <c r="U921" s="179"/>
      <c r="V921" s="179"/>
      <c r="W921" s="192"/>
      <c r="X921" s="192"/>
      <c r="Y921" s="192"/>
      <c r="Z921" s="158"/>
      <c r="AA921" s="158"/>
      <c r="AB921" s="158"/>
      <c r="AC921" s="158"/>
      <c r="AD921" s="158"/>
      <c r="AE921" s="158"/>
      <c r="AF921" s="158"/>
      <c r="AG921" s="158"/>
      <c r="AH921" s="158"/>
    </row>
    <row r="922" spans="1:34" ht="15.75" customHeight="1">
      <c r="A922" s="179"/>
      <c r="B922" s="180"/>
      <c r="C922" s="180"/>
      <c r="D922" s="179"/>
      <c r="E922" s="179"/>
      <c r="F922" s="179"/>
      <c r="G922" s="179"/>
      <c r="H922" s="181"/>
      <c r="I922" s="181"/>
      <c r="J922" s="181"/>
      <c r="K922" s="179"/>
      <c r="L922" s="179"/>
      <c r="M922" s="179"/>
      <c r="N922" s="181"/>
      <c r="O922" s="179"/>
      <c r="P922" s="179"/>
      <c r="Q922" s="179"/>
      <c r="R922" s="179"/>
      <c r="S922" s="179"/>
      <c r="T922" s="179"/>
      <c r="U922" s="179"/>
      <c r="V922" s="179"/>
      <c r="W922" s="192"/>
      <c r="X922" s="192"/>
      <c r="Y922" s="192"/>
      <c r="Z922" s="158"/>
      <c r="AA922" s="158"/>
      <c r="AB922" s="158"/>
      <c r="AC922" s="158"/>
      <c r="AD922" s="158"/>
      <c r="AE922" s="158"/>
      <c r="AF922" s="158"/>
      <c r="AG922" s="158"/>
      <c r="AH922" s="158"/>
    </row>
    <row r="923" spans="1:34" ht="15.75" customHeight="1">
      <c r="A923" s="179"/>
      <c r="B923" s="180"/>
      <c r="C923" s="180"/>
      <c r="D923" s="179"/>
      <c r="E923" s="179"/>
      <c r="F923" s="179"/>
      <c r="G923" s="179"/>
      <c r="H923" s="181"/>
      <c r="I923" s="181"/>
      <c r="J923" s="181"/>
      <c r="K923" s="179"/>
      <c r="L923" s="179"/>
      <c r="M923" s="179"/>
      <c r="N923" s="181"/>
      <c r="O923" s="179"/>
      <c r="P923" s="179"/>
      <c r="Q923" s="179"/>
      <c r="R923" s="179"/>
      <c r="S923" s="179"/>
      <c r="T923" s="179"/>
      <c r="U923" s="179"/>
      <c r="V923" s="179"/>
      <c r="W923" s="192"/>
      <c r="X923" s="192"/>
      <c r="Y923" s="192"/>
      <c r="Z923" s="158"/>
      <c r="AA923" s="158"/>
      <c r="AB923" s="158"/>
      <c r="AC923" s="158"/>
      <c r="AD923" s="158"/>
      <c r="AE923" s="158"/>
      <c r="AF923" s="158"/>
      <c r="AG923" s="158"/>
      <c r="AH923" s="158"/>
    </row>
    <row r="924" spans="1:34" ht="15.75" customHeight="1">
      <c r="A924" s="179"/>
      <c r="B924" s="180"/>
      <c r="C924" s="180"/>
      <c r="D924" s="179"/>
      <c r="E924" s="179"/>
      <c r="F924" s="179"/>
      <c r="G924" s="179"/>
      <c r="H924" s="181"/>
      <c r="I924" s="181"/>
      <c r="J924" s="181"/>
      <c r="K924" s="179"/>
      <c r="L924" s="179"/>
      <c r="M924" s="179"/>
      <c r="N924" s="181"/>
      <c r="O924" s="179"/>
      <c r="P924" s="179"/>
      <c r="Q924" s="179"/>
      <c r="R924" s="179"/>
      <c r="S924" s="179"/>
      <c r="T924" s="179"/>
      <c r="U924" s="179"/>
      <c r="V924" s="179"/>
      <c r="W924" s="192"/>
      <c r="X924" s="192"/>
      <c r="Y924" s="192"/>
      <c r="Z924" s="158"/>
      <c r="AA924" s="158"/>
      <c r="AB924" s="158"/>
      <c r="AC924" s="158"/>
      <c r="AD924" s="158"/>
      <c r="AE924" s="158"/>
      <c r="AF924" s="158"/>
      <c r="AG924" s="158"/>
      <c r="AH924" s="158"/>
    </row>
    <row r="925" spans="1:34" ht="15.75" customHeight="1">
      <c r="A925" s="179"/>
      <c r="B925" s="180"/>
      <c r="C925" s="180"/>
      <c r="D925" s="179"/>
      <c r="E925" s="179"/>
      <c r="F925" s="179"/>
      <c r="G925" s="179"/>
      <c r="H925" s="181"/>
      <c r="I925" s="181"/>
      <c r="J925" s="181"/>
      <c r="K925" s="179"/>
      <c r="L925" s="179"/>
      <c r="M925" s="179"/>
      <c r="N925" s="181"/>
      <c r="O925" s="179"/>
      <c r="P925" s="179"/>
      <c r="Q925" s="179"/>
      <c r="R925" s="179"/>
      <c r="S925" s="179"/>
      <c r="T925" s="179"/>
      <c r="U925" s="179"/>
      <c r="V925" s="179"/>
      <c r="W925" s="192"/>
      <c r="X925" s="192"/>
      <c r="Y925" s="192"/>
      <c r="Z925" s="158"/>
      <c r="AA925" s="158"/>
      <c r="AB925" s="158"/>
      <c r="AC925" s="158"/>
      <c r="AD925" s="158"/>
      <c r="AE925" s="158"/>
      <c r="AF925" s="158"/>
      <c r="AG925" s="158"/>
      <c r="AH925" s="158"/>
    </row>
    <row r="926" spans="1:34" ht="15.75" customHeight="1">
      <c r="A926" s="179"/>
      <c r="B926" s="180"/>
      <c r="C926" s="180"/>
      <c r="D926" s="179"/>
      <c r="E926" s="179"/>
      <c r="F926" s="179"/>
      <c r="G926" s="179"/>
      <c r="H926" s="181"/>
      <c r="I926" s="181"/>
      <c r="J926" s="181"/>
      <c r="K926" s="179"/>
      <c r="L926" s="179"/>
      <c r="M926" s="179"/>
      <c r="N926" s="181"/>
      <c r="O926" s="179"/>
      <c r="P926" s="179"/>
      <c r="Q926" s="179"/>
      <c r="R926" s="179"/>
      <c r="S926" s="179"/>
      <c r="T926" s="179"/>
      <c r="U926" s="179"/>
      <c r="V926" s="179"/>
      <c r="W926" s="192"/>
      <c r="X926" s="192"/>
      <c r="Y926" s="192"/>
      <c r="Z926" s="158"/>
      <c r="AA926" s="158"/>
      <c r="AB926" s="158"/>
      <c r="AC926" s="158"/>
      <c r="AD926" s="158"/>
      <c r="AE926" s="158"/>
      <c r="AF926" s="158"/>
      <c r="AG926" s="158"/>
      <c r="AH926" s="158"/>
    </row>
    <row r="927" spans="1:34" ht="15.75" customHeight="1">
      <c r="A927" s="179"/>
      <c r="B927" s="180"/>
      <c r="C927" s="180"/>
      <c r="D927" s="179"/>
      <c r="E927" s="179"/>
      <c r="F927" s="179"/>
      <c r="G927" s="179"/>
      <c r="H927" s="181"/>
      <c r="I927" s="181"/>
      <c r="J927" s="181"/>
      <c r="K927" s="179"/>
      <c r="L927" s="179"/>
      <c r="M927" s="179"/>
      <c r="N927" s="181"/>
      <c r="O927" s="179"/>
      <c r="P927" s="179"/>
      <c r="Q927" s="179"/>
      <c r="R927" s="179"/>
      <c r="S927" s="179"/>
      <c r="T927" s="179"/>
      <c r="U927" s="179"/>
      <c r="V927" s="179"/>
      <c r="W927" s="192"/>
      <c r="X927" s="192"/>
      <c r="Y927" s="192"/>
      <c r="Z927" s="158"/>
      <c r="AA927" s="158"/>
      <c r="AB927" s="158"/>
      <c r="AC927" s="158"/>
      <c r="AD927" s="158"/>
      <c r="AE927" s="158"/>
      <c r="AF927" s="158"/>
      <c r="AG927" s="158"/>
      <c r="AH927" s="158"/>
    </row>
    <row r="928" spans="1:34" ht="15.75" customHeight="1">
      <c r="A928" s="179"/>
      <c r="B928" s="180"/>
      <c r="C928" s="180"/>
      <c r="D928" s="179"/>
      <c r="E928" s="179"/>
      <c r="F928" s="179"/>
      <c r="G928" s="179"/>
      <c r="H928" s="181"/>
      <c r="I928" s="181"/>
      <c r="J928" s="181"/>
      <c r="K928" s="179"/>
      <c r="L928" s="179"/>
      <c r="M928" s="179"/>
      <c r="N928" s="181"/>
      <c r="O928" s="179"/>
      <c r="P928" s="179"/>
      <c r="Q928" s="179"/>
      <c r="R928" s="179"/>
      <c r="S928" s="179"/>
      <c r="T928" s="179"/>
      <c r="U928" s="179"/>
      <c r="V928" s="179"/>
      <c r="W928" s="192"/>
      <c r="X928" s="192"/>
      <c r="Y928" s="192"/>
      <c r="Z928" s="158"/>
      <c r="AA928" s="158"/>
      <c r="AB928" s="158"/>
      <c r="AC928" s="158"/>
      <c r="AD928" s="158"/>
      <c r="AE928" s="158"/>
      <c r="AF928" s="158"/>
      <c r="AG928" s="158"/>
      <c r="AH928" s="158"/>
    </row>
    <row r="929" spans="1:34" ht="15.75" customHeight="1">
      <c r="A929" s="179"/>
      <c r="B929" s="180"/>
      <c r="C929" s="180"/>
      <c r="D929" s="179"/>
      <c r="E929" s="179"/>
      <c r="F929" s="179"/>
      <c r="G929" s="179"/>
      <c r="H929" s="181"/>
      <c r="I929" s="181"/>
      <c r="J929" s="181"/>
      <c r="K929" s="179"/>
      <c r="L929" s="179"/>
      <c r="M929" s="179"/>
      <c r="N929" s="181"/>
      <c r="O929" s="179"/>
      <c r="P929" s="179"/>
      <c r="Q929" s="179"/>
      <c r="R929" s="179"/>
      <c r="S929" s="179"/>
      <c r="T929" s="179"/>
      <c r="U929" s="179"/>
      <c r="V929" s="179"/>
      <c r="W929" s="192"/>
      <c r="X929" s="192"/>
      <c r="Y929" s="192"/>
      <c r="Z929" s="158"/>
      <c r="AA929" s="158"/>
      <c r="AB929" s="158"/>
      <c r="AC929" s="158"/>
      <c r="AD929" s="158"/>
      <c r="AE929" s="158"/>
      <c r="AF929" s="158"/>
      <c r="AG929" s="158"/>
      <c r="AH929" s="158"/>
    </row>
    <row r="930" spans="1:34" ht="15.75" customHeight="1">
      <c r="A930" s="179"/>
      <c r="B930" s="180"/>
      <c r="C930" s="180"/>
      <c r="D930" s="179"/>
      <c r="E930" s="179"/>
      <c r="F930" s="179"/>
      <c r="G930" s="179"/>
      <c r="H930" s="181"/>
      <c r="I930" s="181"/>
      <c r="J930" s="181"/>
      <c r="K930" s="179"/>
      <c r="L930" s="179"/>
      <c r="M930" s="179"/>
      <c r="N930" s="181"/>
      <c r="O930" s="179"/>
      <c r="P930" s="179"/>
      <c r="Q930" s="179"/>
      <c r="R930" s="179"/>
      <c r="S930" s="179"/>
      <c r="T930" s="179"/>
      <c r="U930" s="179"/>
      <c r="V930" s="179"/>
      <c r="W930" s="192"/>
      <c r="X930" s="192"/>
      <c r="Y930" s="192"/>
      <c r="Z930" s="158"/>
      <c r="AA930" s="158"/>
      <c r="AB930" s="158"/>
      <c r="AC930" s="158"/>
      <c r="AD930" s="158"/>
      <c r="AE930" s="158"/>
      <c r="AF930" s="158"/>
      <c r="AG930" s="158"/>
      <c r="AH930" s="158"/>
    </row>
    <row r="931" spans="1:34" ht="15.75" customHeight="1">
      <c r="A931" s="179"/>
      <c r="B931" s="180"/>
      <c r="C931" s="180"/>
      <c r="D931" s="179"/>
      <c r="E931" s="179"/>
      <c r="F931" s="179"/>
      <c r="G931" s="179"/>
      <c r="H931" s="181"/>
      <c r="I931" s="181"/>
      <c r="J931" s="181"/>
      <c r="K931" s="179"/>
      <c r="L931" s="179"/>
      <c r="M931" s="179"/>
      <c r="N931" s="181"/>
      <c r="O931" s="179"/>
      <c r="P931" s="179"/>
      <c r="Q931" s="179"/>
      <c r="R931" s="179"/>
      <c r="S931" s="179"/>
      <c r="T931" s="179"/>
      <c r="U931" s="179"/>
      <c r="V931" s="179"/>
      <c r="W931" s="192"/>
      <c r="X931" s="192"/>
      <c r="Y931" s="192"/>
      <c r="Z931" s="158"/>
      <c r="AA931" s="158"/>
      <c r="AB931" s="158"/>
      <c r="AC931" s="158"/>
      <c r="AD931" s="158"/>
      <c r="AE931" s="158"/>
      <c r="AF931" s="158"/>
      <c r="AG931" s="158"/>
      <c r="AH931" s="158"/>
    </row>
    <row r="932" spans="1:34" ht="15.75" customHeight="1">
      <c r="A932" s="179"/>
      <c r="B932" s="180"/>
      <c r="C932" s="180"/>
      <c r="D932" s="179"/>
      <c r="E932" s="179"/>
      <c r="F932" s="179"/>
      <c r="G932" s="179"/>
      <c r="H932" s="181"/>
      <c r="I932" s="181"/>
      <c r="J932" s="181"/>
      <c r="K932" s="179"/>
      <c r="L932" s="179"/>
      <c r="M932" s="179"/>
      <c r="N932" s="181"/>
      <c r="O932" s="179"/>
      <c r="P932" s="179"/>
      <c r="Q932" s="179"/>
      <c r="R932" s="179"/>
      <c r="S932" s="179"/>
      <c r="T932" s="179"/>
      <c r="U932" s="179"/>
      <c r="V932" s="179"/>
      <c r="W932" s="192"/>
      <c r="X932" s="192"/>
      <c r="Y932" s="192"/>
      <c r="Z932" s="158"/>
      <c r="AA932" s="158"/>
      <c r="AB932" s="158"/>
      <c r="AC932" s="158"/>
      <c r="AD932" s="158"/>
      <c r="AE932" s="158"/>
      <c r="AF932" s="158"/>
      <c r="AG932" s="158"/>
      <c r="AH932" s="158"/>
    </row>
    <row r="933" spans="1:34" ht="15.75" customHeight="1">
      <c r="A933" s="179"/>
      <c r="B933" s="180"/>
      <c r="C933" s="180"/>
      <c r="D933" s="179"/>
      <c r="E933" s="179"/>
      <c r="F933" s="179"/>
      <c r="G933" s="179"/>
      <c r="H933" s="181"/>
      <c r="I933" s="181"/>
      <c r="J933" s="181"/>
      <c r="K933" s="179"/>
      <c r="L933" s="179"/>
      <c r="M933" s="179"/>
      <c r="N933" s="181"/>
      <c r="O933" s="179"/>
      <c r="P933" s="179"/>
      <c r="Q933" s="179"/>
      <c r="R933" s="179"/>
      <c r="S933" s="179"/>
      <c r="T933" s="179"/>
      <c r="U933" s="179"/>
      <c r="V933" s="179"/>
      <c r="W933" s="192"/>
      <c r="X933" s="192"/>
      <c r="Y933" s="192"/>
      <c r="Z933" s="158"/>
      <c r="AA933" s="158"/>
      <c r="AB933" s="158"/>
      <c r="AC933" s="158"/>
      <c r="AD933" s="158"/>
      <c r="AE933" s="158"/>
      <c r="AF933" s="158"/>
      <c r="AG933" s="158"/>
      <c r="AH933" s="158"/>
    </row>
    <row r="934" spans="1:34" ht="15.75" customHeight="1">
      <c r="A934" s="179"/>
      <c r="B934" s="180"/>
      <c r="C934" s="180"/>
      <c r="D934" s="179"/>
      <c r="E934" s="179"/>
      <c r="F934" s="179"/>
      <c r="G934" s="179"/>
      <c r="H934" s="181"/>
      <c r="I934" s="181"/>
      <c r="J934" s="181"/>
      <c r="K934" s="179"/>
      <c r="L934" s="179"/>
      <c r="M934" s="179"/>
      <c r="N934" s="181"/>
      <c r="O934" s="179"/>
      <c r="P934" s="179"/>
      <c r="Q934" s="179"/>
      <c r="R934" s="179"/>
      <c r="S934" s="179"/>
      <c r="T934" s="179"/>
      <c r="U934" s="179"/>
      <c r="V934" s="179"/>
      <c r="W934" s="192"/>
      <c r="X934" s="192"/>
      <c r="Y934" s="192"/>
      <c r="Z934" s="158"/>
      <c r="AA934" s="158"/>
      <c r="AB934" s="158"/>
      <c r="AC934" s="158"/>
      <c r="AD934" s="158"/>
      <c r="AE934" s="158"/>
      <c r="AF934" s="158"/>
      <c r="AG934" s="158"/>
      <c r="AH934" s="158"/>
    </row>
    <row r="935" spans="1:34" ht="15.75" customHeight="1">
      <c r="A935" s="179"/>
      <c r="B935" s="180"/>
      <c r="C935" s="180"/>
      <c r="D935" s="179"/>
      <c r="E935" s="179"/>
      <c r="F935" s="179"/>
      <c r="G935" s="179"/>
      <c r="H935" s="181"/>
      <c r="I935" s="181"/>
      <c r="J935" s="181"/>
      <c r="K935" s="179"/>
      <c r="L935" s="179"/>
      <c r="M935" s="179"/>
      <c r="N935" s="181"/>
      <c r="O935" s="179"/>
      <c r="P935" s="179"/>
      <c r="Q935" s="179"/>
      <c r="R935" s="179"/>
      <c r="S935" s="179"/>
      <c r="T935" s="179"/>
      <c r="U935" s="179"/>
      <c r="V935" s="179"/>
      <c r="W935" s="192"/>
      <c r="X935" s="192"/>
      <c r="Y935" s="192"/>
      <c r="Z935" s="158"/>
      <c r="AA935" s="158"/>
      <c r="AB935" s="158"/>
      <c r="AC935" s="158"/>
      <c r="AD935" s="158"/>
      <c r="AE935" s="158"/>
      <c r="AF935" s="158"/>
      <c r="AG935" s="158"/>
      <c r="AH935" s="158"/>
    </row>
    <row r="936" spans="1:34" ht="15.75" customHeight="1">
      <c r="A936" s="179"/>
      <c r="B936" s="180"/>
      <c r="C936" s="180"/>
      <c r="D936" s="179"/>
      <c r="E936" s="179"/>
      <c r="F936" s="179"/>
      <c r="G936" s="179"/>
      <c r="H936" s="181"/>
      <c r="I936" s="181"/>
      <c r="J936" s="181"/>
      <c r="K936" s="179"/>
      <c r="L936" s="179"/>
      <c r="M936" s="179"/>
      <c r="N936" s="181"/>
      <c r="O936" s="179"/>
      <c r="P936" s="179"/>
      <c r="Q936" s="179"/>
      <c r="R936" s="179"/>
      <c r="S936" s="179"/>
      <c r="T936" s="179"/>
      <c r="U936" s="179"/>
      <c r="V936" s="179"/>
      <c r="W936" s="192"/>
      <c r="X936" s="192"/>
      <c r="Y936" s="192"/>
      <c r="Z936" s="158"/>
      <c r="AA936" s="158"/>
      <c r="AB936" s="158"/>
      <c r="AC936" s="158"/>
      <c r="AD936" s="158"/>
      <c r="AE936" s="158"/>
      <c r="AF936" s="158"/>
      <c r="AG936" s="158"/>
      <c r="AH936" s="158"/>
    </row>
    <row r="937" spans="1:34" ht="15.75" customHeight="1">
      <c r="A937" s="179"/>
      <c r="B937" s="180"/>
      <c r="C937" s="180"/>
      <c r="D937" s="179"/>
      <c r="E937" s="179"/>
      <c r="F937" s="179"/>
      <c r="G937" s="179"/>
      <c r="H937" s="181"/>
      <c r="I937" s="181"/>
      <c r="J937" s="181"/>
      <c r="K937" s="179"/>
      <c r="L937" s="179"/>
      <c r="M937" s="179"/>
      <c r="N937" s="181"/>
      <c r="O937" s="179"/>
      <c r="P937" s="179"/>
      <c r="Q937" s="179"/>
      <c r="R937" s="179"/>
      <c r="S937" s="179"/>
      <c r="T937" s="179"/>
      <c r="U937" s="179"/>
      <c r="V937" s="179"/>
      <c r="W937" s="192"/>
      <c r="X937" s="192"/>
      <c r="Y937" s="192"/>
      <c r="Z937" s="158"/>
      <c r="AA937" s="158"/>
      <c r="AB937" s="158"/>
      <c r="AC937" s="158"/>
      <c r="AD937" s="158"/>
      <c r="AE937" s="158"/>
      <c r="AF937" s="158"/>
      <c r="AG937" s="158"/>
      <c r="AH937" s="158"/>
    </row>
    <row r="938" spans="1:34" ht="15.75" customHeight="1">
      <c r="A938" s="179"/>
      <c r="B938" s="180"/>
      <c r="C938" s="180"/>
      <c r="D938" s="179"/>
      <c r="E938" s="179"/>
      <c r="F938" s="179"/>
      <c r="G938" s="179"/>
      <c r="H938" s="181"/>
      <c r="I938" s="181"/>
      <c r="J938" s="181"/>
      <c r="K938" s="179"/>
      <c r="L938" s="179"/>
      <c r="M938" s="179"/>
      <c r="N938" s="181"/>
      <c r="O938" s="179"/>
      <c r="P938" s="179"/>
      <c r="Q938" s="179"/>
      <c r="R938" s="179"/>
      <c r="S938" s="179"/>
      <c r="T938" s="179"/>
      <c r="U938" s="179"/>
      <c r="V938" s="179"/>
      <c r="W938" s="192"/>
      <c r="X938" s="192"/>
      <c r="Y938" s="192"/>
      <c r="Z938" s="158"/>
      <c r="AA938" s="158"/>
      <c r="AB938" s="158"/>
      <c r="AC938" s="158"/>
      <c r="AD938" s="158"/>
      <c r="AE938" s="158"/>
      <c r="AF938" s="158"/>
      <c r="AG938" s="158"/>
      <c r="AH938" s="158"/>
    </row>
    <row r="939" spans="1:34" ht="15.75" customHeight="1">
      <c r="A939" s="179"/>
      <c r="B939" s="180"/>
      <c r="C939" s="180"/>
      <c r="D939" s="179"/>
      <c r="E939" s="179"/>
      <c r="F939" s="179"/>
      <c r="G939" s="179"/>
      <c r="H939" s="181"/>
      <c r="I939" s="181"/>
      <c r="J939" s="181"/>
      <c r="K939" s="179"/>
      <c r="L939" s="179"/>
      <c r="M939" s="179"/>
      <c r="N939" s="181"/>
      <c r="O939" s="179"/>
      <c r="P939" s="179"/>
      <c r="Q939" s="179"/>
      <c r="R939" s="179"/>
      <c r="S939" s="179"/>
      <c r="T939" s="179"/>
      <c r="U939" s="179"/>
      <c r="V939" s="179"/>
      <c r="W939" s="192"/>
      <c r="X939" s="192"/>
      <c r="Y939" s="192"/>
      <c r="Z939" s="158"/>
      <c r="AA939" s="158"/>
      <c r="AB939" s="158"/>
      <c r="AC939" s="158"/>
      <c r="AD939" s="158"/>
      <c r="AE939" s="158"/>
      <c r="AF939" s="158"/>
      <c r="AG939" s="158"/>
      <c r="AH939" s="158"/>
    </row>
    <row r="940" spans="1:34" ht="15.75" customHeight="1">
      <c r="A940" s="179"/>
      <c r="B940" s="180"/>
      <c r="C940" s="180"/>
      <c r="D940" s="179"/>
      <c r="E940" s="179"/>
      <c r="F940" s="179"/>
      <c r="G940" s="179"/>
      <c r="H940" s="181"/>
      <c r="I940" s="181"/>
      <c r="J940" s="181"/>
      <c r="K940" s="179"/>
      <c r="L940" s="179"/>
      <c r="M940" s="179"/>
      <c r="N940" s="181"/>
      <c r="O940" s="179"/>
      <c r="P940" s="179"/>
      <c r="Q940" s="179"/>
      <c r="R940" s="179"/>
      <c r="S940" s="179"/>
      <c r="T940" s="179"/>
      <c r="U940" s="179"/>
      <c r="V940" s="179"/>
      <c r="W940" s="192"/>
      <c r="X940" s="192"/>
      <c r="Y940" s="192"/>
      <c r="Z940" s="158"/>
      <c r="AA940" s="158"/>
      <c r="AB940" s="158"/>
      <c r="AC940" s="158"/>
      <c r="AD940" s="158"/>
      <c r="AE940" s="158"/>
      <c r="AF940" s="158"/>
      <c r="AG940" s="158"/>
      <c r="AH940" s="158"/>
    </row>
    <row r="941" spans="1:34" ht="15.75" customHeight="1">
      <c r="A941" s="179"/>
      <c r="B941" s="180"/>
      <c r="C941" s="180"/>
      <c r="D941" s="179"/>
      <c r="E941" s="179"/>
      <c r="F941" s="179"/>
      <c r="G941" s="179"/>
      <c r="H941" s="181"/>
      <c r="I941" s="181"/>
      <c r="J941" s="181"/>
      <c r="K941" s="179"/>
      <c r="L941" s="179"/>
      <c r="M941" s="179"/>
      <c r="N941" s="181"/>
      <c r="O941" s="179"/>
      <c r="P941" s="179"/>
      <c r="Q941" s="179"/>
      <c r="R941" s="179"/>
      <c r="S941" s="179"/>
      <c r="T941" s="179"/>
      <c r="U941" s="179"/>
      <c r="V941" s="179"/>
      <c r="W941" s="192"/>
      <c r="X941" s="192"/>
      <c r="Y941" s="192"/>
      <c r="Z941" s="158"/>
      <c r="AA941" s="158"/>
      <c r="AB941" s="158"/>
      <c r="AC941" s="158"/>
      <c r="AD941" s="158"/>
      <c r="AE941" s="158"/>
      <c r="AF941" s="158"/>
      <c r="AG941" s="158"/>
      <c r="AH941" s="158"/>
    </row>
    <row r="942" spans="1:34" ht="15.75" customHeight="1">
      <c r="A942" s="179"/>
      <c r="B942" s="180"/>
      <c r="C942" s="180"/>
      <c r="D942" s="179"/>
      <c r="E942" s="179"/>
      <c r="F942" s="179"/>
      <c r="G942" s="179"/>
      <c r="H942" s="181"/>
      <c r="I942" s="181"/>
      <c r="J942" s="181"/>
      <c r="K942" s="179"/>
      <c r="L942" s="179"/>
      <c r="M942" s="179"/>
      <c r="N942" s="181"/>
      <c r="O942" s="179"/>
      <c r="P942" s="179"/>
      <c r="Q942" s="179"/>
      <c r="R942" s="179"/>
      <c r="S942" s="179"/>
      <c r="T942" s="179"/>
      <c r="U942" s="179"/>
      <c r="V942" s="179"/>
      <c r="W942" s="192"/>
      <c r="X942" s="192"/>
      <c r="Y942" s="192"/>
      <c r="Z942" s="158"/>
      <c r="AA942" s="158"/>
      <c r="AB942" s="158"/>
      <c r="AC942" s="158"/>
      <c r="AD942" s="158"/>
      <c r="AE942" s="158"/>
      <c r="AF942" s="158"/>
      <c r="AG942" s="158"/>
      <c r="AH942" s="158"/>
    </row>
    <row r="943" spans="1:34" ht="15.75" customHeight="1">
      <c r="A943" s="179"/>
      <c r="B943" s="180"/>
      <c r="C943" s="180"/>
      <c r="D943" s="179"/>
      <c r="E943" s="179"/>
      <c r="F943" s="179"/>
      <c r="G943" s="179"/>
      <c r="H943" s="181"/>
      <c r="I943" s="181"/>
      <c r="J943" s="181"/>
      <c r="K943" s="179"/>
      <c r="L943" s="179"/>
      <c r="M943" s="179"/>
      <c r="N943" s="181"/>
      <c r="O943" s="179"/>
      <c r="P943" s="179"/>
      <c r="Q943" s="179"/>
      <c r="R943" s="179"/>
      <c r="S943" s="179"/>
      <c r="T943" s="179"/>
      <c r="U943" s="179"/>
      <c r="V943" s="179"/>
      <c r="W943" s="192"/>
      <c r="X943" s="192"/>
      <c r="Y943" s="192"/>
      <c r="Z943" s="158"/>
      <c r="AA943" s="158"/>
      <c r="AB943" s="158"/>
      <c r="AC943" s="158"/>
      <c r="AD943" s="158"/>
      <c r="AE943" s="158"/>
      <c r="AF943" s="158"/>
      <c r="AG943" s="158"/>
      <c r="AH943" s="158"/>
    </row>
    <row r="944" spans="1:34" ht="15.75" customHeight="1">
      <c r="A944" s="179"/>
      <c r="B944" s="180"/>
      <c r="C944" s="180"/>
      <c r="D944" s="179"/>
      <c r="E944" s="179"/>
      <c r="F944" s="179"/>
      <c r="G944" s="179"/>
      <c r="H944" s="181"/>
      <c r="I944" s="181"/>
      <c r="J944" s="181"/>
      <c r="K944" s="179"/>
      <c r="L944" s="179"/>
      <c r="M944" s="179"/>
      <c r="N944" s="181"/>
      <c r="O944" s="179"/>
      <c r="P944" s="179"/>
      <c r="Q944" s="179"/>
      <c r="R944" s="179"/>
      <c r="S944" s="179"/>
      <c r="T944" s="179"/>
      <c r="U944" s="179"/>
      <c r="V944" s="179"/>
      <c r="W944" s="192"/>
      <c r="X944" s="192"/>
      <c r="Y944" s="192"/>
      <c r="Z944" s="158"/>
      <c r="AA944" s="158"/>
      <c r="AB944" s="158"/>
      <c r="AC944" s="158"/>
      <c r="AD944" s="158"/>
      <c r="AE944" s="158"/>
      <c r="AF944" s="158"/>
      <c r="AG944" s="158"/>
      <c r="AH944" s="158"/>
    </row>
    <row r="945" spans="1:34" ht="15.75" customHeight="1">
      <c r="A945" s="179"/>
      <c r="B945" s="180"/>
      <c r="C945" s="180"/>
      <c r="D945" s="179"/>
      <c r="E945" s="179"/>
      <c r="F945" s="179"/>
      <c r="G945" s="179"/>
      <c r="H945" s="181"/>
      <c r="I945" s="181"/>
      <c r="J945" s="181"/>
      <c r="K945" s="179"/>
      <c r="L945" s="179"/>
      <c r="M945" s="179"/>
      <c r="N945" s="181"/>
      <c r="O945" s="179"/>
      <c r="P945" s="179"/>
      <c r="Q945" s="179"/>
      <c r="R945" s="179"/>
      <c r="S945" s="179"/>
      <c r="T945" s="179"/>
      <c r="U945" s="179"/>
      <c r="V945" s="179"/>
      <c r="W945" s="192"/>
      <c r="X945" s="192"/>
      <c r="Y945" s="192"/>
      <c r="Z945" s="158"/>
      <c r="AA945" s="158"/>
      <c r="AB945" s="158"/>
      <c r="AC945" s="158"/>
      <c r="AD945" s="158"/>
      <c r="AE945" s="158"/>
      <c r="AF945" s="158"/>
      <c r="AG945" s="158"/>
      <c r="AH945" s="158"/>
    </row>
    <row r="946" spans="1:34" ht="15.75" customHeight="1">
      <c r="A946" s="179"/>
      <c r="B946" s="180"/>
      <c r="C946" s="180"/>
      <c r="D946" s="179"/>
      <c r="E946" s="179"/>
      <c r="F946" s="179"/>
      <c r="G946" s="179"/>
      <c r="H946" s="181"/>
      <c r="I946" s="181"/>
      <c r="J946" s="181"/>
      <c r="K946" s="179"/>
      <c r="L946" s="179"/>
      <c r="M946" s="179"/>
      <c r="N946" s="181"/>
      <c r="O946" s="179"/>
      <c r="P946" s="179"/>
      <c r="Q946" s="179"/>
      <c r="R946" s="179"/>
      <c r="S946" s="179"/>
      <c r="T946" s="179"/>
      <c r="U946" s="179"/>
      <c r="V946" s="179"/>
      <c r="W946" s="192"/>
      <c r="X946" s="192"/>
      <c r="Y946" s="192"/>
      <c r="Z946" s="158"/>
      <c r="AA946" s="158"/>
      <c r="AB946" s="158"/>
      <c r="AC946" s="158"/>
      <c r="AD946" s="158"/>
      <c r="AE946" s="158"/>
      <c r="AF946" s="158"/>
      <c r="AG946" s="158"/>
      <c r="AH946" s="158"/>
    </row>
    <row r="947" spans="1:34" ht="15.75" customHeight="1">
      <c r="A947" s="179"/>
      <c r="B947" s="180"/>
      <c r="C947" s="180"/>
      <c r="D947" s="179"/>
      <c r="E947" s="179"/>
      <c r="F947" s="179"/>
      <c r="G947" s="179"/>
      <c r="H947" s="181"/>
      <c r="I947" s="181"/>
      <c r="J947" s="181"/>
      <c r="K947" s="179"/>
      <c r="L947" s="179"/>
      <c r="M947" s="179"/>
      <c r="N947" s="181"/>
      <c r="O947" s="179"/>
      <c r="P947" s="179"/>
      <c r="Q947" s="179"/>
      <c r="R947" s="179"/>
      <c r="S947" s="179"/>
      <c r="T947" s="179"/>
      <c r="U947" s="179"/>
      <c r="V947" s="179"/>
      <c r="W947" s="192"/>
      <c r="X947" s="192"/>
      <c r="Y947" s="192"/>
      <c r="Z947" s="158"/>
      <c r="AA947" s="158"/>
      <c r="AB947" s="158"/>
      <c r="AC947" s="158"/>
      <c r="AD947" s="158"/>
      <c r="AE947" s="158"/>
      <c r="AF947" s="158"/>
      <c r="AG947" s="158"/>
      <c r="AH947" s="158"/>
    </row>
    <row r="948" spans="1:34" ht="15.75" customHeight="1">
      <c r="A948" s="179"/>
      <c r="B948" s="180"/>
      <c r="C948" s="180"/>
      <c r="D948" s="179"/>
      <c r="E948" s="179"/>
      <c r="F948" s="179"/>
      <c r="G948" s="179"/>
      <c r="H948" s="181"/>
      <c r="I948" s="181"/>
      <c r="J948" s="181"/>
      <c r="K948" s="179"/>
      <c r="L948" s="179"/>
      <c r="M948" s="179"/>
      <c r="N948" s="181"/>
      <c r="O948" s="179"/>
      <c r="P948" s="179"/>
      <c r="Q948" s="179"/>
      <c r="R948" s="179"/>
      <c r="S948" s="179"/>
      <c r="T948" s="179"/>
      <c r="U948" s="179"/>
      <c r="V948" s="179"/>
      <c r="W948" s="192"/>
      <c r="X948" s="192"/>
      <c r="Y948" s="192"/>
      <c r="Z948" s="158"/>
      <c r="AA948" s="158"/>
      <c r="AB948" s="158"/>
      <c r="AC948" s="158"/>
      <c r="AD948" s="158"/>
      <c r="AE948" s="158"/>
      <c r="AF948" s="158"/>
      <c r="AG948" s="158"/>
      <c r="AH948" s="158"/>
    </row>
    <row r="949" spans="1:34" ht="15.75" customHeight="1">
      <c r="A949" s="179"/>
      <c r="B949" s="180"/>
      <c r="C949" s="180"/>
      <c r="D949" s="179"/>
      <c r="E949" s="179"/>
      <c r="F949" s="179"/>
      <c r="G949" s="179"/>
      <c r="H949" s="181"/>
      <c r="I949" s="181"/>
      <c r="J949" s="181"/>
      <c r="K949" s="179"/>
      <c r="L949" s="179"/>
      <c r="M949" s="179"/>
      <c r="N949" s="181"/>
      <c r="O949" s="179"/>
      <c r="P949" s="179"/>
      <c r="Q949" s="179"/>
      <c r="R949" s="179"/>
      <c r="S949" s="179"/>
      <c r="T949" s="179"/>
      <c r="U949" s="179"/>
      <c r="V949" s="179"/>
      <c r="W949" s="192"/>
      <c r="X949" s="192"/>
      <c r="Y949" s="192"/>
      <c r="Z949" s="158"/>
      <c r="AA949" s="158"/>
      <c r="AB949" s="158"/>
      <c r="AC949" s="158"/>
      <c r="AD949" s="158"/>
      <c r="AE949" s="158"/>
      <c r="AF949" s="158"/>
      <c r="AG949" s="158"/>
      <c r="AH949" s="158"/>
    </row>
    <row r="950" spans="1:34" ht="15.75" customHeight="1">
      <c r="A950" s="179"/>
      <c r="B950" s="180"/>
      <c r="C950" s="180"/>
      <c r="D950" s="179"/>
      <c r="E950" s="179"/>
      <c r="F950" s="179"/>
      <c r="G950" s="179"/>
      <c r="H950" s="181"/>
      <c r="I950" s="181"/>
      <c r="J950" s="181"/>
      <c r="K950" s="179"/>
      <c r="L950" s="179"/>
      <c r="M950" s="179"/>
      <c r="N950" s="181"/>
      <c r="O950" s="179"/>
      <c r="P950" s="179"/>
      <c r="Q950" s="179"/>
      <c r="R950" s="179"/>
      <c r="S950" s="179"/>
      <c r="T950" s="179"/>
      <c r="U950" s="179"/>
      <c r="V950" s="179"/>
      <c r="W950" s="192"/>
      <c r="X950" s="192"/>
      <c r="Y950" s="192"/>
      <c r="Z950" s="158"/>
      <c r="AA950" s="158"/>
      <c r="AB950" s="158"/>
      <c r="AC950" s="158"/>
      <c r="AD950" s="158"/>
      <c r="AE950" s="158"/>
      <c r="AF950" s="158"/>
      <c r="AG950" s="158"/>
      <c r="AH950" s="158"/>
    </row>
    <row r="951" spans="1:34" ht="15.75" customHeight="1">
      <c r="A951" s="179"/>
      <c r="B951" s="180"/>
      <c r="C951" s="180"/>
      <c r="D951" s="179"/>
      <c r="E951" s="179"/>
      <c r="F951" s="179"/>
      <c r="G951" s="179"/>
      <c r="H951" s="181"/>
      <c r="I951" s="181"/>
      <c r="J951" s="181"/>
      <c r="K951" s="179"/>
      <c r="L951" s="179"/>
      <c r="M951" s="179"/>
      <c r="N951" s="181"/>
      <c r="O951" s="179"/>
      <c r="P951" s="179"/>
      <c r="Q951" s="179"/>
      <c r="R951" s="179"/>
      <c r="S951" s="179"/>
      <c r="T951" s="179"/>
      <c r="U951" s="179"/>
      <c r="V951" s="179"/>
      <c r="W951" s="192"/>
      <c r="X951" s="192"/>
      <c r="Y951" s="192"/>
      <c r="Z951" s="158"/>
      <c r="AA951" s="158"/>
      <c r="AB951" s="158"/>
      <c r="AC951" s="158"/>
      <c r="AD951" s="158"/>
      <c r="AE951" s="158"/>
      <c r="AF951" s="158"/>
      <c r="AG951" s="158"/>
      <c r="AH951" s="158"/>
    </row>
    <row r="952" spans="1:34" ht="15.75" customHeight="1">
      <c r="A952" s="179"/>
      <c r="B952" s="180"/>
      <c r="C952" s="180"/>
      <c r="D952" s="179"/>
      <c r="E952" s="179"/>
      <c r="F952" s="179"/>
      <c r="G952" s="179"/>
      <c r="H952" s="181"/>
      <c r="I952" s="181"/>
      <c r="J952" s="181"/>
      <c r="K952" s="179"/>
      <c r="L952" s="179"/>
      <c r="M952" s="179"/>
      <c r="N952" s="181"/>
      <c r="O952" s="179"/>
      <c r="P952" s="179"/>
      <c r="Q952" s="179"/>
      <c r="R952" s="179"/>
      <c r="S952" s="179"/>
      <c r="T952" s="179"/>
      <c r="U952" s="179"/>
      <c r="V952" s="179"/>
      <c r="W952" s="192"/>
      <c r="X952" s="192"/>
      <c r="Y952" s="192"/>
      <c r="Z952" s="158"/>
      <c r="AA952" s="158"/>
      <c r="AB952" s="158"/>
      <c r="AC952" s="158"/>
      <c r="AD952" s="158"/>
      <c r="AE952" s="158"/>
      <c r="AF952" s="158"/>
      <c r="AG952" s="158"/>
      <c r="AH952" s="158"/>
    </row>
    <row r="953" spans="1:34" ht="15.75" customHeight="1">
      <c r="A953" s="179"/>
      <c r="B953" s="180"/>
      <c r="C953" s="180"/>
      <c r="D953" s="179"/>
      <c r="E953" s="179"/>
      <c r="F953" s="179"/>
      <c r="G953" s="179"/>
      <c r="H953" s="181"/>
      <c r="I953" s="181"/>
      <c r="J953" s="181"/>
      <c r="K953" s="179"/>
      <c r="L953" s="179"/>
      <c r="M953" s="179"/>
      <c r="N953" s="181"/>
      <c r="O953" s="179"/>
      <c r="P953" s="179"/>
      <c r="Q953" s="179"/>
      <c r="R953" s="179"/>
      <c r="S953" s="179"/>
      <c r="T953" s="179"/>
      <c r="U953" s="179"/>
      <c r="V953" s="179"/>
      <c r="W953" s="192"/>
      <c r="X953" s="192"/>
      <c r="Y953" s="192"/>
      <c r="Z953" s="158"/>
      <c r="AA953" s="158"/>
      <c r="AB953" s="158"/>
      <c r="AC953" s="158"/>
      <c r="AD953" s="158"/>
      <c r="AE953" s="158"/>
      <c r="AF953" s="158"/>
      <c r="AG953" s="158"/>
      <c r="AH953" s="158"/>
    </row>
    <row r="954" spans="1:34" ht="15.75" customHeight="1">
      <c r="A954" s="179"/>
      <c r="B954" s="180"/>
      <c r="C954" s="180"/>
      <c r="D954" s="179"/>
      <c r="E954" s="179"/>
      <c r="F954" s="179"/>
      <c r="G954" s="179"/>
      <c r="H954" s="181"/>
      <c r="I954" s="181"/>
      <c r="J954" s="181"/>
      <c r="K954" s="179"/>
      <c r="L954" s="179"/>
      <c r="M954" s="179"/>
      <c r="N954" s="181"/>
      <c r="O954" s="179"/>
      <c r="P954" s="179"/>
      <c r="Q954" s="179"/>
      <c r="R954" s="179"/>
      <c r="S954" s="179"/>
      <c r="T954" s="179"/>
      <c r="U954" s="179"/>
      <c r="V954" s="179"/>
      <c r="W954" s="192"/>
      <c r="X954" s="192"/>
      <c r="Y954" s="192"/>
      <c r="Z954" s="158"/>
      <c r="AA954" s="158"/>
      <c r="AB954" s="158"/>
      <c r="AC954" s="158"/>
      <c r="AD954" s="158"/>
      <c r="AE954" s="158"/>
      <c r="AF954" s="158"/>
      <c r="AG954" s="158"/>
      <c r="AH954" s="158"/>
    </row>
    <row r="955" spans="1:34" ht="15.75" customHeight="1">
      <c r="A955" s="179"/>
      <c r="B955" s="180"/>
      <c r="C955" s="180"/>
      <c r="D955" s="179"/>
      <c r="E955" s="179"/>
      <c r="F955" s="179"/>
      <c r="G955" s="179"/>
      <c r="H955" s="181"/>
      <c r="I955" s="181"/>
      <c r="J955" s="181"/>
      <c r="K955" s="179"/>
      <c r="L955" s="179"/>
      <c r="M955" s="179"/>
      <c r="N955" s="181"/>
      <c r="O955" s="179"/>
      <c r="P955" s="179"/>
      <c r="Q955" s="179"/>
      <c r="R955" s="179"/>
      <c r="S955" s="179"/>
      <c r="T955" s="179"/>
      <c r="U955" s="179"/>
      <c r="V955" s="179"/>
      <c r="W955" s="192"/>
      <c r="X955" s="192"/>
      <c r="Y955" s="192"/>
      <c r="Z955" s="158"/>
      <c r="AA955" s="158"/>
      <c r="AB955" s="158"/>
      <c r="AC955" s="158"/>
      <c r="AD955" s="158"/>
      <c r="AE955" s="158"/>
      <c r="AF955" s="158"/>
      <c r="AG955" s="158"/>
      <c r="AH955" s="158"/>
    </row>
    <row r="956" spans="1:34" ht="15.75" customHeight="1">
      <c r="A956" s="179"/>
      <c r="B956" s="180"/>
      <c r="C956" s="180"/>
      <c r="D956" s="179"/>
      <c r="E956" s="179"/>
      <c r="F956" s="179"/>
      <c r="G956" s="179"/>
      <c r="H956" s="181"/>
      <c r="I956" s="181"/>
      <c r="J956" s="181"/>
      <c r="K956" s="179"/>
      <c r="L956" s="179"/>
      <c r="M956" s="179"/>
      <c r="N956" s="181"/>
      <c r="O956" s="179"/>
      <c r="P956" s="179"/>
      <c r="Q956" s="179"/>
      <c r="R956" s="179"/>
      <c r="S956" s="179"/>
      <c r="T956" s="179"/>
      <c r="U956" s="179"/>
      <c r="V956" s="179"/>
      <c r="W956" s="192"/>
      <c r="X956" s="192"/>
      <c r="Y956" s="192"/>
      <c r="Z956" s="158"/>
      <c r="AA956" s="158"/>
      <c r="AB956" s="158"/>
      <c r="AC956" s="158"/>
      <c r="AD956" s="158"/>
      <c r="AE956" s="158"/>
      <c r="AF956" s="158"/>
      <c r="AG956" s="158"/>
      <c r="AH956" s="158"/>
    </row>
    <row r="957" spans="1:34" ht="15.75" customHeight="1">
      <c r="A957" s="179"/>
      <c r="B957" s="180"/>
      <c r="C957" s="180"/>
      <c r="D957" s="179"/>
      <c r="E957" s="179"/>
      <c r="F957" s="179"/>
      <c r="G957" s="179"/>
      <c r="H957" s="181"/>
      <c r="I957" s="181"/>
      <c r="J957" s="181"/>
      <c r="K957" s="179"/>
      <c r="L957" s="179"/>
      <c r="M957" s="179"/>
      <c r="N957" s="181"/>
      <c r="O957" s="179"/>
      <c r="P957" s="179"/>
      <c r="Q957" s="179"/>
      <c r="R957" s="179"/>
      <c r="S957" s="179"/>
      <c r="T957" s="179"/>
      <c r="U957" s="179"/>
      <c r="V957" s="179"/>
      <c r="W957" s="192"/>
      <c r="X957" s="192"/>
      <c r="Y957" s="192"/>
      <c r="Z957" s="158"/>
      <c r="AA957" s="158"/>
      <c r="AB957" s="158"/>
      <c r="AC957" s="158"/>
      <c r="AD957" s="158"/>
      <c r="AE957" s="158"/>
      <c r="AF957" s="158"/>
      <c r="AG957" s="158"/>
      <c r="AH957" s="158"/>
    </row>
    <row r="958" spans="1:34" ht="15.75" customHeight="1">
      <c r="A958" s="179"/>
      <c r="B958" s="180"/>
      <c r="C958" s="180"/>
      <c r="D958" s="179"/>
      <c r="E958" s="179"/>
      <c r="F958" s="179"/>
      <c r="G958" s="179"/>
      <c r="H958" s="181"/>
      <c r="I958" s="181"/>
      <c r="J958" s="181"/>
      <c r="K958" s="179"/>
      <c r="L958" s="179"/>
      <c r="M958" s="179"/>
      <c r="N958" s="181"/>
      <c r="O958" s="179"/>
      <c r="P958" s="179"/>
      <c r="Q958" s="179"/>
      <c r="R958" s="179"/>
      <c r="S958" s="179"/>
      <c r="T958" s="179"/>
      <c r="U958" s="179"/>
      <c r="V958" s="179"/>
      <c r="W958" s="192"/>
      <c r="X958" s="192"/>
      <c r="Y958" s="192"/>
      <c r="Z958" s="158"/>
      <c r="AA958" s="158"/>
      <c r="AB958" s="158"/>
      <c r="AC958" s="158"/>
      <c r="AD958" s="158"/>
      <c r="AE958" s="158"/>
      <c r="AF958" s="158"/>
      <c r="AG958" s="158"/>
      <c r="AH958" s="158"/>
    </row>
    <row r="959" spans="1:34" ht="15.75" customHeight="1">
      <c r="A959" s="179"/>
      <c r="B959" s="180"/>
      <c r="C959" s="180"/>
      <c r="D959" s="179"/>
      <c r="E959" s="179"/>
      <c r="F959" s="179"/>
      <c r="G959" s="179"/>
      <c r="H959" s="181"/>
      <c r="I959" s="181"/>
      <c r="J959" s="181"/>
      <c r="K959" s="179"/>
      <c r="L959" s="179"/>
      <c r="M959" s="179"/>
      <c r="N959" s="181"/>
      <c r="O959" s="179"/>
      <c r="P959" s="179"/>
      <c r="Q959" s="179"/>
      <c r="R959" s="179"/>
      <c r="S959" s="179"/>
      <c r="T959" s="179"/>
      <c r="U959" s="179"/>
      <c r="V959" s="179"/>
      <c r="W959" s="192"/>
      <c r="X959" s="192"/>
      <c r="Y959" s="192"/>
      <c r="Z959" s="158"/>
      <c r="AA959" s="158"/>
      <c r="AB959" s="158"/>
      <c r="AC959" s="158"/>
      <c r="AD959" s="158"/>
      <c r="AE959" s="158"/>
      <c r="AF959" s="158"/>
      <c r="AG959" s="158"/>
      <c r="AH959" s="158"/>
    </row>
    <row r="960" spans="1:34" ht="15.75" customHeight="1">
      <c r="A960" s="179"/>
      <c r="B960" s="180"/>
      <c r="C960" s="180"/>
      <c r="D960" s="179"/>
      <c r="E960" s="179"/>
      <c r="F960" s="179"/>
      <c r="G960" s="179"/>
      <c r="H960" s="181"/>
      <c r="I960" s="181"/>
      <c r="J960" s="181"/>
      <c r="K960" s="179"/>
      <c r="L960" s="179"/>
      <c r="M960" s="179"/>
      <c r="N960" s="181"/>
      <c r="O960" s="179"/>
      <c r="P960" s="179"/>
      <c r="Q960" s="179"/>
      <c r="R960" s="179"/>
      <c r="S960" s="179"/>
      <c r="T960" s="179"/>
      <c r="U960" s="179"/>
      <c r="V960" s="179"/>
      <c r="W960" s="192"/>
      <c r="X960" s="192"/>
      <c r="Y960" s="192"/>
      <c r="Z960" s="158"/>
      <c r="AA960" s="158"/>
      <c r="AB960" s="158"/>
      <c r="AC960" s="158"/>
      <c r="AD960" s="158"/>
      <c r="AE960" s="158"/>
      <c r="AF960" s="158"/>
      <c r="AG960" s="158"/>
      <c r="AH960" s="158"/>
    </row>
    <row r="961" spans="1:34" ht="15.75" customHeight="1">
      <c r="A961" s="179"/>
      <c r="B961" s="180"/>
      <c r="C961" s="180"/>
      <c r="D961" s="179"/>
      <c r="E961" s="179"/>
      <c r="F961" s="179"/>
      <c r="G961" s="179"/>
      <c r="H961" s="181"/>
      <c r="I961" s="181"/>
      <c r="J961" s="181"/>
      <c r="K961" s="179"/>
      <c r="L961" s="179"/>
      <c r="M961" s="179"/>
      <c r="N961" s="181"/>
      <c r="O961" s="179"/>
      <c r="P961" s="179"/>
      <c r="Q961" s="179"/>
      <c r="R961" s="179"/>
      <c r="S961" s="179"/>
      <c r="T961" s="179"/>
      <c r="U961" s="179"/>
      <c r="V961" s="179"/>
      <c r="W961" s="192"/>
      <c r="X961" s="192"/>
      <c r="Y961" s="192"/>
      <c r="Z961" s="158"/>
      <c r="AA961" s="158"/>
      <c r="AB961" s="158"/>
      <c r="AC961" s="158"/>
      <c r="AD961" s="158"/>
      <c r="AE961" s="158"/>
      <c r="AF961" s="158"/>
      <c r="AG961" s="158"/>
      <c r="AH961" s="158"/>
    </row>
    <row r="962" spans="1:34" ht="15.75" customHeight="1">
      <c r="A962" s="179"/>
      <c r="B962" s="180"/>
      <c r="C962" s="180"/>
      <c r="D962" s="179"/>
      <c r="E962" s="179"/>
      <c r="F962" s="179"/>
      <c r="G962" s="179"/>
      <c r="H962" s="181"/>
      <c r="I962" s="181"/>
      <c r="J962" s="181"/>
      <c r="K962" s="179"/>
      <c r="L962" s="179"/>
      <c r="M962" s="179"/>
      <c r="N962" s="181"/>
      <c r="O962" s="179"/>
      <c r="P962" s="179"/>
      <c r="Q962" s="179"/>
      <c r="R962" s="179"/>
      <c r="S962" s="179"/>
      <c r="T962" s="179"/>
      <c r="U962" s="179"/>
      <c r="V962" s="179"/>
      <c r="W962" s="192"/>
      <c r="X962" s="192"/>
      <c r="Y962" s="192"/>
      <c r="Z962" s="158"/>
      <c r="AA962" s="158"/>
      <c r="AB962" s="158"/>
      <c r="AC962" s="158"/>
      <c r="AD962" s="158"/>
      <c r="AE962" s="158"/>
      <c r="AF962" s="158"/>
      <c r="AG962" s="158"/>
      <c r="AH962" s="158"/>
    </row>
    <row r="963" spans="1:34" ht="15.75" customHeight="1">
      <c r="A963" s="179"/>
      <c r="B963" s="180"/>
      <c r="C963" s="180"/>
      <c r="D963" s="179"/>
      <c r="E963" s="179"/>
      <c r="F963" s="179"/>
      <c r="G963" s="179"/>
      <c r="H963" s="181"/>
      <c r="I963" s="181"/>
      <c r="J963" s="181"/>
      <c r="K963" s="179"/>
      <c r="L963" s="179"/>
      <c r="M963" s="179"/>
      <c r="N963" s="181"/>
      <c r="O963" s="179"/>
      <c r="P963" s="179"/>
      <c r="Q963" s="179"/>
      <c r="R963" s="179"/>
      <c r="S963" s="179"/>
      <c r="T963" s="179"/>
      <c r="U963" s="179"/>
      <c r="V963" s="179"/>
      <c r="W963" s="192"/>
      <c r="X963" s="192"/>
      <c r="Y963" s="192"/>
      <c r="Z963" s="158"/>
      <c r="AA963" s="158"/>
      <c r="AB963" s="158"/>
      <c r="AC963" s="158"/>
      <c r="AD963" s="158"/>
      <c r="AE963" s="158"/>
      <c r="AF963" s="158"/>
      <c r="AG963" s="158"/>
      <c r="AH963" s="158"/>
    </row>
    <row r="964" spans="1:34" ht="15.75" customHeight="1">
      <c r="A964" s="179"/>
      <c r="B964" s="180"/>
      <c r="C964" s="180"/>
      <c r="D964" s="179"/>
      <c r="E964" s="179"/>
      <c r="F964" s="179"/>
      <c r="G964" s="179"/>
      <c r="H964" s="181"/>
      <c r="I964" s="181"/>
      <c r="J964" s="181"/>
      <c r="K964" s="179"/>
      <c r="L964" s="179"/>
      <c r="M964" s="179"/>
      <c r="N964" s="181"/>
      <c r="O964" s="179"/>
      <c r="P964" s="179"/>
      <c r="Q964" s="179"/>
      <c r="R964" s="179"/>
      <c r="S964" s="179"/>
      <c r="T964" s="179"/>
      <c r="U964" s="179"/>
      <c r="V964" s="179"/>
      <c r="W964" s="192"/>
      <c r="X964" s="192"/>
      <c r="Y964" s="192"/>
      <c r="Z964" s="158"/>
      <c r="AA964" s="158"/>
      <c r="AB964" s="158"/>
      <c r="AC964" s="158"/>
      <c r="AD964" s="158"/>
      <c r="AE964" s="158"/>
      <c r="AF964" s="158"/>
      <c r="AG964" s="158"/>
      <c r="AH964" s="158"/>
    </row>
    <row r="965" spans="1:34" ht="15.75" customHeight="1">
      <c r="A965" s="179"/>
      <c r="B965" s="180"/>
      <c r="C965" s="180"/>
      <c r="D965" s="179"/>
      <c r="E965" s="179"/>
      <c r="F965" s="179"/>
      <c r="G965" s="179"/>
      <c r="H965" s="181"/>
      <c r="I965" s="181"/>
      <c r="J965" s="181"/>
      <c r="K965" s="179"/>
      <c r="L965" s="179"/>
      <c r="M965" s="179"/>
      <c r="N965" s="181"/>
      <c r="O965" s="179"/>
      <c r="P965" s="179"/>
      <c r="Q965" s="179"/>
      <c r="R965" s="179"/>
      <c r="S965" s="179"/>
      <c r="T965" s="179"/>
      <c r="U965" s="179"/>
      <c r="V965" s="179"/>
      <c r="W965" s="192"/>
      <c r="X965" s="192"/>
      <c r="Y965" s="192"/>
      <c r="Z965" s="158"/>
      <c r="AA965" s="158"/>
      <c r="AB965" s="158"/>
      <c r="AC965" s="158"/>
      <c r="AD965" s="158"/>
      <c r="AE965" s="158"/>
      <c r="AF965" s="158"/>
      <c r="AG965" s="158"/>
      <c r="AH965" s="158"/>
    </row>
    <row r="966" spans="1:34" ht="15.75" customHeight="1">
      <c r="A966" s="179"/>
      <c r="B966" s="180"/>
      <c r="C966" s="180"/>
      <c r="D966" s="179"/>
      <c r="E966" s="179"/>
      <c r="F966" s="179"/>
      <c r="G966" s="179"/>
      <c r="H966" s="181"/>
      <c r="I966" s="181"/>
      <c r="J966" s="181"/>
      <c r="K966" s="179"/>
      <c r="L966" s="179"/>
      <c r="M966" s="179"/>
      <c r="N966" s="181"/>
      <c r="O966" s="179"/>
      <c r="P966" s="179"/>
      <c r="Q966" s="179"/>
      <c r="R966" s="179"/>
      <c r="S966" s="179"/>
      <c r="T966" s="179"/>
      <c r="U966" s="179"/>
      <c r="V966" s="179"/>
      <c r="W966" s="192"/>
      <c r="X966" s="192"/>
      <c r="Y966" s="192"/>
      <c r="Z966" s="158"/>
      <c r="AA966" s="158"/>
      <c r="AB966" s="158"/>
      <c r="AC966" s="158"/>
      <c r="AD966" s="158"/>
      <c r="AE966" s="158"/>
      <c r="AF966" s="158"/>
      <c r="AG966" s="158"/>
      <c r="AH966" s="158"/>
    </row>
    <row r="967" spans="1:34" ht="15.75" customHeight="1">
      <c r="A967" s="179"/>
      <c r="B967" s="180"/>
      <c r="C967" s="180"/>
      <c r="D967" s="179"/>
      <c r="E967" s="179"/>
      <c r="F967" s="179"/>
      <c r="G967" s="179"/>
      <c r="H967" s="181"/>
      <c r="I967" s="181"/>
      <c r="J967" s="181"/>
      <c r="K967" s="179"/>
      <c r="L967" s="179"/>
      <c r="M967" s="179"/>
      <c r="N967" s="181"/>
      <c r="O967" s="179"/>
      <c r="P967" s="179"/>
      <c r="Q967" s="179"/>
      <c r="R967" s="179"/>
      <c r="S967" s="179"/>
      <c r="T967" s="179"/>
      <c r="U967" s="179"/>
      <c r="V967" s="179"/>
      <c r="W967" s="192"/>
      <c r="X967" s="192"/>
      <c r="Y967" s="192"/>
      <c r="Z967" s="158"/>
      <c r="AA967" s="158"/>
      <c r="AB967" s="158"/>
      <c r="AC967" s="158"/>
      <c r="AD967" s="158"/>
      <c r="AE967" s="158"/>
      <c r="AF967" s="158"/>
      <c r="AG967" s="158"/>
      <c r="AH967" s="158"/>
    </row>
    <row r="968" spans="1:34" ht="15.75" customHeight="1">
      <c r="A968" s="179"/>
      <c r="B968" s="180"/>
      <c r="C968" s="180"/>
      <c r="D968" s="179"/>
      <c r="E968" s="179"/>
      <c r="F968" s="179"/>
      <c r="G968" s="179"/>
      <c r="H968" s="181"/>
      <c r="I968" s="181"/>
      <c r="J968" s="181"/>
      <c r="K968" s="179"/>
      <c r="L968" s="179"/>
      <c r="M968" s="179"/>
      <c r="N968" s="181"/>
      <c r="O968" s="179"/>
      <c r="P968" s="179"/>
      <c r="Q968" s="179"/>
      <c r="R968" s="179"/>
      <c r="S968" s="179"/>
      <c r="T968" s="179"/>
      <c r="U968" s="179"/>
      <c r="V968" s="179"/>
      <c r="W968" s="192"/>
      <c r="X968" s="192"/>
      <c r="Y968" s="192"/>
      <c r="Z968" s="158"/>
      <c r="AA968" s="158"/>
      <c r="AB968" s="158"/>
      <c r="AC968" s="158"/>
      <c r="AD968" s="158"/>
      <c r="AE968" s="158"/>
      <c r="AF968" s="158"/>
      <c r="AG968" s="158"/>
      <c r="AH968" s="158"/>
    </row>
    <row r="969" spans="1:34" ht="15.75" customHeight="1">
      <c r="A969" s="179"/>
      <c r="B969" s="180"/>
      <c r="C969" s="180"/>
      <c r="D969" s="179"/>
      <c r="E969" s="179"/>
      <c r="F969" s="179"/>
      <c r="G969" s="179"/>
      <c r="H969" s="181"/>
      <c r="I969" s="181"/>
      <c r="J969" s="181"/>
      <c r="K969" s="179"/>
      <c r="L969" s="179"/>
      <c r="M969" s="179"/>
      <c r="N969" s="181"/>
      <c r="O969" s="179"/>
      <c r="P969" s="179"/>
      <c r="Q969" s="179"/>
      <c r="R969" s="179"/>
      <c r="S969" s="179"/>
      <c r="T969" s="179"/>
      <c r="U969" s="179"/>
      <c r="V969" s="179"/>
      <c r="W969" s="192"/>
      <c r="X969" s="192"/>
      <c r="Y969" s="192"/>
      <c r="Z969" s="158"/>
      <c r="AA969" s="158"/>
      <c r="AB969" s="158"/>
      <c r="AC969" s="158"/>
      <c r="AD969" s="158"/>
      <c r="AE969" s="158"/>
      <c r="AF969" s="158"/>
      <c r="AG969" s="158"/>
      <c r="AH969" s="158"/>
    </row>
    <row r="970" spans="1:34" ht="15.75" customHeight="1">
      <c r="A970" s="179"/>
      <c r="B970" s="180"/>
      <c r="C970" s="180"/>
      <c r="D970" s="179"/>
      <c r="E970" s="179"/>
      <c r="F970" s="179"/>
      <c r="G970" s="179"/>
      <c r="H970" s="181"/>
      <c r="I970" s="181"/>
      <c r="J970" s="181"/>
      <c r="K970" s="179"/>
      <c r="L970" s="179"/>
      <c r="M970" s="179"/>
      <c r="N970" s="181"/>
      <c r="O970" s="179"/>
      <c r="P970" s="179"/>
      <c r="Q970" s="179"/>
      <c r="R970" s="179"/>
      <c r="S970" s="179"/>
      <c r="T970" s="179"/>
      <c r="U970" s="179"/>
      <c r="V970" s="179"/>
      <c r="W970" s="192"/>
      <c r="X970" s="192"/>
      <c r="Y970" s="192"/>
      <c r="Z970" s="158"/>
      <c r="AA970" s="158"/>
      <c r="AB970" s="158"/>
      <c r="AC970" s="158"/>
      <c r="AD970" s="158"/>
      <c r="AE970" s="158"/>
      <c r="AF970" s="158"/>
      <c r="AG970" s="158"/>
      <c r="AH970" s="158"/>
    </row>
    <row r="971" spans="1:34" ht="15.75" customHeight="1">
      <c r="A971" s="179"/>
      <c r="B971" s="180"/>
      <c r="C971" s="180"/>
      <c r="D971" s="179"/>
      <c r="E971" s="179"/>
      <c r="F971" s="179"/>
      <c r="G971" s="179"/>
      <c r="H971" s="181"/>
      <c r="I971" s="181"/>
      <c r="J971" s="181"/>
      <c r="K971" s="179"/>
      <c r="L971" s="179"/>
      <c r="M971" s="179"/>
      <c r="N971" s="181"/>
      <c r="O971" s="179"/>
      <c r="P971" s="179"/>
      <c r="Q971" s="179"/>
      <c r="R971" s="179"/>
      <c r="S971" s="179"/>
      <c r="T971" s="179"/>
      <c r="U971" s="179"/>
      <c r="V971" s="179"/>
      <c r="W971" s="192"/>
      <c r="X971" s="192"/>
      <c r="Y971" s="192"/>
      <c r="Z971" s="158"/>
      <c r="AA971" s="158"/>
      <c r="AB971" s="158"/>
      <c r="AC971" s="158"/>
      <c r="AD971" s="158"/>
      <c r="AE971" s="158"/>
      <c r="AF971" s="158"/>
      <c r="AG971" s="158"/>
      <c r="AH971" s="158"/>
    </row>
    <row r="972" spans="1:34" ht="15.75" customHeight="1">
      <c r="A972" s="179"/>
      <c r="B972" s="180"/>
      <c r="C972" s="180"/>
      <c r="D972" s="179"/>
      <c r="E972" s="179"/>
      <c r="F972" s="179"/>
      <c r="G972" s="179"/>
      <c r="H972" s="181"/>
      <c r="I972" s="181"/>
      <c r="J972" s="181"/>
      <c r="K972" s="179"/>
      <c r="L972" s="179"/>
      <c r="M972" s="179"/>
      <c r="N972" s="181"/>
      <c r="O972" s="179"/>
      <c r="P972" s="179"/>
      <c r="Q972" s="179"/>
      <c r="R972" s="179"/>
      <c r="S972" s="179"/>
      <c r="T972" s="179"/>
      <c r="U972" s="179"/>
      <c r="V972" s="179"/>
      <c r="W972" s="192"/>
      <c r="X972" s="192"/>
      <c r="Y972" s="192"/>
      <c r="Z972" s="158"/>
      <c r="AA972" s="158"/>
      <c r="AB972" s="158"/>
      <c r="AC972" s="158"/>
      <c r="AD972" s="158"/>
      <c r="AE972" s="158"/>
      <c r="AF972" s="158"/>
      <c r="AG972" s="158"/>
      <c r="AH972" s="158"/>
    </row>
    <row r="973" spans="1:34" ht="15.75" customHeight="1">
      <c r="A973" s="179"/>
      <c r="B973" s="180"/>
      <c r="C973" s="180"/>
      <c r="D973" s="179"/>
      <c r="E973" s="179"/>
      <c r="F973" s="179"/>
      <c r="G973" s="179"/>
      <c r="H973" s="181"/>
      <c r="I973" s="181"/>
      <c r="J973" s="181"/>
      <c r="K973" s="179"/>
      <c r="L973" s="179"/>
      <c r="M973" s="179"/>
      <c r="N973" s="181"/>
      <c r="O973" s="179"/>
      <c r="P973" s="179"/>
      <c r="Q973" s="179"/>
      <c r="R973" s="179"/>
      <c r="S973" s="179"/>
      <c r="T973" s="179"/>
      <c r="U973" s="179"/>
      <c r="V973" s="179"/>
      <c r="W973" s="192"/>
      <c r="X973" s="192"/>
      <c r="Y973" s="192"/>
      <c r="Z973" s="158"/>
      <c r="AA973" s="158"/>
      <c r="AB973" s="158"/>
      <c r="AC973" s="158"/>
      <c r="AD973" s="158"/>
      <c r="AE973" s="158"/>
      <c r="AF973" s="158"/>
      <c r="AG973" s="158"/>
      <c r="AH973" s="158"/>
    </row>
    <row r="974" spans="1:34" ht="15.75" customHeight="1">
      <c r="A974" s="179"/>
      <c r="B974" s="180"/>
      <c r="C974" s="180"/>
      <c r="D974" s="179"/>
      <c r="E974" s="179"/>
      <c r="F974" s="179"/>
      <c r="G974" s="179"/>
      <c r="H974" s="181"/>
      <c r="I974" s="181"/>
      <c r="J974" s="181"/>
      <c r="K974" s="179"/>
      <c r="L974" s="179"/>
      <c r="M974" s="179"/>
      <c r="N974" s="181"/>
      <c r="O974" s="179"/>
      <c r="P974" s="179"/>
      <c r="Q974" s="179"/>
      <c r="R974" s="179"/>
      <c r="S974" s="179"/>
      <c r="T974" s="179"/>
      <c r="U974" s="179"/>
      <c r="V974" s="179"/>
      <c r="W974" s="192"/>
      <c r="X974" s="192"/>
      <c r="Y974" s="192"/>
      <c r="Z974" s="158"/>
      <c r="AA974" s="158"/>
      <c r="AB974" s="158"/>
      <c r="AC974" s="158"/>
      <c r="AD974" s="158"/>
      <c r="AE974" s="158"/>
      <c r="AF974" s="158"/>
      <c r="AG974" s="158"/>
      <c r="AH974" s="158"/>
    </row>
    <row r="975" spans="1:34" ht="15.75" customHeight="1">
      <c r="A975" s="179"/>
      <c r="B975" s="180"/>
      <c r="C975" s="180"/>
      <c r="D975" s="179"/>
      <c r="E975" s="179"/>
      <c r="F975" s="179"/>
      <c r="G975" s="179"/>
      <c r="H975" s="181"/>
      <c r="I975" s="181"/>
      <c r="J975" s="181"/>
      <c r="K975" s="179"/>
      <c r="L975" s="179"/>
      <c r="M975" s="179"/>
      <c r="N975" s="181"/>
      <c r="O975" s="179"/>
      <c r="P975" s="179"/>
      <c r="Q975" s="179"/>
      <c r="R975" s="179"/>
      <c r="S975" s="179"/>
      <c r="T975" s="179"/>
      <c r="U975" s="179"/>
      <c r="V975" s="179"/>
      <c r="W975" s="192"/>
      <c r="X975" s="192"/>
      <c r="Y975" s="192"/>
      <c r="Z975" s="158"/>
      <c r="AA975" s="158"/>
      <c r="AB975" s="158"/>
      <c r="AC975" s="158"/>
      <c r="AD975" s="158"/>
      <c r="AE975" s="158"/>
      <c r="AF975" s="158"/>
      <c r="AG975" s="158"/>
      <c r="AH975" s="158"/>
    </row>
    <row r="976" spans="1:34" ht="15.75" customHeight="1">
      <c r="A976" s="179"/>
      <c r="B976" s="180"/>
      <c r="C976" s="180"/>
      <c r="D976" s="179"/>
      <c r="E976" s="179"/>
      <c r="F976" s="179"/>
      <c r="G976" s="179"/>
      <c r="H976" s="181"/>
      <c r="I976" s="181"/>
      <c r="J976" s="181"/>
      <c r="K976" s="179"/>
      <c r="L976" s="179"/>
      <c r="M976" s="179"/>
      <c r="N976" s="181"/>
      <c r="O976" s="179"/>
      <c r="P976" s="179"/>
      <c r="Q976" s="179"/>
      <c r="R976" s="179"/>
      <c r="S976" s="179"/>
      <c r="T976" s="179"/>
      <c r="U976" s="179"/>
      <c r="V976" s="179"/>
      <c r="W976" s="192"/>
      <c r="X976" s="192"/>
      <c r="Y976" s="192"/>
      <c r="Z976" s="158"/>
      <c r="AA976" s="158"/>
      <c r="AB976" s="158"/>
      <c r="AC976" s="158"/>
      <c r="AD976" s="158"/>
      <c r="AE976" s="158"/>
      <c r="AF976" s="158"/>
      <c r="AG976" s="158"/>
      <c r="AH976" s="158"/>
    </row>
    <row r="977" spans="1:34" ht="15.75" customHeight="1">
      <c r="A977" s="179"/>
      <c r="B977" s="180"/>
      <c r="C977" s="180"/>
      <c r="D977" s="179"/>
      <c r="E977" s="179"/>
      <c r="F977" s="179"/>
      <c r="G977" s="179"/>
      <c r="H977" s="181"/>
      <c r="I977" s="181"/>
      <c r="J977" s="181"/>
      <c r="K977" s="179"/>
      <c r="L977" s="179"/>
      <c r="M977" s="179"/>
      <c r="N977" s="181"/>
      <c r="O977" s="179"/>
      <c r="P977" s="179"/>
      <c r="Q977" s="179"/>
      <c r="R977" s="179"/>
      <c r="S977" s="179"/>
      <c r="T977" s="179"/>
      <c r="U977" s="179"/>
      <c r="V977" s="179"/>
      <c r="W977" s="192"/>
      <c r="X977" s="192"/>
      <c r="Y977" s="192"/>
      <c r="Z977" s="158"/>
      <c r="AA977" s="158"/>
      <c r="AB977" s="158"/>
      <c r="AC977" s="158"/>
      <c r="AD977" s="158"/>
      <c r="AE977" s="158"/>
      <c r="AF977" s="158"/>
      <c r="AG977" s="158"/>
      <c r="AH977" s="158"/>
    </row>
    <row r="978" spans="1:34" ht="15.75" customHeight="1">
      <c r="A978" s="179"/>
      <c r="B978" s="180"/>
      <c r="C978" s="180"/>
      <c r="D978" s="179"/>
      <c r="E978" s="179"/>
      <c r="F978" s="179"/>
      <c r="G978" s="179"/>
      <c r="H978" s="181"/>
      <c r="I978" s="181"/>
      <c r="J978" s="181"/>
      <c r="K978" s="179"/>
      <c r="L978" s="179"/>
      <c r="M978" s="179"/>
      <c r="N978" s="181"/>
      <c r="O978" s="179"/>
      <c r="P978" s="179"/>
      <c r="Q978" s="179"/>
      <c r="R978" s="179"/>
      <c r="S978" s="179"/>
      <c r="T978" s="179"/>
      <c r="U978" s="179"/>
      <c r="V978" s="179"/>
      <c r="W978" s="192"/>
      <c r="X978" s="192"/>
      <c r="Y978" s="192"/>
      <c r="Z978" s="158"/>
      <c r="AA978" s="158"/>
      <c r="AB978" s="158"/>
      <c r="AC978" s="158"/>
      <c r="AD978" s="158"/>
      <c r="AE978" s="158"/>
      <c r="AF978" s="158"/>
      <c r="AG978" s="158"/>
      <c r="AH978" s="158"/>
    </row>
    <row r="979" spans="1:34" ht="15.75" customHeight="1">
      <c r="A979" s="179"/>
      <c r="B979" s="180"/>
      <c r="C979" s="180"/>
      <c r="D979" s="179"/>
      <c r="E979" s="179"/>
      <c r="F979" s="179"/>
      <c r="G979" s="179"/>
      <c r="H979" s="181"/>
      <c r="I979" s="181"/>
      <c r="J979" s="181"/>
      <c r="K979" s="179"/>
      <c r="L979" s="179"/>
      <c r="M979" s="179"/>
      <c r="N979" s="181"/>
      <c r="O979" s="179"/>
      <c r="P979" s="179"/>
      <c r="Q979" s="179"/>
      <c r="R979" s="179"/>
      <c r="S979" s="179"/>
      <c r="T979" s="179"/>
      <c r="U979" s="179"/>
      <c r="V979" s="179"/>
      <c r="W979" s="192"/>
      <c r="X979" s="192"/>
      <c r="Y979" s="192"/>
      <c r="Z979" s="158"/>
      <c r="AA979" s="158"/>
      <c r="AB979" s="158"/>
      <c r="AC979" s="158"/>
      <c r="AD979" s="158"/>
      <c r="AE979" s="158"/>
      <c r="AF979" s="158"/>
      <c r="AG979" s="158"/>
      <c r="AH979" s="158"/>
    </row>
    <row r="980" spans="1:34" ht="15.75" customHeight="1">
      <c r="A980" s="179"/>
      <c r="B980" s="180"/>
      <c r="C980" s="180"/>
      <c r="D980" s="179"/>
      <c r="E980" s="179"/>
      <c r="F980" s="179"/>
      <c r="G980" s="179"/>
      <c r="H980" s="181"/>
      <c r="I980" s="181"/>
      <c r="J980" s="181"/>
      <c r="K980" s="179"/>
      <c r="L980" s="179"/>
      <c r="M980" s="179"/>
      <c r="N980" s="181"/>
      <c r="O980" s="179"/>
      <c r="P980" s="179"/>
      <c r="Q980" s="179"/>
      <c r="R980" s="179"/>
      <c r="S980" s="179"/>
      <c r="T980" s="179"/>
      <c r="U980" s="179"/>
      <c r="V980" s="179"/>
      <c r="W980" s="192"/>
      <c r="X980" s="192"/>
      <c r="Y980" s="192"/>
      <c r="Z980" s="158"/>
      <c r="AA980" s="158"/>
      <c r="AB980" s="158"/>
      <c r="AC980" s="158"/>
      <c r="AD980" s="158"/>
      <c r="AE980" s="158"/>
      <c r="AF980" s="158"/>
      <c r="AG980" s="158"/>
      <c r="AH980" s="158"/>
    </row>
    <row r="981" spans="1:34" ht="15.75" customHeight="1">
      <c r="A981" s="179"/>
      <c r="B981" s="180"/>
      <c r="C981" s="180"/>
      <c r="D981" s="179"/>
      <c r="E981" s="179"/>
      <c r="F981" s="179"/>
      <c r="G981" s="179"/>
      <c r="H981" s="181"/>
      <c r="I981" s="181"/>
      <c r="J981" s="181"/>
      <c r="K981" s="179"/>
      <c r="L981" s="179"/>
      <c r="M981" s="179"/>
      <c r="N981" s="181"/>
      <c r="O981" s="179"/>
      <c r="P981" s="179"/>
      <c r="Q981" s="179"/>
      <c r="R981" s="179"/>
      <c r="S981" s="179"/>
      <c r="T981" s="179"/>
      <c r="U981" s="179"/>
      <c r="V981" s="179"/>
      <c r="W981" s="192"/>
      <c r="X981" s="192"/>
      <c r="Y981" s="192"/>
      <c r="Z981" s="158"/>
      <c r="AA981" s="158"/>
      <c r="AB981" s="158"/>
      <c r="AC981" s="158"/>
      <c r="AD981" s="158"/>
      <c r="AE981" s="158"/>
      <c r="AF981" s="158"/>
      <c r="AG981" s="158"/>
      <c r="AH981" s="158"/>
    </row>
    <row r="982" spans="1:34" ht="15.75" customHeight="1">
      <c r="A982" s="179"/>
      <c r="B982" s="180"/>
      <c r="C982" s="180"/>
      <c r="D982" s="179"/>
      <c r="E982" s="179"/>
      <c r="F982" s="179"/>
      <c r="G982" s="179"/>
      <c r="H982" s="181"/>
      <c r="I982" s="181"/>
      <c r="J982" s="181"/>
      <c r="K982" s="179"/>
      <c r="L982" s="179"/>
      <c r="M982" s="179"/>
      <c r="N982" s="181"/>
      <c r="O982" s="179"/>
      <c r="P982" s="179"/>
      <c r="Q982" s="179"/>
      <c r="R982" s="179"/>
      <c r="S982" s="179"/>
      <c r="T982" s="179"/>
      <c r="U982" s="179"/>
      <c r="V982" s="179"/>
      <c r="W982" s="192"/>
      <c r="X982" s="192"/>
      <c r="Y982" s="192"/>
      <c r="Z982" s="158"/>
      <c r="AA982" s="158"/>
      <c r="AB982" s="158"/>
      <c r="AC982" s="158"/>
      <c r="AD982" s="158"/>
      <c r="AE982" s="158"/>
      <c r="AF982" s="158"/>
      <c r="AG982" s="158"/>
      <c r="AH982" s="158"/>
    </row>
    <row r="983" spans="1:34" ht="15.75" customHeight="1">
      <c r="A983" s="179"/>
      <c r="B983" s="180"/>
      <c r="C983" s="180"/>
      <c r="D983" s="179"/>
      <c r="E983" s="179"/>
      <c r="F983" s="179"/>
      <c r="G983" s="179"/>
      <c r="H983" s="181"/>
      <c r="I983" s="181"/>
      <c r="J983" s="181"/>
      <c r="K983" s="179"/>
      <c r="L983" s="179"/>
      <c r="M983" s="179"/>
      <c r="N983" s="181"/>
      <c r="O983" s="179"/>
      <c r="P983" s="179"/>
      <c r="Q983" s="179"/>
      <c r="R983" s="179"/>
      <c r="S983" s="179"/>
      <c r="T983" s="179"/>
      <c r="U983" s="179"/>
      <c r="V983" s="179"/>
      <c r="W983" s="192"/>
      <c r="X983" s="192"/>
      <c r="Y983" s="192"/>
      <c r="Z983" s="158"/>
      <c r="AA983" s="158"/>
      <c r="AB983" s="158"/>
      <c r="AC983" s="158"/>
      <c r="AD983" s="158"/>
      <c r="AE983" s="158"/>
      <c r="AF983" s="158"/>
      <c r="AG983" s="158"/>
      <c r="AH983" s="158"/>
    </row>
    <row r="984" spans="1:34" ht="15.75" customHeight="1">
      <c r="A984" s="179"/>
      <c r="B984" s="180"/>
      <c r="C984" s="180"/>
      <c r="D984" s="179"/>
      <c r="E984" s="179"/>
      <c r="F984" s="179"/>
      <c r="G984" s="179"/>
      <c r="H984" s="181"/>
      <c r="I984" s="181"/>
      <c r="J984" s="181"/>
      <c r="K984" s="179"/>
      <c r="L984" s="179"/>
      <c r="M984" s="179"/>
      <c r="N984" s="181"/>
      <c r="O984" s="179"/>
      <c r="P984" s="179"/>
      <c r="Q984" s="179"/>
      <c r="R984" s="179"/>
      <c r="S984" s="179"/>
      <c r="T984" s="179"/>
      <c r="U984" s="179"/>
      <c r="V984" s="179"/>
      <c r="W984" s="192"/>
      <c r="X984" s="192"/>
      <c r="Y984" s="192"/>
      <c r="Z984" s="158"/>
      <c r="AA984" s="158"/>
      <c r="AB984" s="158"/>
      <c r="AC984" s="158"/>
      <c r="AD984" s="158"/>
      <c r="AE984" s="158"/>
      <c r="AF984" s="158"/>
      <c r="AG984" s="158"/>
      <c r="AH984" s="158"/>
    </row>
    <row r="985" spans="1:34" ht="15.75" customHeight="1">
      <c r="A985" s="179"/>
      <c r="B985" s="180"/>
      <c r="C985" s="180"/>
      <c r="D985" s="179"/>
      <c r="E985" s="179"/>
      <c r="F985" s="179"/>
      <c r="G985" s="179"/>
      <c r="H985" s="181"/>
      <c r="I985" s="181"/>
      <c r="J985" s="181"/>
      <c r="K985" s="179"/>
      <c r="L985" s="179"/>
      <c r="M985" s="179"/>
      <c r="N985" s="181"/>
      <c r="O985" s="179"/>
      <c r="P985" s="179"/>
      <c r="Q985" s="179"/>
      <c r="R985" s="179"/>
      <c r="S985" s="179"/>
      <c r="T985" s="179"/>
      <c r="U985" s="179"/>
      <c r="V985" s="179"/>
      <c r="W985" s="192"/>
      <c r="X985" s="192"/>
      <c r="Y985" s="192"/>
      <c r="Z985" s="158"/>
      <c r="AA985" s="158"/>
      <c r="AB985" s="158"/>
      <c r="AC985" s="158"/>
      <c r="AD985" s="158"/>
      <c r="AE985" s="158"/>
      <c r="AF985" s="158"/>
      <c r="AG985" s="158"/>
      <c r="AH985" s="158"/>
    </row>
    <row r="986" spans="1:34" ht="15.75" customHeight="1">
      <c r="A986" s="179"/>
      <c r="B986" s="180"/>
      <c r="C986" s="180"/>
      <c r="D986" s="179"/>
      <c r="E986" s="179"/>
      <c r="F986" s="179"/>
      <c r="G986" s="179"/>
      <c r="H986" s="181"/>
      <c r="I986" s="181"/>
      <c r="J986" s="181"/>
      <c r="K986" s="179"/>
      <c r="L986" s="179"/>
      <c r="M986" s="179"/>
      <c r="N986" s="181"/>
      <c r="O986" s="179"/>
      <c r="P986" s="179"/>
      <c r="Q986" s="179"/>
      <c r="R986" s="179"/>
      <c r="S986" s="179"/>
      <c r="T986" s="179"/>
      <c r="U986" s="179"/>
      <c r="V986" s="179"/>
      <c r="W986" s="192"/>
      <c r="X986" s="192"/>
      <c r="Y986" s="192"/>
      <c r="Z986" s="158"/>
      <c r="AA986" s="158"/>
      <c r="AB986" s="158"/>
      <c r="AC986" s="158"/>
      <c r="AD986" s="158"/>
      <c r="AE986" s="158"/>
      <c r="AF986" s="158"/>
      <c r="AG986" s="158"/>
      <c r="AH986" s="158"/>
    </row>
    <row r="987" spans="1:34" ht="15.75" customHeight="1">
      <c r="A987" s="179"/>
      <c r="B987" s="180"/>
      <c r="C987" s="180"/>
      <c r="D987" s="179"/>
      <c r="E987" s="179"/>
      <c r="F987" s="179"/>
      <c r="G987" s="179"/>
      <c r="H987" s="181"/>
      <c r="I987" s="181"/>
      <c r="J987" s="181"/>
      <c r="K987" s="179"/>
      <c r="L987" s="179"/>
      <c r="M987" s="179"/>
      <c r="N987" s="181"/>
      <c r="O987" s="179"/>
      <c r="P987" s="179"/>
      <c r="Q987" s="179"/>
      <c r="R987" s="179"/>
      <c r="S987" s="179"/>
      <c r="T987" s="179"/>
      <c r="U987" s="179"/>
      <c r="V987" s="179"/>
      <c r="W987" s="192"/>
      <c r="X987" s="192"/>
      <c r="Y987" s="192"/>
      <c r="Z987" s="158"/>
      <c r="AA987" s="158"/>
      <c r="AB987" s="158"/>
      <c r="AC987" s="158"/>
      <c r="AD987" s="158"/>
      <c r="AE987" s="158"/>
      <c r="AF987" s="158"/>
      <c r="AG987" s="158"/>
      <c r="AH987" s="158"/>
    </row>
    <row r="988" spans="1:34" ht="15.75" customHeight="1">
      <c r="A988" s="179"/>
      <c r="B988" s="180"/>
      <c r="C988" s="180"/>
      <c r="D988" s="179"/>
      <c r="E988" s="179"/>
      <c r="F988" s="179"/>
      <c r="G988" s="179"/>
      <c r="H988" s="181"/>
      <c r="I988" s="181"/>
      <c r="J988" s="181"/>
      <c r="K988" s="179"/>
      <c r="L988" s="179"/>
      <c r="M988" s="179"/>
      <c r="N988" s="181"/>
      <c r="O988" s="179"/>
      <c r="P988" s="179"/>
      <c r="Q988" s="179"/>
      <c r="R988" s="179"/>
      <c r="S988" s="179"/>
      <c r="T988" s="179"/>
      <c r="U988" s="179"/>
      <c r="V988" s="179"/>
      <c r="W988" s="192"/>
      <c r="X988" s="192"/>
      <c r="Y988" s="192"/>
      <c r="Z988" s="158"/>
      <c r="AA988" s="158"/>
      <c r="AB988" s="158"/>
      <c r="AC988" s="158"/>
      <c r="AD988" s="158"/>
      <c r="AE988" s="158"/>
      <c r="AF988" s="158"/>
      <c r="AG988" s="158"/>
      <c r="AH988" s="158"/>
    </row>
    <row r="989" spans="1:34" ht="15.75" customHeight="1">
      <c r="A989" s="179"/>
      <c r="B989" s="180"/>
      <c r="C989" s="180"/>
      <c r="D989" s="179"/>
      <c r="E989" s="179"/>
      <c r="F989" s="179"/>
      <c r="G989" s="179"/>
      <c r="H989" s="181"/>
      <c r="I989" s="181"/>
      <c r="J989" s="181"/>
      <c r="K989" s="179"/>
      <c r="L989" s="179"/>
      <c r="M989" s="179"/>
      <c r="N989" s="181"/>
      <c r="O989" s="179"/>
      <c r="P989" s="179"/>
      <c r="Q989" s="179"/>
      <c r="R989" s="179"/>
      <c r="S989" s="179"/>
      <c r="T989" s="179"/>
      <c r="U989" s="179"/>
      <c r="V989" s="179"/>
      <c r="W989" s="192"/>
      <c r="X989" s="192"/>
      <c r="Y989" s="192"/>
      <c r="Z989" s="158"/>
      <c r="AA989" s="158"/>
      <c r="AB989" s="158"/>
      <c r="AC989" s="158"/>
      <c r="AD989" s="158"/>
      <c r="AE989" s="158"/>
      <c r="AF989" s="158"/>
      <c r="AG989" s="158"/>
      <c r="AH989" s="158"/>
    </row>
    <row r="990" spans="1:34" ht="15.75" customHeight="1">
      <c r="A990" s="179"/>
      <c r="B990" s="180"/>
      <c r="C990" s="180"/>
      <c r="D990" s="179"/>
      <c r="E990" s="179"/>
      <c r="F990" s="179"/>
      <c r="G990" s="179"/>
      <c r="H990" s="181"/>
      <c r="I990" s="181"/>
      <c r="J990" s="181"/>
      <c r="K990" s="179"/>
      <c r="L990" s="179"/>
      <c r="M990" s="179"/>
      <c r="N990" s="181"/>
      <c r="O990" s="179"/>
      <c r="P990" s="179"/>
      <c r="Q990" s="179"/>
      <c r="R990" s="179"/>
      <c r="S990" s="179"/>
      <c r="T990" s="179"/>
      <c r="U990" s="179"/>
      <c r="V990" s="179"/>
      <c r="W990" s="192"/>
      <c r="X990" s="192"/>
      <c r="Y990" s="192"/>
      <c r="Z990" s="158"/>
      <c r="AA990" s="158"/>
      <c r="AB990" s="158"/>
      <c r="AC990" s="158"/>
      <c r="AD990" s="158"/>
      <c r="AE990" s="158"/>
      <c r="AF990" s="158"/>
      <c r="AG990" s="158"/>
      <c r="AH990" s="158"/>
    </row>
    <row r="991" spans="1:34" ht="15.75" customHeight="1">
      <c r="A991" s="179"/>
      <c r="B991" s="180"/>
      <c r="C991" s="180"/>
      <c r="D991" s="179"/>
      <c r="E991" s="179"/>
      <c r="F991" s="179"/>
      <c r="G991" s="179"/>
      <c r="H991" s="181"/>
      <c r="I991" s="181"/>
      <c r="J991" s="181"/>
      <c r="K991" s="179"/>
      <c r="L991" s="179"/>
      <c r="M991" s="179"/>
      <c r="N991" s="181"/>
      <c r="O991" s="179"/>
      <c r="P991" s="179"/>
      <c r="Q991" s="179"/>
      <c r="R991" s="179"/>
      <c r="S991" s="179"/>
      <c r="T991" s="179"/>
      <c r="U991" s="179"/>
      <c r="V991" s="179"/>
      <c r="W991" s="192"/>
      <c r="X991" s="192"/>
      <c r="Y991" s="192"/>
      <c r="Z991" s="158"/>
      <c r="AA991" s="158"/>
      <c r="AB991" s="158"/>
      <c r="AC991" s="158"/>
      <c r="AD991" s="158"/>
      <c r="AE991" s="158"/>
      <c r="AF991" s="158"/>
      <c r="AG991" s="158"/>
      <c r="AH991" s="158"/>
    </row>
    <row r="992" spans="1:34" ht="15.75" customHeight="1">
      <c r="A992" s="179"/>
      <c r="B992" s="180"/>
      <c r="C992" s="180"/>
      <c r="D992" s="179"/>
      <c r="E992" s="179"/>
      <c r="F992" s="179"/>
      <c r="G992" s="179"/>
      <c r="H992" s="181"/>
      <c r="I992" s="181"/>
      <c r="J992" s="181"/>
      <c r="K992" s="179"/>
      <c r="L992" s="179"/>
      <c r="M992" s="179"/>
      <c r="N992" s="181"/>
      <c r="O992" s="179"/>
      <c r="P992" s="179"/>
      <c r="Q992" s="179"/>
      <c r="R992" s="179"/>
      <c r="S992" s="179"/>
      <c r="T992" s="179"/>
      <c r="U992" s="179"/>
      <c r="V992" s="179"/>
      <c r="W992" s="192"/>
      <c r="X992" s="192"/>
      <c r="Y992" s="192"/>
      <c r="Z992" s="158"/>
      <c r="AA992" s="158"/>
      <c r="AB992" s="158"/>
      <c r="AC992" s="158"/>
      <c r="AD992" s="158"/>
      <c r="AE992" s="158"/>
      <c r="AF992" s="158"/>
      <c r="AG992" s="158"/>
      <c r="AH992" s="158"/>
    </row>
    <row r="993" spans="1:34" ht="15.75" customHeight="1">
      <c r="A993" s="179"/>
      <c r="B993" s="180"/>
      <c r="C993" s="180"/>
      <c r="D993" s="179"/>
      <c r="E993" s="179"/>
      <c r="F993" s="179"/>
      <c r="G993" s="179"/>
      <c r="H993" s="181"/>
      <c r="I993" s="181"/>
      <c r="J993" s="181"/>
      <c r="K993" s="179"/>
      <c r="L993" s="179"/>
      <c r="M993" s="179"/>
      <c r="N993" s="181"/>
      <c r="O993" s="179"/>
      <c r="P993" s="179"/>
      <c r="Q993" s="179"/>
      <c r="R993" s="179"/>
      <c r="S993" s="179"/>
      <c r="T993" s="179"/>
      <c r="U993" s="179"/>
      <c r="V993" s="179"/>
      <c r="W993" s="192"/>
      <c r="X993" s="192"/>
      <c r="Y993" s="192"/>
      <c r="Z993" s="158"/>
      <c r="AA993" s="158"/>
      <c r="AB993" s="158"/>
      <c r="AC993" s="158"/>
      <c r="AD993" s="158"/>
      <c r="AE993" s="158"/>
      <c r="AF993" s="158"/>
      <c r="AG993" s="158"/>
      <c r="AH993" s="158"/>
    </row>
    <row r="994" spans="1:34" ht="15.75" customHeight="1">
      <c r="A994" s="179"/>
      <c r="B994" s="180"/>
      <c r="C994" s="180"/>
      <c r="D994" s="179"/>
      <c r="E994" s="179"/>
      <c r="F994" s="179"/>
      <c r="G994" s="179"/>
      <c r="H994" s="181"/>
      <c r="I994" s="181"/>
      <c r="J994" s="181"/>
      <c r="K994" s="179"/>
      <c r="L994" s="179"/>
      <c r="M994" s="179"/>
      <c r="N994" s="181"/>
      <c r="O994" s="179"/>
      <c r="P994" s="179"/>
      <c r="Q994" s="179"/>
      <c r="R994" s="179"/>
      <c r="S994" s="179"/>
      <c r="T994" s="179"/>
      <c r="U994" s="179"/>
      <c r="V994" s="179"/>
      <c r="W994" s="192"/>
      <c r="X994" s="192"/>
      <c r="Y994" s="192"/>
      <c r="Z994" s="158"/>
      <c r="AA994" s="158"/>
      <c r="AB994" s="158"/>
      <c r="AC994" s="158"/>
      <c r="AD994" s="158"/>
      <c r="AE994" s="158"/>
      <c r="AF994" s="158"/>
      <c r="AG994" s="158"/>
      <c r="AH994" s="158"/>
    </row>
    <row r="995" spans="1:34" ht="15.75" customHeight="1">
      <c r="A995" s="179"/>
      <c r="B995" s="180"/>
      <c r="C995" s="180"/>
      <c r="D995" s="179"/>
      <c r="E995" s="179"/>
      <c r="F995" s="179"/>
      <c r="G995" s="179"/>
      <c r="H995" s="181"/>
      <c r="I995" s="181"/>
      <c r="J995" s="181"/>
      <c r="K995" s="179"/>
      <c r="L995" s="179"/>
      <c r="M995" s="179"/>
      <c r="N995" s="181"/>
      <c r="O995" s="179"/>
      <c r="P995" s="179"/>
      <c r="Q995" s="179"/>
      <c r="R995" s="179"/>
      <c r="S995" s="179"/>
      <c r="T995" s="179"/>
      <c r="U995" s="179"/>
      <c r="V995" s="179"/>
      <c r="W995" s="192"/>
      <c r="X995" s="192"/>
      <c r="Y995" s="192"/>
      <c r="Z995" s="158"/>
      <c r="AA995" s="158"/>
      <c r="AB995" s="158"/>
      <c r="AC995" s="158"/>
      <c r="AD995" s="158"/>
      <c r="AE995" s="158"/>
      <c r="AF995" s="158"/>
      <c r="AG995" s="158"/>
      <c r="AH995" s="158"/>
    </row>
    <row r="996" spans="1:34" ht="15.75" customHeight="1">
      <c r="A996" s="179"/>
      <c r="B996" s="180"/>
      <c r="C996" s="180"/>
      <c r="D996" s="179"/>
      <c r="E996" s="179"/>
      <c r="F996" s="179"/>
      <c r="G996" s="179"/>
      <c r="H996" s="181"/>
      <c r="I996" s="181"/>
      <c r="J996" s="181"/>
      <c r="K996" s="179"/>
      <c r="L996" s="179"/>
      <c r="M996" s="179"/>
      <c r="N996" s="181"/>
      <c r="O996" s="179"/>
      <c r="P996" s="179"/>
      <c r="Q996" s="179"/>
      <c r="R996" s="179"/>
      <c r="S996" s="179"/>
      <c r="T996" s="179"/>
      <c r="U996" s="179"/>
      <c r="V996" s="179"/>
      <c r="W996" s="192"/>
      <c r="X996" s="192"/>
      <c r="Y996" s="192"/>
      <c r="Z996" s="158"/>
      <c r="AA996" s="158"/>
      <c r="AB996" s="158"/>
      <c r="AC996" s="158"/>
      <c r="AD996" s="158"/>
      <c r="AE996" s="158"/>
      <c r="AF996" s="158"/>
      <c r="AG996" s="158"/>
      <c r="AH996" s="158"/>
    </row>
    <row r="997" spans="1:34" ht="15.75" customHeight="1">
      <c r="A997" s="179"/>
      <c r="B997" s="180"/>
      <c r="C997" s="180"/>
      <c r="D997" s="179"/>
      <c r="E997" s="179"/>
      <c r="F997" s="179"/>
      <c r="G997" s="179"/>
      <c r="H997" s="181"/>
      <c r="I997" s="181"/>
      <c r="J997" s="181"/>
      <c r="K997" s="179"/>
      <c r="L997" s="179"/>
      <c r="M997" s="179"/>
      <c r="N997" s="181"/>
      <c r="O997" s="179"/>
      <c r="P997" s="179"/>
      <c r="Q997" s="179"/>
      <c r="R997" s="179"/>
      <c r="S997" s="179"/>
      <c r="T997" s="179"/>
      <c r="U997" s="179"/>
      <c r="V997" s="179"/>
      <c r="W997" s="192"/>
      <c r="X997" s="192"/>
      <c r="Y997" s="192"/>
      <c r="Z997" s="158"/>
      <c r="AA997" s="158"/>
      <c r="AB997" s="158"/>
      <c r="AC997" s="158"/>
      <c r="AD997" s="158"/>
      <c r="AE997" s="158"/>
      <c r="AF997" s="158"/>
      <c r="AG997" s="158"/>
      <c r="AH997" s="158"/>
    </row>
    <row r="998" spans="1:34" ht="15.75" customHeight="1">
      <c r="A998" s="179"/>
      <c r="B998" s="180"/>
      <c r="C998" s="180"/>
      <c r="D998" s="179"/>
      <c r="E998" s="179"/>
      <c r="F998" s="179"/>
      <c r="G998" s="179"/>
      <c r="H998" s="181"/>
      <c r="I998" s="181"/>
      <c r="J998" s="181"/>
      <c r="K998" s="179"/>
      <c r="L998" s="179"/>
      <c r="M998" s="179"/>
      <c r="N998" s="181"/>
      <c r="O998" s="179"/>
      <c r="P998" s="179"/>
      <c r="Q998" s="179"/>
      <c r="R998" s="179"/>
      <c r="S998" s="179"/>
      <c r="T998" s="179"/>
      <c r="U998" s="179"/>
      <c r="V998" s="179"/>
      <c r="W998" s="192"/>
      <c r="X998" s="192"/>
      <c r="Y998" s="192"/>
      <c r="Z998" s="158"/>
      <c r="AA998" s="158"/>
      <c r="AB998" s="158"/>
      <c r="AC998" s="158"/>
      <c r="AD998" s="158"/>
      <c r="AE998" s="158"/>
      <c r="AF998" s="158"/>
      <c r="AG998" s="158"/>
      <c r="AH998" s="158"/>
    </row>
    <row r="999" spans="1:34" ht="15.75" customHeight="1">
      <c r="A999" s="179"/>
      <c r="B999" s="180"/>
      <c r="C999" s="180"/>
      <c r="D999" s="179"/>
      <c r="E999" s="179"/>
      <c r="F999" s="179"/>
      <c r="G999" s="179"/>
      <c r="H999" s="181"/>
      <c r="I999" s="181"/>
      <c r="J999" s="181"/>
      <c r="K999" s="179"/>
      <c r="L999" s="179"/>
      <c r="M999" s="179"/>
      <c r="N999" s="181"/>
      <c r="O999" s="179"/>
      <c r="P999" s="179"/>
      <c r="Q999" s="179"/>
      <c r="R999" s="179"/>
      <c r="S999" s="179"/>
      <c r="T999" s="179"/>
      <c r="U999" s="179"/>
      <c r="V999" s="179"/>
      <c r="W999" s="192"/>
      <c r="X999" s="192"/>
      <c r="Y999" s="192"/>
      <c r="Z999" s="158"/>
      <c r="AA999" s="158"/>
      <c r="AB999" s="158"/>
      <c r="AC999" s="158"/>
      <c r="AD999" s="158"/>
      <c r="AE999" s="158"/>
      <c r="AF999" s="158"/>
      <c r="AG999" s="158"/>
      <c r="AH999" s="158"/>
    </row>
    <row r="1000" spans="1:34" ht="15.75" customHeight="1">
      <c r="A1000" s="179"/>
      <c r="B1000" s="180"/>
      <c r="C1000" s="180"/>
      <c r="D1000" s="179"/>
      <c r="E1000" s="179"/>
      <c r="F1000" s="179"/>
      <c r="G1000" s="179"/>
      <c r="H1000" s="181"/>
      <c r="I1000" s="181"/>
      <c r="J1000" s="181"/>
      <c r="K1000" s="179"/>
      <c r="L1000" s="179"/>
      <c r="M1000" s="179"/>
      <c r="N1000" s="181"/>
      <c r="O1000" s="179"/>
      <c r="P1000" s="179"/>
      <c r="Q1000" s="179"/>
      <c r="R1000" s="179"/>
      <c r="S1000" s="179"/>
      <c r="T1000" s="179"/>
      <c r="U1000" s="179"/>
      <c r="V1000" s="179"/>
      <c r="W1000" s="192"/>
      <c r="X1000" s="192"/>
      <c r="Y1000" s="192"/>
      <c r="Z1000" s="158"/>
      <c r="AA1000" s="158"/>
      <c r="AB1000" s="158"/>
      <c r="AC1000" s="158"/>
      <c r="AD1000" s="158"/>
      <c r="AE1000" s="158"/>
      <c r="AF1000" s="158"/>
      <c r="AG1000" s="158"/>
      <c r="AH1000" s="158"/>
    </row>
    <row r="1001" spans="1:34" ht="15.75" customHeight="1">
      <c r="A1001" s="179"/>
      <c r="B1001" s="180"/>
      <c r="C1001" s="180"/>
      <c r="D1001" s="179"/>
      <c r="E1001" s="179"/>
      <c r="F1001" s="179"/>
      <c r="G1001" s="179"/>
      <c r="H1001" s="181"/>
      <c r="I1001" s="181"/>
      <c r="J1001" s="181"/>
      <c r="K1001" s="179"/>
      <c r="L1001" s="179"/>
      <c r="M1001" s="179"/>
      <c r="N1001" s="181"/>
      <c r="O1001" s="179"/>
      <c r="P1001" s="179"/>
      <c r="Q1001" s="179"/>
      <c r="R1001" s="179"/>
      <c r="S1001" s="179"/>
      <c r="T1001" s="179"/>
      <c r="U1001" s="179"/>
      <c r="V1001" s="179"/>
      <c r="W1001" s="192"/>
      <c r="X1001" s="192"/>
      <c r="Y1001" s="192"/>
      <c r="Z1001" s="158"/>
      <c r="AA1001" s="158"/>
      <c r="AB1001" s="158"/>
      <c r="AC1001" s="158"/>
      <c r="AD1001" s="158"/>
      <c r="AE1001" s="158"/>
      <c r="AF1001" s="158"/>
      <c r="AG1001" s="158"/>
      <c r="AH1001" s="158"/>
    </row>
    <row r="1002" spans="1:34" ht="15.75" customHeight="1">
      <c r="A1002" s="179"/>
      <c r="B1002" s="180"/>
      <c r="C1002" s="180"/>
      <c r="D1002" s="179"/>
      <c r="E1002" s="179"/>
      <c r="F1002" s="179"/>
      <c r="G1002" s="179"/>
      <c r="H1002" s="181"/>
      <c r="I1002" s="181"/>
      <c r="J1002" s="181"/>
      <c r="K1002" s="179"/>
      <c r="L1002" s="179"/>
      <c r="M1002" s="179"/>
      <c r="N1002" s="181"/>
      <c r="O1002" s="179"/>
      <c r="P1002" s="179"/>
      <c r="Q1002" s="179"/>
      <c r="R1002" s="179"/>
      <c r="S1002" s="179"/>
      <c r="T1002" s="179"/>
      <c r="U1002" s="179"/>
      <c r="V1002" s="179"/>
      <c r="W1002" s="192"/>
      <c r="X1002" s="192"/>
      <c r="Y1002" s="192"/>
      <c r="Z1002" s="158"/>
      <c r="AA1002" s="158"/>
      <c r="AB1002" s="158"/>
      <c r="AC1002" s="158"/>
      <c r="AD1002" s="158"/>
      <c r="AE1002" s="158"/>
      <c r="AF1002" s="158"/>
      <c r="AG1002" s="158"/>
      <c r="AH1002" s="158"/>
    </row>
    <row r="1003" spans="1:34" ht="15.75" customHeight="1">
      <c r="A1003" s="179"/>
      <c r="B1003" s="180"/>
      <c r="C1003" s="180"/>
      <c r="D1003" s="179"/>
      <c r="E1003" s="179"/>
      <c r="F1003" s="179"/>
      <c r="G1003" s="179"/>
      <c r="H1003" s="181"/>
      <c r="I1003" s="181"/>
      <c r="J1003" s="181"/>
      <c r="K1003" s="179"/>
      <c r="L1003" s="179"/>
      <c r="M1003" s="179"/>
      <c r="N1003" s="181"/>
      <c r="O1003" s="179"/>
      <c r="P1003" s="179"/>
      <c r="Q1003" s="179"/>
      <c r="R1003" s="179"/>
      <c r="S1003" s="179"/>
      <c r="T1003" s="179"/>
      <c r="U1003" s="179"/>
      <c r="V1003" s="179"/>
      <c r="W1003" s="192"/>
      <c r="X1003" s="192"/>
      <c r="Y1003" s="192"/>
      <c r="Z1003" s="158"/>
      <c r="AA1003" s="158"/>
      <c r="AB1003" s="158"/>
      <c r="AC1003" s="158"/>
      <c r="AD1003" s="158"/>
      <c r="AE1003" s="158"/>
      <c r="AF1003" s="158"/>
      <c r="AG1003" s="158"/>
      <c r="AH1003" s="158"/>
    </row>
    <row r="1004" spans="1:34" ht="15.75" customHeight="1">
      <c r="A1004" s="179"/>
      <c r="B1004" s="180"/>
      <c r="C1004" s="180"/>
      <c r="D1004" s="179"/>
      <c r="E1004" s="179"/>
      <c r="F1004" s="179"/>
      <c r="G1004" s="179"/>
      <c r="H1004" s="181"/>
      <c r="I1004" s="181"/>
      <c r="J1004" s="181"/>
      <c r="K1004" s="179"/>
      <c r="L1004" s="179"/>
      <c r="M1004" s="179"/>
      <c r="N1004" s="181"/>
      <c r="O1004" s="179"/>
      <c r="P1004" s="179"/>
      <c r="Q1004" s="179"/>
      <c r="R1004" s="179"/>
      <c r="S1004" s="179"/>
      <c r="T1004" s="179"/>
      <c r="U1004" s="179"/>
      <c r="V1004" s="179"/>
      <c r="W1004" s="192"/>
      <c r="X1004" s="192"/>
      <c r="Y1004" s="192"/>
      <c r="Z1004" s="158"/>
      <c r="AA1004" s="158"/>
      <c r="AB1004" s="158"/>
      <c r="AC1004" s="158"/>
      <c r="AD1004" s="158"/>
      <c r="AE1004" s="158"/>
      <c r="AF1004" s="158"/>
      <c r="AG1004" s="158"/>
      <c r="AH1004" s="158"/>
    </row>
    <row r="1005" spans="1:34" ht="15.75" customHeight="1">
      <c r="A1005" s="179"/>
      <c r="B1005" s="180"/>
      <c r="C1005" s="180"/>
      <c r="D1005" s="179"/>
      <c r="E1005" s="179"/>
      <c r="F1005" s="179"/>
      <c r="G1005" s="179"/>
      <c r="H1005" s="181"/>
      <c r="I1005" s="181"/>
      <c r="J1005" s="181"/>
      <c r="K1005" s="179"/>
      <c r="L1005" s="179"/>
      <c r="M1005" s="179"/>
      <c r="N1005" s="181"/>
      <c r="O1005" s="179"/>
      <c r="P1005" s="179"/>
      <c r="Q1005" s="179"/>
      <c r="R1005" s="179"/>
      <c r="S1005" s="179"/>
      <c r="T1005" s="179"/>
      <c r="U1005" s="179"/>
      <c r="V1005" s="179"/>
      <c r="W1005" s="192"/>
      <c r="X1005" s="192"/>
      <c r="Y1005" s="192"/>
      <c r="Z1005" s="158"/>
      <c r="AA1005" s="158"/>
      <c r="AB1005" s="158"/>
      <c r="AC1005" s="158"/>
      <c r="AD1005" s="158"/>
      <c r="AE1005" s="158"/>
      <c r="AF1005" s="158"/>
      <c r="AG1005" s="158"/>
      <c r="AH1005" s="158"/>
    </row>
    <row r="1006" spans="1:34" ht="15.75" customHeight="1">
      <c r="A1006" s="179"/>
      <c r="B1006" s="180"/>
      <c r="C1006" s="180"/>
      <c r="D1006" s="179"/>
      <c r="E1006" s="179"/>
      <c r="F1006" s="179"/>
      <c r="G1006" s="179"/>
      <c r="H1006" s="181"/>
      <c r="I1006" s="181"/>
      <c r="J1006" s="181"/>
      <c r="K1006" s="179"/>
      <c r="L1006" s="179"/>
      <c r="M1006" s="179"/>
      <c r="N1006" s="181"/>
      <c r="O1006" s="179"/>
      <c r="P1006" s="179"/>
      <c r="Q1006" s="179"/>
      <c r="R1006" s="179"/>
      <c r="S1006" s="179"/>
      <c r="T1006" s="179"/>
      <c r="U1006" s="179"/>
      <c r="V1006" s="179"/>
      <c r="W1006" s="192"/>
      <c r="X1006" s="192"/>
      <c r="Y1006" s="192"/>
      <c r="Z1006" s="158"/>
      <c r="AA1006" s="158"/>
      <c r="AB1006" s="158"/>
      <c r="AC1006" s="158"/>
      <c r="AD1006" s="158"/>
      <c r="AE1006" s="158"/>
      <c r="AF1006" s="158"/>
      <c r="AG1006" s="158"/>
      <c r="AH1006" s="158"/>
    </row>
    <row r="1007" spans="1:34" ht="15.75" customHeight="1">
      <c r="A1007" s="179"/>
      <c r="B1007" s="180"/>
      <c r="C1007" s="180"/>
      <c r="D1007" s="179"/>
      <c r="E1007" s="179"/>
      <c r="F1007" s="179"/>
      <c r="G1007" s="179"/>
      <c r="H1007" s="181"/>
      <c r="I1007" s="181"/>
      <c r="J1007" s="181"/>
      <c r="K1007" s="179"/>
      <c r="L1007" s="179"/>
      <c r="M1007" s="179"/>
      <c r="N1007" s="181"/>
      <c r="O1007" s="179"/>
      <c r="P1007" s="179"/>
      <c r="Q1007" s="179"/>
      <c r="R1007" s="179"/>
      <c r="S1007" s="179"/>
      <c r="T1007" s="179"/>
      <c r="U1007" s="179"/>
      <c r="V1007" s="179"/>
      <c r="W1007" s="192"/>
      <c r="X1007" s="192"/>
      <c r="Y1007" s="192"/>
      <c r="Z1007" s="158"/>
      <c r="AA1007" s="158"/>
      <c r="AB1007" s="158"/>
      <c r="AC1007" s="158"/>
      <c r="AD1007" s="158"/>
      <c r="AE1007" s="158"/>
      <c r="AF1007" s="158"/>
      <c r="AG1007" s="158"/>
      <c r="AH1007" s="158"/>
    </row>
    <row r="1008" spans="1:34" ht="15.75" customHeight="1">
      <c r="A1008" s="179"/>
      <c r="B1008" s="180"/>
      <c r="C1008" s="180"/>
      <c r="D1008" s="179"/>
      <c r="E1008" s="179"/>
      <c r="F1008" s="179"/>
      <c r="G1008" s="179"/>
      <c r="H1008" s="181"/>
      <c r="I1008" s="181"/>
      <c r="J1008" s="181"/>
      <c r="K1008" s="179"/>
      <c r="L1008" s="179"/>
      <c r="M1008" s="179"/>
      <c r="N1008" s="181"/>
      <c r="O1008" s="179"/>
      <c r="P1008" s="179"/>
      <c r="Q1008" s="179"/>
      <c r="R1008" s="179"/>
      <c r="S1008" s="179"/>
      <c r="T1008" s="179"/>
      <c r="U1008" s="179"/>
      <c r="V1008" s="179"/>
      <c r="W1008" s="192"/>
      <c r="X1008" s="192"/>
      <c r="Y1008" s="192"/>
      <c r="Z1008" s="158"/>
      <c r="AA1008" s="158"/>
      <c r="AB1008" s="158"/>
      <c r="AC1008" s="158"/>
      <c r="AD1008" s="158"/>
      <c r="AE1008" s="158"/>
      <c r="AF1008" s="158"/>
      <c r="AG1008" s="158"/>
      <c r="AH1008" s="158"/>
    </row>
    <row r="1009" spans="1:34" ht="15.75" customHeight="1">
      <c r="A1009" s="179"/>
      <c r="B1009" s="180"/>
      <c r="C1009" s="180"/>
      <c r="D1009" s="179"/>
      <c r="E1009" s="179"/>
      <c r="F1009" s="179"/>
      <c r="G1009" s="179"/>
      <c r="H1009" s="181"/>
      <c r="I1009" s="181"/>
      <c r="J1009" s="181"/>
      <c r="K1009" s="179"/>
      <c r="L1009" s="179"/>
      <c r="M1009" s="179"/>
      <c r="N1009" s="181"/>
      <c r="O1009" s="179"/>
      <c r="P1009" s="179"/>
      <c r="Q1009" s="179"/>
      <c r="R1009" s="179"/>
      <c r="S1009" s="179"/>
      <c r="T1009" s="179"/>
      <c r="U1009" s="179"/>
      <c r="V1009" s="179"/>
      <c r="W1009" s="192"/>
      <c r="X1009" s="192"/>
      <c r="Y1009" s="192"/>
      <c r="Z1009" s="158"/>
      <c r="AA1009" s="158"/>
      <c r="AB1009" s="158"/>
      <c r="AC1009" s="158"/>
      <c r="AD1009" s="158"/>
      <c r="AE1009" s="158"/>
      <c r="AF1009" s="158"/>
      <c r="AG1009" s="158"/>
      <c r="AH1009" s="158"/>
    </row>
    <row r="1010" spans="1:34" ht="15.75" customHeight="1">
      <c r="A1010" s="179"/>
      <c r="B1010" s="180"/>
      <c r="C1010" s="180"/>
      <c r="D1010" s="179"/>
      <c r="E1010" s="179"/>
      <c r="F1010" s="179"/>
      <c r="G1010" s="179"/>
      <c r="H1010" s="181"/>
      <c r="I1010" s="181"/>
      <c r="J1010" s="181"/>
      <c r="K1010" s="179"/>
      <c r="L1010" s="179"/>
      <c r="M1010" s="179"/>
      <c r="N1010" s="181"/>
      <c r="O1010" s="179"/>
      <c r="P1010" s="179"/>
      <c r="Q1010" s="179"/>
      <c r="R1010" s="179"/>
      <c r="S1010" s="179"/>
      <c r="T1010" s="179"/>
      <c r="U1010" s="179"/>
      <c r="V1010" s="179"/>
      <c r="W1010" s="192"/>
      <c r="X1010" s="192"/>
      <c r="Y1010" s="192"/>
      <c r="Z1010" s="158"/>
      <c r="AA1010" s="158"/>
      <c r="AB1010" s="158"/>
      <c r="AC1010" s="158"/>
      <c r="AD1010" s="158"/>
      <c r="AE1010" s="158"/>
      <c r="AF1010" s="158"/>
      <c r="AG1010" s="158"/>
      <c r="AH1010" s="158"/>
    </row>
    <row r="1011" spans="1:34" ht="15.75" customHeight="1">
      <c r="A1011" s="179"/>
      <c r="B1011" s="180"/>
      <c r="C1011" s="180"/>
      <c r="D1011" s="179"/>
      <c r="E1011" s="179"/>
      <c r="F1011" s="179"/>
      <c r="G1011" s="179"/>
      <c r="H1011" s="181"/>
      <c r="I1011" s="181"/>
      <c r="J1011" s="181"/>
      <c r="K1011" s="179"/>
      <c r="L1011" s="179"/>
      <c r="M1011" s="179"/>
      <c r="N1011" s="181"/>
      <c r="O1011" s="179"/>
      <c r="P1011" s="179"/>
      <c r="Q1011" s="179"/>
      <c r="R1011" s="179"/>
      <c r="S1011" s="179"/>
      <c r="T1011" s="179"/>
      <c r="U1011" s="179"/>
      <c r="V1011" s="179"/>
      <c r="W1011" s="192"/>
      <c r="X1011" s="192"/>
      <c r="Y1011" s="192"/>
      <c r="Z1011" s="158"/>
      <c r="AA1011" s="158"/>
      <c r="AB1011" s="158"/>
      <c r="AC1011" s="158"/>
      <c r="AD1011" s="158"/>
      <c r="AE1011" s="158"/>
      <c r="AF1011" s="158"/>
      <c r="AG1011" s="158"/>
      <c r="AH1011" s="158"/>
    </row>
    <row r="1012" spans="1:34" ht="15.75" customHeight="1">
      <c r="A1012" s="179"/>
      <c r="B1012" s="180"/>
      <c r="C1012" s="180"/>
      <c r="D1012" s="179"/>
      <c r="E1012" s="179"/>
      <c r="F1012" s="179"/>
      <c r="G1012" s="179"/>
      <c r="H1012" s="181"/>
      <c r="I1012" s="181"/>
      <c r="J1012" s="181"/>
      <c r="K1012" s="179"/>
      <c r="L1012" s="179"/>
      <c r="M1012" s="179"/>
      <c r="N1012" s="181"/>
      <c r="O1012" s="179"/>
      <c r="P1012" s="179"/>
      <c r="Q1012" s="179"/>
      <c r="R1012" s="179"/>
      <c r="S1012" s="179"/>
      <c r="T1012" s="179"/>
      <c r="U1012" s="179"/>
      <c r="V1012" s="179"/>
      <c r="W1012" s="192"/>
      <c r="X1012" s="192"/>
      <c r="Y1012" s="192"/>
      <c r="Z1012" s="158"/>
      <c r="AA1012" s="158"/>
      <c r="AB1012" s="158"/>
      <c r="AC1012" s="158"/>
      <c r="AD1012" s="158"/>
      <c r="AE1012" s="158"/>
      <c r="AF1012" s="158"/>
      <c r="AG1012" s="158"/>
      <c r="AH1012" s="158"/>
    </row>
    <row r="1013" spans="1:34" ht="15.75" customHeight="1">
      <c r="A1013" s="179"/>
      <c r="B1013" s="180"/>
      <c r="C1013" s="180"/>
      <c r="D1013" s="179"/>
      <c r="E1013" s="179"/>
      <c r="F1013" s="179"/>
      <c r="G1013" s="179"/>
      <c r="H1013" s="181"/>
      <c r="I1013" s="181"/>
      <c r="J1013" s="181"/>
      <c r="K1013" s="179"/>
      <c r="L1013" s="179"/>
      <c r="M1013" s="179"/>
      <c r="N1013" s="181"/>
      <c r="O1013" s="179"/>
      <c r="P1013" s="179"/>
      <c r="Q1013" s="179"/>
      <c r="R1013" s="179"/>
      <c r="S1013" s="179"/>
      <c r="T1013" s="179"/>
      <c r="U1013" s="179"/>
      <c r="V1013" s="179"/>
      <c r="W1013" s="192"/>
      <c r="X1013" s="192"/>
      <c r="Y1013" s="192"/>
      <c r="Z1013" s="158"/>
      <c r="AA1013" s="158"/>
      <c r="AB1013" s="158"/>
      <c r="AC1013" s="158"/>
      <c r="AD1013" s="158"/>
      <c r="AE1013" s="158"/>
      <c r="AF1013" s="158"/>
      <c r="AG1013" s="158"/>
      <c r="AH1013" s="158"/>
    </row>
    <row r="1014" spans="1:34" ht="15.75" customHeight="1">
      <c r="A1014" s="179"/>
      <c r="B1014" s="180"/>
      <c r="C1014" s="180"/>
      <c r="D1014" s="179"/>
      <c r="E1014" s="179"/>
      <c r="F1014" s="179"/>
      <c r="G1014" s="179"/>
      <c r="H1014" s="181"/>
      <c r="I1014" s="181"/>
      <c r="J1014" s="181"/>
      <c r="K1014" s="179"/>
      <c r="L1014" s="179"/>
      <c r="M1014" s="179"/>
      <c r="N1014" s="181"/>
      <c r="O1014" s="179"/>
      <c r="P1014" s="179"/>
      <c r="Q1014" s="179"/>
      <c r="R1014" s="179"/>
      <c r="S1014" s="179"/>
      <c r="T1014" s="179"/>
      <c r="U1014" s="179"/>
      <c r="V1014" s="179"/>
      <c r="W1014" s="192"/>
      <c r="X1014" s="192"/>
      <c r="Y1014" s="192"/>
      <c r="Z1014" s="158"/>
      <c r="AA1014" s="158"/>
      <c r="AB1014" s="158"/>
      <c r="AC1014" s="158"/>
      <c r="AD1014" s="158"/>
      <c r="AE1014" s="158"/>
      <c r="AF1014" s="158"/>
      <c r="AG1014" s="158"/>
      <c r="AH1014" s="158"/>
    </row>
    <row r="1015" spans="1:34" ht="15.75" customHeight="1">
      <c r="A1015" s="179"/>
      <c r="B1015" s="180"/>
      <c r="C1015" s="180"/>
      <c r="D1015" s="179"/>
      <c r="E1015" s="179"/>
      <c r="F1015" s="179"/>
      <c r="G1015" s="179"/>
      <c r="H1015" s="181"/>
      <c r="I1015" s="181"/>
      <c r="J1015" s="181"/>
      <c r="K1015" s="179"/>
      <c r="L1015" s="179"/>
      <c r="M1015" s="179"/>
      <c r="N1015" s="181"/>
      <c r="O1015" s="179"/>
      <c r="P1015" s="179"/>
      <c r="Q1015" s="179"/>
      <c r="R1015" s="179"/>
      <c r="S1015" s="179"/>
      <c r="T1015" s="179"/>
      <c r="U1015" s="179"/>
      <c r="V1015" s="179"/>
      <c r="W1015" s="192"/>
      <c r="X1015" s="192"/>
      <c r="Y1015" s="192"/>
      <c r="Z1015" s="158"/>
      <c r="AA1015" s="158"/>
      <c r="AB1015" s="158"/>
      <c r="AC1015" s="158"/>
      <c r="AD1015" s="158"/>
      <c r="AE1015" s="158"/>
      <c r="AF1015" s="158"/>
      <c r="AG1015" s="158"/>
      <c r="AH1015" s="158"/>
    </row>
    <row r="1016" spans="1:34" ht="15.75" customHeight="1">
      <c r="A1016" s="179"/>
      <c r="B1016" s="180"/>
      <c r="C1016" s="180"/>
      <c r="D1016" s="179"/>
      <c r="E1016" s="179"/>
      <c r="F1016" s="179"/>
      <c r="G1016" s="179"/>
      <c r="H1016" s="181"/>
      <c r="I1016" s="181"/>
      <c r="J1016" s="181"/>
      <c r="K1016" s="179"/>
      <c r="L1016" s="179"/>
      <c r="M1016" s="179"/>
      <c r="N1016" s="181"/>
      <c r="O1016" s="179"/>
      <c r="P1016" s="179"/>
      <c r="Q1016" s="179"/>
      <c r="R1016" s="179"/>
      <c r="S1016" s="179"/>
      <c r="T1016" s="179"/>
      <c r="U1016" s="179"/>
      <c r="V1016" s="179"/>
      <c r="W1016" s="192"/>
      <c r="X1016" s="192"/>
      <c r="Y1016" s="192"/>
      <c r="Z1016" s="158"/>
      <c r="AA1016" s="158"/>
      <c r="AB1016" s="158"/>
      <c r="AC1016" s="158"/>
      <c r="AD1016" s="158"/>
      <c r="AE1016" s="158"/>
      <c r="AF1016" s="158"/>
      <c r="AG1016" s="158"/>
      <c r="AH1016" s="158"/>
    </row>
    <row r="1017" spans="1:34" ht="15.75" customHeight="1">
      <c r="A1017" s="179"/>
      <c r="B1017" s="180"/>
      <c r="C1017" s="180"/>
      <c r="D1017" s="179"/>
      <c r="E1017" s="179"/>
      <c r="F1017" s="179"/>
      <c r="G1017" s="179"/>
      <c r="H1017" s="181"/>
      <c r="I1017" s="181"/>
      <c r="J1017" s="181"/>
      <c r="K1017" s="179"/>
      <c r="L1017" s="179"/>
      <c r="M1017" s="179"/>
      <c r="N1017" s="181"/>
      <c r="O1017" s="179"/>
      <c r="P1017" s="179"/>
      <c r="Q1017" s="179"/>
      <c r="R1017" s="179"/>
      <c r="S1017" s="179"/>
      <c r="T1017" s="179"/>
      <c r="U1017" s="179"/>
      <c r="V1017" s="179"/>
      <c r="W1017" s="192"/>
      <c r="X1017" s="192"/>
      <c r="Y1017" s="192"/>
      <c r="Z1017" s="158"/>
      <c r="AA1017" s="158"/>
      <c r="AB1017" s="158"/>
      <c r="AC1017" s="158"/>
      <c r="AD1017" s="158"/>
      <c r="AE1017" s="158"/>
      <c r="AF1017" s="158"/>
      <c r="AG1017" s="158"/>
      <c r="AH1017" s="158"/>
    </row>
    <row r="1018" spans="1:34" ht="15.75" customHeight="1">
      <c r="A1018" s="179"/>
      <c r="B1018" s="180"/>
      <c r="C1018" s="180"/>
      <c r="D1018" s="179"/>
      <c r="E1018" s="179"/>
      <c r="F1018" s="179"/>
      <c r="G1018" s="179"/>
      <c r="H1018" s="181"/>
      <c r="I1018" s="181"/>
      <c r="J1018" s="181"/>
      <c r="K1018" s="179"/>
      <c r="L1018" s="179"/>
      <c r="M1018" s="179"/>
      <c r="N1018" s="181"/>
      <c r="O1018" s="179"/>
      <c r="P1018" s="179"/>
      <c r="Q1018" s="179"/>
      <c r="R1018" s="179"/>
      <c r="S1018" s="179"/>
      <c r="T1018" s="179"/>
      <c r="U1018" s="179"/>
      <c r="V1018" s="179"/>
      <c r="W1018" s="192"/>
      <c r="X1018" s="192"/>
      <c r="Y1018" s="192"/>
      <c r="Z1018" s="158"/>
      <c r="AA1018" s="158"/>
      <c r="AB1018" s="158"/>
      <c r="AC1018" s="158"/>
      <c r="AD1018" s="158"/>
      <c r="AE1018" s="158"/>
      <c r="AF1018" s="158"/>
      <c r="AG1018" s="158"/>
      <c r="AH1018" s="158"/>
    </row>
    <row r="1019" spans="1:34" ht="15.75" customHeight="1">
      <c r="A1019" s="179"/>
      <c r="B1019" s="180"/>
      <c r="C1019" s="180"/>
      <c r="D1019" s="179"/>
      <c r="E1019" s="179"/>
      <c r="F1019" s="179"/>
      <c r="G1019" s="179"/>
      <c r="H1019" s="181"/>
      <c r="I1019" s="181"/>
      <c r="J1019" s="181"/>
      <c r="K1019" s="179"/>
      <c r="L1019" s="179"/>
      <c r="M1019" s="179"/>
      <c r="N1019" s="181"/>
      <c r="O1019" s="179"/>
      <c r="P1019" s="179"/>
      <c r="Q1019" s="179"/>
      <c r="R1019" s="179"/>
      <c r="S1019" s="179"/>
      <c r="T1019" s="179"/>
      <c r="U1019" s="179"/>
      <c r="V1019" s="179"/>
      <c r="W1019" s="192"/>
      <c r="X1019" s="192"/>
      <c r="Y1019" s="192"/>
      <c r="Z1019" s="158"/>
      <c r="AA1019" s="158"/>
      <c r="AB1019" s="158"/>
      <c r="AC1019" s="158"/>
      <c r="AD1019" s="158"/>
      <c r="AE1019" s="158"/>
      <c r="AF1019" s="158"/>
      <c r="AG1019" s="158"/>
      <c r="AH1019" s="158"/>
    </row>
    <row r="1020" spans="1:34" ht="15.75" customHeight="1">
      <c r="A1020" s="179"/>
      <c r="B1020" s="180"/>
      <c r="C1020" s="180"/>
      <c r="D1020" s="179"/>
      <c r="E1020" s="179"/>
      <c r="F1020" s="179"/>
      <c r="G1020" s="179"/>
      <c r="H1020" s="181"/>
      <c r="I1020" s="181"/>
      <c r="J1020" s="181"/>
      <c r="K1020" s="179"/>
      <c r="L1020" s="179"/>
      <c r="M1020" s="179"/>
      <c r="N1020" s="181"/>
      <c r="O1020" s="179"/>
      <c r="P1020" s="179"/>
      <c r="Q1020" s="179"/>
      <c r="R1020" s="179"/>
      <c r="S1020" s="179"/>
      <c r="T1020" s="179"/>
      <c r="U1020" s="179"/>
      <c r="V1020" s="179"/>
      <c r="W1020" s="192"/>
      <c r="X1020" s="192"/>
      <c r="Y1020" s="192"/>
      <c r="Z1020" s="158"/>
      <c r="AA1020" s="158"/>
      <c r="AB1020" s="158"/>
      <c r="AC1020" s="158"/>
      <c r="AD1020" s="158"/>
      <c r="AE1020" s="158"/>
      <c r="AF1020" s="158"/>
      <c r="AG1020" s="158"/>
      <c r="AH1020" s="158"/>
    </row>
    <row r="1021" spans="1:34" ht="15.75" customHeight="1">
      <c r="A1021" s="179"/>
      <c r="B1021" s="180"/>
      <c r="C1021" s="180"/>
      <c r="D1021" s="179"/>
      <c r="E1021" s="179"/>
      <c r="F1021" s="179"/>
      <c r="G1021" s="179"/>
      <c r="H1021" s="181"/>
      <c r="I1021" s="181"/>
      <c r="J1021" s="181"/>
      <c r="K1021" s="179"/>
      <c r="L1021" s="179"/>
      <c r="M1021" s="179"/>
      <c r="N1021" s="181"/>
      <c r="O1021" s="179"/>
      <c r="P1021" s="179"/>
      <c r="Q1021" s="179"/>
      <c r="R1021" s="179"/>
      <c r="S1021" s="179"/>
      <c r="T1021" s="179"/>
      <c r="U1021" s="179"/>
      <c r="V1021" s="179"/>
      <c r="W1021" s="192"/>
      <c r="X1021" s="192"/>
      <c r="Y1021" s="192"/>
      <c r="Z1021" s="158"/>
      <c r="AA1021" s="158"/>
      <c r="AB1021" s="158"/>
      <c r="AC1021" s="158"/>
      <c r="AD1021" s="158"/>
      <c r="AE1021" s="158"/>
      <c r="AF1021" s="158"/>
      <c r="AG1021" s="158"/>
      <c r="AH1021" s="158"/>
    </row>
    <row r="1022" spans="1:34" ht="15.75" customHeight="1">
      <c r="A1022" s="179"/>
      <c r="B1022" s="180"/>
      <c r="C1022" s="180"/>
      <c r="D1022" s="179"/>
      <c r="E1022" s="179"/>
      <c r="F1022" s="179"/>
      <c r="G1022" s="179"/>
      <c r="H1022" s="181"/>
      <c r="I1022" s="181"/>
      <c r="J1022" s="181"/>
      <c r="K1022" s="179"/>
      <c r="L1022" s="179"/>
      <c r="M1022" s="179"/>
      <c r="N1022" s="181"/>
      <c r="O1022" s="179"/>
      <c r="P1022" s="179"/>
      <c r="Q1022" s="179"/>
      <c r="R1022" s="179"/>
      <c r="S1022" s="179"/>
      <c r="T1022" s="179"/>
      <c r="U1022" s="179"/>
      <c r="V1022" s="179"/>
      <c r="W1022" s="192"/>
      <c r="X1022" s="192"/>
      <c r="Y1022" s="192"/>
      <c r="Z1022" s="158"/>
      <c r="AA1022" s="158"/>
      <c r="AB1022" s="158"/>
      <c r="AC1022" s="158"/>
      <c r="AD1022" s="158"/>
      <c r="AE1022" s="158"/>
      <c r="AF1022" s="158"/>
      <c r="AG1022" s="158"/>
      <c r="AH1022" s="158"/>
    </row>
    <row r="1023" spans="1:34" ht="15.75" customHeight="1">
      <c r="A1023" s="179"/>
      <c r="B1023" s="180"/>
      <c r="C1023" s="180"/>
      <c r="D1023" s="179"/>
      <c r="E1023" s="179"/>
      <c r="F1023" s="179"/>
      <c r="G1023" s="179"/>
      <c r="H1023" s="181"/>
      <c r="I1023" s="181"/>
      <c r="J1023" s="181"/>
      <c r="K1023" s="179"/>
      <c r="L1023" s="179"/>
      <c r="M1023" s="179"/>
      <c r="N1023" s="181"/>
      <c r="O1023" s="179"/>
      <c r="P1023" s="179"/>
      <c r="Q1023" s="179"/>
      <c r="R1023" s="179"/>
      <c r="S1023" s="179"/>
      <c r="T1023" s="179"/>
      <c r="U1023" s="179"/>
      <c r="V1023" s="179"/>
      <c r="W1023" s="192"/>
      <c r="X1023" s="192"/>
      <c r="Y1023" s="192"/>
      <c r="Z1023" s="158"/>
      <c r="AA1023" s="158"/>
      <c r="AB1023" s="158"/>
      <c r="AC1023" s="158"/>
      <c r="AD1023" s="158"/>
      <c r="AE1023" s="158"/>
      <c r="AF1023" s="158"/>
      <c r="AG1023" s="158"/>
      <c r="AH1023" s="158"/>
    </row>
    <row r="1024" spans="1:34" ht="15.75" customHeight="1">
      <c r="A1024" s="179"/>
      <c r="B1024" s="180"/>
      <c r="C1024" s="180"/>
      <c r="D1024" s="179"/>
      <c r="E1024" s="179"/>
      <c r="F1024" s="179"/>
      <c r="G1024" s="179"/>
      <c r="H1024" s="181"/>
      <c r="I1024" s="181"/>
      <c r="J1024" s="181"/>
      <c r="K1024" s="179"/>
      <c r="L1024" s="179"/>
      <c r="M1024" s="179"/>
      <c r="N1024" s="181"/>
      <c r="O1024" s="179"/>
      <c r="P1024" s="179"/>
      <c r="Q1024" s="179"/>
      <c r="R1024" s="179"/>
      <c r="S1024" s="179"/>
      <c r="T1024" s="179"/>
      <c r="U1024" s="179"/>
      <c r="V1024" s="179"/>
      <c r="W1024" s="192"/>
      <c r="X1024" s="192"/>
      <c r="Y1024" s="192"/>
      <c r="Z1024" s="158"/>
      <c r="AA1024" s="158"/>
      <c r="AB1024" s="158"/>
      <c r="AC1024" s="158"/>
      <c r="AD1024" s="158"/>
      <c r="AE1024" s="158"/>
      <c r="AF1024" s="158"/>
      <c r="AG1024" s="158"/>
      <c r="AH1024" s="158"/>
    </row>
    <row r="1025" spans="1:34" ht="15.75" customHeight="1">
      <c r="A1025" s="179"/>
      <c r="B1025" s="180"/>
      <c r="C1025" s="180"/>
      <c r="D1025" s="179"/>
      <c r="E1025" s="179"/>
      <c r="F1025" s="179"/>
      <c r="G1025" s="179"/>
      <c r="H1025" s="181"/>
      <c r="I1025" s="181"/>
      <c r="J1025" s="181"/>
      <c r="K1025" s="179"/>
      <c r="L1025" s="179"/>
      <c r="M1025" s="179"/>
      <c r="N1025" s="181"/>
      <c r="O1025" s="179"/>
      <c r="P1025" s="179"/>
      <c r="Q1025" s="179"/>
      <c r="R1025" s="179"/>
      <c r="S1025" s="179"/>
      <c r="T1025" s="179"/>
      <c r="U1025" s="179"/>
      <c r="V1025" s="179"/>
      <c r="W1025" s="192"/>
      <c r="X1025" s="192"/>
      <c r="Y1025" s="192"/>
      <c r="Z1025" s="158"/>
      <c r="AA1025" s="158"/>
      <c r="AB1025" s="158"/>
      <c r="AC1025" s="158"/>
      <c r="AD1025" s="158"/>
      <c r="AE1025" s="158"/>
      <c r="AF1025" s="158"/>
      <c r="AG1025" s="158"/>
      <c r="AH1025" s="158"/>
    </row>
    <row r="1026" spans="1:34" ht="15.75" customHeight="1">
      <c r="A1026" s="179"/>
      <c r="B1026" s="180"/>
      <c r="C1026" s="180"/>
      <c r="D1026" s="179"/>
      <c r="E1026" s="179"/>
      <c r="F1026" s="179"/>
      <c r="G1026" s="179"/>
      <c r="H1026" s="181"/>
      <c r="I1026" s="181"/>
      <c r="J1026" s="181"/>
      <c r="K1026" s="179"/>
      <c r="L1026" s="179"/>
      <c r="M1026" s="179"/>
      <c r="N1026" s="181"/>
      <c r="O1026" s="179"/>
      <c r="P1026" s="179"/>
      <c r="Q1026" s="179"/>
      <c r="R1026" s="179"/>
      <c r="S1026" s="179"/>
      <c r="T1026" s="179"/>
      <c r="U1026" s="179"/>
      <c r="V1026" s="179"/>
      <c r="W1026" s="192"/>
      <c r="X1026" s="192"/>
      <c r="Y1026" s="192"/>
      <c r="Z1026" s="158"/>
      <c r="AA1026" s="158"/>
      <c r="AB1026" s="158"/>
      <c r="AC1026" s="158"/>
      <c r="AD1026" s="158"/>
      <c r="AE1026" s="158"/>
      <c r="AF1026" s="158"/>
      <c r="AG1026" s="158"/>
      <c r="AH1026" s="158"/>
    </row>
    <row r="1027" spans="1:34" ht="15.75" customHeight="1">
      <c r="A1027" s="179"/>
      <c r="B1027" s="180"/>
      <c r="C1027" s="180"/>
      <c r="D1027" s="179"/>
      <c r="E1027" s="179"/>
      <c r="F1027" s="179"/>
      <c r="G1027" s="179"/>
      <c r="H1027" s="181"/>
      <c r="I1027" s="181"/>
      <c r="J1027" s="181"/>
      <c r="K1027" s="179"/>
      <c r="L1027" s="179"/>
      <c r="M1027" s="179"/>
      <c r="N1027" s="181"/>
      <c r="O1027" s="179"/>
      <c r="P1027" s="179"/>
      <c r="Q1027" s="179"/>
      <c r="R1027" s="179"/>
      <c r="S1027" s="179"/>
      <c r="T1027" s="179"/>
      <c r="U1027" s="179"/>
      <c r="V1027" s="179"/>
      <c r="W1027" s="192"/>
      <c r="X1027" s="192"/>
      <c r="Y1027" s="192"/>
      <c r="Z1027" s="158"/>
      <c r="AA1027" s="158"/>
      <c r="AB1027" s="158"/>
      <c r="AC1027" s="158"/>
      <c r="AD1027" s="158"/>
      <c r="AE1027" s="158"/>
      <c r="AF1027" s="158"/>
      <c r="AG1027" s="158"/>
      <c r="AH1027" s="158"/>
    </row>
    <row r="1028" spans="1:34" ht="15.75" customHeight="1">
      <c r="A1028" s="179"/>
      <c r="B1028" s="180"/>
      <c r="C1028" s="180"/>
      <c r="D1028" s="179"/>
      <c r="E1028" s="179"/>
      <c r="F1028" s="179"/>
      <c r="G1028" s="179"/>
      <c r="H1028" s="181"/>
      <c r="I1028" s="181"/>
      <c r="J1028" s="181"/>
      <c r="K1028" s="179"/>
      <c r="L1028" s="179"/>
      <c r="M1028" s="179"/>
      <c r="N1028" s="181"/>
      <c r="O1028" s="179"/>
      <c r="P1028" s="179"/>
      <c r="Q1028" s="179"/>
      <c r="R1028" s="179"/>
      <c r="S1028" s="179"/>
      <c r="T1028" s="179"/>
      <c r="U1028" s="179"/>
      <c r="V1028" s="179"/>
      <c r="W1028" s="192"/>
      <c r="X1028" s="192"/>
      <c r="Y1028" s="192"/>
      <c r="Z1028" s="158"/>
      <c r="AA1028" s="158"/>
      <c r="AB1028" s="158"/>
      <c r="AC1028" s="158"/>
      <c r="AD1028" s="158"/>
      <c r="AE1028" s="158"/>
      <c r="AF1028" s="158"/>
      <c r="AG1028" s="158"/>
      <c r="AH1028" s="158"/>
    </row>
    <row r="1029" spans="1:34" ht="15.75" customHeight="1">
      <c r="A1029" s="179"/>
      <c r="B1029" s="180"/>
      <c r="C1029" s="180"/>
      <c r="D1029" s="179"/>
      <c r="E1029" s="179"/>
      <c r="F1029" s="179"/>
      <c r="G1029" s="179"/>
      <c r="H1029" s="181"/>
      <c r="I1029" s="181"/>
      <c r="J1029" s="181"/>
      <c r="K1029" s="179"/>
      <c r="L1029" s="179"/>
      <c r="M1029" s="179"/>
      <c r="N1029" s="181"/>
      <c r="O1029" s="179"/>
      <c r="P1029" s="179"/>
      <c r="Q1029" s="179"/>
      <c r="R1029" s="179"/>
      <c r="S1029" s="179"/>
      <c r="T1029" s="179"/>
      <c r="U1029" s="179"/>
      <c r="V1029" s="179"/>
      <c r="W1029" s="192"/>
      <c r="X1029" s="192"/>
      <c r="Y1029" s="192"/>
      <c r="Z1029" s="158"/>
      <c r="AA1029" s="158"/>
      <c r="AB1029" s="158"/>
      <c r="AC1029" s="158"/>
      <c r="AD1029" s="158"/>
      <c r="AE1029" s="158"/>
      <c r="AF1029" s="158"/>
      <c r="AG1029" s="158"/>
      <c r="AH1029" s="158"/>
    </row>
    <row r="1030" spans="1:34" ht="15.75" customHeight="1">
      <c r="A1030" s="179"/>
      <c r="B1030" s="180"/>
      <c r="C1030" s="180"/>
      <c r="D1030" s="179"/>
      <c r="E1030" s="179"/>
      <c r="F1030" s="179"/>
      <c r="G1030" s="179"/>
      <c r="H1030" s="181"/>
      <c r="I1030" s="181"/>
      <c r="J1030" s="181"/>
      <c r="K1030" s="179"/>
      <c r="L1030" s="179"/>
      <c r="M1030" s="179"/>
      <c r="N1030" s="181"/>
      <c r="O1030" s="179"/>
      <c r="P1030" s="179"/>
      <c r="Q1030" s="179"/>
      <c r="R1030" s="179"/>
      <c r="S1030" s="179"/>
      <c r="T1030" s="179"/>
      <c r="U1030" s="179"/>
      <c r="V1030" s="179"/>
      <c r="W1030" s="192"/>
      <c r="X1030" s="192"/>
      <c r="Y1030" s="192"/>
      <c r="Z1030" s="158"/>
      <c r="AA1030" s="158"/>
      <c r="AB1030" s="158"/>
      <c r="AC1030" s="158"/>
      <c r="AD1030" s="158"/>
      <c r="AE1030" s="158"/>
      <c r="AF1030" s="158"/>
      <c r="AG1030" s="158"/>
      <c r="AH1030" s="158"/>
    </row>
    <row r="1031" spans="1:34" ht="15.75" customHeight="1">
      <c r="A1031" s="179"/>
      <c r="B1031" s="180"/>
      <c r="C1031" s="180"/>
      <c r="D1031" s="179"/>
      <c r="E1031" s="179"/>
      <c r="F1031" s="179"/>
      <c r="G1031" s="179"/>
      <c r="H1031" s="181"/>
      <c r="I1031" s="181"/>
      <c r="J1031" s="181"/>
      <c r="K1031" s="179"/>
      <c r="L1031" s="179"/>
      <c r="M1031" s="179"/>
      <c r="N1031" s="181"/>
      <c r="O1031" s="179"/>
      <c r="P1031" s="179"/>
      <c r="Q1031" s="179"/>
      <c r="R1031" s="179"/>
      <c r="S1031" s="179"/>
      <c r="T1031" s="179"/>
      <c r="U1031" s="179"/>
      <c r="V1031" s="179"/>
      <c r="W1031" s="192"/>
      <c r="X1031" s="192"/>
      <c r="Y1031" s="192"/>
      <c r="Z1031" s="158"/>
      <c r="AA1031" s="158"/>
      <c r="AB1031" s="158"/>
      <c r="AC1031" s="158"/>
      <c r="AD1031" s="158"/>
      <c r="AE1031" s="158"/>
      <c r="AF1031" s="158"/>
      <c r="AG1031" s="158"/>
      <c r="AH1031" s="158"/>
    </row>
    <row r="1032" spans="1:34" ht="15.75" customHeight="1">
      <c r="A1032" s="179"/>
      <c r="B1032" s="180"/>
      <c r="C1032" s="180"/>
      <c r="D1032" s="179"/>
      <c r="E1032" s="179"/>
      <c r="F1032" s="179"/>
      <c r="G1032" s="179"/>
      <c r="H1032" s="181"/>
      <c r="I1032" s="181"/>
      <c r="J1032" s="181"/>
      <c r="K1032" s="179"/>
      <c r="L1032" s="179"/>
      <c r="M1032" s="179"/>
      <c r="N1032" s="181"/>
      <c r="O1032" s="179"/>
      <c r="P1032" s="179"/>
      <c r="Q1032" s="179"/>
      <c r="R1032" s="179"/>
      <c r="S1032" s="179"/>
      <c r="T1032" s="179"/>
      <c r="U1032" s="179"/>
      <c r="V1032" s="179"/>
      <c r="W1032" s="192"/>
      <c r="X1032" s="192"/>
      <c r="Y1032" s="192"/>
      <c r="Z1032" s="158"/>
      <c r="AA1032" s="158"/>
      <c r="AB1032" s="158"/>
      <c r="AC1032" s="158"/>
      <c r="AD1032" s="158"/>
      <c r="AE1032" s="158"/>
      <c r="AF1032" s="158"/>
      <c r="AG1032" s="158"/>
      <c r="AH1032" s="158"/>
    </row>
    <row r="1033" spans="1:34" ht="15.75" customHeight="1">
      <c r="A1033" s="179"/>
      <c r="B1033" s="180"/>
      <c r="C1033" s="180"/>
      <c r="D1033" s="179"/>
      <c r="E1033" s="179"/>
      <c r="F1033" s="179"/>
      <c r="G1033" s="179"/>
      <c r="H1033" s="181"/>
      <c r="I1033" s="181"/>
      <c r="J1033" s="181"/>
      <c r="K1033" s="179"/>
      <c r="L1033" s="179"/>
      <c r="M1033" s="179"/>
      <c r="N1033" s="181"/>
      <c r="O1033" s="179"/>
      <c r="P1033" s="179"/>
      <c r="Q1033" s="179"/>
      <c r="R1033" s="179"/>
      <c r="S1033" s="179"/>
      <c r="T1033" s="179"/>
      <c r="U1033" s="179"/>
      <c r="V1033" s="179"/>
      <c r="W1033" s="192"/>
      <c r="X1033" s="192"/>
      <c r="Y1033" s="192"/>
      <c r="Z1033" s="158"/>
      <c r="AA1033" s="158"/>
      <c r="AB1033" s="158"/>
      <c r="AC1033" s="158"/>
      <c r="AD1033" s="158"/>
      <c r="AE1033" s="158"/>
      <c r="AF1033" s="158"/>
      <c r="AG1033" s="158"/>
      <c r="AH1033" s="158"/>
    </row>
    <row r="1034" spans="1:34" ht="15.75" customHeight="1">
      <c r="A1034" s="179"/>
      <c r="B1034" s="180"/>
      <c r="C1034" s="180"/>
      <c r="D1034" s="179"/>
      <c r="E1034" s="179"/>
      <c r="F1034" s="179"/>
      <c r="G1034" s="179"/>
      <c r="H1034" s="181"/>
      <c r="I1034" s="181"/>
      <c r="J1034" s="181"/>
      <c r="K1034" s="179"/>
      <c r="L1034" s="179"/>
      <c r="M1034" s="179"/>
      <c r="N1034" s="181"/>
      <c r="O1034" s="179"/>
      <c r="P1034" s="179"/>
      <c r="Q1034" s="179"/>
      <c r="R1034" s="179"/>
      <c r="S1034" s="179"/>
      <c r="T1034" s="179"/>
      <c r="U1034" s="179"/>
      <c r="V1034" s="179"/>
      <c r="W1034" s="192"/>
      <c r="X1034" s="192"/>
      <c r="Y1034" s="192"/>
      <c r="Z1034" s="158"/>
      <c r="AA1034" s="158"/>
      <c r="AB1034" s="158"/>
      <c r="AC1034" s="158"/>
      <c r="AD1034" s="158"/>
      <c r="AE1034" s="158"/>
      <c r="AF1034" s="158"/>
      <c r="AG1034" s="158"/>
      <c r="AH1034" s="158"/>
    </row>
    <row r="1035" spans="1:34" ht="15.75" customHeight="1">
      <c r="A1035" s="179"/>
      <c r="B1035" s="180"/>
      <c r="C1035" s="180"/>
      <c r="D1035" s="179"/>
      <c r="E1035" s="179"/>
      <c r="F1035" s="179"/>
      <c r="G1035" s="179"/>
      <c r="H1035" s="181"/>
      <c r="I1035" s="181"/>
      <c r="J1035" s="181"/>
      <c r="K1035" s="179"/>
      <c r="L1035" s="179"/>
      <c r="M1035" s="179"/>
      <c r="N1035" s="181"/>
      <c r="O1035" s="179"/>
      <c r="P1035" s="179"/>
      <c r="Q1035" s="179"/>
      <c r="R1035" s="179"/>
      <c r="S1035" s="179"/>
      <c r="T1035" s="179"/>
      <c r="U1035" s="179"/>
      <c r="V1035" s="179"/>
      <c r="W1035" s="192"/>
      <c r="X1035" s="192"/>
      <c r="Y1035" s="192"/>
      <c r="Z1035" s="158"/>
      <c r="AA1035" s="158"/>
      <c r="AB1035" s="158"/>
      <c r="AC1035" s="158"/>
      <c r="AD1035" s="158"/>
      <c r="AE1035" s="158"/>
      <c r="AF1035" s="158"/>
      <c r="AG1035" s="158"/>
      <c r="AH1035" s="158"/>
    </row>
    <row r="1036" spans="1:34" ht="15.75" customHeight="1">
      <c r="A1036" s="179"/>
      <c r="B1036" s="180"/>
      <c r="C1036" s="180"/>
      <c r="D1036" s="179"/>
      <c r="E1036" s="179"/>
      <c r="F1036" s="179"/>
      <c r="G1036" s="179"/>
      <c r="H1036" s="181"/>
      <c r="I1036" s="181"/>
      <c r="J1036" s="181"/>
      <c r="K1036" s="179"/>
      <c r="L1036" s="179"/>
      <c r="M1036" s="179"/>
      <c r="N1036" s="181"/>
      <c r="O1036" s="179"/>
      <c r="P1036" s="179"/>
      <c r="Q1036" s="179"/>
      <c r="R1036" s="179"/>
      <c r="S1036" s="179"/>
      <c r="T1036" s="179"/>
      <c r="U1036" s="179"/>
      <c r="V1036" s="179"/>
      <c r="W1036" s="192"/>
      <c r="X1036" s="192"/>
      <c r="Y1036" s="192"/>
      <c r="Z1036" s="158"/>
      <c r="AA1036" s="158"/>
      <c r="AB1036" s="158"/>
      <c r="AC1036" s="158"/>
      <c r="AD1036" s="158"/>
      <c r="AE1036" s="158"/>
      <c r="AF1036" s="158"/>
      <c r="AG1036" s="158"/>
      <c r="AH1036" s="158"/>
    </row>
    <row r="1037" spans="1:34" ht="15.75" customHeight="1">
      <c r="A1037" s="179"/>
      <c r="B1037" s="180"/>
      <c r="C1037" s="180"/>
      <c r="D1037" s="179"/>
      <c r="E1037" s="179"/>
      <c r="F1037" s="179"/>
      <c r="G1037" s="179"/>
      <c r="H1037" s="181"/>
      <c r="I1037" s="181"/>
      <c r="J1037" s="181"/>
      <c r="K1037" s="179"/>
      <c r="L1037" s="179"/>
      <c r="M1037" s="179"/>
      <c r="N1037" s="181"/>
      <c r="O1037" s="179"/>
      <c r="P1037" s="179"/>
      <c r="Q1037" s="179"/>
      <c r="R1037" s="179"/>
      <c r="S1037" s="179"/>
      <c r="T1037" s="179"/>
      <c r="U1037" s="179"/>
      <c r="V1037" s="179"/>
      <c r="W1037" s="192"/>
      <c r="X1037" s="192"/>
      <c r="Y1037" s="192"/>
      <c r="Z1037" s="158"/>
      <c r="AA1037" s="158"/>
      <c r="AB1037" s="158"/>
      <c r="AC1037" s="158"/>
      <c r="AD1037" s="158"/>
      <c r="AE1037" s="158"/>
      <c r="AF1037" s="158"/>
      <c r="AG1037" s="158"/>
      <c r="AH1037" s="158"/>
    </row>
    <row r="1038" spans="1:34" ht="15.75" customHeight="1">
      <c r="A1038" s="179"/>
      <c r="B1038" s="180"/>
      <c r="C1038" s="180"/>
      <c r="D1038" s="179"/>
      <c r="E1038" s="179"/>
      <c r="F1038" s="179"/>
      <c r="G1038" s="179"/>
      <c r="H1038" s="181"/>
      <c r="I1038" s="181"/>
      <c r="J1038" s="181"/>
      <c r="K1038" s="179"/>
      <c r="L1038" s="179"/>
      <c r="M1038" s="179"/>
      <c r="N1038" s="181"/>
      <c r="O1038" s="179"/>
      <c r="P1038" s="179"/>
      <c r="Q1038" s="179"/>
      <c r="R1038" s="179"/>
      <c r="S1038" s="179"/>
      <c r="T1038" s="179"/>
      <c r="U1038" s="179"/>
      <c r="V1038" s="179"/>
      <c r="W1038" s="192"/>
      <c r="X1038" s="192"/>
      <c r="Y1038" s="192"/>
      <c r="Z1038" s="158"/>
      <c r="AA1038" s="158"/>
      <c r="AB1038" s="158"/>
      <c r="AC1038" s="158"/>
      <c r="AD1038" s="158"/>
      <c r="AE1038" s="158"/>
      <c r="AF1038" s="158"/>
      <c r="AG1038" s="158"/>
      <c r="AH1038" s="158"/>
    </row>
    <row r="1039" spans="1:34" ht="15.75" customHeight="1">
      <c r="A1039" s="179"/>
      <c r="B1039" s="180"/>
      <c r="C1039" s="180"/>
      <c r="D1039" s="179"/>
      <c r="E1039" s="179"/>
      <c r="F1039" s="179"/>
      <c r="G1039" s="179"/>
      <c r="H1039" s="181"/>
      <c r="I1039" s="181"/>
      <c r="J1039" s="181"/>
      <c r="K1039" s="179"/>
      <c r="L1039" s="179"/>
      <c r="M1039" s="179"/>
      <c r="N1039" s="181"/>
      <c r="O1039" s="179"/>
      <c r="P1039" s="179"/>
      <c r="Q1039" s="179"/>
      <c r="R1039" s="179"/>
      <c r="S1039" s="179"/>
      <c r="T1039" s="179"/>
      <c r="U1039" s="179"/>
      <c r="V1039" s="179"/>
      <c r="W1039" s="192"/>
      <c r="X1039" s="192"/>
      <c r="Y1039" s="192"/>
      <c r="Z1039" s="158"/>
      <c r="AA1039" s="158"/>
      <c r="AB1039" s="158"/>
      <c r="AC1039" s="158"/>
      <c r="AD1039" s="158"/>
      <c r="AE1039" s="158"/>
      <c r="AF1039" s="158"/>
      <c r="AG1039" s="158"/>
      <c r="AH1039" s="158"/>
    </row>
    <row r="1040" spans="1:34" ht="15.75" customHeight="1">
      <c r="A1040" s="179"/>
      <c r="B1040" s="180"/>
      <c r="C1040" s="180"/>
      <c r="D1040" s="179"/>
      <c r="E1040" s="179"/>
      <c r="F1040" s="179"/>
      <c r="G1040" s="179"/>
      <c r="H1040" s="181"/>
      <c r="I1040" s="181"/>
      <c r="J1040" s="181"/>
      <c r="K1040" s="179"/>
      <c r="L1040" s="179"/>
      <c r="M1040" s="179"/>
      <c r="N1040" s="181"/>
      <c r="O1040" s="179"/>
      <c r="P1040" s="179"/>
      <c r="Q1040" s="179"/>
      <c r="R1040" s="179"/>
      <c r="S1040" s="179"/>
      <c r="T1040" s="179"/>
      <c r="U1040" s="179"/>
      <c r="V1040" s="179"/>
      <c r="W1040" s="192"/>
      <c r="X1040" s="192"/>
      <c r="Y1040" s="192"/>
      <c r="Z1040" s="158"/>
      <c r="AA1040" s="158"/>
      <c r="AB1040" s="158"/>
      <c r="AC1040" s="158"/>
      <c r="AD1040" s="158"/>
      <c r="AE1040" s="158"/>
      <c r="AF1040" s="158"/>
      <c r="AG1040" s="158"/>
      <c r="AH1040" s="158"/>
    </row>
    <row r="1041" spans="1:34" ht="15.75" customHeight="1">
      <c r="A1041" s="179"/>
      <c r="B1041" s="180"/>
      <c r="C1041" s="180"/>
      <c r="D1041" s="179"/>
      <c r="E1041" s="179"/>
      <c r="F1041" s="179"/>
      <c r="G1041" s="179"/>
      <c r="H1041" s="181"/>
      <c r="I1041" s="181"/>
      <c r="J1041" s="181"/>
      <c r="K1041" s="179"/>
      <c r="L1041" s="179"/>
      <c r="M1041" s="179"/>
      <c r="N1041" s="181"/>
      <c r="O1041" s="179"/>
      <c r="P1041" s="179"/>
      <c r="Q1041" s="179"/>
      <c r="R1041" s="179"/>
      <c r="S1041" s="179"/>
      <c r="T1041" s="179"/>
      <c r="U1041" s="179"/>
      <c r="V1041" s="179"/>
      <c r="W1041" s="192"/>
      <c r="X1041" s="192"/>
      <c r="Y1041" s="192"/>
      <c r="Z1041" s="158"/>
      <c r="AA1041" s="158"/>
      <c r="AB1041" s="158"/>
      <c r="AC1041" s="158"/>
      <c r="AD1041" s="158"/>
      <c r="AE1041" s="158"/>
      <c r="AF1041" s="158"/>
      <c r="AG1041" s="158"/>
      <c r="AH1041" s="158"/>
    </row>
    <row r="1042" spans="1:34" ht="15.75" customHeight="1">
      <c r="A1042" s="179"/>
      <c r="B1042" s="180"/>
      <c r="C1042" s="180"/>
      <c r="D1042" s="179"/>
      <c r="E1042" s="179"/>
      <c r="F1042" s="179"/>
      <c r="G1042" s="179"/>
      <c r="H1042" s="181"/>
      <c r="I1042" s="181"/>
      <c r="J1042" s="181"/>
      <c r="K1042" s="179"/>
      <c r="L1042" s="179"/>
      <c r="M1042" s="179"/>
      <c r="N1042" s="181"/>
      <c r="O1042" s="179"/>
      <c r="P1042" s="179"/>
      <c r="Q1042" s="179"/>
      <c r="R1042" s="179"/>
      <c r="S1042" s="179"/>
      <c r="T1042" s="179"/>
      <c r="U1042" s="179"/>
      <c r="V1042" s="179"/>
      <c r="W1042" s="192"/>
      <c r="X1042" s="192"/>
      <c r="Y1042" s="192"/>
      <c r="Z1042" s="158"/>
      <c r="AA1042" s="158"/>
      <c r="AB1042" s="158"/>
      <c r="AC1042" s="158"/>
      <c r="AD1042" s="158"/>
      <c r="AE1042" s="158"/>
      <c r="AF1042" s="158"/>
      <c r="AG1042" s="158"/>
      <c r="AH1042" s="158"/>
    </row>
    <row r="1043" spans="1:34" ht="15.75" customHeight="1">
      <c r="A1043" s="179"/>
      <c r="B1043" s="180"/>
      <c r="C1043" s="180"/>
      <c r="D1043" s="179"/>
      <c r="E1043" s="179"/>
      <c r="F1043" s="179"/>
      <c r="G1043" s="179"/>
      <c r="H1043" s="181"/>
      <c r="I1043" s="181"/>
      <c r="J1043" s="181"/>
      <c r="K1043" s="179"/>
      <c r="L1043" s="179"/>
      <c r="M1043" s="179"/>
      <c r="N1043" s="181"/>
      <c r="O1043" s="179"/>
      <c r="P1043" s="179"/>
      <c r="Q1043" s="179"/>
      <c r="R1043" s="179"/>
      <c r="S1043" s="179"/>
      <c r="T1043" s="179"/>
      <c r="U1043" s="179"/>
      <c r="V1043" s="179"/>
      <c r="W1043" s="192"/>
      <c r="X1043" s="192"/>
      <c r="Y1043" s="192"/>
      <c r="Z1043" s="158"/>
      <c r="AA1043" s="158"/>
      <c r="AB1043" s="158"/>
      <c r="AC1043" s="158"/>
      <c r="AD1043" s="158"/>
      <c r="AE1043" s="158"/>
      <c r="AF1043" s="158"/>
      <c r="AG1043" s="158"/>
      <c r="AH1043" s="158"/>
    </row>
    <row r="1044" spans="1:34" ht="15.75" customHeight="1">
      <c r="A1044" s="179"/>
      <c r="B1044" s="180"/>
      <c r="C1044" s="180"/>
      <c r="D1044" s="179"/>
      <c r="E1044" s="179"/>
      <c r="F1044" s="179"/>
      <c r="G1044" s="179"/>
      <c r="H1044" s="181"/>
      <c r="I1044" s="181"/>
      <c r="J1044" s="181"/>
      <c r="K1044" s="179"/>
      <c r="L1044" s="179"/>
      <c r="M1044" s="179"/>
      <c r="N1044" s="181"/>
      <c r="O1044" s="179"/>
      <c r="P1044" s="179"/>
      <c r="Q1044" s="179"/>
      <c r="R1044" s="179"/>
      <c r="S1044" s="179"/>
      <c r="T1044" s="179"/>
      <c r="U1044" s="179"/>
      <c r="V1044" s="179"/>
      <c r="W1044" s="192"/>
      <c r="X1044" s="192"/>
      <c r="Y1044" s="192"/>
      <c r="Z1044" s="158"/>
      <c r="AA1044" s="158"/>
      <c r="AB1044" s="158"/>
      <c r="AC1044" s="158"/>
      <c r="AD1044" s="158"/>
      <c r="AE1044" s="158"/>
      <c r="AF1044" s="158"/>
      <c r="AG1044" s="158"/>
      <c r="AH1044" s="158"/>
    </row>
    <row r="1045" spans="1:34" ht="15.75" customHeight="1">
      <c r="A1045" s="179"/>
      <c r="B1045" s="180"/>
      <c r="C1045" s="180"/>
      <c r="D1045" s="179"/>
      <c r="E1045" s="179"/>
      <c r="F1045" s="179"/>
      <c r="G1045" s="179"/>
      <c r="H1045" s="181"/>
      <c r="I1045" s="181"/>
      <c r="J1045" s="181"/>
      <c r="K1045" s="179"/>
      <c r="L1045" s="179"/>
      <c r="M1045" s="179"/>
      <c r="N1045" s="181"/>
      <c r="O1045" s="179"/>
      <c r="P1045" s="179"/>
      <c r="Q1045" s="179"/>
      <c r="R1045" s="179"/>
      <c r="S1045" s="179"/>
      <c r="T1045" s="179"/>
      <c r="U1045" s="179"/>
      <c r="V1045" s="179"/>
      <c r="W1045" s="192"/>
      <c r="X1045" s="192"/>
      <c r="Y1045" s="192"/>
      <c r="Z1045" s="158"/>
      <c r="AA1045" s="158"/>
      <c r="AB1045" s="158"/>
      <c r="AC1045" s="158"/>
      <c r="AD1045" s="158"/>
      <c r="AE1045" s="158"/>
      <c r="AF1045" s="158"/>
      <c r="AG1045" s="158"/>
      <c r="AH1045" s="158"/>
    </row>
    <row r="1046" spans="1:34" ht="15.75" customHeight="1">
      <c r="A1046" s="179"/>
      <c r="B1046" s="180"/>
      <c r="C1046" s="180"/>
      <c r="D1046" s="179"/>
      <c r="E1046" s="179"/>
      <c r="F1046" s="179"/>
      <c r="G1046" s="179"/>
      <c r="H1046" s="181"/>
      <c r="I1046" s="181"/>
      <c r="J1046" s="181"/>
      <c r="K1046" s="179"/>
      <c r="L1046" s="179"/>
      <c r="M1046" s="179"/>
      <c r="N1046" s="181"/>
      <c r="O1046" s="179"/>
      <c r="P1046" s="179"/>
      <c r="Q1046" s="179"/>
      <c r="R1046" s="179"/>
      <c r="S1046" s="179"/>
      <c r="T1046" s="179"/>
      <c r="U1046" s="179"/>
      <c r="V1046" s="179"/>
      <c r="W1046" s="192"/>
      <c r="X1046" s="192"/>
      <c r="Y1046" s="192"/>
      <c r="Z1046" s="158"/>
      <c r="AA1046" s="158"/>
      <c r="AB1046" s="158"/>
      <c r="AC1046" s="158"/>
      <c r="AD1046" s="158"/>
      <c r="AE1046" s="158"/>
      <c r="AF1046" s="158"/>
      <c r="AG1046" s="158"/>
      <c r="AH1046" s="158"/>
    </row>
    <row r="1047" spans="1:34" ht="15.75" customHeight="1">
      <c r="A1047" s="179"/>
      <c r="B1047" s="180"/>
      <c r="C1047" s="180"/>
      <c r="D1047" s="179"/>
      <c r="E1047" s="179"/>
      <c r="F1047" s="179"/>
      <c r="G1047" s="179"/>
      <c r="H1047" s="181"/>
      <c r="I1047" s="181"/>
      <c r="J1047" s="181"/>
      <c r="K1047" s="179"/>
      <c r="L1047" s="179"/>
      <c r="M1047" s="179"/>
      <c r="N1047" s="181"/>
      <c r="O1047" s="179"/>
      <c r="P1047" s="179"/>
      <c r="Q1047" s="179"/>
      <c r="R1047" s="179"/>
      <c r="S1047" s="179"/>
      <c r="T1047" s="179"/>
      <c r="U1047" s="179"/>
      <c r="V1047" s="179"/>
      <c r="W1047" s="192"/>
      <c r="X1047" s="192"/>
      <c r="Y1047" s="192"/>
      <c r="Z1047" s="158"/>
      <c r="AA1047" s="158"/>
      <c r="AB1047" s="158"/>
      <c r="AC1047" s="158"/>
      <c r="AD1047" s="158"/>
      <c r="AE1047" s="158"/>
      <c r="AF1047" s="158"/>
      <c r="AG1047" s="158"/>
      <c r="AH1047" s="158"/>
    </row>
    <row r="1048" spans="1:34" ht="15.75" customHeight="1">
      <c r="A1048" s="179"/>
      <c r="B1048" s="180"/>
      <c r="C1048" s="180"/>
      <c r="D1048" s="179"/>
      <c r="E1048" s="179"/>
      <c r="F1048" s="179"/>
      <c r="G1048" s="179"/>
      <c r="H1048" s="181"/>
      <c r="I1048" s="181"/>
      <c r="J1048" s="181"/>
      <c r="K1048" s="179"/>
      <c r="L1048" s="179"/>
      <c r="M1048" s="179"/>
      <c r="N1048" s="181"/>
      <c r="O1048" s="179"/>
      <c r="P1048" s="179"/>
      <c r="Q1048" s="179"/>
      <c r="R1048" s="179"/>
      <c r="S1048" s="179"/>
      <c r="T1048" s="179"/>
      <c r="U1048" s="179"/>
      <c r="V1048" s="179"/>
      <c r="W1048" s="192"/>
      <c r="X1048" s="192"/>
      <c r="Y1048" s="192"/>
      <c r="Z1048" s="158"/>
      <c r="AA1048" s="158"/>
      <c r="AB1048" s="158"/>
      <c r="AC1048" s="158"/>
      <c r="AD1048" s="158"/>
      <c r="AE1048" s="158"/>
      <c r="AF1048" s="158"/>
      <c r="AG1048" s="158"/>
      <c r="AH1048" s="158"/>
    </row>
    <row r="1049" spans="1:34" ht="15.75" customHeight="1">
      <c r="A1049" s="179"/>
      <c r="B1049" s="180"/>
      <c r="C1049" s="180"/>
      <c r="D1049" s="179"/>
      <c r="E1049" s="179"/>
      <c r="F1049" s="179"/>
      <c r="G1049" s="179"/>
      <c r="H1049" s="181"/>
      <c r="I1049" s="181"/>
      <c r="J1049" s="181"/>
      <c r="K1049" s="179"/>
      <c r="L1049" s="179"/>
      <c r="M1049" s="179"/>
      <c r="N1049" s="181"/>
      <c r="O1049" s="179"/>
      <c r="P1049" s="179"/>
      <c r="Q1049" s="179"/>
      <c r="R1049" s="179"/>
      <c r="S1049" s="179"/>
      <c r="T1049" s="179"/>
      <c r="U1049" s="179"/>
      <c r="V1049" s="179"/>
      <c r="W1049" s="192"/>
      <c r="X1049" s="192"/>
      <c r="Y1049" s="192"/>
      <c r="Z1049" s="158"/>
      <c r="AA1049" s="158"/>
      <c r="AB1049" s="158"/>
      <c r="AC1049" s="158"/>
      <c r="AD1049" s="158"/>
      <c r="AE1049" s="158"/>
      <c r="AF1049" s="158"/>
      <c r="AG1049" s="158"/>
      <c r="AH1049" s="158"/>
    </row>
    <row r="1050" spans="1:34" ht="15.75" customHeight="1">
      <c r="A1050" s="179"/>
      <c r="B1050" s="180"/>
      <c r="C1050" s="180"/>
      <c r="D1050" s="179"/>
      <c r="E1050" s="179"/>
      <c r="F1050" s="179"/>
      <c r="G1050" s="179"/>
      <c r="H1050" s="181"/>
      <c r="I1050" s="181"/>
      <c r="J1050" s="181"/>
      <c r="K1050" s="179"/>
      <c r="L1050" s="179"/>
      <c r="M1050" s="179"/>
      <c r="N1050" s="181"/>
      <c r="O1050" s="179"/>
      <c r="P1050" s="179"/>
      <c r="Q1050" s="179"/>
      <c r="R1050" s="179"/>
      <c r="S1050" s="179"/>
      <c r="T1050" s="179"/>
      <c r="U1050" s="179"/>
      <c r="V1050" s="179"/>
      <c r="W1050" s="192"/>
      <c r="X1050" s="192"/>
      <c r="Y1050" s="192"/>
      <c r="Z1050" s="158"/>
      <c r="AA1050" s="158"/>
      <c r="AB1050" s="158"/>
      <c r="AC1050" s="158"/>
      <c r="AD1050" s="158"/>
      <c r="AE1050" s="158"/>
      <c r="AF1050" s="158"/>
      <c r="AG1050" s="158"/>
      <c r="AH1050" s="158"/>
    </row>
    <row r="1051" spans="1:34" ht="15.75" customHeight="1">
      <c r="A1051" s="179"/>
      <c r="B1051" s="180"/>
      <c r="C1051" s="180"/>
      <c r="D1051" s="179"/>
      <c r="E1051" s="179"/>
      <c r="F1051" s="179"/>
      <c r="G1051" s="179"/>
      <c r="H1051" s="181"/>
      <c r="I1051" s="181"/>
      <c r="J1051" s="181"/>
      <c r="K1051" s="179"/>
      <c r="L1051" s="179"/>
      <c r="M1051" s="179"/>
      <c r="N1051" s="181"/>
      <c r="O1051" s="179"/>
      <c r="P1051" s="179"/>
      <c r="Q1051" s="179"/>
      <c r="R1051" s="179"/>
      <c r="S1051" s="179"/>
      <c r="T1051" s="179"/>
      <c r="U1051" s="179"/>
      <c r="V1051" s="179"/>
      <c r="W1051" s="192"/>
      <c r="X1051" s="192"/>
      <c r="Y1051" s="192"/>
      <c r="Z1051" s="158"/>
      <c r="AA1051" s="158"/>
      <c r="AB1051" s="158"/>
      <c r="AC1051" s="158"/>
      <c r="AD1051" s="158"/>
      <c r="AE1051" s="158"/>
      <c r="AF1051" s="158"/>
      <c r="AG1051" s="158"/>
      <c r="AH1051" s="158"/>
    </row>
    <row r="1052" spans="1:34" ht="15.75" customHeight="1">
      <c r="A1052" s="179"/>
      <c r="B1052" s="180"/>
      <c r="C1052" s="180"/>
      <c r="D1052" s="179"/>
      <c r="E1052" s="179"/>
      <c r="F1052" s="179"/>
      <c r="G1052" s="179"/>
      <c r="H1052" s="181"/>
      <c r="I1052" s="181"/>
      <c r="J1052" s="181"/>
      <c r="K1052" s="179"/>
      <c r="L1052" s="179"/>
      <c r="M1052" s="179"/>
      <c r="N1052" s="181"/>
      <c r="O1052" s="179"/>
      <c r="P1052" s="179"/>
      <c r="Q1052" s="179"/>
      <c r="R1052" s="179"/>
      <c r="S1052" s="179"/>
      <c r="T1052" s="179"/>
      <c r="U1052" s="179"/>
      <c r="V1052" s="179"/>
      <c r="W1052" s="192"/>
      <c r="X1052" s="192"/>
      <c r="Y1052" s="192"/>
      <c r="Z1052" s="158"/>
      <c r="AA1052" s="158"/>
      <c r="AB1052" s="158"/>
      <c r="AC1052" s="158"/>
      <c r="AD1052" s="158"/>
      <c r="AE1052" s="158"/>
      <c r="AF1052" s="158"/>
      <c r="AG1052" s="158"/>
      <c r="AH1052" s="158"/>
    </row>
    <row r="1053" spans="1:34" ht="15.75" customHeight="1">
      <c r="A1053" s="179"/>
      <c r="B1053" s="180"/>
      <c r="C1053" s="180"/>
      <c r="D1053" s="179"/>
      <c r="E1053" s="179"/>
      <c r="F1053" s="179"/>
      <c r="G1053" s="179"/>
      <c r="H1053" s="181"/>
      <c r="I1053" s="181"/>
      <c r="J1053" s="181"/>
      <c r="K1053" s="179"/>
      <c r="L1053" s="179"/>
      <c r="M1053" s="179"/>
      <c r="N1053" s="181"/>
      <c r="O1053" s="179"/>
      <c r="P1053" s="179"/>
      <c r="Q1053" s="179"/>
      <c r="R1053" s="179"/>
      <c r="S1053" s="179"/>
      <c r="T1053" s="179"/>
      <c r="U1053" s="179"/>
      <c r="V1053" s="179"/>
      <c r="W1053" s="192"/>
      <c r="X1053" s="192"/>
      <c r="Y1053" s="192"/>
      <c r="Z1053" s="158"/>
      <c r="AA1053" s="158"/>
      <c r="AB1053" s="158"/>
      <c r="AC1053" s="158"/>
      <c r="AD1053" s="158"/>
      <c r="AE1053" s="158"/>
      <c r="AF1053" s="158"/>
      <c r="AG1053" s="158"/>
      <c r="AH1053" s="158"/>
    </row>
    <row r="1054" spans="1:34" ht="15.75" customHeight="1">
      <c r="A1054" s="179"/>
      <c r="B1054" s="180"/>
      <c r="C1054" s="180"/>
      <c r="D1054" s="179"/>
      <c r="E1054" s="179"/>
      <c r="F1054" s="179"/>
      <c r="G1054" s="179"/>
      <c r="H1054" s="181"/>
      <c r="I1054" s="181"/>
      <c r="J1054" s="181"/>
      <c r="K1054" s="179"/>
      <c r="L1054" s="179"/>
      <c r="M1054" s="179"/>
      <c r="N1054" s="181"/>
      <c r="O1054" s="179"/>
      <c r="P1054" s="179"/>
      <c r="Q1054" s="179"/>
      <c r="R1054" s="179"/>
      <c r="S1054" s="179"/>
      <c r="T1054" s="179"/>
      <c r="U1054" s="179"/>
      <c r="V1054" s="179"/>
      <c r="W1054" s="192"/>
      <c r="X1054" s="192"/>
      <c r="Y1054" s="192"/>
      <c r="Z1054" s="158"/>
      <c r="AA1054" s="158"/>
      <c r="AB1054" s="158"/>
      <c r="AC1054" s="158"/>
      <c r="AD1054" s="158"/>
      <c r="AE1054" s="158"/>
      <c r="AF1054" s="158"/>
      <c r="AG1054" s="158"/>
      <c r="AH1054" s="158"/>
    </row>
    <row r="1055" spans="1:34" ht="15.75" customHeight="1">
      <c r="A1055" s="179"/>
      <c r="B1055" s="180"/>
      <c r="C1055" s="180"/>
      <c r="D1055" s="179"/>
      <c r="E1055" s="179"/>
      <c r="F1055" s="179"/>
      <c r="G1055" s="179"/>
      <c r="H1055" s="181"/>
      <c r="I1055" s="181"/>
      <c r="J1055" s="181"/>
      <c r="K1055" s="179"/>
      <c r="L1055" s="179"/>
      <c r="M1055" s="179"/>
      <c r="N1055" s="181"/>
      <c r="O1055" s="179"/>
      <c r="P1055" s="179"/>
      <c r="Q1055" s="179"/>
      <c r="R1055" s="179"/>
      <c r="S1055" s="179"/>
      <c r="T1055" s="179"/>
      <c r="U1055" s="179"/>
      <c r="V1055" s="179"/>
      <c r="W1055" s="192"/>
      <c r="X1055" s="192"/>
      <c r="Y1055" s="192"/>
      <c r="Z1055" s="158"/>
      <c r="AA1055" s="158"/>
      <c r="AB1055" s="158"/>
      <c r="AC1055" s="158"/>
      <c r="AD1055" s="158"/>
      <c r="AE1055" s="158"/>
      <c r="AF1055" s="158"/>
      <c r="AG1055" s="158"/>
      <c r="AH1055" s="158"/>
    </row>
    <row r="1056" spans="1:34" ht="15.75" customHeight="1">
      <c r="A1056" s="179"/>
      <c r="B1056" s="180"/>
      <c r="C1056" s="180"/>
      <c r="D1056" s="179"/>
      <c r="E1056" s="179"/>
      <c r="F1056" s="179"/>
      <c r="G1056" s="179"/>
      <c r="H1056" s="181"/>
      <c r="I1056" s="181"/>
      <c r="J1056" s="181"/>
      <c r="K1056" s="179"/>
      <c r="L1056" s="179"/>
      <c r="M1056" s="179"/>
      <c r="N1056" s="181"/>
      <c r="O1056" s="179"/>
      <c r="P1056" s="179"/>
      <c r="Q1056" s="179"/>
      <c r="R1056" s="179"/>
      <c r="S1056" s="179"/>
      <c r="T1056" s="179"/>
      <c r="U1056" s="179"/>
      <c r="V1056" s="179"/>
      <c r="W1056" s="192"/>
      <c r="X1056" s="192"/>
      <c r="Y1056" s="192"/>
      <c r="Z1056" s="158"/>
      <c r="AA1056" s="158"/>
      <c r="AB1056" s="158"/>
      <c r="AC1056" s="158"/>
      <c r="AD1056" s="158"/>
      <c r="AE1056" s="158"/>
      <c r="AF1056" s="158"/>
      <c r="AG1056" s="158"/>
      <c r="AH1056" s="158"/>
    </row>
    <row r="1057" spans="1:34" ht="15.75" customHeight="1">
      <c r="A1057" s="179"/>
      <c r="B1057" s="180"/>
      <c r="C1057" s="180"/>
      <c r="D1057" s="179"/>
      <c r="E1057" s="179"/>
      <c r="F1057" s="179"/>
      <c r="G1057" s="179"/>
      <c r="H1057" s="181"/>
      <c r="I1057" s="181"/>
      <c r="J1057" s="181"/>
      <c r="K1057" s="179"/>
      <c r="L1057" s="179"/>
      <c r="M1057" s="179"/>
      <c r="N1057" s="181"/>
      <c r="O1057" s="179"/>
      <c r="P1057" s="179"/>
      <c r="Q1057" s="179"/>
      <c r="R1057" s="179"/>
      <c r="S1057" s="179"/>
      <c r="T1057" s="179"/>
      <c r="U1057" s="179"/>
      <c r="V1057" s="179"/>
      <c r="W1057" s="192"/>
      <c r="X1057" s="192"/>
      <c r="Y1057" s="192"/>
      <c r="Z1057" s="158"/>
      <c r="AA1057" s="158"/>
      <c r="AB1057" s="158"/>
      <c r="AC1057" s="158"/>
      <c r="AD1057" s="158"/>
      <c r="AE1057" s="158"/>
      <c r="AF1057" s="158"/>
      <c r="AG1057" s="158"/>
      <c r="AH1057" s="158"/>
    </row>
    <row r="1058" spans="1:34" ht="15.75" customHeight="1">
      <c r="A1058" s="179"/>
      <c r="B1058" s="180"/>
      <c r="C1058" s="180"/>
      <c r="D1058" s="179"/>
      <c r="E1058" s="179"/>
      <c r="F1058" s="179"/>
      <c r="G1058" s="179"/>
      <c r="H1058" s="181"/>
      <c r="I1058" s="181"/>
      <c r="J1058" s="181"/>
      <c r="K1058" s="179"/>
      <c r="L1058" s="179"/>
      <c r="M1058" s="179"/>
      <c r="N1058" s="181"/>
      <c r="O1058" s="179"/>
      <c r="P1058" s="179"/>
      <c r="Q1058" s="179"/>
      <c r="R1058" s="179"/>
      <c r="S1058" s="179"/>
      <c r="T1058" s="179"/>
      <c r="U1058" s="179"/>
      <c r="V1058" s="179"/>
      <c r="W1058" s="192"/>
      <c r="X1058" s="192"/>
      <c r="Y1058" s="192"/>
      <c r="Z1058" s="158"/>
      <c r="AA1058" s="158"/>
      <c r="AB1058" s="158"/>
      <c r="AC1058" s="158"/>
      <c r="AD1058" s="158"/>
      <c r="AE1058" s="158"/>
      <c r="AF1058" s="158"/>
      <c r="AG1058" s="158"/>
      <c r="AH1058" s="158"/>
    </row>
    <row r="1059" spans="1:34" ht="15.75" customHeight="1">
      <c r="A1059" s="179"/>
      <c r="B1059" s="180"/>
      <c r="C1059" s="180"/>
      <c r="D1059" s="179"/>
      <c r="E1059" s="179"/>
      <c r="F1059" s="179"/>
      <c r="G1059" s="179"/>
      <c r="H1059" s="181"/>
      <c r="I1059" s="181"/>
      <c r="J1059" s="181"/>
      <c r="K1059" s="179"/>
      <c r="L1059" s="179"/>
      <c r="M1059" s="179"/>
      <c r="N1059" s="181"/>
      <c r="O1059" s="179"/>
      <c r="P1059" s="179"/>
      <c r="Q1059" s="179"/>
      <c r="R1059" s="179"/>
      <c r="S1059" s="179"/>
      <c r="T1059" s="179"/>
      <c r="U1059" s="179"/>
      <c r="V1059" s="179"/>
      <c r="W1059" s="192"/>
      <c r="X1059" s="192"/>
      <c r="Y1059" s="192"/>
      <c r="Z1059" s="158"/>
      <c r="AA1059" s="158"/>
      <c r="AB1059" s="158"/>
      <c r="AC1059" s="158"/>
      <c r="AD1059" s="158"/>
      <c r="AE1059" s="158"/>
      <c r="AF1059" s="158"/>
      <c r="AG1059" s="158"/>
      <c r="AH1059" s="158"/>
    </row>
    <row r="1060" spans="1:34" ht="15.75" customHeight="1">
      <c r="A1060" s="179"/>
      <c r="B1060" s="180"/>
      <c r="C1060" s="180"/>
      <c r="D1060" s="179"/>
      <c r="E1060" s="179"/>
      <c r="F1060" s="179"/>
      <c r="G1060" s="179"/>
      <c r="H1060" s="181"/>
      <c r="I1060" s="181"/>
      <c r="J1060" s="181"/>
      <c r="K1060" s="179"/>
      <c r="L1060" s="179"/>
      <c r="M1060" s="179"/>
      <c r="N1060" s="181"/>
      <c r="O1060" s="179"/>
      <c r="P1060" s="179"/>
      <c r="Q1060" s="179"/>
      <c r="R1060" s="179"/>
      <c r="S1060" s="179"/>
      <c r="T1060" s="179"/>
      <c r="U1060" s="179"/>
      <c r="V1060" s="179"/>
      <c r="W1060" s="192"/>
      <c r="X1060" s="192"/>
      <c r="Y1060" s="192"/>
      <c r="Z1060" s="158"/>
      <c r="AA1060" s="158"/>
      <c r="AB1060" s="158"/>
      <c r="AC1060" s="158"/>
      <c r="AD1060" s="158"/>
      <c r="AE1060" s="158"/>
      <c r="AF1060" s="158"/>
      <c r="AG1060" s="158"/>
      <c r="AH1060" s="158"/>
    </row>
    <row r="1061" spans="1:34" ht="15.75" customHeight="1">
      <c r="A1061" s="179"/>
      <c r="B1061" s="180"/>
      <c r="C1061" s="180"/>
      <c r="D1061" s="179"/>
      <c r="E1061" s="179"/>
      <c r="F1061" s="179"/>
      <c r="G1061" s="179"/>
      <c r="H1061" s="181"/>
      <c r="I1061" s="181"/>
      <c r="J1061" s="181"/>
      <c r="K1061" s="179"/>
      <c r="L1061" s="179"/>
      <c r="M1061" s="179"/>
      <c r="N1061" s="181"/>
      <c r="O1061" s="179"/>
      <c r="P1061" s="179"/>
      <c r="Q1061" s="179"/>
      <c r="R1061" s="179"/>
      <c r="S1061" s="179"/>
      <c r="T1061" s="179"/>
      <c r="U1061" s="179"/>
      <c r="V1061" s="179"/>
      <c r="W1061" s="192"/>
      <c r="X1061" s="192"/>
      <c r="Y1061" s="192"/>
      <c r="Z1061" s="158"/>
      <c r="AA1061" s="158"/>
      <c r="AB1061" s="158"/>
      <c r="AC1061" s="158"/>
      <c r="AD1061" s="158"/>
      <c r="AE1061" s="158"/>
      <c r="AF1061" s="158"/>
      <c r="AG1061" s="158"/>
      <c r="AH1061" s="158"/>
    </row>
    <row r="1062" spans="1:34" ht="15.75" customHeight="1">
      <c r="A1062" s="179"/>
      <c r="B1062" s="180"/>
      <c r="C1062" s="180"/>
      <c r="D1062" s="179"/>
      <c r="E1062" s="179"/>
      <c r="F1062" s="179"/>
      <c r="G1062" s="179"/>
      <c r="H1062" s="181"/>
      <c r="I1062" s="181"/>
      <c r="J1062" s="181"/>
      <c r="K1062" s="179"/>
      <c r="L1062" s="179"/>
      <c r="M1062" s="179"/>
      <c r="N1062" s="181"/>
      <c r="O1062" s="179"/>
      <c r="P1062" s="179"/>
      <c r="Q1062" s="179"/>
      <c r="R1062" s="179"/>
      <c r="S1062" s="179"/>
      <c r="T1062" s="179"/>
      <c r="U1062" s="179"/>
      <c r="V1062" s="179"/>
      <c r="W1062" s="192"/>
      <c r="X1062" s="192"/>
      <c r="Y1062" s="192"/>
      <c r="Z1062" s="158"/>
      <c r="AA1062" s="158"/>
      <c r="AB1062" s="158"/>
      <c r="AC1062" s="158"/>
      <c r="AD1062" s="158"/>
      <c r="AE1062" s="158"/>
      <c r="AF1062" s="158"/>
      <c r="AG1062" s="158"/>
      <c r="AH1062" s="158"/>
    </row>
    <row r="1063" spans="1:34" ht="15.75" customHeight="1">
      <c r="A1063" s="179"/>
      <c r="B1063" s="180"/>
      <c r="C1063" s="180"/>
      <c r="D1063" s="179"/>
      <c r="E1063" s="179"/>
      <c r="F1063" s="179"/>
      <c r="G1063" s="179"/>
      <c r="H1063" s="181"/>
      <c r="I1063" s="181"/>
      <c r="J1063" s="181"/>
      <c r="K1063" s="179"/>
      <c r="L1063" s="179"/>
      <c r="M1063" s="179"/>
      <c r="N1063" s="181"/>
      <c r="O1063" s="179"/>
      <c r="P1063" s="179"/>
      <c r="Q1063" s="179"/>
      <c r="R1063" s="179"/>
      <c r="S1063" s="179"/>
      <c r="T1063" s="179"/>
      <c r="U1063" s="179"/>
      <c r="V1063" s="179"/>
      <c r="W1063" s="192"/>
      <c r="X1063" s="192"/>
      <c r="Y1063" s="192"/>
      <c r="Z1063" s="158"/>
      <c r="AA1063" s="158"/>
      <c r="AB1063" s="158"/>
      <c r="AC1063" s="158"/>
      <c r="AD1063" s="158"/>
      <c r="AE1063" s="158"/>
      <c r="AF1063" s="158"/>
      <c r="AG1063" s="158"/>
      <c r="AH1063" s="158"/>
    </row>
    <row r="1064" spans="1:34" ht="15.75" customHeight="1">
      <c r="A1064" s="179"/>
      <c r="B1064" s="180"/>
      <c r="C1064" s="180"/>
      <c r="D1064" s="179"/>
      <c r="E1064" s="179"/>
      <c r="F1064" s="179"/>
      <c r="G1064" s="179"/>
      <c r="H1064" s="181"/>
      <c r="I1064" s="181"/>
      <c r="J1064" s="181"/>
      <c r="K1064" s="179"/>
      <c r="L1064" s="179"/>
      <c r="M1064" s="179"/>
      <c r="N1064" s="181"/>
      <c r="O1064" s="179"/>
      <c r="P1064" s="179"/>
      <c r="Q1064" s="179"/>
      <c r="R1064" s="179"/>
      <c r="S1064" s="179"/>
      <c r="T1064" s="179"/>
      <c r="U1064" s="179"/>
      <c r="V1064" s="179"/>
      <c r="W1064" s="192"/>
      <c r="X1064" s="192"/>
      <c r="Y1064" s="192"/>
      <c r="Z1064" s="158"/>
      <c r="AA1064" s="158"/>
      <c r="AB1064" s="158"/>
      <c r="AC1064" s="158"/>
      <c r="AD1064" s="158"/>
      <c r="AE1064" s="158"/>
      <c r="AF1064" s="158"/>
      <c r="AG1064" s="158"/>
      <c r="AH1064" s="158"/>
    </row>
    <row r="1065" spans="1:34" ht="15.75" customHeight="1">
      <c r="A1065" s="179"/>
      <c r="B1065" s="180"/>
      <c r="C1065" s="180"/>
      <c r="D1065" s="179"/>
      <c r="E1065" s="179"/>
      <c r="F1065" s="179"/>
      <c r="G1065" s="179"/>
      <c r="H1065" s="181"/>
      <c r="I1065" s="181"/>
      <c r="J1065" s="181"/>
      <c r="K1065" s="179"/>
      <c r="L1065" s="179"/>
      <c r="M1065" s="179"/>
      <c r="N1065" s="181"/>
      <c r="O1065" s="179"/>
      <c r="P1065" s="179"/>
      <c r="Q1065" s="179"/>
      <c r="R1065" s="179"/>
      <c r="S1065" s="179"/>
      <c r="T1065" s="179"/>
      <c r="U1065" s="179"/>
      <c r="V1065" s="179"/>
      <c r="W1065" s="192"/>
      <c r="X1065" s="192"/>
      <c r="Y1065" s="192"/>
      <c r="Z1065" s="158"/>
      <c r="AA1065" s="158"/>
      <c r="AB1065" s="158"/>
      <c r="AC1065" s="158"/>
      <c r="AD1065" s="158"/>
      <c r="AE1065" s="158"/>
      <c r="AF1065" s="158"/>
      <c r="AG1065" s="158"/>
      <c r="AH1065" s="158"/>
    </row>
    <row r="1066" spans="1:34" ht="15.75" customHeight="1">
      <c r="A1066" s="179"/>
      <c r="B1066" s="180"/>
      <c r="C1066" s="180"/>
      <c r="D1066" s="179"/>
      <c r="E1066" s="179"/>
      <c r="F1066" s="179"/>
      <c r="G1066" s="179"/>
      <c r="H1066" s="181"/>
      <c r="I1066" s="181"/>
      <c r="J1066" s="181"/>
      <c r="K1066" s="179"/>
      <c r="L1066" s="179"/>
      <c r="M1066" s="179"/>
      <c r="N1066" s="181"/>
      <c r="O1066" s="179"/>
      <c r="P1066" s="179"/>
      <c r="Q1066" s="179"/>
      <c r="R1066" s="179"/>
      <c r="S1066" s="179"/>
      <c r="T1066" s="179"/>
      <c r="U1066" s="179"/>
      <c r="V1066" s="179"/>
      <c r="W1066" s="192"/>
      <c r="X1066" s="192"/>
      <c r="Y1066" s="192"/>
      <c r="Z1066" s="158"/>
      <c r="AA1066" s="158"/>
      <c r="AB1066" s="158"/>
      <c r="AC1066" s="158"/>
      <c r="AD1066" s="158"/>
      <c r="AE1066" s="158"/>
      <c r="AF1066" s="158"/>
      <c r="AG1066" s="158"/>
      <c r="AH1066" s="158"/>
    </row>
    <row r="1067" spans="1:34" ht="15.75" customHeight="1">
      <c r="A1067" s="179"/>
      <c r="B1067" s="180"/>
      <c r="C1067" s="180"/>
      <c r="D1067" s="179"/>
      <c r="E1067" s="179"/>
      <c r="F1067" s="179"/>
      <c r="G1067" s="179"/>
      <c r="H1067" s="181"/>
      <c r="I1067" s="181"/>
      <c r="J1067" s="181"/>
      <c r="K1067" s="179"/>
      <c r="L1067" s="179"/>
      <c r="M1067" s="179"/>
      <c r="N1067" s="181"/>
      <c r="O1067" s="179"/>
      <c r="P1067" s="179"/>
      <c r="Q1067" s="179"/>
      <c r="R1067" s="179"/>
      <c r="S1067" s="179"/>
      <c r="T1067" s="179"/>
      <c r="U1067" s="179"/>
      <c r="V1067" s="179"/>
      <c r="W1067" s="192"/>
      <c r="X1067" s="192"/>
      <c r="Y1067" s="192"/>
      <c r="Z1067" s="158"/>
      <c r="AA1067" s="158"/>
      <c r="AB1067" s="158"/>
      <c r="AC1067" s="158"/>
      <c r="AD1067" s="158"/>
      <c r="AE1067" s="158"/>
      <c r="AF1067" s="158"/>
      <c r="AG1067" s="158"/>
      <c r="AH1067" s="158"/>
    </row>
    <row r="1068" spans="1:34" ht="15.75" customHeight="1">
      <c r="A1068" s="179"/>
      <c r="B1068" s="180"/>
      <c r="C1068" s="180"/>
      <c r="D1068" s="179"/>
      <c r="E1068" s="179"/>
      <c r="F1068" s="179"/>
      <c r="G1068" s="179"/>
      <c r="H1068" s="181"/>
      <c r="I1068" s="181"/>
      <c r="J1068" s="181"/>
      <c r="K1068" s="179"/>
      <c r="L1068" s="179"/>
      <c r="M1068" s="179"/>
      <c r="N1068" s="181"/>
      <c r="O1068" s="179"/>
      <c r="P1068" s="179"/>
      <c r="Q1068" s="179"/>
      <c r="R1068" s="179"/>
      <c r="S1068" s="179"/>
      <c r="T1068" s="179"/>
      <c r="U1068" s="179"/>
      <c r="V1068" s="179"/>
      <c r="W1068" s="192"/>
      <c r="X1068" s="192"/>
      <c r="Y1068" s="192"/>
      <c r="Z1068" s="158"/>
      <c r="AA1068" s="158"/>
      <c r="AB1068" s="158"/>
      <c r="AC1068" s="158"/>
      <c r="AD1068" s="158"/>
      <c r="AE1068" s="158"/>
      <c r="AF1068" s="158"/>
      <c r="AG1068" s="158"/>
      <c r="AH1068" s="158"/>
    </row>
    <row r="1069" spans="1:34" ht="15.75" customHeight="1">
      <c r="A1069" s="179"/>
      <c r="B1069" s="180"/>
      <c r="C1069" s="180"/>
      <c r="D1069" s="179"/>
      <c r="E1069" s="179"/>
      <c r="F1069" s="179"/>
      <c r="G1069" s="179"/>
      <c r="H1069" s="181"/>
      <c r="I1069" s="181"/>
      <c r="J1069" s="181"/>
      <c r="K1069" s="179"/>
      <c r="L1069" s="179"/>
      <c r="M1069" s="179"/>
      <c r="N1069" s="181"/>
      <c r="O1069" s="179"/>
      <c r="P1069" s="179"/>
      <c r="Q1069" s="179"/>
      <c r="R1069" s="179"/>
      <c r="S1069" s="179"/>
      <c r="T1069" s="179"/>
      <c r="U1069" s="179"/>
      <c r="V1069" s="179"/>
      <c r="W1069" s="192"/>
      <c r="X1069" s="192"/>
      <c r="Y1069" s="192"/>
      <c r="Z1069" s="158"/>
      <c r="AA1069" s="158"/>
      <c r="AB1069" s="158"/>
      <c r="AC1069" s="158"/>
      <c r="AD1069" s="158"/>
      <c r="AE1069" s="158"/>
      <c r="AF1069" s="158"/>
      <c r="AG1069" s="158"/>
      <c r="AH1069" s="158"/>
    </row>
    <row r="1070" spans="1:34" ht="15.75" customHeight="1">
      <c r="A1070" s="179"/>
      <c r="B1070" s="180"/>
      <c r="C1070" s="180"/>
      <c r="D1070" s="179"/>
      <c r="E1070" s="179"/>
      <c r="F1070" s="179"/>
      <c r="G1070" s="179"/>
      <c r="H1070" s="181"/>
      <c r="I1070" s="181"/>
      <c r="J1070" s="181"/>
      <c r="K1070" s="179"/>
      <c r="L1070" s="179"/>
      <c r="M1070" s="179"/>
      <c r="N1070" s="181"/>
      <c r="O1070" s="179"/>
      <c r="P1070" s="179"/>
      <c r="Q1070" s="179"/>
      <c r="R1070" s="179"/>
      <c r="S1070" s="179"/>
      <c r="T1070" s="179"/>
      <c r="U1070" s="179"/>
      <c r="V1070" s="179"/>
      <c r="W1070" s="192"/>
      <c r="X1070" s="192"/>
      <c r="Y1070" s="192"/>
      <c r="Z1070" s="158"/>
      <c r="AA1070" s="158"/>
      <c r="AB1070" s="158"/>
      <c r="AC1070" s="158"/>
      <c r="AD1070" s="158"/>
      <c r="AE1070" s="158"/>
      <c r="AF1070" s="158"/>
      <c r="AG1070" s="158"/>
      <c r="AH1070" s="158"/>
    </row>
    <row r="1071" spans="1:34" ht="15.75" customHeight="1">
      <c r="A1071" s="179"/>
      <c r="B1071" s="180"/>
      <c r="C1071" s="180"/>
      <c r="D1071" s="179"/>
      <c r="E1071" s="179"/>
      <c r="F1071" s="179"/>
      <c r="G1071" s="179"/>
      <c r="H1071" s="181"/>
      <c r="I1071" s="181"/>
      <c r="J1071" s="181"/>
      <c r="K1071" s="179"/>
      <c r="L1071" s="179"/>
      <c r="M1071" s="179"/>
      <c r="N1071" s="181"/>
      <c r="O1071" s="179"/>
      <c r="P1071" s="179"/>
      <c r="Q1071" s="179"/>
      <c r="R1071" s="179"/>
      <c r="S1071" s="179"/>
      <c r="T1071" s="179"/>
      <c r="U1071" s="179"/>
      <c r="V1071" s="179"/>
      <c r="W1071" s="192"/>
      <c r="X1071" s="192"/>
      <c r="Y1071" s="192"/>
      <c r="Z1071" s="158"/>
      <c r="AA1071" s="158"/>
      <c r="AB1071" s="158"/>
      <c r="AC1071" s="158"/>
      <c r="AD1071" s="158"/>
      <c r="AE1071" s="158"/>
      <c r="AF1071" s="158"/>
      <c r="AG1071" s="158"/>
      <c r="AH1071" s="158"/>
    </row>
    <row r="1072" spans="1:34" ht="15.75" customHeight="1">
      <c r="A1072" s="179"/>
      <c r="B1072" s="180"/>
      <c r="C1072" s="180"/>
      <c r="D1072" s="179"/>
      <c r="E1072" s="179"/>
      <c r="F1072" s="179"/>
      <c r="G1072" s="179"/>
      <c r="H1072" s="181"/>
      <c r="I1072" s="181"/>
      <c r="J1072" s="181"/>
      <c r="K1072" s="179"/>
      <c r="L1072" s="179"/>
      <c r="M1072" s="179"/>
      <c r="N1072" s="181"/>
      <c r="O1072" s="179"/>
      <c r="P1072" s="179"/>
      <c r="Q1072" s="179"/>
      <c r="R1072" s="179"/>
      <c r="S1072" s="179"/>
      <c r="T1072" s="179"/>
      <c r="U1072" s="179"/>
      <c r="V1072" s="179"/>
      <c r="W1072" s="192"/>
      <c r="X1072" s="192"/>
      <c r="Y1072" s="192"/>
      <c r="Z1072" s="158"/>
      <c r="AA1072" s="158"/>
      <c r="AB1072" s="158"/>
      <c r="AC1072" s="158"/>
      <c r="AD1072" s="158"/>
      <c r="AE1072" s="158"/>
      <c r="AF1072" s="158"/>
      <c r="AG1072" s="158"/>
      <c r="AH1072" s="158"/>
    </row>
    <row r="1073" spans="1:34" ht="15.75" customHeight="1">
      <c r="A1073" s="179"/>
      <c r="B1073" s="180"/>
      <c r="C1073" s="180"/>
      <c r="D1073" s="179"/>
      <c r="E1073" s="179"/>
      <c r="F1073" s="179"/>
      <c r="G1073" s="179"/>
      <c r="H1073" s="181"/>
      <c r="I1073" s="181"/>
      <c r="J1073" s="181"/>
      <c r="K1073" s="179"/>
      <c r="L1073" s="179"/>
      <c r="M1073" s="179"/>
      <c r="N1073" s="181"/>
      <c r="O1073" s="179"/>
      <c r="P1073" s="179"/>
      <c r="Q1073" s="179"/>
      <c r="R1073" s="179"/>
      <c r="S1073" s="179"/>
      <c r="T1073" s="179"/>
      <c r="U1073" s="179"/>
      <c r="V1073" s="179"/>
      <c r="W1073" s="192"/>
      <c r="X1073" s="192"/>
      <c r="Y1073" s="192"/>
      <c r="Z1073" s="158"/>
      <c r="AA1073" s="158"/>
      <c r="AB1073" s="158"/>
      <c r="AC1073" s="158"/>
      <c r="AD1073" s="158"/>
      <c r="AE1073" s="158"/>
      <c r="AF1073" s="158"/>
      <c r="AG1073" s="158"/>
      <c r="AH1073" s="158"/>
    </row>
    <row r="1074" spans="1:34" ht="15.75" customHeight="1">
      <c r="A1074" s="179"/>
      <c r="B1074" s="180"/>
      <c r="C1074" s="180"/>
      <c r="D1074" s="179"/>
      <c r="E1074" s="179"/>
      <c r="F1074" s="179"/>
      <c r="G1074" s="179"/>
      <c r="H1074" s="181"/>
      <c r="I1074" s="181"/>
      <c r="J1074" s="181"/>
      <c r="K1074" s="179"/>
      <c r="L1074" s="179"/>
      <c r="M1074" s="179"/>
      <c r="N1074" s="181"/>
      <c r="O1074" s="179"/>
      <c r="P1074" s="179"/>
      <c r="Q1074" s="179"/>
      <c r="R1074" s="179"/>
      <c r="S1074" s="179"/>
      <c r="T1074" s="179"/>
      <c r="U1074" s="179"/>
      <c r="V1074" s="179"/>
      <c r="W1074" s="192"/>
      <c r="X1074" s="192"/>
      <c r="Y1074" s="192"/>
      <c r="Z1074" s="158"/>
      <c r="AA1074" s="158"/>
      <c r="AB1074" s="158"/>
      <c r="AC1074" s="158"/>
      <c r="AD1074" s="158"/>
      <c r="AE1074" s="158"/>
      <c r="AF1074" s="158"/>
      <c r="AG1074" s="158"/>
      <c r="AH1074" s="158"/>
    </row>
    <row r="1075" spans="1:34" ht="15.75" customHeight="1">
      <c r="A1075" s="179"/>
      <c r="B1075" s="180"/>
      <c r="C1075" s="180"/>
      <c r="D1075" s="179"/>
      <c r="E1075" s="179"/>
      <c r="F1075" s="179"/>
      <c r="G1075" s="179"/>
      <c r="H1075" s="181"/>
      <c r="I1075" s="181"/>
      <c r="J1075" s="181"/>
      <c r="K1075" s="179"/>
      <c r="L1075" s="179"/>
      <c r="M1075" s="179"/>
      <c r="N1075" s="181"/>
      <c r="O1075" s="179"/>
      <c r="P1075" s="179"/>
      <c r="Q1075" s="179"/>
      <c r="R1075" s="179"/>
      <c r="S1075" s="179"/>
      <c r="T1075" s="179"/>
      <c r="U1075" s="179"/>
      <c r="V1075" s="179"/>
      <c r="W1075" s="192"/>
      <c r="X1075" s="192"/>
      <c r="Y1075" s="192"/>
      <c r="Z1075" s="158"/>
      <c r="AA1075" s="158"/>
      <c r="AB1075" s="158"/>
      <c r="AC1075" s="158"/>
      <c r="AD1075" s="158"/>
      <c r="AE1075" s="158"/>
      <c r="AF1075" s="158"/>
      <c r="AG1075" s="158"/>
      <c r="AH1075" s="158"/>
    </row>
    <row r="1076" spans="1:34" ht="15.75" customHeight="1">
      <c r="A1076" s="179"/>
      <c r="B1076" s="180"/>
      <c r="C1076" s="180"/>
      <c r="D1076" s="179"/>
      <c r="E1076" s="179"/>
      <c r="F1076" s="179"/>
      <c r="G1076" s="179"/>
      <c r="H1076" s="181"/>
      <c r="I1076" s="181"/>
      <c r="J1076" s="181"/>
      <c r="K1076" s="179"/>
      <c r="L1076" s="179"/>
      <c r="M1076" s="179"/>
      <c r="N1076" s="181"/>
      <c r="O1076" s="179"/>
      <c r="P1076" s="179"/>
      <c r="Q1076" s="179"/>
      <c r="R1076" s="179"/>
      <c r="S1076" s="179"/>
      <c r="T1076" s="179"/>
      <c r="U1076" s="179"/>
      <c r="V1076" s="179"/>
      <c r="W1076" s="192"/>
      <c r="X1076" s="192"/>
      <c r="Y1076" s="192"/>
      <c r="Z1076" s="158"/>
      <c r="AA1076" s="158"/>
      <c r="AB1076" s="158"/>
      <c r="AC1076" s="158"/>
      <c r="AD1076" s="158"/>
      <c r="AE1076" s="158"/>
      <c r="AF1076" s="158"/>
      <c r="AG1076" s="158"/>
      <c r="AH1076" s="158"/>
    </row>
    <row r="1077" spans="1:34" ht="15.75" customHeight="1">
      <c r="A1077" s="179"/>
      <c r="B1077" s="180"/>
      <c r="C1077" s="180"/>
      <c r="D1077" s="179"/>
      <c r="E1077" s="179"/>
      <c r="F1077" s="179"/>
      <c r="G1077" s="179"/>
      <c r="H1077" s="181"/>
      <c r="I1077" s="181"/>
      <c r="J1077" s="181"/>
      <c r="K1077" s="179"/>
      <c r="L1077" s="179"/>
      <c r="M1077" s="179"/>
      <c r="N1077" s="181"/>
      <c r="O1077" s="179"/>
      <c r="P1077" s="179"/>
      <c r="Q1077" s="179"/>
      <c r="R1077" s="179"/>
      <c r="S1077" s="179"/>
      <c r="T1077" s="179"/>
      <c r="U1077" s="179"/>
      <c r="V1077" s="179"/>
      <c r="W1077" s="192"/>
      <c r="X1077" s="192"/>
      <c r="Y1077" s="192"/>
      <c r="Z1077" s="158"/>
      <c r="AA1077" s="158"/>
      <c r="AB1077" s="158"/>
      <c r="AC1077" s="158"/>
      <c r="AD1077" s="158"/>
      <c r="AE1077" s="158"/>
      <c r="AF1077" s="158"/>
      <c r="AG1077" s="158"/>
      <c r="AH1077" s="158"/>
    </row>
    <row r="1078" spans="1:34" ht="15.75" customHeight="1">
      <c r="A1078" s="179"/>
      <c r="B1078" s="180"/>
      <c r="C1078" s="180"/>
      <c r="D1078" s="179"/>
      <c r="E1078" s="179"/>
      <c r="F1078" s="179"/>
      <c r="G1078" s="179"/>
      <c r="H1078" s="181"/>
      <c r="I1078" s="181"/>
      <c r="J1078" s="181"/>
      <c r="K1078" s="179"/>
      <c r="L1078" s="179"/>
      <c r="M1078" s="179"/>
      <c r="N1078" s="181"/>
      <c r="O1078" s="179"/>
      <c r="P1078" s="179"/>
      <c r="Q1078" s="179"/>
      <c r="R1078" s="179"/>
      <c r="S1078" s="179"/>
      <c r="T1078" s="179"/>
      <c r="U1078" s="179"/>
      <c r="V1078" s="179"/>
      <c r="W1078" s="192"/>
      <c r="X1078" s="192"/>
      <c r="Y1078" s="192"/>
      <c r="Z1078" s="158"/>
      <c r="AA1078" s="158"/>
      <c r="AB1078" s="158"/>
      <c r="AC1078" s="158"/>
      <c r="AD1078" s="158"/>
      <c r="AE1078" s="158"/>
      <c r="AF1078" s="158"/>
      <c r="AG1078" s="158"/>
      <c r="AH1078" s="158"/>
    </row>
    <row r="1079" spans="1:34" ht="15.75" customHeight="1">
      <c r="A1079" s="179"/>
      <c r="B1079" s="180"/>
      <c r="C1079" s="180"/>
      <c r="D1079" s="179"/>
      <c r="E1079" s="179"/>
      <c r="F1079" s="179"/>
      <c r="G1079" s="179"/>
      <c r="H1079" s="181"/>
      <c r="I1079" s="181"/>
      <c r="J1079" s="181"/>
      <c r="K1079" s="179"/>
      <c r="L1079" s="179"/>
      <c r="M1079" s="179"/>
      <c r="N1079" s="181"/>
      <c r="O1079" s="179"/>
      <c r="P1079" s="179"/>
      <c r="Q1079" s="179"/>
      <c r="R1079" s="179"/>
      <c r="S1079" s="179"/>
      <c r="T1079" s="179"/>
      <c r="U1079" s="179"/>
      <c r="V1079" s="179"/>
      <c r="W1079" s="192"/>
      <c r="X1079" s="192"/>
      <c r="Y1079" s="192"/>
      <c r="Z1079" s="158"/>
      <c r="AA1079" s="158"/>
      <c r="AB1079" s="158"/>
      <c r="AC1079" s="158"/>
      <c r="AD1079" s="158"/>
      <c r="AE1079" s="158"/>
      <c r="AF1079" s="158"/>
      <c r="AG1079" s="158"/>
      <c r="AH1079" s="158"/>
    </row>
    <row r="1080" spans="1:34" ht="15.75" customHeight="1">
      <c r="A1080" s="179"/>
      <c r="B1080" s="180"/>
      <c r="C1080" s="180"/>
      <c r="D1080" s="179"/>
      <c r="E1080" s="179"/>
      <c r="F1080" s="179"/>
      <c r="G1080" s="179"/>
      <c r="H1080" s="181"/>
      <c r="I1080" s="181"/>
      <c r="J1080" s="181"/>
      <c r="K1080" s="179"/>
      <c r="L1080" s="179"/>
      <c r="M1080" s="179"/>
      <c r="N1080" s="181"/>
      <c r="O1080" s="179"/>
      <c r="P1080" s="179"/>
      <c r="Q1080" s="179"/>
      <c r="R1080" s="179"/>
      <c r="S1080" s="179"/>
      <c r="T1080" s="179"/>
      <c r="U1080" s="179"/>
      <c r="V1080" s="179"/>
      <c r="W1080" s="192"/>
      <c r="X1080" s="192"/>
      <c r="Y1080" s="192"/>
      <c r="Z1080" s="158"/>
      <c r="AA1080" s="158"/>
      <c r="AB1080" s="158"/>
      <c r="AC1080" s="158"/>
      <c r="AD1080" s="158"/>
      <c r="AE1080" s="158"/>
      <c r="AF1080" s="158"/>
      <c r="AG1080" s="158"/>
      <c r="AH1080" s="158"/>
    </row>
    <row r="1081" spans="1:34" ht="15.75" customHeight="1">
      <c r="A1081" s="179"/>
      <c r="B1081" s="180"/>
      <c r="C1081" s="180"/>
      <c r="D1081" s="179"/>
      <c r="E1081" s="179"/>
      <c r="F1081" s="179"/>
      <c r="G1081" s="179"/>
      <c r="H1081" s="181"/>
      <c r="I1081" s="181"/>
      <c r="J1081" s="181"/>
      <c r="K1081" s="179"/>
      <c r="L1081" s="179"/>
      <c r="M1081" s="179"/>
      <c r="N1081" s="181"/>
      <c r="O1081" s="179"/>
      <c r="P1081" s="179"/>
      <c r="Q1081" s="179"/>
      <c r="R1081" s="179"/>
      <c r="S1081" s="179"/>
      <c r="T1081" s="179"/>
      <c r="U1081" s="179"/>
      <c r="V1081" s="179"/>
      <c r="W1081" s="192"/>
      <c r="X1081" s="192"/>
      <c r="Y1081" s="192"/>
      <c r="Z1081" s="158"/>
      <c r="AA1081" s="158"/>
      <c r="AB1081" s="158"/>
      <c r="AC1081" s="158"/>
      <c r="AD1081" s="158"/>
      <c r="AE1081" s="158"/>
      <c r="AF1081" s="158"/>
      <c r="AG1081" s="158"/>
      <c r="AH1081" s="158"/>
    </row>
    <row r="1082" spans="1:34" ht="15.75" customHeight="1">
      <c r="A1082" s="179"/>
      <c r="B1082" s="180"/>
      <c r="C1082" s="180"/>
      <c r="D1082" s="179"/>
      <c r="E1082" s="179"/>
      <c r="F1082" s="179"/>
      <c r="G1082" s="179"/>
      <c r="H1082" s="181"/>
      <c r="I1082" s="181"/>
      <c r="J1082" s="181"/>
      <c r="K1082" s="179"/>
      <c r="L1082" s="179"/>
      <c r="M1082" s="179"/>
      <c r="N1082" s="181"/>
      <c r="O1082" s="179"/>
      <c r="P1082" s="179"/>
      <c r="Q1082" s="179"/>
      <c r="R1082" s="179"/>
      <c r="S1082" s="179"/>
      <c r="T1082" s="179"/>
      <c r="U1082" s="179"/>
      <c r="V1082" s="179"/>
      <c r="W1082" s="192"/>
      <c r="X1082" s="192"/>
      <c r="Y1082" s="192"/>
      <c r="Z1082" s="158"/>
      <c r="AA1082" s="158"/>
      <c r="AB1082" s="158"/>
      <c r="AC1082" s="158"/>
      <c r="AD1082" s="158"/>
      <c r="AE1082" s="158"/>
      <c r="AF1082" s="158"/>
      <c r="AG1082" s="158"/>
      <c r="AH1082" s="158"/>
    </row>
    <row r="1083" spans="1:34" ht="15.75" customHeight="1">
      <c r="A1083" s="179"/>
      <c r="B1083" s="180"/>
      <c r="C1083" s="180"/>
      <c r="D1083" s="179"/>
      <c r="E1083" s="179"/>
      <c r="F1083" s="179"/>
      <c r="G1083" s="179"/>
      <c r="H1083" s="181"/>
      <c r="I1083" s="181"/>
      <c r="J1083" s="181"/>
      <c r="K1083" s="179"/>
      <c r="L1083" s="179"/>
      <c r="M1083" s="179"/>
      <c r="N1083" s="181"/>
      <c r="O1083" s="179"/>
      <c r="P1083" s="179"/>
      <c r="Q1083" s="179"/>
      <c r="R1083" s="179"/>
      <c r="S1083" s="179"/>
      <c r="T1083" s="179"/>
      <c r="U1083" s="179"/>
      <c r="V1083" s="179"/>
      <c r="W1083" s="192"/>
      <c r="X1083" s="192"/>
      <c r="Y1083" s="192"/>
      <c r="Z1083" s="158"/>
      <c r="AA1083" s="158"/>
      <c r="AB1083" s="158"/>
      <c r="AC1083" s="158"/>
      <c r="AD1083" s="158"/>
      <c r="AE1083" s="158"/>
      <c r="AF1083" s="158"/>
      <c r="AG1083" s="158"/>
      <c r="AH1083" s="158"/>
    </row>
    <row r="1084" spans="1:34" ht="15.75" customHeight="1">
      <c r="A1084" s="179"/>
      <c r="B1084" s="180"/>
      <c r="C1084" s="180"/>
      <c r="D1084" s="179"/>
      <c r="E1084" s="179"/>
      <c r="F1084" s="179"/>
      <c r="G1084" s="179"/>
      <c r="H1084" s="181"/>
      <c r="I1084" s="181"/>
      <c r="J1084" s="181"/>
      <c r="K1084" s="179"/>
      <c r="L1084" s="179"/>
      <c r="M1084" s="179"/>
      <c r="N1084" s="181"/>
      <c r="O1084" s="179"/>
      <c r="P1084" s="179"/>
      <c r="Q1084" s="179"/>
      <c r="R1084" s="179"/>
      <c r="S1084" s="179"/>
      <c r="T1084" s="179"/>
      <c r="U1084" s="179"/>
      <c r="V1084" s="179"/>
      <c r="W1084" s="192"/>
      <c r="X1084" s="192"/>
      <c r="Y1084" s="192"/>
      <c r="Z1084" s="158"/>
      <c r="AA1084" s="158"/>
      <c r="AB1084" s="158"/>
      <c r="AC1084" s="158"/>
      <c r="AD1084" s="158"/>
      <c r="AE1084" s="158"/>
      <c r="AF1084" s="158"/>
      <c r="AG1084" s="158"/>
      <c r="AH1084" s="158"/>
    </row>
    <row r="1085" spans="1:34" ht="15.75" customHeight="1">
      <c r="A1085" s="179"/>
      <c r="B1085" s="180"/>
      <c r="C1085" s="180"/>
      <c r="D1085" s="179"/>
      <c r="E1085" s="179"/>
      <c r="F1085" s="179"/>
      <c r="G1085" s="179"/>
      <c r="H1085" s="181"/>
      <c r="I1085" s="181"/>
      <c r="J1085" s="181"/>
      <c r="K1085" s="179"/>
      <c r="L1085" s="179"/>
      <c r="M1085" s="179"/>
      <c r="N1085" s="181"/>
      <c r="O1085" s="179"/>
      <c r="P1085" s="179"/>
      <c r="Q1085" s="179"/>
      <c r="R1085" s="179"/>
      <c r="S1085" s="179"/>
      <c r="T1085" s="179"/>
      <c r="U1085" s="179"/>
      <c r="V1085" s="179"/>
      <c r="W1085" s="192"/>
      <c r="X1085" s="192"/>
      <c r="Y1085" s="192"/>
      <c r="Z1085" s="158"/>
      <c r="AA1085" s="158"/>
      <c r="AB1085" s="158"/>
      <c r="AC1085" s="158"/>
      <c r="AD1085" s="158"/>
      <c r="AE1085" s="158"/>
      <c r="AF1085" s="158"/>
      <c r="AG1085" s="158"/>
      <c r="AH1085" s="158"/>
    </row>
    <row r="1086" spans="1:34" ht="15.75" customHeight="1">
      <c r="A1086" s="179"/>
      <c r="B1086" s="180"/>
      <c r="C1086" s="180"/>
      <c r="D1086" s="179"/>
      <c r="E1086" s="179"/>
      <c r="F1086" s="179"/>
      <c r="G1086" s="179"/>
      <c r="H1086" s="181"/>
      <c r="I1086" s="181"/>
      <c r="J1086" s="181"/>
      <c r="K1086" s="179"/>
      <c r="L1086" s="179"/>
      <c r="M1086" s="179"/>
      <c r="N1086" s="181"/>
      <c r="O1086" s="179"/>
      <c r="P1086" s="179"/>
      <c r="Q1086" s="179"/>
      <c r="R1086" s="179"/>
      <c r="S1086" s="179"/>
      <c r="T1086" s="179"/>
      <c r="U1086" s="179"/>
      <c r="V1086" s="179"/>
      <c r="W1086" s="192"/>
      <c r="X1086" s="192"/>
      <c r="Y1086" s="192"/>
      <c r="Z1086" s="158"/>
      <c r="AA1086" s="158"/>
      <c r="AB1086" s="158"/>
      <c r="AC1086" s="158"/>
      <c r="AD1086" s="158"/>
      <c r="AE1086" s="158"/>
      <c r="AF1086" s="158"/>
      <c r="AG1086" s="158"/>
      <c r="AH1086" s="158"/>
    </row>
    <row r="1087" spans="1:34" ht="15.75" customHeight="1">
      <c r="A1087" s="179"/>
      <c r="B1087" s="180"/>
      <c r="C1087" s="180"/>
      <c r="D1087" s="179"/>
      <c r="E1087" s="179"/>
      <c r="F1087" s="179"/>
      <c r="G1087" s="179"/>
      <c r="H1087" s="181"/>
      <c r="I1087" s="181"/>
      <c r="J1087" s="181"/>
      <c r="K1087" s="179"/>
      <c r="L1087" s="179"/>
      <c r="M1087" s="179"/>
      <c r="N1087" s="181"/>
      <c r="O1087" s="179"/>
      <c r="P1087" s="179"/>
      <c r="Q1087" s="179"/>
      <c r="R1087" s="179"/>
      <c r="S1087" s="179"/>
      <c r="T1087" s="179"/>
      <c r="U1087" s="179"/>
      <c r="V1087" s="179"/>
      <c r="W1087" s="192"/>
      <c r="X1087" s="192"/>
      <c r="Y1087" s="192"/>
      <c r="Z1087" s="158"/>
      <c r="AA1087" s="158"/>
      <c r="AB1087" s="158"/>
      <c r="AC1087" s="158"/>
      <c r="AD1087" s="158"/>
      <c r="AE1087" s="158"/>
      <c r="AF1087" s="158"/>
      <c r="AG1087" s="158"/>
      <c r="AH1087" s="158"/>
    </row>
    <row r="1088" spans="1:34" ht="15.75" customHeight="1">
      <c r="A1088" s="179"/>
      <c r="B1088" s="180"/>
      <c r="C1088" s="180"/>
      <c r="D1088" s="179"/>
      <c r="E1088" s="179"/>
      <c r="F1088" s="179"/>
      <c r="G1088" s="179"/>
      <c r="H1088" s="181"/>
      <c r="I1088" s="181"/>
      <c r="J1088" s="181"/>
      <c r="K1088" s="179"/>
      <c r="L1088" s="179"/>
      <c r="M1088" s="179"/>
      <c r="N1088" s="181"/>
      <c r="O1088" s="179"/>
      <c r="P1088" s="179"/>
      <c r="Q1088" s="179"/>
      <c r="R1088" s="179"/>
      <c r="S1088" s="179"/>
      <c r="T1088" s="179"/>
      <c r="U1088" s="179"/>
      <c r="V1088" s="179"/>
      <c r="W1088" s="192"/>
      <c r="X1088" s="192"/>
      <c r="Y1088" s="192"/>
      <c r="Z1088" s="158"/>
      <c r="AA1088" s="158"/>
      <c r="AB1088" s="158"/>
      <c r="AC1088" s="158"/>
      <c r="AD1088" s="158"/>
      <c r="AE1088" s="158"/>
      <c r="AF1088" s="158"/>
      <c r="AG1088" s="158"/>
      <c r="AH1088" s="158"/>
    </row>
    <row r="1089" spans="1:34" ht="15.75" customHeight="1">
      <c r="A1089" s="179"/>
      <c r="B1089" s="180"/>
      <c r="C1089" s="180"/>
      <c r="D1089" s="179"/>
      <c r="E1089" s="179"/>
      <c r="F1089" s="179"/>
      <c r="G1089" s="179"/>
      <c r="H1089" s="181"/>
      <c r="I1089" s="181"/>
      <c r="J1089" s="181"/>
      <c r="K1089" s="179"/>
      <c r="L1089" s="179"/>
      <c r="M1089" s="179"/>
      <c r="N1089" s="181"/>
      <c r="O1089" s="179"/>
      <c r="P1089" s="179"/>
      <c r="Q1089" s="179"/>
      <c r="R1089" s="179"/>
      <c r="S1089" s="179"/>
      <c r="T1089" s="179"/>
      <c r="U1089" s="179"/>
      <c r="V1089" s="179"/>
      <c r="W1089" s="192"/>
      <c r="X1089" s="192"/>
      <c r="Y1089" s="192"/>
      <c r="Z1089" s="158"/>
      <c r="AA1089" s="158"/>
      <c r="AB1089" s="158"/>
      <c r="AC1089" s="158"/>
      <c r="AD1089" s="158"/>
      <c r="AE1089" s="158"/>
      <c r="AF1089" s="158"/>
      <c r="AG1089" s="158"/>
      <c r="AH1089" s="158"/>
    </row>
    <row r="1090" spans="1:34" ht="15.75" customHeight="1">
      <c r="A1090" s="179"/>
      <c r="B1090" s="180"/>
      <c r="C1090" s="180"/>
      <c r="D1090" s="179"/>
      <c r="E1090" s="179"/>
      <c r="F1090" s="179"/>
      <c r="G1090" s="179"/>
      <c r="H1090" s="181"/>
      <c r="I1090" s="181"/>
      <c r="J1090" s="181"/>
      <c r="K1090" s="179"/>
      <c r="L1090" s="179"/>
      <c r="M1090" s="179"/>
      <c r="N1090" s="181"/>
      <c r="O1090" s="179"/>
      <c r="P1090" s="179"/>
      <c r="Q1090" s="179"/>
      <c r="R1090" s="179"/>
      <c r="S1090" s="179"/>
      <c r="T1090" s="179"/>
      <c r="U1090" s="179"/>
      <c r="V1090" s="179"/>
      <c r="W1090" s="192"/>
      <c r="X1090" s="192"/>
      <c r="Y1090" s="192"/>
      <c r="Z1090" s="158"/>
      <c r="AA1090" s="158"/>
      <c r="AB1090" s="158"/>
      <c r="AC1090" s="158"/>
      <c r="AD1090" s="158"/>
      <c r="AE1090" s="158"/>
      <c r="AF1090" s="158"/>
      <c r="AG1090" s="158"/>
      <c r="AH1090" s="158"/>
    </row>
    <row r="1091" spans="1:34" ht="15.75" customHeight="1">
      <c r="A1091" s="179"/>
      <c r="B1091" s="180"/>
      <c r="C1091" s="180"/>
      <c r="D1091" s="179"/>
      <c r="E1091" s="179"/>
      <c r="F1091" s="179"/>
      <c r="G1091" s="179"/>
      <c r="H1091" s="181"/>
      <c r="I1091" s="181"/>
      <c r="J1091" s="181"/>
      <c r="K1091" s="179"/>
      <c r="L1091" s="179"/>
      <c r="M1091" s="179"/>
      <c r="N1091" s="181"/>
      <c r="O1091" s="179"/>
      <c r="P1091" s="179"/>
      <c r="Q1091" s="179"/>
      <c r="R1091" s="179"/>
      <c r="S1091" s="179"/>
      <c r="T1091" s="179"/>
      <c r="U1091" s="179"/>
      <c r="V1091" s="179"/>
      <c r="W1091" s="192"/>
      <c r="X1091" s="192"/>
      <c r="Y1091" s="192"/>
      <c r="Z1091" s="158"/>
      <c r="AA1091" s="158"/>
      <c r="AB1091" s="158"/>
      <c r="AC1091" s="158"/>
      <c r="AD1091" s="158"/>
      <c r="AE1091" s="158"/>
      <c r="AF1091" s="158"/>
      <c r="AG1091" s="158"/>
      <c r="AH1091" s="158"/>
    </row>
    <row r="1092" spans="1:34" ht="15.75" customHeight="1">
      <c r="A1092" s="179"/>
      <c r="B1092" s="180"/>
      <c r="C1092" s="180"/>
      <c r="D1092" s="179"/>
      <c r="E1092" s="179"/>
      <c r="F1092" s="179"/>
      <c r="G1092" s="179"/>
      <c r="H1092" s="181"/>
      <c r="I1092" s="181"/>
      <c r="J1092" s="181"/>
      <c r="K1092" s="179"/>
      <c r="L1092" s="179"/>
      <c r="M1092" s="179"/>
      <c r="N1092" s="181"/>
      <c r="O1092" s="179"/>
      <c r="P1092" s="179"/>
      <c r="Q1092" s="179"/>
      <c r="R1092" s="179"/>
      <c r="S1092" s="179"/>
      <c r="T1092" s="179"/>
      <c r="U1092" s="179"/>
      <c r="V1092" s="179"/>
      <c r="W1092" s="192"/>
      <c r="X1092" s="192"/>
      <c r="Y1092" s="192"/>
      <c r="Z1092" s="158"/>
      <c r="AA1092" s="158"/>
      <c r="AB1092" s="158"/>
      <c r="AC1092" s="158"/>
      <c r="AD1092" s="158"/>
      <c r="AE1092" s="158"/>
      <c r="AF1092" s="158"/>
      <c r="AG1092" s="158"/>
      <c r="AH1092" s="158"/>
    </row>
    <row r="1093" spans="1:34" ht="15.75" customHeight="1">
      <c r="A1093" s="179"/>
      <c r="B1093" s="180"/>
      <c r="C1093" s="180"/>
      <c r="D1093" s="179"/>
      <c r="E1093" s="179"/>
      <c r="F1093" s="179"/>
      <c r="G1093" s="179"/>
      <c r="H1093" s="181"/>
      <c r="I1093" s="181"/>
      <c r="J1093" s="181"/>
      <c r="K1093" s="179"/>
      <c r="L1093" s="179"/>
      <c r="M1093" s="179"/>
      <c r="N1093" s="181"/>
      <c r="O1093" s="179"/>
      <c r="P1093" s="179"/>
      <c r="Q1093" s="179"/>
      <c r="R1093" s="179"/>
      <c r="S1093" s="179"/>
      <c r="T1093" s="179"/>
      <c r="U1093" s="179"/>
      <c r="V1093" s="179"/>
      <c r="W1093" s="192"/>
      <c r="X1093" s="192"/>
      <c r="Y1093" s="192"/>
      <c r="Z1093" s="158"/>
      <c r="AA1093" s="158"/>
      <c r="AB1093" s="158"/>
      <c r="AC1093" s="158"/>
      <c r="AD1093" s="158"/>
      <c r="AE1093" s="158"/>
      <c r="AF1093" s="158"/>
      <c r="AG1093" s="158"/>
      <c r="AH1093" s="158"/>
    </row>
    <row r="1094" spans="1:34" ht="15.75" customHeight="1">
      <c r="A1094" s="179"/>
      <c r="B1094" s="180"/>
      <c r="C1094" s="180"/>
      <c r="D1094" s="179"/>
      <c r="E1094" s="179"/>
      <c r="F1094" s="179"/>
      <c r="G1094" s="179"/>
      <c r="H1094" s="181"/>
      <c r="I1094" s="181"/>
      <c r="J1094" s="181"/>
      <c r="K1094" s="179"/>
      <c r="L1094" s="179"/>
      <c r="M1094" s="179"/>
      <c r="N1094" s="181"/>
      <c r="O1094" s="179"/>
      <c r="P1094" s="179"/>
      <c r="Q1094" s="179"/>
      <c r="R1094" s="179"/>
      <c r="S1094" s="179"/>
      <c r="T1094" s="179"/>
      <c r="U1094" s="179"/>
      <c r="V1094" s="179"/>
      <c r="W1094" s="192"/>
      <c r="X1094" s="192"/>
      <c r="Y1094" s="192"/>
      <c r="Z1094" s="158"/>
      <c r="AA1094" s="158"/>
      <c r="AB1094" s="158"/>
      <c r="AC1094" s="158"/>
      <c r="AD1094" s="158"/>
      <c r="AE1094" s="158"/>
      <c r="AF1094" s="158"/>
      <c r="AG1094" s="158"/>
      <c r="AH1094" s="158"/>
    </row>
    <row r="1095" spans="1:34" ht="15.75" customHeight="1">
      <c r="A1095" s="179"/>
      <c r="B1095" s="180"/>
      <c r="C1095" s="180"/>
      <c r="D1095" s="179"/>
      <c r="E1095" s="179"/>
      <c r="F1095" s="179"/>
      <c r="G1095" s="179"/>
      <c r="H1095" s="181"/>
      <c r="I1095" s="181"/>
      <c r="J1095" s="181"/>
      <c r="K1095" s="179"/>
      <c r="L1095" s="179"/>
      <c r="M1095" s="179"/>
      <c r="N1095" s="181"/>
      <c r="O1095" s="179"/>
      <c r="P1095" s="179"/>
      <c r="Q1095" s="179"/>
      <c r="R1095" s="179"/>
      <c r="S1095" s="179"/>
      <c r="T1095" s="179"/>
      <c r="U1095" s="179"/>
      <c r="V1095" s="179"/>
      <c r="W1095" s="192"/>
      <c r="X1095" s="192"/>
      <c r="Y1095" s="192"/>
      <c r="Z1095" s="158"/>
      <c r="AA1095" s="158"/>
      <c r="AB1095" s="158"/>
      <c r="AC1095" s="158"/>
      <c r="AD1095" s="158"/>
      <c r="AE1095" s="158"/>
      <c r="AF1095" s="158"/>
      <c r="AG1095" s="158"/>
      <c r="AH1095" s="158"/>
    </row>
    <row r="1096" spans="1:34" ht="15.75" customHeight="1">
      <c r="A1096" s="179"/>
      <c r="B1096" s="180"/>
      <c r="C1096" s="180"/>
      <c r="D1096" s="179"/>
      <c r="E1096" s="179"/>
      <c r="F1096" s="179"/>
      <c r="G1096" s="179"/>
      <c r="H1096" s="181"/>
      <c r="I1096" s="181"/>
      <c r="J1096" s="181"/>
      <c r="K1096" s="179"/>
      <c r="L1096" s="179"/>
      <c r="M1096" s="179"/>
      <c r="N1096" s="181"/>
      <c r="O1096" s="179"/>
      <c r="P1096" s="179"/>
      <c r="Q1096" s="179"/>
      <c r="R1096" s="179"/>
      <c r="S1096" s="179"/>
      <c r="T1096" s="179"/>
      <c r="U1096" s="179"/>
      <c r="V1096" s="179"/>
      <c r="W1096" s="192"/>
      <c r="X1096" s="192"/>
      <c r="Y1096" s="192"/>
      <c r="Z1096" s="158"/>
      <c r="AA1096" s="158"/>
      <c r="AB1096" s="158"/>
      <c r="AC1096" s="158"/>
      <c r="AD1096" s="158"/>
      <c r="AE1096" s="158"/>
      <c r="AF1096" s="158"/>
      <c r="AG1096" s="158"/>
      <c r="AH1096" s="158"/>
    </row>
    <row r="1097" spans="1:34" ht="15.75" customHeight="1">
      <c r="A1097" s="179"/>
      <c r="B1097" s="180"/>
      <c r="C1097" s="180"/>
      <c r="D1097" s="179"/>
      <c r="E1097" s="179"/>
      <c r="F1097" s="179"/>
      <c r="G1097" s="179"/>
      <c r="H1097" s="181"/>
      <c r="I1097" s="181"/>
      <c r="J1097" s="181"/>
      <c r="K1097" s="179"/>
      <c r="L1097" s="179"/>
      <c r="M1097" s="179"/>
      <c r="N1097" s="181"/>
      <c r="O1097" s="179"/>
      <c r="P1097" s="179"/>
      <c r="Q1097" s="179"/>
      <c r="R1097" s="179"/>
      <c r="S1097" s="179"/>
      <c r="T1097" s="179"/>
      <c r="U1097" s="179"/>
      <c r="V1097" s="179"/>
      <c r="W1097" s="192"/>
      <c r="X1097" s="192"/>
      <c r="Y1097" s="192"/>
      <c r="Z1097" s="158"/>
      <c r="AA1097" s="158"/>
      <c r="AB1097" s="158"/>
      <c r="AC1097" s="158"/>
      <c r="AD1097" s="158"/>
      <c r="AE1097" s="158"/>
      <c r="AF1097" s="158"/>
      <c r="AG1097" s="158"/>
      <c r="AH1097" s="158"/>
    </row>
    <row r="1098" spans="1:34" ht="15.75" customHeight="1">
      <c r="A1098" s="179"/>
      <c r="B1098" s="180"/>
      <c r="C1098" s="180"/>
      <c r="D1098" s="179"/>
      <c r="E1098" s="179"/>
      <c r="F1098" s="179"/>
      <c r="G1098" s="179"/>
      <c r="H1098" s="181"/>
      <c r="I1098" s="181"/>
      <c r="J1098" s="181"/>
      <c r="K1098" s="179"/>
      <c r="L1098" s="179"/>
      <c r="M1098" s="179"/>
      <c r="N1098" s="181"/>
      <c r="O1098" s="179"/>
      <c r="P1098" s="179"/>
      <c r="Q1098" s="179"/>
      <c r="R1098" s="179"/>
      <c r="S1098" s="179"/>
      <c r="T1098" s="179"/>
      <c r="U1098" s="179"/>
      <c r="V1098" s="179"/>
      <c r="W1098" s="192"/>
      <c r="X1098" s="192"/>
      <c r="Y1098" s="192"/>
      <c r="Z1098" s="158"/>
      <c r="AA1098" s="158"/>
      <c r="AB1098" s="158"/>
      <c r="AC1098" s="158"/>
      <c r="AD1098" s="158"/>
      <c r="AE1098" s="158"/>
      <c r="AF1098" s="158"/>
      <c r="AG1098" s="158"/>
      <c r="AH1098" s="158"/>
    </row>
    <row r="1099" spans="1:34" ht="15.75" customHeight="1">
      <c r="A1099" s="179"/>
      <c r="B1099" s="180"/>
      <c r="C1099" s="180"/>
      <c r="D1099" s="179"/>
      <c r="E1099" s="179"/>
      <c r="F1099" s="179"/>
      <c r="G1099" s="179"/>
      <c r="H1099" s="181"/>
      <c r="I1099" s="181"/>
      <c r="J1099" s="181"/>
      <c r="K1099" s="179"/>
      <c r="L1099" s="179"/>
      <c r="M1099" s="179"/>
      <c r="N1099" s="181"/>
      <c r="O1099" s="179"/>
      <c r="P1099" s="179"/>
      <c r="Q1099" s="179"/>
      <c r="R1099" s="179"/>
      <c r="S1099" s="179"/>
      <c r="T1099" s="179"/>
      <c r="U1099" s="179"/>
      <c r="V1099" s="179"/>
      <c r="W1099" s="192"/>
      <c r="X1099" s="192"/>
      <c r="Y1099" s="192"/>
      <c r="Z1099" s="158"/>
      <c r="AA1099" s="158"/>
      <c r="AB1099" s="158"/>
      <c r="AC1099" s="158"/>
      <c r="AD1099" s="158"/>
      <c r="AE1099" s="158"/>
      <c r="AF1099" s="158"/>
      <c r="AG1099" s="158"/>
      <c r="AH1099" s="158"/>
    </row>
    <row r="1100" spans="1:34" ht="15.75" customHeight="1">
      <c r="A1100" s="179"/>
      <c r="B1100" s="180"/>
      <c r="C1100" s="180"/>
      <c r="D1100" s="179"/>
      <c r="E1100" s="179"/>
      <c r="F1100" s="179"/>
      <c r="G1100" s="179"/>
      <c r="H1100" s="181"/>
      <c r="I1100" s="181"/>
      <c r="J1100" s="181"/>
      <c r="K1100" s="179"/>
      <c r="L1100" s="179"/>
      <c r="M1100" s="179"/>
      <c r="N1100" s="181"/>
      <c r="O1100" s="179"/>
      <c r="P1100" s="179"/>
      <c r="Q1100" s="179"/>
      <c r="R1100" s="179"/>
      <c r="S1100" s="179"/>
      <c r="T1100" s="179"/>
      <c r="U1100" s="179"/>
      <c r="V1100" s="179"/>
      <c r="W1100" s="192"/>
      <c r="X1100" s="192"/>
      <c r="Y1100" s="192"/>
      <c r="Z1100" s="158"/>
      <c r="AA1100" s="158"/>
      <c r="AB1100" s="158"/>
      <c r="AC1100" s="158"/>
      <c r="AD1100" s="158"/>
      <c r="AE1100" s="158"/>
      <c r="AF1100" s="158"/>
      <c r="AG1100" s="158"/>
      <c r="AH1100" s="158"/>
    </row>
    <row r="1101" spans="1:34" ht="15.75" customHeight="1">
      <c r="A1101" s="179"/>
      <c r="B1101" s="180"/>
      <c r="C1101" s="180"/>
      <c r="D1101" s="179"/>
      <c r="E1101" s="179"/>
      <c r="F1101" s="179"/>
      <c r="G1101" s="179"/>
      <c r="H1101" s="181"/>
      <c r="I1101" s="181"/>
      <c r="J1101" s="181"/>
      <c r="K1101" s="179"/>
      <c r="L1101" s="179"/>
      <c r="M1101" s="179"/>
      <c r="N1101" s="181"/>
      <c r="O1101" s="179"/>
      <c r="P1101" s="179"/>
      <c r="Q1101" s="179"/>
      <c r="R1101" s="179"/>
      <c r="S1101" s="179"/>
      <c r="T1101" s="179"/>
      <c r="U1101" s="179"/>
      <c r="V1101" s="179"/>
      <c r="W1101" s="192"/>
      <c r="X1101" s="192"/>
      <c r="Y1101" s="192"/>
      <c r="Z1101" s="158"/>
      <c r="AA1101" s="158"/>
      <c r="AB1101" s="158"/>
      <c r="AC1101" s="158"/>
      <c r="AD1101" s="158"/>
      <c r="AE1101" s="158"/>
      <c r="AF1101" s="158"/>
      <c r="AG1101" s="158"/>
      <c r="AH1101" s="158"/>
    </row>
    <row r="1102" spans="1:34" ht="15.75" customHeight="1">
      <c r="A1102" s="179"/>
      <c r="B1102" s="180"/>
      <c r="C1102" s="180"/>
      <c r="D1102" s="179"/>
      <c r="E1102" s="179"/>
      <c r="F1102" s="179"/>
      <c r="G1102" s="179"/>
      <c r="H1102" s="181"/>
      <c r="I1102" s="181"/>
      <c r="J1102" s="181"/>
      <c r="K1102" s="179"/>
      <c r="L1102" s="179"/>
      <c r="M1102" s="179"/>
      <c r="N1102" s="181"/>
      <c r="O1102" s="179"/>
      <c r="P1102" s="179"/>
      <c r="Q1102" s="179"/>
      <c r="R1102" s="179"/>
      <c r="S1102" s="179"/>
      <c r="T1102" s="179"/>
      <c r="U1102" s="179"/>
      <c r="V1102" s="179"/>
      <c r="W1102" s="192"/>
      <c r="X1102" s="192"/>
      <c r="Y1102" s="192"/>
      <c r="Z1102" s="158"/>
      <c r="AA1102" s="158"/>
      <c r="AB1102" s="158"/>
      <c r="AC1102" s="158"/>
      <c r="AD1102" s="158"/>
      <c r="AE1102" s="158"/>
      <c r="AF1102" s="158"/>
      <c r="AG1102" s="158"/>
      <c r="AH1102" s="158"/>
    </row>
    <row r="1103" spans="1:34" ht="15.75" customHeight="1">
      <c r="A1103" s="179"/>
      <c r="B1103" s="180"/>
      <c r="C1103" s="180"/>
      <c r="D1103" s="179"/>
      <c r="E1103" s="179"/>
      <c r="F1103" s="179"/>
      <c r="G1103" s="179"/>
      <c r="H1103" s="181"/>
      <c r="I1103" s="181"/>
      <c r="J1103" s="181"/>
      <c r="K1103" s="179"/>
      <c r="L1103" s="179"/>
      <c r="M1103" s="179"/>
      <c r="N1103" s="181"/>
      <c r="O1103" s="179"/>
      <c r="P1103" s="179"/>
      <c r="Q1103" s="179"/>
      <c r="R1103" s="179"/>
      <c r="S1103" s="179"/>
      <c r="T1103" s="179"/>
      <c r="U1103" s="179"/>
      <c r="V1103" s="179"/>
      <c r="W1103" s="192"/>
      <c r="X1103" s="192"/>
      <c r="Y1103" s="192"/>
      <c r="Z1103" s="158"/>
      <c r="AA1103" s="158"/>
      <c r="AB1103" s="158"/>
      <c r="AC1103" s="158"/>
      <c r="AD1103" s="158"/>
      <c r="AE1103" s="158"/>
      <c r="AF1103" s="158"/>
      <c r="AG1103" s="158"/>
      <c r="AH1103" s="158"/>
    </row>
    <row r="1104" spans="1:34" ht="15.75" customHeight="1">
      <c r="A1104" s="179"/>
      <c r="B1104" s="180"/>
      <c r="C1104" s="180"/>
      <c r="D1104" s="179"/>
      <c r="E1104" s="179"/>
      <c r="F1104" s="179"/>
      <c r="G1104" s="179"/>
      <c r="H1104" s="181"/>
      <c r="I1104" s="181"/>
      <c r="J1104" s="181"/>
      <c r="K1104" s="179"/>
      <c r="L1104" s="179"/>
      <c r="M1104" s="179"/>
      <c r="N1104" s="181"/>
      <c r="O1104" s="179"/>
      <c r="P1104" s="179"/>
      <c r="Q1104" s="179"/>
      <c r="R1104" s="179"/>
      <c r="S1104" s="179"/>
      <c r="T1104" s="179"/>
      <c r="U1104" s="179"/>
      <c r="V1104" s="179"/>
      <c r="W1104" s="192"/>
      <c r="X1104" s="192"/>
      <c r="Y1104" s="192"/>
      <c r="Z1104" s="158"/>
      <c r="AA1104" s="158"/>
      <c r="AB1104" s="158"/>
      <c r="AC1104" s="158"/>
      <c r="AD1104" s="158"/>
      <c r="AE1104" s="158"/>
      <c r="AF1104" s="158"/>
      <c r="AG1104" s="158"/>
      <c r="AH1104" s="158"/>
    </row>
    <row r="1105" spans="1:34" ht="15.75" customHeight="1">
      <c r="A1105" s="179"/>
      <c r="B1105" s="180"/>
      <c r="C1105" s="180"/>
      <c r="D1105" s="179"/>
      <c r="E1105" s="179"/>
      <c r="F1105" s="179"/>
      <c r="G1105" s="179"/>
      <c r="H1105" s="181"/>
      <c r="I1105" s="181"/>
      <c r="J1105" s="181"/>
      <c r="K1105" s="179"/>
      <c r="L1105" s="179"/>
      <c r="M1105" s="179"/>
      <c r="N1105" s="181"/>
      <c r="O1105" s="179"/>
      <c r="P1105" s="179"/>
      <c r="Q1105" s="179"/>
      <c r="R1105" s="179"/>
      <c r="S1105" s="179"/>
      <c r="T1105" s="179"/>
      <c r="U1105" s="179"/>
      <c r="V1105" s="179"/>
      <c r="W1105" s="192"/>
      <c r="X1105" s="192"/>
      <c r="Y1105" s="192"/>
      <c r="Z1105" s="158"/>
      <c r="AA1105" s="158"/>
      <c r="AB1105" s="158"/>
      <c r="AC1105" s="158"/>
      <c r="AD1105" s="158"/>
      <c r="AE1105" s="158"/>
      <c r="AF1105" s="158"/>
      <c r="AG1105" s="158"/>
      <c r="AH1105" s="158"/>
    </row>
    <row r="1106" spans="1:34" ht="15.75" customHeight="1">
      <c r="A1106" s="179"/>
      <c r="B1106" s="180"/>
      <c r="C1106" s="180"/>
      <c r="D1106" s="179"/>
      <c r="E1106" s="179"/>
      <c r="F1106" s="179"/>
      <c r="G1106" s="179"/>
      <c r="H1106" s="181"/>
      <c r="I1106" s="181"/>
      <c r="J1106" s="181"/>
      <c r="K1106" s="179"/>
      <c r="L1106" s="179"/>
      <c r="M1106" s="179"/>
      <c r="N1106" s="181"/>
      <c r="O1106" s="179"/>
      <c r="P1106" s="179"/>
      <c r="Q1106" s="179"/>
      <c r="R1106" s="179"/>
      <c r="S1106" s="179"/>
      <c r="T1106" s="179"/>
      <c r="U1106" s="179"/>
      <c r="V1106" s="179"/>
      <c r="W1106" s="192"/>
      <c r="X1106" s="192"/>
      <c r="Y1106" s="192"/>
      <c r="Z1106" s="158"/>
      <c r="AA1106" s="158"/>
      <c r="AB1106" s="158"/>
      <c r="AC1106" s="158"/>
      <c r="AD1106" s="158"/>
      <c r="AE1106" s="158"/>
      <c r="AF1106" s="158"/>
      <c r="AG1106" s="158"/>
      <c r="AH1106" s="158"/>
    </row>
    <row r="1107" spans="1:34" ht="15.75" customHeight="1">
      <c r="A1107" s="179"/>
      <c r="B1107" s="180"/>
      <c r="C1107" s="180"/>
      <c r="D1107" s="179"/>
      <c r="E1107" s="179"/>
      <c r="F1107" s="179"/>
      <c r="G1107" s="179"/>
      <c r="H1107" s="181"/>
      <c r="I1107" s="181"/>
      <c r="J1107" s="181"/>
      <c r="K1107" s="179"/>
      <c r="L1107" s="179"/>
      <c r="M1107" s="179"/>
      <c r="N1107" s="181"/>
      <c r="O1107" s="179"/>
      <c r="P1107" s="179"/>
      <c r="Q1107" s="179"/>
      <c r="R1107" s="179"/>
      <c r="S1107" s="179"/>
      <c r="T1107" s="179"/>
      <c r="U1107" s="179"/>
      <c r="V1107" s="179"/>
      <c r="W1107" s="192"/>
      <c r="X1107" s="192"/>
      <c r="Y1107" s="192"/>
      <c r="Z1107" s="158"/>
      <c r="AA1107" s="158"/>
      <c r="AB1107" s="158"/>
      <c r="AC1107" s="158"/>
      <c r="AD1107" s="158"/>
      <c r="AE1107" s="158"/>
      <c r="AF1107" s="158"/>
      <c r="AG1107" s="158"/>
      <c r="AH1107" s="158"/>
    </row>
    <row r="1108" spans="1:34" ht="15.75" customHeight="1">
      <c r="A1108" s="179"/>
      <c r="B1108" s="180"/>
      <c r="C1108" s="180"/>
      <c r="D1108" s="179"/>
      <c r="E1108" s="179"/>
      <c r="F1108" s="179"/>
      <c r="G1108" s="179"/>
      <c r="H1108" s="181"/>
      <c r="I1108" s="181"/>
      <c r="J1108" s="181"/>
      <c r="K1108" s="179"/>
      <c r="L1108" s="179"/>
      <c r="M1108" s="179"/>
      <c r="N1108" s="181"/>
      <c r="O1108" s="179"/>
      <c r="P1108" s="179"/>
      <c r="Q1108" s="179"/>
      <c r="R1108" s="179"/>
      <c r="S1108" s="179"/>
      <c r="T1108" s="179"/>
      <c r="U1108" s="179"/>
      <c r="V1108" s="179"/>
      <c r="W1108" s="192"/>
      <c r="X1108" s="192"/>
      <c r="Y1108" s="192"/>
      <c r="Z1108" s="158"/>
      <c r="AA1108" s="158"/>
      <c r="AB1108" s="158"/>
      <c r="AC1108" s="158"/>
      <c r="AD1108" s="158"/>
      <c r="AE1108" s="158"/>
      <c r="AF1108" s="158"/>
      <c r="AG1108" s="158"/>
      <c r="AH1108" s="158"/>
    </row>
    <row r="1109" spans="1:34" ht="15.75" customHeight="1">
      <c r="A1109" s="179"/>
      <c r="B1109" s="180"/>
      <c r="C1109" s="180"/>
      <c r="D1109" s="179"/>
      <c r="E1109" s="179"/>
      <c r="F1109" s="179"/>
      <c r="G1109" s="179"/>
      <c r="H1109" s="181"/>
      <c r="I1109" s="181"/>
      <c r="J1109" s="181"/>
      <c r="K1109" s="179"/>
      <c r="L1109" s="179"/>
      <c r="M1109" s="179"/>
      <c r="N1109" s="181"/>
      <c r="O1109" s="179"/>
      <c r="P1109" s="179"/>
      <c r="Q1109" s="179"/>
      <c r="R1109" s="179"/>
      <c r="S1109" s="179"/>
      <c r="T1109" s="179"/>
      <c r="U1109" s="179"/>
      <c r="V1109" s="179"/>
      <c r="W1109" s="192"/>
      <c r="X1109" s="192"/>
      <c r="Y1109" s="192"/>
      <c r="Z1109" s="158"/>
      <c r="AA1109" s="158"/>
      <c r="AB1109" s="158"/>
      <c r="AC1109" s="158"/>
      <c r="AD1109" s="158"/>
      <c r="AE1109" s="158"/>
      <c r="AF1109" s="158"/>
      <c r="AG1109" s="158"/>
      <c r="AH1109" s="158"/>
    </row>
    <row r="1110" spans="1:34" ht="15.75" customHeight="1">
      <c r="A1110" s="179"/>
      <c r="B1110" s="180"/>
      <c r="C1110" s="180"/>
      <c r="D1110" s="179"/>
      <c r="E1110" s="179"/>
      <c r="F1110" s="179"/>
      <c r="G1110" s="179"/>
      <c r="H1110" s="181"/>
      <c r="I1110" s="181"/>
      <c r="J1110" s="181"/>
      <c r="K1110" s="179"/>
      <c r="L1110" s="179"/>
      <c r="M1110" s="179"/>
      <c r="N1110" s="181"/>
      <c r="O1110" s="179"/>
      <c r="P1110" s="179"/>
      <c r="Q1110" s="179"/>
      <c r="R1110" s="179"/>
      <c r="S1110" s="179"/>
      <c r="T1110" s="179"/>
      <c r="U1110" s="179"/>
      <c r="V1110" s="179"/>
      <c r="W1110" s="192"/>
      <c r="X1110" s="192"/>
      <c r="Y1110" s="192"/>
      <c r="Z1110" s="158"/>
      <c r="AA1110" s="158"/>
      <c r="AB1110" s="158"/>
      <c r="AC1110" s="158"/>
      <c r="AD1110" s="158"/>
      <c r="AE1110" s="158"/>
      <c r="AF1110" s="158"/>
      <c r="AG1110" s="158"/>
      <c r="AH1110" s="158"/>
    </row>
    <row r="1111" spans="1:34" ht="15.75" customHeight="1">
      <c r="A1111" s="179"/>
      <c r="B1111" s="180"/>
      <c r="C1111" s="180"/>
      <c r="D1111" s="179"/>
      <c r="E1111" s="179"/>
      <c r="F1111" s="179"/>
      <c r="G1111" s="179"/>
      <c r="H1111" s="181"/>
      <c r="I1111" s="181"/>
      <c r="J1111" s="181"/>
      <c r="K1111" s="179"/>
      <c r="L1111" s="179"/>
      <c r="M1111" s="179"/>
      <c r="N1111" s="181"/>
      <c r="O1111" s="179"/>
      <c r="P1111" s="179"/>
      <c r="Q1111" s="179"/>
      <c r="R1111" s="179"/>
      <c r="S1111" s="179"/>
      <c r="T1111" s="179"/>
      <c r="U1111" s="179"/>
      <c r="V1111" s="179"/>
      <c r="W1111" s="192"/>
      <c r="X1111" s="192"/>
      <c r="Y1111" s="192"/>
      <c r="Z1111" s="158"/>
      <c r="AA1111" s="158"/>
      <c r="AB1111" s="158"/>
      <c r="AC1111" s="158"/>
      <c r="AD1111" s="158"/>
      <c r="AE1111" s="158"/>
      <c r="AF1111" s="158"/>
      <c r="AG1111" s="158"/>
      <c r="AH1111" s="158"/>
    </row>
    <row r="1112" spans="1:34" ht="15.75" customHeight="1">
      <c r="A1112" s="179"/>
      <c r="B1112" s="180"/>
      <c r="C1112" s="180"/>
      <c r="D1112" s="179"/>
      <c r="E1112" s="179"/>
      <c r="F1112" s="179"/>
      <c r="G1112" s="179"/>
      <c r="H1112" s="181"/>
      <c r="I1112" s="181"/>
      <c r="J1112" s="181"/>
      <c r="K1112" s="179"/>
      <c r="L1112" s="179"/>
      <c r="M1112" s="179"/>
      <c r="N1112" s="181"/>
      <c r="O1112" s="179"/>
      <c r="P1112" s="179"/>
      <c r="Q1112" s="179"/>
      <c r="R1112" s="179"/>
      <c r="S1112" s="179"/>
      <c r="T1112" s="179"/>
      <c r="U1112" s="179"/>
      <c r="V1112" s="179"/>
      <c r="W1112" s="192"/>
      <c r="X1112" s="192"/>
      <c r="Y1112" s="192"/>
      <c r="Z1112" s="158"/>
      <c r="AA1112" s="158"/>
      <c r="AB1112" s="158"/>
      <c r="AC1112" s="158"/>
      <c r="AD1112" s="158"/>
      <c r="AE1112" s="158"/>
      <c r="AF1112" s="158"/>
      <c r="AG1112" s="158"/>
      <c r="AH1112" s="158"/>
    </row>
    <row r="1113" spans="1:34" ht="15.75" customHeight="1">
      <c r="A1113" s="179"/>
      <c r="B1113" s="180"/>
      <c r="C1113" s="180"/>
      <c r="D1113" s="179"/>
      <c r="E1113" s="179"/>
      <c r="F1113" s="179"/>
      <c r="G1113" s="179"/>
      <c r="H1113" s="181"/>
      <c r="I1113" s="181"/>
      <c r="J1113" s="181"/>
      <c r="K1113" s="179"/>
      <c r="L1113" s="179"/>
      <c r="M1113" s="179"/>
      <c r="N1113" s="181"/>
      <c r="O1113" s="179"/>
      <c r="P1113" s="179"/>
      <c r="Q1113" s="179"/>
      <c r="R1113" s="179"/>
      <c r="S1113" s="179"/>
      <c r="T1113" s="179"/>
      <c r="U1113" s="179"/>
      <c r="V1113" s="179"/>
      <c r="W1113" s="192"/>
      <c r="X1113" s="192"/>
      <c r="Y1113" s="192"/>
      <c r="Z1113" s="158"/>
      <c r="AA1113" s="158"/>
      <c r="AB1113" s="158"/>
      <c r="AC1113" s="158"/>
      <c r="AD1113" s="158"/>
      <c r="AE1113" s="158"/>
      <c r="AF1113" s="158"/>
      <c r="AG1113" s="158"/>
      <c r="AH1113" s="158"/>
    </row>
    <row r="1114" spans="1:34" ht="15.75" customHeight="1">
      <c r="A1114" s="179"/>
      <c r="B1114" s="180"/>
      <c r="C1114" s="180"/>
      <c r="D1114" s="179"/>
      <c r="E1114" s="179"/>
      <c r="F1114" s="179"/>
      <c r="G1114" s="179"/>
      <c r="H1114" s="181"/>
      <c r="I1114" s="181"/>
      <c r="J1114" s="181"/>
      <c r="K1114" s="179"/>
      <c r="L1114" s="179"/>
      <c r="M1114" s="179"/>
      <c r="N1114" s="181"/>
      <c r="O1114" s="179"/>
      <c r="P1114" s="179"/>
      <c r="Q1114" s="179"/>
      <c r="R1114" s="179"/>
      <c r="S1114" s="179"/>
      <c r="T1114" s="179"/>
      <c r="U1114" s="179"/>
      <c r="V1114" s="179"/>
      <c r="W1114" s="192"/>
      <c r="X1114" s="192"/>
      <c r="Y1114" s="192"/>
      <c r="Z1114" s="158"/>
      <c r="AA1114" s="158"/>
      <c r="AB1114" s="158"/>
      <c r="AC1114" s="158"/>
      <c r="AD1114" s="158"/>
      <c r="AE1114" s="158"/>
      <c r="AF1114" s="158"/>
      <c r="AG1114" s="158"/>
      <c r="AH1114" s="158"/>
    </row>
    <row r="1115" spans="1:34" ht="15.75" customHeight="1">
      <c r="A1115" s="179"/>
      <c r="B1115" s="180"/>
      <c r="C1115" s="180"/>
      <c r="D1115" s="179"/>
      <c r="E1115" s="179"/>
      <c r="F1115" s="179"/>
      <c r="G1115" s="179"/>
      <c r="H1115" s="181"/>
      <c r="I1115" s="181"/>
      <c r="J1115" s="181"/>
      <c r="K1115" s="179"/>
      <c r="L1115" s="179"/>
      <c r="M1115" s="179"/>
      <c r="N1115" s="181"/>
      <c r="O1115" s="179"/>
      <c r="P1115" s="179"/>
      <c r="Q1115" s="179"/>
      <c r="R1115" s="179"/>
      <c r="S1115" s="179"/>
      <c r="T1115" s="179"/>
      <c r="U1115" s="179"/>
      <c r="V1115" s="179"/>
      <c r="W1115" s="192"/>
      <c r="X1115" s="192"/>
      <c r="Y1115" s="192"/>
      <c r="Z1115" s="158"/>
      <c r="AA1115" s="158"/>
      <c r="AB1115" s="158"/>
      <c r="AC1115" s="158"/>
      <c r="AD1115" s="158"/>
      <c r="AE1115" s="158"/>
      <c r="AF1115" s="158"/>
      <c r="AG1115" s="158"/>
      <c r="AH1115" s="158"/>
    </row>
    <row r="1116" spans="1:34" ht="15.75" customHeight="1">
      <c r="A1116" s="179"/>
      <c r="B1116" s="180"/>
      <c r="C1116" s="180"/>
      <c r="D1116" s="179"/>
      <c r="E1116" s="179"/>
      <c r="F1116" s="179"/>
      <c r="G1116" s="179"/>
      <c r="H1116" s="181"/>
      <c r="I1116" s="181"/>
      <c r="J1116" s="181"/>
      <c r="K1116" s="179"/>
      <c r="L1116" s="179"/>
      <c r="M1116" s="179"/>
      <c r="N1116" s="181"/>
      <c r="O1116" s="179"/>
      <c r="P1116" s="179"/>
      <c r="Q1116" s="179"/>
      <c r="R1116" s="179"/>
      <c r="S1116" s="179"/>
      <c r="T1116" s="179"/>
      <c r="U1116" s="179"/>
      <c r="V1116" s="179"/>
      <c r="W1116" s="192"/>
      <c r="X1116" s="192"/>
      <c r="Y1116" s="192"/>
      <c r="Z1116" s="158"/>
      <c r="AA1116" s="158"/>
      <c r="AB1116" s="158"/>
      <c r="AC1116" s="158"/>
      <c r="AD1116" s="158"/>
      <c r="AE1116" s="158"/>
      <c r="AF1116" s="158"/>
      <c r="AG1116" s="158"/>
      <c r="AH1116" s="158"/>
    </row>
    <row r="1117" spans="1:34" ht="15.75" customHeight="1">
      <c r="A1117" s="179"/>
      <c r="B1117" s="180"/>
      <c r="C1117" s="180"/>
      <c r="D1117" s="179"/>
      <c r="E1117" s="179"/>
      <c r="F1117" s="179"/>
      <c r="G1117" s="179"/>
      <c r="H1117" s="181"/>
      <c r="I1117" s="181"/>
      <c r="J1117" s="181"/>
      <c r="K1117" s="179"/>
      <c r="L1117" s="179"/>
      <c r="M1117" s="179"/>
      <c r="N1117" s="181"/>
      <c r="O1117" s="179"/>
      <c r="P1117" s="179"/>
      <c r="Q1117" s="179"/>
      <c r="R1117" s="179"/>
      <c r="S1117" s="179"/>
      <c r="T1117" s="179"/>
      <c r="U1117" s="179"/>
      <c r="V1117" s="179"/>
      <c r="W1117" s="192"/>
      <c r="X1117" s="192"/>
      <c r="Y1117" s="192"/>
      <c r="Z1117" s="158"/>
      <c r="AA1117" s="158"/>
      <c r="AB1117" s="158"/>
      <c r="AC1117" s="158"/>
      <c r="AD1117" s="158"/>
      <c r="AE1117" s="158"/>
      <c r="AF1117" s="158"/>
      <c r="AG1117" s="158"/>
      <c r="AH1117" s="158"/>
    </row>
    <row r="1118" spans="1:34" ht="15.75" customHeight="1">
      <c r="A1118" s="179"/>
      <c r="B1118" s="180"/>
      <c r="C1118" s="180"/>
      <c r="D1118" s="179"/>
      <c r="E1118" s="179"/>
      <c r="F1118" s="179"/>
      <c r="G1118" s="179"/>
      <c r="H1118" s="181"/>
      <c r="I1118" s="181"/>
      <c r="J1118" s="181"/>
      <c r="K1118" s="179"/>
      <c r="L1118" s="179"/>
      <c r="M1118" s="179"/>
      <c r="N1118" s="181"/>
      <c r="O1118" s="179"/>
      <c r="P1118" s="179"/>
      <c r="Q1118" s="179"/>
      <c r="R1118" s="179"/>
      <c r="S1118" s="179"/>
      <c r="T1118" s="179"/>
      <c r="U1118" s="179"/>
      <c r="V1118" s="179"/>
      <c r="W1118" s="192"/>
      <c r="X1118" s="192"/>
      <c r="Y1118" s="192"/>
      <c r="Z1118" s="158"/>
      <c r="AA1118" s="158"/>
      <c r="AB1118" s="158"/>
      <c r="AC1118" s="158"/>
      <c r="AD1118" s="158"/>
      <c r="AE1118" s="158"/>
      <c r="AF1118" s="158"/>
      <c r="AG1118" s="158"/>
      <c r="AH1118" s="158"/>
    </row>
    <row r="1119" spans="1:34" ht="15.75" customHeight="1">
      <c r="A1119" s="179"/>
      <c r="B1119" s="180"/>
      <c r="C1119" s="180"/>
      <c r="D1119" s="179"/>
      <c r="E1119" s="179"/>
      <c r="F1119" s="179"/>
      <c r="G1119" s="179"/>
      <c r="H1119" s="181"/>
      <c r="I1119" s="181"/>
      <c r="J1119" s="181"/>
      <c r="K1119" s="179"/>
      <c r="L1119" s="179"/>
      <c r="M1119" s="179"/>
      <c r="N1119" s="181"/>
      <c r="O1119" s="179"/>
      <c r="P1119" s="179"/>
      <c r="Q1119" s="179"/>
      <c r="R1119" s="179"/>
      <c r="S1119" s="179"/>
      <c r="T1119" s="179"/>
      <c r="U1119" s="179"/>
      <c r="V1119" s="179"/>
      <c r="W1119" s="192"/>
      <c r="X1119" s="192"/>
      <c r="Y1119" s="192"/>
      <c r="Z1119" s="158"/>
      <c r="AA1119" s="158"/>
      <c r="AB1119" s="158"/>
      <c r="AC1119" s="158"/>
      <c r="AD1119" s="158"/>
      <c r="AE1119" s="158"/>
      <c r="AF1119" s="158"/>
      <c r="AG1119" s="158"/>
      <c r="AH1119" s="158"/>
    </row>
    <row r="1120" spans="1:34" ht="15.75" customHeight="1">
      <c r="A1120" s="179"/>
      <c r="B1120" s="180"/>
      <c r="C1120" s="180"/>
      <c r="D1120" s="179"/>
      <c r="E1120" s="179"/>
      <c r="F1120" s="179"/>
      <c r="G1120" s="179"/>
      <c r="H1120" s="181"/>
      <c r="I1120" s="181"/>
      <c r="J1120" s="181"/>
      <c r="K1120" s="179"/>
      <c r="L1120" s="179"/>
      <c r="M1120" s="179"/>
      <c r="N1120" s="181"/>
      <c r="O1120" s="179"/>
      <c r="P1120" s="179"/>
      <c r="Q1120" s="179"/>
      <c r="R1120" s="179"/>
      <c r="S1120" s="179"/>
      <c r="T1120" s="179"/>
      <c r="U1120" s="179"/>
      <c r="V1120" s="179"/>
      <c r="W1120" s="192"/>
      <c r="X1120" s="192"/>
      <c r="Y1120" s="192"/>
      <c r="Z1120" s="158"/>
      <c r="AA1120" s="158"/>
      <c r="AB1120" s="158"/>
      <c r="AC1120" s="158"/>
      <c r="AD1120" s="158"/>
      <c r="AE1120" s="158"/>
      <c r="AF1120" s="158"/>
      <c r="AG1120" s="158"/>
      <c r="AH1120" s="158"/>
    </row>
    <row r="1121" spans="1:34" ht="15.75" customHeight="1">
      <c r="A1121" s="179"/>
      <c r="B1121" s="180"/>
      <c r="C1121" s="180"/>
      <c r="D1121" s="179"/>
      <c r="E1121" s="179"/>
      <c r="F1121" s="179"/>
      <c r="G1121" s="179"/>
      <c r="H1121" s="181"/>
      <c r="I1121" s="181"/>
      <c r="J1121" s="181"/>
      <c r="K1121" s="179"/>
      <c r="L1121" s="179"/>
      <c r="M1121" s="179"/>
      <c r="N1121" s="181"/>
      <c r="O1121" s="179"/>
      <c r="P1121" s="179"/>
      <c r="Q1121" s="179"/>
      <c r="R1121" s="179"/>
      <c r="S1121" s="179"/>
      <c r="T1121" s="179"/>
      <c r="U1121" s="179"/>
      <c r="V1121" s="179"/>
      <c r="W1121" s="192"/>
      <c r="X1121" s="192"/>
      <c r="Y1121" s="192"/>
      <c r="Z1121" s="158"/>
      <c r="AA1121" s="158"/>
      <c r="AB1121" s="158"/>
      <c r="AC1121" s="158"/>
      <c r="AD1121" s="158"/>
      <c r="AE1121" s="158"/>
      <c r="AF1121" s="158"/>
      <c r="AG1121" s="158"/>
      <c r="AH1121" s="158"/>
    </row>
    <row r="1122" spans="1:34" ht="15.75" customHeight="1">
      <c r="A1122" s="179"/>
      <c r="B1122" s="180"/>
      <c r="C1122" s="180"/>
      <c r="D1122" s="179"/>
      <c r="E1122" s="179"/>
      <c r="F1122" s="179"/>
      <c r="G1122" s="179"/>
      <c r="H1122" s="181"/>
      <c r="I1122" s="181"/>
      <c r="J1122" s="181"/>
      <c r="K1122" s="179"/>
      <c r="L1122" s="179"/>
      <c r="M1122" s="179"/>
      <c r="N1122" s="181"/>
      <c r="O1122" s="179"/>
      <c r="P1122" s="179"/>
      <c r="Q1122" s="179"/>
      <c r="R1122" s="179"/>
      <c r="S1122" s="179"/>
      <c r="T1122" s="179"/>
      <c r="U1122" s="179"/>
      <c r="V1122" s="179"/>
      <c r="W1122" s="192"/>
      <c r="X1122" s="192"/>
      <c r="Y1122" s="192"/>
      <c r="Z1122" s="158"/>
      <c r="AA1122" s="158"/>
      <c r="AB1122" s="158"/>
      <c r="AC1122" s="158"/>
      <c r="AD1122" s="158"/>
      <c r="AE1122" s="158"/>
      <c r="AF1122" s="158"/>
      <c r="AG1122" s="158"/>
      <c r="AH1122" s="158"/>
    </row>
    <row r="1123" spans="1:34" ht="15.75" customHeight="1">
      <c r="A1123" s="179"/>
      <c r="B1123" s="180"/>
      <c r="C1123" s="180"/>
      <c r="D1123" s="179"/>
      <c r="E1123" s="179"/>
      <c r="F1123" s="179"/>
      <c r="G1123" s="179"/>
      <c r="H1123" s="181"/>
      <c r="I1123" s="181"/>
      <c r="J1123" s="181"/>
      <c r="K1123" s="179"/>
      <c r="L1123" s="179"/>
      <c r="M1123" s="179"/>
      <c r="N1123" s="181"/>
      <c r="O1123" s="179"/>
      <c r="P1123" s="179"/>
      <c r="Q1123" s="179"/>
      <c r="R1123" s="179"/>
      <c r="S1123" s="179"/>
      <c r="T1123" s="179"/>
      <c r="U1123" s="179"/>
      <c r="V1123" s="179"/>
      <c r="W1123" s="192"/>
      <c r="X1123" s="192"/>
      <c r="Y1123" s="192"/>
      <c r="Z1123" s="158"/>
      <c r="AA1123" s="158"/>
      <c r="AB1123" s="158"/>
      <c r="AC1123" s="158"/>
      <c r="AD1123" s="158"/>
      <c r="AE1123" s="158"/>
      <c r="AF1123" s="158"/>
      <c r="AG1123" s="158"/>
      <c r="AH1123" s="158"/>
    </row>
    <row r="1124" spans="1:34" ht="15.75" customHeight="1">
      <c r="A1124" s="179"/>
      <c r="B1124" s="180"/>
      <c r="C1124" s="180"/>
      <c r="D1124" s="179"/>
      <c r="E1124" s="179"/>
      <c r="F1124" s="179"/>
      <c r="G1124" s="179"/>
      <c r="H1124" s="181"/>
      <c r="I1124" s="181"/>
      <c r="J1124" s="181"/>
      <c r="K1124" s="179"/>
      <c r="L1124" s="179"/>
      <c r="M1124" s="179"/>
      <c r="N1124" s="181"/>
      <c r="O1124" s="179"/>
      <c r="P1124" s="179"/>
      <c r="Q1124" s="179"/>
      <c r="R1124" s="179"/>
      <c r="S1124" s="179"/>
      <c r="T1124" s="179"/>
      <c r="U1124" s="179"/>
      <c r="V1124" s="179"/>
      <c r="W1124" s="192"/>
      <c r="X1124" s="192"/>
      <c r="Y1124" s="192"/>
      <c r="Z1124" s="158"/>
      <c r="AA1124" s="158"/>
      <c r="AB1124" s="158"/>
      <c r="AC1124" s="158"/>
      <c r="AD1124" s="158"/>
      <c r="AE1124" s="158"/>
      <c r="AF1124" s="158"/>
      <c r="AG1124" s="158"/>
      <c r="AH1124" s="158"/>
    </row>
    <row r="1125" spans="1:34" ht="15.75" customHeight="1">
      <c r="A1125" s="179"/>
      <c r="B1125" s="180"/>
      <c r="C1125" s="180"/>
      <c r="D1125" s="179"/>
      <c r="E1125" s="179"/>
      <c r="F1125" s="179"/>
      <c r="G1125" s="179"/>
      <c r="H1125" s="181"/>
      <c r="I1125" s="181"/>
      <c r="J1125" s="181"/>
      <c r="K1125" s="179"/>
      <c r="L1125" s="179"/>
      <c r="M1125" s="179"/>
      <c r="N1125" s="181"/>
      <c r="O1125" s="179"/>
      <c r="P1125" s="179"/>
      <c r="Q1125" s="179"/>
      <c r="R1125" s="179"/>
      <c r="S1125" s="179"/>
      <c r="T1125" s="179"/>
      <c r="U1125" s="179"/>
      <c r="V1125" s="179"/>
      <c r="W1125" s="192"/>
      <c r="X1125" s="192"/>
      <c r="Y1125" s="192"/>
      <c r="Z1125" s="158"/>
      <c r="AA1125" s="158"/>
      <c r="AB1125" s="158"/>
      <c r="AC1125" s="158"/>
      <c r="AD1125" s="158"/>
      <c r="AE1125" s="158"/>
      <c r="AF1125" s="158"/>
      <c r="AG1125" s="158"/>
      <c r="AH1125" s="158"/>
    </row>
    <row r="1126" spans="1:34" ht="15.75" customHeight="1">
      <c r="A1126" s="179"/>
      <c r="B1126" s="180"/>
      <c r="C1126" s="180"/>
      <c r="D1126" s="179"/>
      <c r="E1126" s="179"/>
      <c r="F1126" s="179"/>
      <c r="G1126" s="179"/>
      <c r="H1126" s="181"/>
      <c r="I1126" s="181"/>
      <c r="J1126" s="181"/>
      <c r="K1126" s="179"/>
      <c r="L1126" s="179"/>
      <c r="M1126" s="179"/>
      <c r="N1126" s="181"/>
      <c r="O1126" s="179"/>
      <c r="P1126" s="179"/>
      <c r="Q1126" s="179"/>
      <c r="R1126" s="179"/>
      <c r="S1126" s="179"/>
      <c r="T1126" s="179"/>
      <c r="U1126" s="179"/>
      <c r="V1126" s="179"/>
      <c r="W1126" s="192"/>
      <c r="X1126" s="192"/>
      <c r="Y1126" s="192"/>
      <c r="Z1126" s="158"/>
      <c r="AA1126" s="158"/>
      <c r="AB1126" s="158"/>
      <c r="AC1126" s="158"/>
      <c r="AD1126" s="158"/>
      <c r="AE1126" s="158"/>
      <c r="AF1126" s="158"/>
      <c r="AG1126" s="158"/>
      <c r="AH1126" s="158"/>
    </row>
    <row r="1127" spans="1:34" ht="15.75" customHeight="1">
      <c r="A1127" s="179"/>
      <c r="B1127" s="180"/>
      <c r="C1127" s="180"/>
      <c r="D1127" s="179"/>
      <c r="E1127" s="179"/>
      <c r="F1127" s="179"/>
      <c r="G1127" s="179"/>
      <c r="H1127" s="181"/>
      <c r="I1127" s="181"/>
      <c r="J1127" s="181"/>
      <c r="K1127" s="179"/>
      <c r="L1127" s="179"/>
      <c r="M1127" s="179"/>
      <c r="N1127" s="181"/>
      <c r="O1127" s="179"/>
      <c r="P1127" s="179"/>
      <c r="Q1127" s="179"/>
      <c r="R1127" s="179"/>
      <c r="S1127" s="179"/>
      <c r="T1127" s="179"/>
      <c r="U1127" s="179"/>
      <c r="V1127" s="179"/>
      <c r="W1127" s="192"/>
      <c r="X1127" s="192"/>
      <c r="Y1127" s="192"/>
      <c r="Z1127" s="158"/>
      <c r="AA1127" s="158"/>
      <c r="AB1127" s="158"/>
      <c r="AC1127" s="158"/>
      <c r="AD1127" s="158"/>
      <c r="AE1127" s="158"/>
      <c r="AF1127" s="158"/>
      <c r="AG1127" s="158"/>
      <c r="AH1127" s="158"/>
    </row>
    <row r="1128" spans="1:34" ht="15.75" customHeight="1">
      <c r="A1128" s="179"/>
      <c r="B1128" s="180"/>
      <c r="C1128" s="180"/>
      <c r="D1128" s="179"/>
      <c r="E1128" s="179"/>
      <c r="F1128" s="179"/>
      <c r="G1128" s="179"/>
      <c r="H1128" s="181"/>
      <c r="I1128" s="181"/>
      <c r="J1128" s="181"/>
      <c r="K1128" s="179"/>
      <c r="L1128" s="179"/>
      <c r="M1128" s="179"/>
      <c r="N1128" s="181"/>
      <c r="O1128" s="179"/>
      <c r="P1128" s="179"/>
      <c r="Q1128" s="179"/>
      <c r="R1128" s="179"/>
      <c r="S1128" s="179"/>
      <c r="T1128" s="179"/>
      <c r="U1128" s="179"/>
      <c r="V1128" s="179"/>
      <c r="W1128" s="192"/>
      <c r="X1128" s="192"/>
      <c r="Y1128" s="192"/>
      <c r="Z1128" s="158"/>
      <c r="AA1128" s="158"/>
      <c r="AB1128" s="158"/>
      <c r="AC1128" s="158"/>
      <c r="AD1128" s="158"/>
      <c r="AE1128" s="158"/>
      <c r="AF1128" s="158"/>
      <c r="AG1128" s="158"/>
      <c r="AH1128" s="158"/>
    </row>
    <row r="1129" spans="1:34" ht="15.75" customHeight="1">
      <c r="A1129" s="179"/>
      <c r="B1129" s="180"/>
      <c r="C1129" s="180"/>
      <c r="D1129" s="179"/>
      <c r="E1129" s="179"/>
      <c r="F1129" s="179"/>
      <c r="G1129" s="179"/>
      <c r="H1129" s="181"/>
      <c r="I1129" s="181"/>
      <c r="J1129" s="181"/>
      <c r="K1129" s="179"/>
      <c r="L1129" s="179"/>
      <c r="M1129" s="179"/>
      <c r="N1129" s="181"/>
      <c r="O1129" s="179"/>
      <c r="P1129" s="179"/>
      <c r="Q1129" s="179"/>
      <c r="R1129" s="179"/>
      <c r="S1129" s="179"/>
      <c r="T1129" s="179"/>
      <c r="U1129" s="179"/>
      <c r="V1129" s="179"/>
      <c r="W1129" s="192"/>
      <c r="X1129" s="192"/>
      <c r="Y1129" s="192"/>
      <c r="Z1129" s="158"/>
      <c r="AA1129" s="158"/>
      <c r="AB1129" s="158"/>
      <c r="AC1129" s="158"/>
      <c r="AD1129" s="158"/>
      <c r="AE1129" s="158"/>
      <c r="AF1129" s="158"/>
      <c r="AG1129" s="158"/>
      <c r="AH1129" s="158"/>
    </row>
    <row r="1130" spans="1:34" ht="15.75" customHeight="1">
      <c r="A1130" s="179"/>
      <c r="B1130" s="180"/>
      <c r="C1130" s="180"/>
      <c r="D1130" s="179"/>
      <c r="E1130" s="179"/>
      <c r="F1130" s="179"/>
      <c r="G1130" s="179"/>
      <c r="H1130" s="181"/>
      <c r="I1130" s="181"/>
      <c r="J1130" s="181"/>
      <c r="K1130" s="179"/>
      <c r="L1130" s="179"/>
      <c r="M1130" s="179"/>
      <c r="N1130" s="181"/>
      <c r="O1130" s="179"/>
      <c r="P1130" s="179"/>
      <c r="Q1130" s="179"/>
      <c r="R1130" s="179"/>
      <c r="S1130" s="179"/>
      <c r="T1130" s="179"/>
      <c r="U1130" s="179"/>
      <c r="V1130" s="179"/>
      <c r="W1130" s="192"/>
      <c r="X1130" s="192"/>
      <c r="Y1130" s="192"/>
      <c r="Z1130" s="158"/>
      <c r="AA1130" s="158"/>
      <c r="AB1130" s="158"/>
      <c r="AC1130" s="158"/>
      <c r="AD1130" s="158"/>
      <c r="AE1130" s="158"/>
      <c r="AF1130" s="158"/>
      <c r="AG1130" s="158"/>
      <c r="AH1130" s="158"/>
    </row>
    <row r="1131" spans="1:34" ht="15.75" customHeight="1">
      <c r="A1131" s="179"/>
      <c r="B1131" s="180"/>
      <c r="C1131" s="180"/>
      <c r="D1131" s="179"/>
      <c r="E1131" s="179"/>
      <c r="F1131" s="179"/>
      <c r="G1131" s="179"/>
      <c r="H1131" s="181"/>
      <c r="I1131" s="181"/>
      <c r="J1131" s="181"/>
      <c r="K1131" s="179"/>
      <c r="L1131" s="179"/>
      <c r="M1131" s="179"/>
      <c r="N1131" s="181"/>
      <c r="O1131" s="179"/>
      <c r="P1131" s="179"/>
      <c r="Q1131" s="179"/>
      <c r="R1131" s="179"/>
      <c r="S1131" s="179"/>
      <c r="T1131" s="179"/>
      <c r="U1131" s="179"/>
      <c r="V1131" s="179"/>
      <c r="W1131" s="192"/>
      <c r="X1131" s="192"/>
      <c r="Y1131" s="192"/>
      <c r="Z1131" s="158"/>
      <c r="AA1131" s="158"/>
      <c r="AB1131" s="158"/>
      <c r="AC1131" s="158"/>
      <c r="AD1131" s="158"/>
      <c r="AE1131" s="158"/>
      <c r="AF1131" s="158"/>
      <c r="AG1131" s="158"/>
      <c r="AH1131" s="158"/>
    </row>
    <row r="1132" spans="1:34" ht="15.75" customHeight="1">
      <c r="A1132" s="179"/>
      <c r="B1132" s="180"/>
      <c r="C1132" s="180"/>
      <c r="D1132" s="179"/>
      <c r="E1132" s="179"/>
      <c r="F1132" s="179"/>
      <c r="G1132" s="179"/>
      <c r="H1132" s="181"/>
      <c r="I1132" s="181"/>
      <c r="J1132" s="181"/>
      <c r="K1132" s="179"/>
      <c r="L1132" s="179"/>
      <c r="M1132" s="179"/>
      <c r="N1132" s="181"/>
      <c r="O1132" s="179"/>
      <c r="P1132" s="179"/>
      <c r="Q1132" s="179"/>
      <c r="R1132" s="179"/>
      <c r="S1132" s="179"/>
      <c r="T1132" s="179"/>
      <c r="U1132" s="179"/>
      <c r="V1132" s="179"/>
      <c r="W1132" s="192"/>
      <c r="X1132" s="192"/>
      <c r="Y1132" s="192"/>
      <c r="Z1132" s="158"/>
      <c r="AA1132" s="158"/>
      <c r="AB1132" s="158"/>
      <c r="AC1132" s="158"/>
      <c r="AD1132" s="158"/>
      <c r="AE1132" s="158"/>
      <c r="AF1132" s="158"/>
      <c r="AG1132" s="158"/>
      <c r="AH1132" s="158"/>
    </row>
    <row r="1133" spans="1:34" ht="15.75" customHeight="1">
      <c r="A1133" s="179"/>
      <c r="B1133" s="180"/>
      <c r="C1133" s="180"/>
      <c r="D1133" s="179"/>
      <c r="E1133" s="179"/>
      <c r="F1133" s="179"/>
      <c r="G1133" s="179"/>
      <c r="H1133" s="181"/>
      <c r="I1133" s="181"/>
      <c r="J1133" s="181"/>
      <c r="K1133" s="179"/>
      <c r="L1133" s="179"/>
      <c r="M1133" s="179"/>
      <c r="N1133" s="181"/>
      <c r="O1133" s="179"/>
      <c r="P1133" s="179"/>
      <c r="Q1133" s="179"/>
      <c r="R1133" s="179"/>
      <c r="S1133" s="179"/>
      <c r="T1133" s="179"/>
      <c r="U1133" s="179"/>
      <c r="V1133" s="179"/>
      <c r="W1133" s="192"/>
      <c r="X1133" s="192"/>
      <c r="Y1133" s="192"/>
      <c r="Z1133" s="158"/>
      <c r="AA1133" s="158"/>
      <c r="AB1133" s="158"/>
      <c r="AC1133" s="158"/>
      <c r="AD1133" s="158"/>
      <c r="AE1133" s="158"/>
      <c r="AF1133" s="158"/>
      <c r="AG1133" s="158"/>
      <c r="AH1133" s="158"/>
    </row>
    <row r="1134" spans="1:34" ht="15.75" customHeight="1">
      <c r="A1134" s="179"/>
      <c r="B1134" s="180"/>
      <c r="C1134" s="180"/>
      <c r="D1134" s="179"/>
      <c r="E1134" s="179"/>
      <c r="F1134" s="179"/>
      <c r="G1134" s="179"/>
      <c r="H1134" s="181"/>
      <c r="I1134" s="181"/>
      <c r="J1134" s="181"/>
      <c r="K1134" s="179"/>
      <c r="L1134" s="179"/>
      <c r="M1134" s="179"/>
      <c r="N1134" s="181"/>
      <c r="O1134" s="179"/>
      <c r="P1134" s="179"/>
      <c r="Q1134" s="179"/>
      <c r="R1134" s="179"/>
      <c r="S1134" s="179"/>
      <c r="T1134" s="179"/>
      <c r="U1134" s="179"/>
      <c r="V1134" s="179"/>
      <c r="W1134" s="192"/>
      <c r="X1134" s="192"/>
      <c r="Y1134" s="192"/>
      <c r="Z1134" s="158"/>
      <c r="AA1134" s="158"/>
      <c r="AB1134" s="158"/>
      <c r="AC1134" s="158"/>
      <c r="AD1134" s="158"/>
      <c r="AE1134" s="158"/>
      <c r="AF1134" s="158"/>
      <c r="AG1134" s="158"/>
      <c r="AH1134" s="158"/>
    </row>
    <row r="1135" spans="1:34" ht="15.75" customHeight="1">
      <c r="A1135" s="179"/>
      <c r="B1135" s="180"/>
      <c r="C1135" s="180"/>
      <c r="D1135" s="179"/>
      <c r="E1135" s="179"/>
      <c r="F1135" s="179"/>
      <c r="G1135" s="179"/>
      <c r="H1135" s="181"/>
      <c r="I1135" s="181"/>
      <c r="J1135" s="181"/>
      <c r="K1135" s="179"/>
      <c r="L1135" s="179"/>
      <c r="M1135" s="179"/>
      <c r="N1135" s="181"/>
      <c r="O1135" s="179"/>
      <c r="P1135" s="179"/>
      <c r="Q1135" s="179"/>
      <c r="R1135" s="179"/>
      <c r="S1135" s="179"/>
      <c r="T1135" s="179"/>
      <c r="U1135" s="179"/>
      <c r="V1135" s="179"/>
      <c r="W1135" s="192"/>
      <c r="X1135" s="192"/>
      <c r="Y1135" s="192"/>
      <c r="Z1135" s="158"/>
      <c r="AA1135" s="158"/>
      <c r="AB1135" s="158"/>
      <c r="AC1135" s="158"/>
      <c r="AD1135" s="158"/>
      <c r="AE1135" s="158"/>
      <c r="AF1135" s="158"/>
      <c r="AG1135" s="158"/>
      <c r="AH1135" s="158"/>
    </row>
    <row r="1136" spans="1:34" ht="15.75" customHeight="1">
      <c r="A1136" s="179"/>
      <c r="B1136" s="180"/>
      <c r="C1136" s="180"/>
      <c r="D1136" s="179"/>
      <c r="E1136" s="179"/>
      <c r="F1136" s="179"/>
      <c r="G1136" s="179"/>
      <c r="H1136" s="181"/>
      <c r="I1136" s="181"/>
      <c r="J1136" s="181"/>
      <c r="K1136" s="179"/>
      <c r="L1136" s="179"/>
      <c r="M1136" s="179"/>
      <c r="N1136" s="181"/>
      <c r="O1136" s="179"/>
      <c r="P1136" s="179"/>
      <c r="Q1136" s="179"/>
      <c r="R1136" s="179"/>
      <c r="S1136" s="179"/>
      <c r="T1136" s="179"/>
      <c r="U1136" s="179"/>
      <c r="V1136" s="179"/>
      <c r="W1136" s="192"/>
      <c r="X1136" s="192"/>
      <c r="Y1136" s="192"/>
      <c r="Z1136" s="158"/>
      <c r="AA1136" s="158"/>
      <c r="AB1136" s="158"/>
      <c r="AC1136" s="158"/>
      <c r="AD1136" s="158"/>
      <c r="AE1136" s="158"/>
      <c r="AF1136" s="158"/>
      <c r="AG1136" s="158"/>
      <c r="AH1136" s="158"/>
    </row>
    <row r="1137" spans="1:34" ht="15.75" customHeight="1">
      <c r="A1137" s="179"/>
      <c r="B1137" s="180"/>
      <c r="C1137" s="180"/>
      <c r="D1137" s="179"/>
      <c r="E1137" s="179"/>
      <c r="F1137" s="179"/>
      <c r="G1137" s="179"/>
      <c r="H1137" s="181"/>
      <c r="I1137" s="181"/>
      <c r="J1137" s="181"/>
      <c r="K1137" s="179"/>
      <c r="L1137" s="179"/>
      <c r="M1137" s="179"/>
      <c r="N1137" s="181"/>
      <c r="O1137" s="179"/>
      <c r="P1137" s="179"/>
      <c r="Q1137" s="179"/>
      <c r="R1137" s="179"/>
      <c r="S1137" s="179"/>
      <c r="T1137" s="179"/>
      <c r="U1137" s="179"/>
      <c r="V1137" s="179"/>
      <c r="W1137" s="192"/>
      <c r="X1137" s="192"/>
      <c r="Y1137" s="192"/>
      <c r="Z1137" s="158"/>
      <c r="AA1137" s="158"/>
      <c r="AB1137" s="158"/>
      <c r="AC1137" s="158"/>
      <c r="AD1137" s="158"/>
      <c r="AE1137" s="158"/>
      <c r="AF1137" s="158"/>
      <c r="AG1137" s="158"/>
      <c r="AH1137" s="158"/>
    </row>
    <row r="1138" spans="1:34" ht="15.75" customHeight="1">
      <c r="A1138" s="179"/>
      <c r="B1138" s="180"/>
      <c r="C1138" s="180"/>
      <c r="D1138" s="179"/>
      <c r="E1138" s="179"/>
      <c r="F1138" s="179"/>
      <c r="G1138" s="179"/>
      <c r="H1138" s="181"/>
      <c r="I1138" s="181"/>
      <c r="J1138" s="181"/>
      <c r="K1138" s="179"/>
      <c r="L1138" s="179"/>
      <c r="M1138" s="179"/>
      <c r="N1138" s="181"/>
      <c r="O1138" s="179"/>
      <c r="P1138" s="179"/>
      <c r="Q1138" s="179"/>
      <c r="R1138" s="179"/>
      <c r="S1138" s="179"/>
      <c r="T1138" s="179"/>
      <c r="U1138" s="179"/>
      <c r="V1138" s="179"/>
      <c r="W1138" s="192"/>
      <c r="X1138" s="192"/>
      <c r="Y1138" s="192"/>
      <c r="Z1138" s="158"/>
      <c r="AA1138" s="158"/>
      <c r="AB1138" s="158"/>
      <c r="AC1138" s="158"/>
      <c r="AD1138" s="158"/>
      <c r="AE1138" s="158"/>
      <c r="AF1138" s="158"/>
      <c r="AG1138" s="158"/>
      <c r="AH1138" s="158"/>
    </row>
    <row r="1139" spans="1:34" ht="15.75" customHeight="1">
      <c r="A1139" s="179"/>
      <c r="B1139" s="180"/>
      <c r="C1139" s="180"/>
      <c r="D1139" s="179"/>
      <c r="E1139" s="179"/>
      <c r="F1139" s="179"/>
      <c r="G1139" s="179"/>
      <c r="H1139" s="181"/>
      <c r="I1139" s="181"/>
      <c r="J1139" s="181"/>
      <c r="K1139" s="179"/>
      <c r="L1139" s="179"/>
      <c r="M1139" s="179"/>
      <c r="N1139" s="181"/>
      <c r="O1139" s="179"/>
      <c r="P1139" s="179"/>
      <c r="Q1139" s="179"/>
      <c r="R1139" s="179"/>
      <c r="S1139" s="179"/>
      <c r="T1139" s="179"/>
      <c r="U1139" s="179"/>
      <c r="V1139" s="179"/>
      <c r="W1139" s="192"/>
      <c r="X1139" s="192"/>
      <c r="Y1139" s="192"/>
      <c r="Z1139" s="158"/>
      <c r="AA1139" s="158"/>
      <c r="AB1139" s="158"/>
      <c r="AC1139" s="158"/>
      <c r="AD1139" s="158"/>
      <c r="AE1139" s="158"/>
      <c r="AF1139" s="158"/>
      <c r="AG1139" s="158"/>
      <c r="AH1139" s="158"/>
    </row>
    <row r="1140" spans="1:34" ht="15.75" customHeight="1">
      <c r="A1140" s="179"/>
      <c r="B1140" s="180"/>
      <c r="C1140" s="180"/>
      <c r="D1140" s="179"/>
      <c r="E1140" s="179"/>
      <c r="F1140" s="179"/>
      <c r="G1140" s="179"/>
      <c r="H1140" s="181"/>
      <c r="I1140" s="181"/>
      <c r="J1140" s="181"/>
      <c r="K1140" s="179"/>
      <c r="L1140" s="179"/>
      <c r="M1140" s="179"/>
      <c r="N1140" s="181"/>
      <c r="O1140" s="179"/>
      <c r="P1140" s="179"/>
      <c r="Q1140" s="179"/>
      <c r="R1140" s="179"/>
      <c r="S1140" s="179"/>
      <c r="T1140" s="179"/>
      <c r="U1140" s="179"/>
      <c r="V1140" s="179"/>
      <c r="W1140" s="192"/>
      <c r="X1140" s="192"/>
      <c r="Y1140" s="192"/>
      <c r="Z1140" s="158"/>
      <c r="AA1140" s="158"/>
      <c r="AB1140" s="158"/>
      <c r="AC1140" s="158"/>
      <c r="AD1140" s="158"/>
      <c r="AE1140" s="158"/>
      <c r="AF1140" s="158"/>
      <c r="AG1140" s="158"/>
      <c r="AH1140" s="158"/>
    </row>
    <row r="1141" spans="1:34" ht="15.75" customHeight="1">
      <c r="A1141" s="179"/>
      <c r="B1141" s="180"/>
      <c r="C1141" s="180"/>
      <c r="D1141" s="179"/>
      <c r="E1141" s="179"/>
      <c r="F1141" s="179"/>
      <c r="G1141" s="179"/>
      <c r="H1141" s="181"/>
      <c r="I1141" s="181"/>
      <c r="J1141" s="181"/>
      <c r="K1141" s="179"/>
      <c r="L1141" s="179"/>
      <c r="M1141" s="179"/>
      <c r="N1141" s="181"/>
      <c r="O1141" s="179"/>
      <c r="P1141" s="179"/>
      <c r="Q1141" s="179"/>
      <c r="R1141" s="179"/>
      <c r="S1141" s="179"/>
      <c r="T1141" s="179"/>
      <c r="U1141" s="179"/>
      <c r="V1141" s="179"/>
      <c r="W1141" s="192"/>
      <c r="X1141" s="192"/>
      <c r="Y1141" s="192"/>
      <c r="Z1141" s="158"/>
      <c r="AA1141" s="158"/>
      <c r="AB1141" s="158"/>
      <c r="AC1141" s="158"/>
      <c r="AD1141" s="158"/>
      <c r="AE1141" s="158"/>
      <c r="AF1141" s="158"/>
      <c r="AG1141" s="158"/>
      <c r="AH1141" s="158"/>
    </row>
    <row r="1142" spans="1:34" ht="15.75" customHeight="1">
      <c r="A1142" s="179"/>
      <c r="B1142" s="180"/>
      <c r="C1142" s="180"/>
      <c r="D1142" s="179"/>
      <c r="E1142" s="179"/>
      <c r="F1142" s="179"/>
      <c r="G1142" s="179"/>
      <c r="H1142" s="181"/>
      <c r="I1142" s="181"/>
      <c r="J1142" s="181"/>
      <c r="K1142" s="179"/>
      <c r="L1142" s="179"/>
      <c r="M1142" s="179"/>
      <c r="N1142" s="181"/>
      <c r="O1142" s="179"/>
      <c r="P1142" s="179"/>
      <c r="Q1142" s="179"/>
      <c r="R1142" s="179"/>
      <c r="S1142" s="179"/>
      <c r="T1142" s="179"/>
      <c r="U1142" s="179"/>
      <c r="V1142" s="179"/>
      <c r="W1142" s="192"/>
      <c r="X1142" s="192"/>
      <c r="Y1142" s="192"/>
      <c r="Z1142" s="158"/>
      <c r="AA1142" s="158"/>
      <c r="AB1142" s="158"/>
      <c r="AC1142" s="158"/>
      <c r="AD1142" s="158"/>
      <c r="AE1142" s="158"/>
      <c r="AF1142" s="158"/>
      <c r="AG1142" s="158"/>
      <c r="AH1142" s="158"/>
    </row>
    <row r="1143" spans="1:34" ht="15.75" customHeight="1">
      <c r="A1143" s="179"/>
      <c r="B1143" s="180"/>
      <c r="C1143" s="180"/>
      <c r="D1143" s="179"/>
      <c r="E1143" s="179"/>
      <c r="F1143" s="179"/>
      <c r="G1143" s="179"/>
      <c r="H1143" s="181"/>
      <c r="I1143" s="181"/>
      <c r="J1143" s="181"/>
      <c r="K1143" s="179"/>
      <c r="L1143" s="179"/>
      <c r="M1143" s="179"/>
      <c r="N1143" s="181"/>
      <c r="O1143" s="179"/>
      <c r="P1143" s="179"/>
      <c r="Q1143" s="179"/>
      <c r="R1143" s="179"/>
      <c r="S1143" s="179"/>
      <c r="T1143" s="179"/>
      <c r="U1143" s="179"/>
      <c r="V1143" s="179"/>
      <c r="W1143" s="192"/>
      <c r="X1143" s="192"/>
      <c r="Y1143" s="192"/>
      <c r="Z1143" s="158"/>
      <c r="AA1143" s="158"/>
      <c r="AB1143" s="158"/>
      <c r="AC1143" s="158"/>
      <c r="AD1143" s="158"/>
      <c r="AE1143" s="158"/>
      <c r="AF1143" s="158"/>
      <c r="AG1143" s="158"/>
      <c r="AH1143" s="158"/>
    </row>
    <row r="1144" spans="1:34" ht="15.75" customHeight="1">
      <c r="A1144" s="179"/>
      <c r="B1144" s="180"/>
      <c r="C1144" s="180"/>
      <c r="D1144" s="179"/>
      <c r="E1144" s="179"/>
      <c r="F1144" s="179"/>
      <c r="G1144" s="179"/>
      <c r="H1144" s="181"/>
      <c r="I1144" s="181"/>
      <c r="J1144" s="181"/>
      <c r="K1144" s="179"/>
      <c r="L1144" s="179"/>
      <c r="M1144" s="179"/>
      <c r="N1144" s="181"/>
      <c r="O1144" s="179"/>
      <c r="P1144" s="179"/>
      <c r="Q1144" s="179"/>
      <c r="R1144" s="179"/>
      <c r="S1144" s="179"/>
      <c r="T1144" s="179"/>
      <c r="U1144" s="179"/>
      <c r="V1144" s="179"/>
      <c r="W1144" s="192"/>
      <c r="X1144" s="192"/>
      <c r="Y1144" s="192"/>
      <c r="Z1144" s="158"/>
      <c r="AA1144" s="158"/>
      <c r="AB1144" s="158"/>
      <c r="AC1144" s="158"/>
      <c r="AD1144" s="158"/>
      <c r="AE1144" s="158"/>
      <c r="AF1144" s="158"/>
      <c r="AG1144" s="158"/>
      <c r="AH1144" s="158"/>
    </row>
    <row r="1145" spans="1:34" ht="15.75" customHeight="1">
      <c r="A1145" s="179"/>
      <c r="B1145" s="180"/>
      <c r="C1145" s="180"/>
      <c r="D1145" s="179"/>
      <c r="E1145" s="179"/>
      <c r="F1145" s="179"/>
      <c r="G1145" s="179"/>
      <c r="H1145" s="181"/>
      <c r="I1145" s="181"/>
      <c r="J1145" s="181"/>
      <c r="K1145" s="179"/>
      <c r="L1145" s="179"/>
      <c r="M1145" s="179"/>
      <c r="N1145" s="181"/>
      <c r="O1145" s="179"/>
      <c r="P1145" s="179"/>
      <c r="Q1145" s="179"/>
      <c r="R1145" s="179"/>
      <c r="S1145" s="179"/>
      <c r="T1145" s="179"/>
      <c r="U1145" s="179"/>
      <c r="V1145" s="179"/>
      <c r="W1145" s="192"/>
      <c r="X1145" s="192"/>
      <c r="Y1145" s="192"/>
      <c r="Z1145" s="158"/>
      <c r="AA1145" s="158"/>
      <c r="AB1145" s="158"/>
      <c r="AC1145" s="158"/>
      <c r="AD1145" s="158"/>
      <c r="AE1145" s="158"/>
      <c r="AF1145" s="158"/>
      <c r="AG1145" s="158"/>
      <c r="AH1145" s="158"/>
    </row>
    <row r="1146" spans="1:34" ht="15.75" customHeight="1">
      <c r="A1146" s="179"/>
      <c r="B1146" s="180"/>
      <c r="C1146" s="180"/>
      <c r="D1146" s="179"/>
      <c r="E1146" s="179"/>
      <c r="F1146" s="179"/>
      <c r="G1146" s="179"/>
      <c r="H1146" s="181"/>
      <c r="I1146" s="181"/>
      <c r="J1146" s="181"/>
      <c r="K1146" s="179"/>
      <c r="L1146" s="179"/>
      <c r="M1146" s="179"/>
      <c r="N1146" s="181"/>
      <c r="O1146" s="179"/>
      <c r="P1146" s="179"/>
      <c r="Q1146" s="179"/>
      <c r="R1146" s="179"/>
      <c r="S1146" s="179"/>
      <c r="T1146" s="179"/>
      <c r="U1146" s="179"/>
      <c r="V1146" s="179"/>
      <c r="W1146" s="192"/>
      <c r="X1146" s="192"/>
      <c r="Y1146" s="192"/>
      <c r="Z1146" s="158"/>
      <c r="AA1146" s="158"/>
      <c r="AB1146" s="158"/>
      <c r="AC1146" s="158"/>
      <c r="AD1146" s="158"/>
      <c r="AE1146" s="158"/>
      <c r="AF1146" s="158"/>
      <c r="AG1146" s="158"/>
      <c r="AH1146" s="158"/>
    </row>
    <row r="1147" spans="1:34" ht="15.75" customHeight="1">
      <c r="A1147" s="179"/>
      <c r="B1147" s="180"/>
      <c r="C1147" s="180"/>
      <c r="D1147" s="179"/>
      <c r="E1147" s="179"/>
      <c r="F1147" s="179"/>
      <c r="G1147" s="179"/>
      <c r="H1147" s="181"/>
      <c r="I1147" s="181"/>
      <c r="J1147" s="181"/>
      <c r="K1147" s="179"/>
      <c r="L1147" s="179"/>
      <c r="M1147" s="179"/>
      <c r="N1147" s="181"/>
      <c r="O1147" s="179"/>
      <c r="P1147" s="179"/>
      <c r="Q1147" s="179"/>
      <c r="R1147" s="179"/>
      <c r="S1147" s="179"/>
      <c r="T1147" s="179"/>
      <c r="U1147" s="179"/>
      <c r="V1147" s="179"/>
      <c r="W1147" s="192"/>
      <c r="X1147" s="192"/>
      <c r="Y1147" s="192"/>
      <c r="Z1147" s="158"/>
      <c r="AA1147" s="158"/>
      <c r="AB1147" s="158"/>
      <c r="AC1147" s="158"/>
      <c r="AD1147" s="158"/>
      <c r="AE1147" s="158"/>
      <c r="AF1147" s="158"/>
      <c r="AG1147" s="158"/>
      <c r="AH1147" s="158"/>
    </row>
    <row r="1148" spans="1:34" ht="15.75" customHeight="1">
      <c r="A1148" s="179"/>
      <c r="B1148" s="180"/>
      <c r="C1148" s="180"/>
      <c r="D1148" s="179"/>
      <c r="E1148" s="179"/>
      <c r="F1148" s="179"/>
      <c r="G1148" s="179"/>
      <c r="H1148" s="181"/>
      <c r="I1148" s="181"/>
      <c r="J1148" s="181"/>
      <c r="K1148" s="179"/>
      <c r="L1148" s="179"/>
      <c r="M1148" s="179"/>
      <c r="N1148" s="181"/>
      <c r="O1148" s="179"/>
      <c r="P1148" s="179"/>
      <c r="Q1148" s="179"/>
      <c r="R1148" s="179"/>
      <c r="S1148" s="179"/>
      <c r="T1148" s="179"/>
      <c r="U1148" s="179"/>
      <c r="V1148" s="179"/>
      <c r="W1148" s="192"/>
      <c r="X1148" s="192"/>
      <c r="Y1148" s="192"/>
      <c r="Z1148" s="158"/>
      <c r="AA1148" s="158"/>
      <c r="AB1148" s="158"/>
      <c r="AC1148" s="158"/>
      <c r="AD1148" s="158"/>
      <c r="AE1148" s="158"/>
      <c r="AF1148" s="158"/>
      <c r="AG1148" s="158"/>
      <c r="AH1148" s="158"/>
    </row>
    <row r="1149" spans="1:34" ht="15.75" customHeight="1">
      <c r="A1149" s="179"/>
      <c r="B1149" s="180"/>
      <c r="C1149" s="180"/>
      <c r="D1149" s="179"/>
      <c r="E1149" s="179"/>
      <c r="F1149" s="179"/>
      <c r="G1149" s="179"/>
      <c r="H1149" s="181"/>
      <c r="I1149" s="181"/>
      <c r="J1149" s="181"/>
      <c r="K1149" s="179"/>
      <c r="L1149" s="179"/>
      <c r="M1149" s="179"/>
      <c r="N1149" s="181"/>
      <c r="O1149" s="179"/>
      <c r="P1149" s="179"/>
      <c r="Q1149" s="179"/>
      <c r="R1149" s="179"/>
      <c r="S1149" s="179"/>
      <c r="T1149" s="179"/>
      <c r="U1149" s="179"/>
      <c r="V1149" s="179"/>
      <c r="W1149" s="192"/>
      <c r="X1149" s="192"/>
      <c r="Y1149" s="192"/>
      <c r="Z1149" s="158"/>
      <c r="AA1149" s="158"/>
      <c r="AB1149" s="158"/>
      <c r="AC1149" s="158"/>
      <c r="AD1149" s="158"/>
      <c r="AE1149" s="158"/>
      <c r="AF1149" s="158"/>
      <c r="AG1149" s="158"/>
      <c r="AH1149" s="158"/>
    </row>
    <row r="1150" spans="1:34" ht="15.75" customHeight="1">
      <c r="A1150" s="179"/>
      <c r="B1150" s="180"/>
      <c r="C1150" s="180"/>
      <c r="D1150" s="179"/>
      <c r="E1150" s="179"/>
      <c r="F1150" s="179"/>
      <c r="G1150" s="179"/>
      <c r="H1150" s="181"/>
      <c r="I1150" s="181"/>
      <c r="J1150" s="181"/>
      <c r="K1150" s="179"/>
      <c r="L1150" s="179"/>
      <c r="M1150" s="179"/>
      <c r="N1150" s="181"/>
      <c r="O1150" s="179"/>
      <c r="P1150" s="179"/>
      <c r="Q1150" s="179"/>
      <c r="R1150" s="179"/>
      <c r="S1150" s="179"/>
      <c r="T1150" s="179"/>
      <c r="U1150" s="179"/>
      <c r="V1150" s="179"/>
      <c r="W1150" s="192"/>
      <c r="X1150" s="192"/>
      <c r="Y1150" s="192"/>
      <c r="Z1150" s="158"/>
      <c r="AA1150" s="158"/>
      <c r="AB1150" s="158"/>
      <c r="AC1150" s="158"/>
      <c r="AD1150" s="158"/>
      <c r="AE1150" s="158"/>
      <c r="AF1150" s="158"/>
      <c r="AG1150" s="158"/>
      <c r="AH1150" s="158"/>
    </row>
    <row r="1151" spans="1:34" ht="15.75" customHeight="1">
      <c r="A1151" s="179"/>
      <c r="B1151" s="180"/>
      <c r="C1151" s="180"/>
      <c r="D1151" s="179"/>
      <c r="E1151" s="179"/>
      <c r="F1151" s="179"/>
      <c r="G1151" s="179"/>
      <c r="H1151" s="181"/>
      <c r="I1151" s="181"/>
      <c r="J1151" s="181"/>
      <c r="K1151" s="179"/>
      <c r="L1151" s="179"/>
      <c r="M1151" s="179"/>
      <c r="N1151" s="181"/>
      <c r="O1151" s="179"/>
      <c r="P1151" s="179"/>
      <c r="Q1151" s="179"/>
      <c r="R1151" s="179"/>
      <c r="S1151" s="179"/>
      <c r="T1151" s="179"/>
      <c r="U1151" s="179"/>
      <c r="V1151" s="179"/>
      <c r="W1151" s="192"/>
      <c r="X1151" s="192"/>
      <c r="Y1151" s="192"/>
      <c r="Z1151" s="158"/>
      <c r="AA1151" s="158"/>
      <c r="AB1151" s="158"/>
      <c r="AC1151" s="158"/>
      <c r="AD1151" s="158"/>
      <c r="AE1151" s="158"/>
      <c r="AF1151" s="158"/>
      <c r="AG1151" s="158"/>
      <c r="AH1151" s="158"/>
    </row>
    <row r="1152" spans="1:34" ht="15.75" customHeight="1">
      <c r="A1152" s="179"/>
      <c r="B1152" s="180"/>
      <c r="C1152" s="180"/>
      <c r="D1152" s="179"/>
      <c r="E1152" s="179"/>
      <c r="F1152" s="179"/>
      <c r="G1152" s="179"/>
      <c r="H1152" s="181"/>
      <c r="I1152" s="181"/>
      <c r="J1152" s="181"/>
      <c r="K1152" s="179"/>
      <c r="L1152" s="179"/>
      <c r="M1152" s="179"/>
      <c r="N1152" s="181"/>
      <c r="O1152" s="179"/>
      <c r="P1152" s="179"/>
      <c r="Q1152" s="179"/>
      <c r="R1152" s="179"/>
      <c r="S1152" s="179"/>
      <c r="T1152" s="179"/>
      <c r="U1152" s="179"/>
      <c r="V1152" s="179"/>
      <c r="W1152" s="192"/>
      <c r="X1152" s="192"/>
      <c r="Y1152" s="192"/>
      <c r="Z1152" s="158"/>
      <c r="AA1152" s="158"/>
      <c r="AB1152" s="158"/>
      <c r="AC1152" s="158"/>
      <c r="AD1152" s="158"/>
      <c r="AE1152" s="158"/>
      <c r="AF1152" s="158"/>
      <c r="AG1152" s="158"/>
      <c r="AH1152" s="158"/>
    </row>
    <row r="1153" spans="1:34" ht="15.75" customHeight="1">
      <c r="A1153" s="179"/>
      <c r="B1153" s="180"/>
      <c r="C1153" s="180"/>
      <c r="D1153" s="179"/>
      <c r="E1153" s="179"/>
      <c r="F1153" s="179"/>
      <c r="G1153" s="179"/>
      <c r="H1153" s="181"/>
      <c r="I1153" s="181"/>
      <c r="J1153" s="181"/>
      <c r="K1153" s="179"/>
      <c r="L1153" s="179"/>
      <c r="M1153" s="179"/>
      <c r="N1153" s="181"/>
      <c r="O1153" s="179"/>
      <c r="P1153" s="179"/>
      <c r="Q1153" s="179"/>
      <c r="R1153" s="179"/>
      <c r="S1153" s="179"/>
      <c r="T1153" s="179"/>
      <c r="U1153" s="179"/>
      <c r="V1153" s="179"/>
      <c r="W1153" s="192"/>
      <c r="X1153" s="192"/>
      <c r="Y1153" s="192"/>
      <c r="Z1153" s="158"/>
      <c r="AA1153" s="158"/>
      <c r="AB1153" s="158"/>
      <c r="AC1153" s="158"/>
      <c r="AD1153" s="158"/>
      <c r="AE1153" s="158"/>
      <c r="AF1153" s="158"/>
      <c r="AG1153" s="158"/>
      <c r="AH1153" s="158"/>
    </row>
    <row r="1154" spans="1:34" ht="15.75" customHeight="1">
      <c r="A1154" s="179"/>
      <c r="B1154" s="180"/>
      <c r="C1154" s="180"/>
      <c r="D1154" s="179"/>
      <c r="E1154" s="179"/>
      <c r="F1154" s="179"/>
      <c r="G1154" s="179"/>
      <c r="H1154" s="181"/>
      <c r="I1154" s="181"/>
      <c r="J1154" s="181"/>
      <c r="K1154" s="179"/>
      <c r="L1154" s="179"/>
      <c r="M1154" s="179"/>
      <c r="N1154" s="181"/>
      <c r="O1154" s="179"/>
      <c r="P1154" s="179"/>
      <c r="Q1154" s="179"/>
      <c r="R1154" s="179"/>
      <c r="S1154" s="179"/>
      <c r="T1154" s="179"/>
      <c r="U1154" s="179"/>
      <c r="V1154" s="179"/>
      <c r="W1154" s="192"/>
      <c r="X1154" s="192"/>
      <c r="Y1154" s="192"/>
      <c r="Z1154" s="158"/>
      <c r="AA1154" s="158"/>
      <c r="AB1154" s="158"/>
      <c r="AC1154" s="158"/>
      <c r="AD1154" s="158"/>
      <c r="AE1154" s="158"/>
      <c r="AF1154" s="158"/>
      <c r="AG1154" s="158"/>
      <c r="AH1154" s="158"/>
    </row>
    <row r="1155" spans="1:34" ht="15.75" customHeight="1">
      <c r="A1155" s="179"/>
      <c r="B1155" s="180"/>
      <c r="C1155" s="180"/>
      <c r="D1155" s="179"/>
      <c r="E1155" s="179"/>
      <c r="F1155" s="179"/>
      <c r="G1155" s="179"/>
      <c r="H1155" s="181"/>
      <c r="I1155" s="181"/>
      <c r="J1155" s="181"/>
      <c r="K1155" s="179"/>
      <c r="L1155" s="179"/>
      <c r="M1155" s="179"/>
      <c r="N1155" s="181"/>
      <c r="O1155" s="179"/>
      <c r="P1155" s="179"/>
      <c r="Q1155" s="179"/>
      <c r="R1155" s="179"/>
      <c r="S1155" s="179"/>
      <c r="T1155" s="179"/>
      <c r="U1155" s="179"/>
      <c r="V1155" s="179"/>
      <c r="W1155" s="192"/>
      <c r="X1155" s="192"/>
      <c r="Y1155" s="192"/>
      <c r="Z1155" s="158"/>
      <c r="AA1155" s="158"/>
      <c r="AB1155" s="158"/>
      <c r="AC1155" s="158"/>
      <c r="AD1155" s="158"/>
      <c r="AE1155" s="158"/>
      <c r="AF1155" s="158"/>
      <c r="AG1155" s="158"/>
      <c r="AH1155" s="158"/>
    </row>
    <row r="1156" spans="1:34" ht="15.75" customHeight="1">
      <c r="A1156" s="179"/>
      <c r="B1156" s="180"/>
      <c r="C1156" s="180"/>
      <c r="D1156" s="179"/>
      <c r="E1156" s="179"/>
      <c r="F1156" s="179"/>
      <c r="G1156" s="179"/>
      <c r="H1156" s="181"/>
      <c r="I1156" s="181"/>
      <c r="J1156" s="181"/>
      <c r="K1156" s="179"/>
      <c r="L1156" s="179"/>
      <c r="M1156" s="179"/>
      <c r="N1156" s="181"/>
      <c r="O1156" s="179"/>
      <c r="P1156" s="179"/>
      <c r="Q1156" s="179"/>
      <c r="R1156" s="179"/>
      <c r="S1156" s="179"/>
      <c r="T1156" s="179"/>
      <c r="U1156" s="179"/>
      <c r="V1156" s="179"/>
      <c r="W1156" s="192"/>
      <c r="X1156" s="192"/>
      <c r="Y1156" s="192"/>
      <c r="Z1156" s="158"/>
      <c r="AA1156" s="158"/>
      <c r="AB1156" s="158"/>
      <c r="AC1156" s="158"/>
      <c r="AD1156" s="158"/>
      <c r="AE1156" s="158"/>
      <c r="AF1156" s="158"/>
      <c r="AG1156" s="158"/>
      <c r="AH1156" s="158"/>
    </row>
    <row r="1157" spans="1:34" ht="15.75" customHeight="1">
      <c r="A1157" s="179"/>
      <c r="B1157" s="180"/>
      <c r="C1157" s="180"/>
      <c r="D1157" s="179"/>
      <c r="E1157" s="179"/>
      <c r="F1157" s="179"/>
      <c r="G1157" s="179"/>
      <c r="H1157" s="181"/>
      <c r="I1157" s="181"/>
      <c r="J1157" s="181"/>
      <c r="K1157" s="179"/>
      <c r="L1157" s="179"/>
      <c r="M1157" s="179"/>
      <c r="N1157" s="181"/>
      <c r="O1157" s="179"/>
      <c r="P1157" s="179"/>
      <c r="Q1157" s="179"/>
      <c r="R1157" s="179"/>
      <c r="S1157" s="179"/>
      <c r="T1157" s="179"/>
      <c r="U1157" s="179"/>
      <c r="V1157" s="179"/>
      <c r="W1157" s="192"/>
      <c r="X1157" s="192"/>
      <c r="Y1157" s="192"/>
      <c r="Z1157" s="158"/>
      <c r="AA1157" s="158"/>
      <c r="AB1157" s="158"/>
      <c r="AC1157" s="158"/>
      <c r="AD1157" s="158"/>
      <c r="AE1157" s="158"/>
      <c r="AF1157" s="158"/>
      <c r="AG1157" s="158"/>
      <c r="AH1157" s="158"/>
    </row>
    <row r="1158" spans="1:34" ht="15.75" customHeight="1">
      <c r="A1158" s="179"/>
      <c r="B1158" s="180"/>
      <c r="C1158" s="180"/>
      <c r="D1158" s="179"/>
      <c r="E1158" s="179"/>
      <c r="F1158" s="179"/>
      <c r="G1158" s="179"/>
      <c r="H1158" s="181"/>
      <c r="I1158" s="181"/>
      <c r="J1158" s="181"/>
      <c r="K1158" s="179"/>
      <c r="L1158" s="179"/>
      <c r="M1158" s="179"/>
      <c r="N1158" s="181"/>
      <c r="O1158" s="179"/>
      <c r="P1158" s="179"/>
      <c r="Q1158" s="179"/>
      <c r="R1158" s="179"/>
      <c r="S1158" s="179"/>
      <c r="T1158" s="179"/>
      <c r="U1158" s="179"/>
      <c r="V1158" s="179"/>
      <c r="W1158" s="192"/>
      <c r="X1158" s="192"/>
      <c r="Y1158" s="192"/>
      <c r="Z1158" s="158"/>
      <c r="AA1158" s="158"/>
      <c r="AB1158" s="158"/>
      <c r="AC1158" s="158"/>
      <c r="AD1158" s="158"/>
      <c r="AE1158" s="158"/>
      <c r="AF1158" s="158"/>
      <c r="AG1158" s="158"/>
      <c r="AH1158" s="158"/>
    </row>
    <row r="1159" spans="1:34" ht="15.75" customHeight="1">
      <c r="A1159" s="179"/>
      <c r="B1159" s="180"/>
      <c r="C1159" s="180"/>
      <c r="D1159" s="179"/>
      <c r="E1159" s="179"/>
      <c r="F1159" s="179"/>
      <c r="G1159" s="179"/>
      <c r="H1159" s="181"/>
      <c r="I1159" s="181"/>
      <c r="J1159" s="181"/>
      <c r="K1159" s="179"/>
      <c r="L1159" s="179"/>
      <c r="M1159" s="179"/>
      <c r="N1159" s="181"/>
      <c r="O1159" s="179"/>
      <c r="P1159" s="179"/>
      <c r="Q1159" s="179"/>
      <c r="R1159" s="179"/>
      <c r="S1159" s="179"/>
      <c r="T1159" s="179"/>
      <c r="U1159" s="179"/>
      <c r="V1159" s="179"/>
      <c r="W1159" s="192"/>
      <c r="X1159" s="192"/>
      <c r="Y1159" s="192"/>
      <c r="Z1159" s="158"/>
      <c r="AA1159" s="158"/>
      <c r="AB1159" s="158"/>
      <c r="AC1159" s="158"/>
      <c r="AD1159" s="158"/>
      <c r="AE1159" s="158"/>
      <c r="AF1159" s="158"/>
      <c r="AG1159" s="158"/>
      <c r="AH1159" s="158"/>
    </row>
    <row r="1160" spans="1:34" ht="15.75" customHeight="1">
      <c r="A1160" s="179"/>
      <c r="B1160" s="180"/>
      <c r="C1160" s="180"/>
      <c r="D1160" s="179"/>
      <c r="E1160" s="179"/>
      <c r="F1160" s="179"/>
      <c r="G1160" s="179"/>
      <c r="H1160" s="181"/>
      <c r="I1160" s="181"/>
      <c r="J1160" s="181"/>
      <c r="K1160" s="179"/>
      <c r="L1160" s="179"/>
      <c r="M1160" s="179"/>
      <c r="N1160" s="181"/>
      <c r="O1160" s="179"/>
      <c r="P1160" s="179"/>
      <c r="Q1160" s="179"/>
      <c r="R1160" s="179"/>
      <c r="S1160" s="179"/>
      <c r="T1160" s="179"/>
      <c r="U1160" s="179"/>
      <c r="V1160" s="179"/>
      <c r="W1160" s="192"/>
      <c r="X1160" s="192"/>
      <c r="Y1160" s="192"/>
      <c r="Z1160" s="158"/>
      <c r="AA1160" s="158"/>
      <c r="AB1160" s="158"/>
      <c r="AC1160" s="158"/>
      <c r="AD1160" s="158"/>
      <c r="AE1160" s="158"/>
      <c r="AF1160" s="158"/>
      <c r="AG1160" s="158"/>
      <c r="AH1160" s="158"/>
    </row>
    <row r="1161" spans="1:34" ht="15.75" customHeight="1">
      <c r="A1161" s="179"/>
      <c r="B1161" s="180"/>
      <c r="C1161" s="180"/>
      <c r="D1161" s="179"/>
      <c r="E1161" s="179"/>
      <c r="F1161" s="179"/>
      <c r="G1161" s="179"/>
      <c r="H1161" s="181"/>
      <c r="I1161" s="181"/>
      <c r="J1161" s="181"/>
      <c r="K1161" s="179"/>
      <c r="L1161" s="179"/>
      <c r="M1161" s="179"/>
      <c r="N1161" s="181"/>
      <c r="O1161" s="179"/>
      <c r="P1161" s="179"/>
      <c r="Q1161" s="179"/>
      <c r="R1161" s="179"/>
      <c r="S1161" s="179"/>
      <c r="T1161" s="179"/>
      <c r="U1161" s="179"/>
      <c r="V1161" s="179"/>
      <c r="W1161" s="192"/>
      <c r="X1161" s="192"/>
      <c r="Y1161" s="192"/>
      <c r="Z1161" s="158"/>
      <c r="AA1161" s="158"/>
      <c r="AB1161" s="158"/>
      <c r="AC1161" s="158"/>
      <c r="AD1161" s="158"/>
      <c r="AE1161" s="158"/>
      <c r="AF1161" s="158"/>
      <c r="AG1161" s="158"/>
      <c r="AH1161" s="158"/>
    </row>
    <row r="1162" spans="1:34" ht="15.75" customHeight="1">
      <c r="A1162" s="179"/>
      <c r="B1162" s="180"/>
      <c r="C1162" s="180"/>
      <c r="D1162" s="179"/>
      <c r="E1162" s="179"/>
      <c r="F1162" s="179"/>
      <c r="G1162" s="179"/>
      <c r="H1162" s="181"/>
      <c r="I1162" s="181"/>
      <c r="J1162" s="181"/>
      <c r="K1162" s="179"/>
      <c r="L1162" s="179"/>
      <c r="M1162" s="179"/>
      <c r="N1162" s="181"/>
      <c r="O1162" s="179"/>
      <c r="P1162" s="179"/>
      <c r="Q1162" s="179"/>
      <c r="R1162" s="179"/>
      <c r="S1162" s="179"/>
      <c r="T1162" s="179"/>
      <c r="U1162" s="179"/>
      <c r="V1162" s="179"/>
      <c r="W1162" s="192"/>
      <c r="X1162" s="192"/>
      <c r="Y1162" s="192"/>
      <c r="Z1162" s="158"/>
      <c r="AA1162" s="158"/>
      <c r="AB1162" s="158"/>
      <c r="AC1162" s="158"/>
      <c r="AD1162" s="158"/>
      <c r="AE1162" s="158"/>
      <c r="AF1162" s="158"/>
      <c r="AG1162" s="158"/>
      <c r="AH1162" s="158"/>
    </row>
    <row r="1163" spans="1:34" ht="15.75" customHeight="1">
      <c r="A1163" s="179"/>
      <c r="B1163" s="180"/>
      <c r="C1163" s="180"/>
      <c r="D1163" s="179"/>
      <c r="E1163" s="179"/>
      <c r="F1163" s="179"/>
      <c r="G1163" s="179"/>
      <c r="H1163" s="181"/>
      <c r="I1163" s="181"/>
      <c r="J1163" s="181"/>
      <c r="K1163" s="179"/>
      <c r="L1163" s="179"/>
      <c r="M1163" s="179"/>
      <c r="N1163" s="181"/>
      <c r="O1163" s="179"/>
      <c r="P1163" s="179"/>
      <c r="Q1163" s="179"/>
      <c r="R1163" s="179"/>
      <c r="S1163" s="179"/>
      <c r="T1163" s="179"/>
      <c r="U1163" s="179"/>
      <c r="V1163" s="179"/>
      <c r="W1163" s="192"/>
      <c r="X1163" s="192"/>
      <c r="Y1163" s="192"/>
      <c r="Z1163" s="158"/>
      <c r="AA1163" s="158"/>
      <c r="AB1163" s="158"/>
      <c r="AC1163" s="158"/>
      <c r="AD1163" s="158"/>
      <c r="AE1163" s="158"/>
      <c r="AF1163" s="158"/>
      <c r="AG1163" s="158"/>
      <c r="AH1163" s="158"/>
    </row>
    <row r="1164" spans="1:34" ht="15.75" customHeight="1">
      <c r="A1164" s="179"/>
      <c r="B1164" s="180"/>
      <c r="C1164" s="180"/>
      <c r="D1164" s="179"/>
      <c r="E1164" s="179"/>
      <c r="F1164" s="179"/>
      <c r="G1164" s="179"/>
      <c r="H1164" s="181"/>
      <c r="I1164" s="181"/>
      <c r="J1164" s="181"/>
      <c r="K1164" s="179"/>
      <c r="L1164" s="179"/>
      <c r="M1164" s="179"/>
      <c r="N1164" s="181"/>
      <c r="O1164" s="179"/>
      <c r="P1164" s="179"/>
      <c r="Q1164" s="179"/>
      <c r="R1164" s="179"/>
      <c r="S1164" s="179"/>
      <c r="T1164" s="179"/>
      <c r="U1164" s="179"/>
      <c r="V1164" s="179"/>
      <c r="W1164" s="192"/>
      <c r="X1164" s="192"/>
      <c r="Y1164" s="192"/>
      <c r="Z1164" s="158"/>
      <c r="AA1164" s="158"/>
      <c r="AB1164" s="158"/>
      <c r="AC1164" s="158"/>
      <c r="AD1164" s="158"/>
      <c r="AE1164" s="158"/>
      <c r="AF1164" s="158"/>
      <c r="AG1164" s="158"/>
      <c r="AH1164" s="158"/>
    </row>
    <row r="1165" spans="1:34" ht="15.75" customHeight="1">
      <c r="A1165" s="179"/>
      <c r="B1165" s="180"/>
      <c r="C1165" s="180"/>
      <c r="D1165" s="179"/>
      <c r="E1165" s="179"/>
      <c r="F1165" s="179"/>
      <c r="G1165" s="179"/>
      <c r="H1165" s="181"/>
      <c r="I1165" s="181"/>
      <c r="J1165" s="181"/>
      <c r="K1165" s="179"/>
      <c r="L1165" s="179"/>
      <c r="M1165" s="179"/>
      <c r="N1165" s="181"/>
      <c r="O1165" s="179"/>
      <c r="P1165" s="179"/>
      <c r="Q1165" s="179"/>
      <c r="R1165" s="179"/>
      <c r="S1165" s="179"/>
      <c r="T1165" s="179"/>
      <c r="U1165" s="179"/>
      <c r="V1165" s="179"/>
      <c r="W1165" s="192"/>
      <c r="X1165" s="192"/>
      <c r="Y1165" s="192"/>
      <c r="Z1165" s="158"/>
      <c r="AA1165" s="158"/>
      <c r="AB1165" s="158"/>
      <c r="AC1165" s="158"/>
      <c r="AD1165" s="158"/>
      <c r="AE1165" s="158"/>
      <c r="AF1165" s="158"/>
      <c r="AG1165" s="158"/>
      <c r="AH1165" s="158"/>
    </row>
    <row r="1166" spans="1:34" ht="15.75" customHeight="1">
      <c r="A1166" s="179"/>
      <c r="B1166" s="180"/>
      <c r="C1166" s="180"/>
      <c r="D1166" s="179"/>
      <c r="E1166" s="179"/>
      <c r="F1166" s="179"/>
      <c r="G1166" s="179"/>
      <c r="H1166" s="181"/>
      <c r="I1166" s="181"/>
      <c r="J1166" s="181"/>
      <c r="K1166" s="179"/>
      <c r="L1166" s="179"/>
      <c r="M1166" s="179"/>
      <c r="N1166" s="181"/>
      <c r="O1166" s="179"/>
      <c r="P1166" s="179"/>
      <c r="Q1166" s="179"/>
      <c r="R1166" s="179"/>
      <c r="S1166" s="179"/>
      <c r="T1166" s="179"/>
      <c r="U1166" s="179"/>
      <c r="V1166" s="179"/>
      <c r="W1166" s="192"/>
      <c r="X1166" s="192"/>
      <c r="Y1166" s="192"/>
      <c r="Z1166" s="158"/>
      <c r="AA1166" s="158"/>
      <c r="AB1166" s="158"/>
      <c r="AC1166" s="158"/>
      <c r="AD1166" s="158"/>
      <c r="AE1166" s="158"/>
      <c r="AF1166" s="158"/>
      <c r="AG1166" s="158"/>
      <c r="AH1166" s="158"/>
    </row>
    <row r="1167" spans="1:34" ht="15.75" customHeight="1">
      <c r="A1167" s="179"/>
      <c r="B1167" s="180"/>
      <c r="C1167" s="180"/>
      <c r="D1167" s="179"/>
      <c r="E1167" s="179"/>
      <c r="F1167" s="179"/>
      <c r="G1167" s="179"/>
      <c r="H1167" s="181"/>
      <c r="I1167" s="181"/>
      <c r="J1167" s="181"/>
      <c r="K1167" s="179"/>
      <c r="L1167" s="179"/>
      <c r="M1167" s="179"/>
      <c r="N1167" s="181"/>
      <c r="O1167" s="179"/>
      <c r="P1167" s="179"/>
      <c r="Q1167" s="179"/>
      <c r="R1167" s="179"/>
      <c r="S1167" s="179"/>
      <c r="T1167" s="179"/>
      <c r="U1167" s="179"/>
      <c r="V1167" s="179"/>
      <c r="W1167" s="192"/>
      <c r="X1167" s="192"/>
      <c r="Y1167" s="192"/>
      <c r="Z1167" s="158"/>
      <c r="AA1167" s="158"/>
      <c r="AB1167" s="158"/>
      <c r="AC1167" s="158"/>
      <c r="AD1167" s="158"/>
      <c r="AE1167" s="158"/>
      <c r="AF1167" s="158"/>
      <c r="AG1167" s="158"/>
      <c r="AH1167" s="158"/>
    </row>
    <row r="1168" spans="1:34" ht="15.75" customHeight="1">
      <c r="A1168" s="179"/>
      <c r="B1168" s="180"/>
      <c r="C1168" s="180"/>
      <c r="D1168" s="179"/>
      <c r="E1168" s="179"/>
      <c r="F1168" s="179"/>
      <c r="G1168" s="179"/>
      <c r="H1168" s="181"/>
      <c r="I1168" s="181"/>
      <c r="J1168" s="181"/>
      <c r="K1168" s="179"/>
      <c r="L1168" s="179"/>
      <c r="M1168" s="179"/>
      <c r="N1168" s="181"/>
      <c r="O1168" s="179"/>
      <c r="P1168" s="179"/>
      <c r="Q1168" s="179"/>
      <c r="R1168" s="179"/>
      <c r="S1168" s="179"/>
      <c r="T1168" s="179"/>
      <c r="U1168" s="179"/>
      <c r="V1168" s="179"/>
      <c r="W1168" s="192"/>
      <c r="X1168" s="192"/>
      <c r="Y1168" s="192"/>
      <c r="Z1168" s="158"/>
      <c r="AA1168" s="158"/>
      <c r="AB1168" s="158"/>
      <c r="AC1168" s="158"/>
      <c r="AD1168" s="158"/>
      <c r="AE1168" s="158"/>
      <c r="AF1168" s="158"/>
      <c r="AG1168" s="158"/>
      <c r="AH1168" s="158"/>
    </row>
    <row r="1169" spans="1:34" ht="15.75" customHeight="1">
      <c r="A1169" s="179"/>
      <c r="B1169" s="180"/>
      <c r="C1169" s="180"/>
      <c r="D1169" s="179"/>
      <c r="E1169" s="179"/>
      <c r="F1169" s="179"/>
      <c r="G1169" s="179"/>
      <c r="H1169" s="181"/>
      <c r="I1169" s="181"/>
      <c r="J1169" s="181"/>
      <c r="K1169" s="179"/>
      <c r="L1169" s="179"/>
      <c r="M1169" s="179"/>
      <c r="N1169" s="181"/>
      <c r="O1169" s="179"/>
      <c r="P1169" s="179"/>
      <c r="Q1169" s="179"/>
      <c r="R1169" s="179"/>
      <c r="S1169" s="179"/>
      <c r="T1169" s="179"/>
      <c r="U1169" s="179"/>
      <c r="V1169" s="179"/>
      <c r="W1169" s="192"/>
      <c r="X1169" s="192"/>
      <c r="Y1169" s="192"/>
      <c r="Z1169" s="158"/>
      <c r="AA1169" s="158"/>
      <c r="AB1169" s="158"/>
      <c r="AC1169" s="158"/>
      <c r="AD1169" s="158"/>
      <c r="AE1169" s="158"/>
      <c r="AF1169" s="158"/>
      <c r="AG1169" s="158"/>
      <c r="AH1169" s="158"/>
    </row>
    <row r="1170" spans="1:34" ht="15.75" customHeight="1">
      <c r="A1170" s="179"/>
      <c r="B1170" s="180"/>
      <c r="C1170" s="180"/>
      <c r="D1170" s="179"/>
      <c r="E1170" s="179"/>
      <c r="F1170" s="179"/>
      <c r="G1170" s="179"/>
      <c r="H1170" s="181"/>
      <c r="I1170" s="181"/>
      <c r="J1170" s="181"/>
      <c r="K1170" s="179"/>
      <c r="L1170" s="179"/>
      <c r="M1170" s="179"/>
      <c r="N1170" s="181"/>
      <c r="O1170" s="179"/>
      <c r="P1170" s="179"/>
      <c r="Q1170" s="179"/>
      <c r="R1170" s="179"/>
      <c r="S1170" s="179"/>
      <c r="T1170" s="179"/>
      <c r="U1170" s="179"/>
      <c r="V1170" s="179"/>
      <c r="W1170" s="192"/>
      <c r="X1170" s="192"/>
      <c r="Y1170" s="192"/>
      <c r="Z1170" s="158"/>
      <c r="AA1170" s="158"/>
      <c r="AB1170" s="158"/>
      <c r="AC1170" s="158"/>
      <c r="AD1170" s="158"/>
      <c r="AE1170" s="158"/>
      <c r="AF1170" s="158"/>
      <c r="AG1170" s="158"/>
      <c r="AH1170" s="158"/>
    </row>
    <row r="1171" spans="1:34" ht="15.75" customHeight="1">
      <c r="A1171" s="179"/>
      <c r="B1171" s="180"/>
      <c r="C1171" s="180"/>
      <c r="D1171" s="179"/>
      <c r="E1171" s="179"/>
      <c r="F1171" s="179"/>
      <c r="G1171" s="179"/>
      <c r="H1171" s="181"/>
      <c r="I1171" s="181"/>
      <c r="J1171" s="181"/>
      <c r="K1171" s="179"/>
      <c r="L1171" s="179"/>
      <c r="M1171" s="179"/>
      <c r="N1171" s="181"/>
      <c r="O1171" s="179"/>
      <c r="P1171" s="179"/>
      <c r="Q1171" s="179"/>
      <c r="R1171" s="179"/>
      <c r="S1171" s="179"/>
      <c r="T1171" s="179"/>
      <c r="U1171" s="179"/>
      <c r="V1171" s="179"/>
      <c r="W1171" s="192"/>
      <c r="X1171" s="192"/>
      <c r="Y1171" s="192"/>
      <c r="Z1171" s="158"/>
      <c r="AA1171" s="158"/>
      <c r="AB1171" s="158"/>
      <c r="AC1171" s="158"/>
      <c r="AD1171" s="158"/>
      <c r="AE1171" s="158"/>
      <c r="AF1171" s="158"/>
      <c r="AG1171" s="158"/>
      <c r="AH1171" s="158"/>
    </row>
    <row r="1172" spans="1:34" ht="15.75" customHeight="1">
      <c r="A1172" s="179"/>
      <c r="B1172" s="180"/>
      <c r="C1172" s="180"/>
      <c r="D1172" s="179"/>
      <c r="E1172" s="179"/>
      <c r="F1172" s="179"/>
      <c r="G1172" s="179"/>
      <c r="H1172" s="181"/>
      <c r="I1172" s="181"/>
      <c r="J1172" s="181"/>
      <c r="K1172" s="179"/>
      <c r="L1172" s="179"/>
      <c r="M1172" s="179"/>
      <c r="N1172" s="181"/>
      <c r="O1172" s="179"/>
      <c r="P1172" s="179"/>
      <c r="Q1172" s="179"/>
      <c r="R1172" s="179"/>
      <c r="S1172" s="179"/>
      <c r="T1172" s="179"/>
      <c r="U1172" s="179"/>
      <c r="V1172" s="179"/>
      <c r="W1172" s="192"/>
      <c r="X1172" s="192"/>
      <c r="Y1172" s="192"/>
      <c r="Z1172" s="158"/>
      <c r="AA1172" s="158"/>
      <c r="AB1172" s="158"/>
      <c r="AC1172" s="158"/>
      <c r="AD1172" s="158"/>
      <c r="AE1172" s="158"/>
      <c r="AF1172" s="158"/>
      <c r="AG1172" s="158"/>
      <c r="AH1172" s="158"/>
    </row>
    <row r="1173" spans="1:34" ht="15.75" customHeight="1">
      <c r="A1173" s="179"/>
      <c r="B1173" s="180"/>
      <c r="C1173" s="180"/>
      <c r="D1173" s="179"/>
      <c r="E1173" s="179"/>
      <c r="F1173" s="179"/>
      <c r="G1173" s="179"/>
      <c r="H1173" s="181"/>
      <c r="I1173" s="181"/>
      <c r="J1173" s="181"/>
      <c r="K1173" s="179"/>
      <c r="L1173" s="179"/>
      <c r="M1173" s="179"/>
      <c r="N1173" s="181"/>
      <c r="O1173" s="179"/>
      <c r="P1173" s="179"/>
      <c r="Q1173" s="179"/>
      <c r="R1173" s="179"/>
      <c r="S1173" s="179"/>
      <c r="T1173" s="179"/>
      <c r="U1173" s="179"/>
      <c r="V1173" s="179"/>
      <c r="W1173" s="192"/>
      <c r="X1173" s="192"/>
      <c r="Y1173" s="192"/>
      <c r="Z1173" s="158"/>
      <c r="AA1173" s="158"/>
      <c r="AB1173" s="158"/>
      <c r="AC1173" s="158"/>
      <c r="AD1173" s="158"/>
      <c r="AE1173" s="158"/>
      <c r="AF1173" s="158"/>
      <c r="AG1173" s="158"/>
      <c r="AH1173" s="158"/>
    </row>
    <row r="1174" spans="1:34" ht="15.75" customHeight="1">
      <c r="A1174" s="179"/>
      <c r="B1174" s="180"/>
      <c r="C1174" s="180"/>
      <c r="D1174" s="179"/>
      <c r="E1174" s="179"/>
      <c r="F1174" s="179"/>
      <c r="G1174" s="179"/>
      <c r="H1174" s="181"/>
      <c r="I1174" s="181"/>
      <c r="J1174" s="181"/>
      <c r="K1174" s="179"/>
      <c r="L1174" s="179"/>
      <c r="M1174" s="179"/>
      <c r="N1174" s="181"/>
      <c r="O1174" s="179"/>
      <c r="P1174" s="179"/>
      <c r="Q1174" s="179"/>
      <c r="R1174" s="179"/>
      <c r="S1174" s="179"/>
      <c r="T1174" s="179"/>
      <c r="U1174" s="179"/>
      <c r="V1174" s="179"/>
      <c r="W1174" s="192"/>
      <c r="X1174" s="192"/>
      <c r="Y1174" s="192"/>
      <c r="Z1174" s="158"/>
      <c r="AA1174" s="158"/>
      <c r="AB1174" s="158"/>
      <c r="AC1174" s="158"/>
      <c r="AD1174" s="158"/>
      <c r="AE1174" s="158"/>
      <c r="AF1174" s="158"/>
      <c r="AG1174" s="158"/>
      <c r="AH1174" s="158"/>
    </row>
    <row r="1175" spans="1:34" ht="15.75" customHeight="1">
      <c r="A1175" s="179"/>
      <c r="B1175" s="180"/>
      <c r="C1175" s="180"/>
      <c r="D1175" s="179"/>
      <c r="E1175" s="179"/>
      <c r="F1175" s="179"/>
      <c r="G1175" s="179"/>
      <c r="H1175" s="181"/>
      <c r="I1175" s="181"/>
      <c r="J1175" s="181"/>
      <c r="K1175" s="179"/>
      <c r="L1175" s="179"/>
      <c r="M1175" s="179"/>
      <c r="N1175" s="181"/>
      <c r="O1175" s="179"/>
      <c r="P1175" s="179"/>
      <c r="Q1175" s="179"/>
      <c r="R1175" s="179"/>
      <c r="S1175" s="179"/>
      <c r="T1175" s="179"/>
      <c r="U1175" s="179"/>
      <c r="V1175" s="179"/>
      <c r="W1175" s="192"/>
      <c r="X1175" s="192"/>
      <c r="Y1175" s="192"/>
      <c r="Z1175" s="158"/>
      <c r="AA1175" s="158"/>
      <c r="AB1175" s="158"/>
      <c r="AC1175" s="158"/>
      <c r="AD1175" s="158"/>
      <c r="AE1175" s="158"/>
      <c r="AF1175" s="158"/>
      <c r="AG1175" s="158"/>
      <c r="AH1175" s="158"/>
    </row>
    <row r="1176" spans="1:34" ht="15.75" customHeight="1">
      <c r="A1176" s="179"/>
      <c r="B1176" s="180"/>
      <c r="C1176" s="180"/>
      <c r="D1176" s="179"/>
      <c r="E1176" s="179"/>
      <c r="F1176" s="179"/>
      <c r="G1176" s="179"/>
      <c r="H1176" s="181"/>
      <c r="I1176" s="181"/>
      <c r="J1176" s="181"/>
      <c r="K1176" s="179"/>
      <c r="L1176" s="179"/>
      <c r="M1176" s="179"/>
      <c r="N1176" s="181"/>
      <c r="O1176" s="179"/>
      <c r="P1176" s="179"/>
      <c r="Q1176" s="179"/>
      <c r="R1176" s="179"/>
      <c r="S1176" s="179"/>
      <c r="T1176" s="179"/>
      <c r="U1176" s="179"/>
      <c r="V1176" s="179"/>
      <c r="W1176" s="192"/>
      <c r="X1176" s="192"/>
      <c r="Y1176" s="192"/>
      <c r="Z1176" s="158"/>
      <c r="AA1176" s="158"/>
      <c r="AB1176" s="158"/>
      <c r="AC1176" s="158"/>
      <c r="AD1176" s="158"/>
      <c r="AE1176" s="158"/>
      <c r="AF1176" s="158"/>
      <c r="AG1176" s="158"/>
      <c r="AH1176" s="158"/>
    </row>
    <row r="1177" spans="1:34" ht="15.75" customHeight="1">
      <c r="A1177" s="179"/>
      <c r="B1177" s="180"/>
      <c r="C1177" s="180"/>
      <c r="D1177" s="179"/>
      <c r="E1177" s="179"/>
      <c r="F1177" s="179"/>
      <c r="G1177" s="179"/>
      <c r="H1177" s="181"/>
      <c r="I1177" s="181"/>
      <c r="J1177" s="181"/>
      <c r="K1177" s="179"/>
      <c r="L1177" s="179"/>
      <c r="M1177" s="179"/>
      <c r="N1177" s="181"/>
      <c r="O1177" s="179"/>
      <c r="P1177" s="179"/>
      <c r="Q1177" s="179"/>
      <c r="R1177" s="179"/>
      <c r="S1177" s="179"/>
      <c r="T1177" s="179"/>
      <c r="U1177" s="179"/>
      <c r="V1177" s="179"/>
      <c r="W1177" s="192"/>
      <c r="X1177" s="192"/>
      <c r="Y1177" s="192"/>
      <c r="Z1177" s="158"/>
      <c r="AA1177" s="158"/>
      <c r="AB1177" s="158"/>
      <c r="AC1177" s="158"/>
      <c r="AD1177" s="158"/>
      <c r="AE1177" s="158"/>
      <c r="AF1177" s="158"/>
      <c r="AG1177" s="158"/>
      <c r="AH1177" s="158"/>
    </row>
    <row r="1178" spans="1:34" ht="15.75" customHeight="1">
      <c r="A1178" s="179"/>
      <c r="B1178" s="180"/>
      <c r="C1178" s="180"/>
      <c r="D1178" s="179"/>
      <c r="E1178" s="179"/>
      <c r="F1178" s="179"/>
      <c r="G1178" s="179"/>
      <c r="H1178" s="181"/>
      <c r="I1178" s="181"/>
      <c r="J1178" s="181"/>
      <c r="K1178" s="179"/>
      <c r="L1178" s="179"/>
      <c r="M1178" s="179"/>
      <c r="N1178" s="181"/>
      <c r="O1178" s="179"/>
      <c r="P1178" s="179"/>
      <c r="Q1178" s="179"/>
      <c r="R1178" s="179"/>
      <c r="S1178" s="179"/>
      <c r="T1178" s="179"/>
      <c r="U1178" s="179"/>
      <c r="V1178" s="179"/>
      <c r="W1178" s="192"/>
      <c r="X1178" s="192"/>
      <c r="Y1178" s="192"/>
      <c r="Z1178" s="158"/>
      <c r="AA1178" s="158"/>
      <c r="AB1178" s="158"/>
      <c r="AC1178" s="158"/>
      <c r="AD1178" s="158"/>
      <c r="AE1178" s="158"/>
      <c r="AF1178" s="158"/>
      <c r="AG1178" s="158"/>
      <c r="AH1178" s="158"/>
    </row>
    <row r="1179" spans="1:34" ht="15.75" customHeight="1">
      <c r="A1179" s="179"/>
      <c r="B1179" s="180"/>
      <c r="C1179" s="180"/>
      <c r="D1179" s="179"/>
      <c r="E1179" s="179"/>
      <c r="F1179" s="179"/>
      <c r="G1179" s="179"/>
      <c r="H1179" s="181"/>
      <c r="I1179" s="181"/>
      <c r="J1179" s="181"/>
      <c r="K1179" s="179"/>
      <c r="L1179" s="179"/>
      <c r="M1179" s="179"/>
      <c r="N1179" s="181"/>
      <c r="O1179" s="179"/>
      <c r="P1179" s="179"/>
      <c r="Q1179" s="179"/>
      <c r="R1179" s="179"/>
      <c r="S1179" s="179"/>
      <c r="T1179" s="179"/>
      <c r="U1179" s="179"/>
      <c r="V1179" s="179"/>
      <c r="W1179" s="192"/>
      <c r="X1179" s="192"/>
      <c r="Y1179" s="192"/>
      <c r="Z1179" s="158"/>
      <c r="AA1179" s="158"/>
      <c r="AB1179" s="158"/>
      <c r="AC1179" s="158"/>
      <c r="AD1179" s="158"/>
      <c r="AE1179" s="158"/>
      <c r="AF1179" s="158"/>
      <c r="AG1179" s="158"/>
      <c r="AH1179" s="158"/>
    </row>
    <row r="1180" spans="1:34" ht="15.75" customHeight="1">
      <c r="A1180" s="179"/>
      <c r="B1180" s="180"/>
      <c r="C1180" s="180"/>
      <c r="D1180" s="179"/>
      <c r="E1180" s="179"/>
      <c r="F1180" s="179"/>
      <c r="G1180" s="179"/>
      <c r="H1180" s="181"/>
      <c r="I1180" s="181"/>
      <c r="J1180" s="181"/>
      <c r="K1180" s="179"/>
      <c r="L1180" s="179"/>
      <c r="M1180" s="179"/>
      <c r="N1180" s="181"/>
      <c r="O1180" s="179"/>
      <c r="P1180" s="179"/>
      <c r="Q1180" s="179"/>
      <c r="R1180" s="179"/>
      <c r="S1180" s="179"/>
      <c r="T1180" s="179"/>
      <c r="U1180" s="179"/>
      <c r="V1180" s="179"/>
      <c r="W1180" s="192"/>
      <c r="X1180" s="192"/>
      <c r="Y1180" s="192"/>
      <c r="Z1180" s="158"/>
      <c r="AA1180" s="158"/>
      <c r="AB1180" s="158"/>
      <c r="AC1180" s="158"/>
      <c r="AD1180" s="158"/>
      <c r="AE1180" s="158"/>
      <c r="AF1180" s="158"/>
      <c r="AG1180" s="158"/>
      <c r="AH1180" s="158"/>
    </row>
    <row r="1181" spans="1:34" ht="15.75" customHeight="1">
      <c r="A1181" s="179"/>
      <c r="B1181" s="180"/>
      <c r="C1181" s="180"/>
      <c r="D1181" s="179"/>
      <c r="E1181" s="179"/>
      <c r="F1181" s="179"/>
      <c r="G1181" s="179"/>
      <c r="H1181" s="181"/>
      <c r="I1181" s="181"/>
      <c r="J1181" s="181"/>
      <c r="K1181" s="179"/>
      <c r="L1181" s="179"/>
      <c r="M1181" s="179"/>
      <c r="N1181" s="181"/>
      <c r="O1181" s="179"/>
      <c r="P1181" s="179"/>
      <c r="Q1181" s="179"/>
      <c r="R1181" s="179"/>
      <c r="S1181" s="179"/>
      <c r="T1181" s="179"/>
      <c r="U1181" s="179"/>
      <c r="V1181" s="179"/>
      <c r="W1181" s="192"/>
      <c r="X1181" s="192"/>
      <c r="Y1181" s="192"/>
      <c r="Z1181" s="158"/>
      <c r="AA1181" s="158"/>
      <c r="AB1181" s="158"/>
      <c r="AC1181" s="158"/>
      <c r="AD1181" s="158"/>
      <c r="AE1181" s="158"/>
      <c r="AF1181" s="158"/>
      <c r="AG1181" s="158"/>
      <c r="AH1181" s="158"/>
    </row>
    <row r="1182" spans="1:34" ht="15.75" customHeight="1">
      <c r="A1182" s="179"/>
      <c r="B1182" s="180"/>
      <c r="C1182" s="180"/>
      <c r="D1182" s="179"/>
      <c r="E1182" s="179"/>
      <c r="F1182" s="179"/>
      <c r="G1182" s="179"/>
      <c r="H1182" s="181"/>
      <c r="I1182" s="181"/>
      <c r="J1182" s="181"/>
      <c r="K1182" s="179"/>
      <c r="L1182" s="179"/>
      <c r="M1182" s="179"/>
      <c r="N1182" s="181"/>
      <c r="O1182" s="179"/>
      <c r="P1182" s="179"/>
      <c r="Q1182" s="179"/>
      <c r="R1182" s="179"/>
      <c r="S1182" s="179"/>
      <c r="T1182" s="179"/>
      <c r="U1182" s="179"/>
      <c r="V1182" s="179"/>
      <c r="W1182" s="192"/>
      <c r="X1182" s="192"/>
      <c r="Y1182" s="192"/>
      <c r="Z1182" s="158"/>
      <c r="AA1182" s="158"/>
      <c r="AB1182" s="158"/>
      <c r="AC1182" s="158"/>
      <c r="AD1182" s="158"/>
      <c r="AE1182" s="158"/>
      <c r="AF1182" s="158"/>
      <c r="AG1182" s="158"/>
      <c r="AH1182" s="158"/>
    </row>
    <row r="1183" spans="1:34" ht="15.75" customHeight="1">
      <c r="A1183" s="179"/>
      <c r="B1183" s="180"/>
      <c r="C1183" s="180"/>
      <c r="D1183" s="179"/>
      <c r="E1183" s="179"/>
      <c r="F1183" s="179"/>
      <c r="G1183" s="179"/>
      <c r="H1183" s="181"/>
      <c r="I1183" s="181"/>
      <c r="J1183" s="181"/>
      <c r="K1183" s="179"/>
      <c r="L1183" s="179"/>
      <c r="M1183" s="179"/>
      <c r="N1183" s="181"/>
      <c r="O1183" s="179"/>
      <c r="P1183" s="179"/>
      <c r="Q1183" s="179"/>
      <c r="R1183" s="179"/>
      <c r="S1183" s="179"/>
      <c r="T1183" s="179"/>
      <c r="U1183" s="179"/>
      <c r="V1183" s="179"/>
      <c r="W1183" s="192"/>
      <c r="X1183" s="192"/>
      <c r="Y1183" s="192"/>
      <c r="Z1183" s="158"/>
      <c r="AA1183" s="158"/>
      <c r="AB1183" s="158"/>
      <c r="AC1183" s="158"/>
      <c r="AD1183" s="158"/>
      <c r="AE1183" s="158"/>
      <c r="AF1183" s="158"/>
      <c r="AG1183" s="158"/>
      <c r="AH1183" s="158"/>
    </row>
    <row r="1184" spans="1:34" ht="15.75" customHeight="1">
      <c r="A1184" s="179"/>
      <c r="B1184" s="180"/>
      <c r="C1184" s="180"/>
      <c r="D1184" s="179"/>
      <c r="E1184" s="179"/>
      <c r="F1184" s="179"/>
      <c r="G1184" s="179"/>
      <c r="H1184" s="181"/>
      <c r="I1184" s="181"/>
      <c r="J1184" s="181"/>
      <c r="K1184" s="179"/>
      <c r="L1184" s="179"/>
      <c r="M1184" s="179"/>
      <c r="N1184" s="181"/>
      <c r="O1184" s="179"/>
      <c r="P1184" s="179"/>
      <c r="Q1184" s="179"/>
      <c r="R1184" s="179"/>
      <c r="S1184" s="179"/>
      <c r="T1184" s="179"/>
      <c r="U1184" s="179"/>
      <c r="V1184" s="179"/>
      <c r="W1184" s="192"/>
      <c r="X1184" s="192"/>
      <c r="Y1184" s="192"/>
      <c r="Z1184" s="158"/>
      <c r="AA1184" s="158"/>
      <c r="AB1184" s="158"/>
      <c r="AC1184" s="158"/>
      <c r="AD1184" s="158"/>
      <c r="AE1184" s="158"/>
      <c r="AF1184" s="158"/>
      <c r="AG1184" s="158"/>
      <c r="AH1184" s="158"/>
    </row>
    <row r="1185" spans="1:34" ht="15.75" customHeight="1">
      <c r="A1185" s="179"/>
      <c r="B1185" s="180"/>
      <c r="C1185" s="180"/>
      <c r="D1185" s="179"/>
      <c r="E1185" s="179"/>
      <c r="F1185" s="179"/>
      <c r="G1185" s="179"/>
      <c r="H1185" s="181"/>
      <c r="I1185" s="181"/>
      <c r="J1185" s="181"/>
      <c r="K1185" s="179"/>
      <c r="L1185" s="179"/>
      <c r="M1185" s="179"/>
      <c r="N1185" s="181"/>
      <c r="O1185" s="179"/>
      <c r="P1185" s="179"/>
      <c r="Q1185" s="179"/>
      <c r="R1185" s="179"/>
      <c r="S1185" s="179"/>
      <c r="T1185" s="179"/>
      <c r="U1185" s="179"/>
      <c r="V1185" s="179"/>
      <c r="W1185" s="192"/>
      <c r="X1185" s="192"/>
      <c r="Y1185" s="192"/>
      <c r="Z1185" s="158"/>
      <c r="AA1185" s="158"/>
      <c r="AB1185" s="158"/>
      <c r="AC1185" s="158"/>
      <c r="AD1185" s="158"/>
      <c r="AE1185" s="158"/>
      <c r="AF1185" s="158"/>
      <c r="AG1185" s="158"/>
      <c r="AH1185" s="158"/>
    </row>
    <row r="1186" spans="1:34" ht="15.75" customHeight="1">
      <c r="A1186" s="179"/>
      <c r="B1186" s="180"/>
      <c r="C1186" s="180"/>
      <c r="D1186" s="179"/>
      <c r="E1186" s="179"/>
      <c r="F1186" s="179"/>
      <c r="G1186" s="179"/>
      <c r="H1186" s="181"/>
      <c r="I1186" s="181"/>
      <c r="J1186" s="181"/>
      <c r="K1186" s="179"/>
      <c r="L1186" s="179"/>
      <c r="M1186" s="179"/>
      <c r="N1186" s="181"/>
      <c r="O1186" s="179"/>
      <c r="P1186" s="179"/>
      <c r="Q1186" s="179"/>
      <c r="R1186" s="179"/>
      <c r="S1186" s="179"/>
      <c r="T1186" s="179"/>
      <c r="U1186" s="179"/>
      <c r="V1186" s="179"/>
      <c r="W1186" s="192"/>
      <c r="X1186" s="192"/>
      <c r="Y1186" s="192"/>
      <c r="Z1186" s="158"/>
      <c r="AA1186" s="158"/>
      <c r="AB1186" s="158"/>
      <c r="AC1186" s="158"/>
      <c r="AD1186" s="158"/>
      <c r="AE1186" s="158"/>
      <c r="AF1186" s="158"/>
      <c r="AG1186" s="158"/>
      <c r="AH1186" s="158"/>
    </row>
    <row r="1187" spans="1:34" ht="15.75" customHeight="1">
      <c r="A1187" s="179"/>
      <c r="B1187" s="180"/>
      <c r="C1187" s="180"/>
      <c r="D1187" s="179"/>
      <c r="E1187" s="179"/>
      <c r="F1187" s="179"/>
      <c r="G1187" s="179"/>
      <c r="H1187" s="181"/>
      <c r="I1187" s="181"/>
      <c r="J1187" s="181"/>
      <c r="K1187" s="179"/>
      <c r="L1187" s="179"/>
      <c r="M1187" s="179"/>
      <c r="N1187" s="181"/>
      <c r="O1187" s="179"/>
      <c r="P1187" s="179"/>
      <c r="Q1187" s="179"/>
      <c r="R1187" s="179"/>
      <c r="S1187" s="179"/>
      <c r="T1187" s="179"/>
      <c r="U1187" s="179"/>
      <c r="V1187" s="179"/>
      <c r="W1187" s="192"/>
      <c r="X1187" s="192"/>
      <c r="Y1187" s="192"/>
      <c r="Z1187" s="158"/>
      <c r="AA1187" s="158"/>
      <c r="AB1187" s="158"/>
      <c r="AC1187" s="158"/>
      <c r="AD1187" s="158"/>
      <c r="AE1187" s="158"/>
      <c r="AF1187" s="158"/>
      <c r="AG1187" s="158"/>
      <c r="AH1187" s="158"/>
    </row>
    <row r="1188" spans="1:34" ht="15.75" customHeight="1">
      <c r="A1188" s="179"/>
      <c r="B1188" s="180"/>
      <c r="C1188" s="180"/>
      <c r="D1188" s="179"/>
      <c r="E1188" s="179"/>
      <c r="F1188" s="179"/>
      <c r="G1188" s="179"/>
      <c r="H1188" s="181"/>
      <c r="I1188" s="181"/>
      <c r="J1188" s="181"/>
      <c r="K1188" s="179"/>
      <c r="L1188" s="179"/>
      <c r="M1188" s="179"/>
      <c r="N1188" s="181"/>
      <c r="O1188" s="179"/>
      <c r="P1188" s="179"/>
      <c r="Q1188" s="179"/>
      <c r="R1188" s="179"/>
      <c r="S1188" s="179"/>
      <c r="T1188" s="179"/>
      <c r="U1188" s="179"/>
      <c r="V1188" s="179"/>
      <c r="W1188" s="192"/>
      <c r="X1188" s="192"/>
      <c r="Y1188" s="192"/>
      <c r="Z1188" s="158"/>
      <c r="AA1188" s="158"/>
      <c r="AB1188" s="158"/>
      <c r="AC1188" s="158"/>
      <c r="AD1188" s="158"/>
      <c r="AE1188" s="158"/>
      <c r="AF1188" s="158"/>
      <c r="AG1188" s="158"/>
      <c r="AH1188" s="158"/>
    </row>
    <row r="1189" spans="1:34" ht="15.75" customHeight="1">
      <c r="A1189" s="179"/>
      <c r="B1189" s="180"/>
      <c r="C1189" s="180"/>
      <c r="D1189" s="179"/>
      <c r="E1189" s="179"/>
      <c r="F1189" s="179"/>
      <c r="G1189" s="179"/>
      <c r="H1189" s="181"/>
      <c r="I1189" s="181"/>
      <c r="J1189" s="181"/>
      <c r="K1189" s="179"/>
      <c r="L1189" s="179"/>
      <c r="M1189" s="179"/>
      <c r="N1189" s="181"/>
      <c r="O1189" s="179"/>
      <c r="P1189" s="179"/>
      <c r="Q1189" s="179"/>
      <c r="R1189" s="179"/>
      <c r="S1189" s="179"/>
      <c r="T1189" s="179"/>
      <c r="U1189" s="179"/>
      <c r="V1189" s="179"/>
      <c r="W1189" s="192"/>
      <c r="X1189" s="192"/>
      <c r="Y1189" s="192"/>
      <c r="Z1189" s="158"/>
      <c r="AA1189" s="158"/>
      <c r="AB1189" s="158"/>
      <c r="AC1189" s="158"/>
      <c r="AD1189" s="158"/>
      <c r="AE1189" s="158"/>
      <c r="AF1189" s="158"/>
      <c r="AG1189" s="158"/>
      <c r="AH1189" s="158"/>
    </row>
    <row r="1190" spans="1:34" ht="15.75" customHeight="1">
      <c r="A1190" s="179"/>
      <c r="B1190" s="180"/>
      <c r="C1190" s="180"/>
      <c r="D1190" s="179"/>
      <c r="E1190" s="179"/>
      <c r="F1190" s="179"/>
      <c r="G1190" s="179"/>
      <c r="H1190" s="181"/>
      <c r="I1190" s="181"/>
      <c r="J1190" s="181"/>
      <c r="K1190" s="179"/>
      <c r="L1190" s="179"/>
      <c r="M1190" s="179"/>
      <c r="N1190" s="181"/>
      <c r="O1190" s="179"/>
      <c r="P1190" s="179"/>
      <c r="Q1190" s="179"/>
      <c r="R1190" s="179"/>
      <c r="S1190" s="179"/>
      <c r="T1190" s="179"/>
      <c r="U1190" s="179"/>
      <c r="V1190" s="179"/>
      <c r="W1190" s="192"/>
      <c r="X1190" s="192"/>
      <c r="Y1190" s="192"/>
      <c r="Z1190" s="158"/>
      <c r="AA1190" s="158"/>
      <c r="AB1190" s="158"/>
      <c r="AC1190" s="158"/>
      <c r="AD1190" s="158"/>
      <c r="AE1190" s="158"/>
      <c r="AF1190" s="158"/>
      <c r="AG1190" s="158"/>
      <c r="AH1190" s="158"/>
    </row>
    <row r="1191" spans="1:34" ht="15.75" customHeight="1">
      <c r="A1191" s="179"/>
      <c r="B1191" s="180"/>
      <c r="C1191" s="180"/>
      <c r="D1191" s="179"/>
      <c r="E1191" s="179"/>
      <c r="F1191" s="179"/>
      <c r="G1191" s="179"/>
      <c r="H1191" s="181"/>
      <c r="I1191" s="181"/>
      <c r="J1191" s="181"/>
      <c r="K1191" s="179"/>
      <c r="L1191" s="179"/>
      <c r="M1191" s="179"/>
      <c r="N1191" s="181"/>
      <c r="O1191" s="179"/>
      <c r="P1191" s="179"/>
      <c r="Q1191" s="179"/>
      <c r="R1191" s="179"/>
      <c r="S1191" s="179"/>
      <c r="T1191" s="179"/>
      <c r="U1191" s="179"/>
      <c r="V1191" s="179"/>
      <c r="W1191" s="192"/>
      <c r="X1191" s="192"/>
      <c r="Y1191" s="192"/>
      <c r="Z1191" s="158"/>
      <c r="AA1191" s="158"/>
      <c r="AB1191" s="158"/>
      <c r="AC1191" s="158"/>
      <c r="AD1191" s="158"/>
      <c r="AE1191" s="158"/>
      <c r="AF1191" s="158"/>
      <c r="AG1191" s="158"/>
      <c r="AH1191" s="158"/>
    </row>
    <row r="1192" spans="1:34" ht="15.75" customHeight="1">
      <c r="A1192" s="179"/>
      <c r="B1192" s="180"/>
      <c r="C1192" s="180"/>
      <c r="D1192" s="179"/>
      <c r="E1192" s="179"/>
      <c r="F1192" s="179"/>
      <c r="G1192" s="179"/>
      <c r="H1192" s="181"/>
      <c r="I1192" s="181"/>
      <c r="J1192" s="181"/>
      <c r="K1192" s="179"/>
      <c r="L1192" s="179"/>
      <c r="M1192" s="179"/>
      <c r="N1192" s="181"/>
      <c r="O1192" s="179"/>
      <c r="P1192" s="179"/>
      <c r="Q1192" s="179"/>
      <c r="R1192" s="179"/>
      <c r="S1192" s="179"/>
      <c r="T1192" s="179"/>
      <c r="U1192" s="179"/>
      <c r="V1192" s="179"/>
      <c r="W1192" s="192"/>
      <c r="X1192" s="192"/>
      <c r="Y1192" s="192"/>
      <c r="Z1192" s="158"/>
      <c r="AA1192" s="158"/>
      <c r="AB1192" s="158"/>
      <c r="AC1192" s="158"/>
      <c r="AD1192" s="158"/>
      <c r="AE1192" s="158"/>
      <c r="AF1192" s="158"/>
      <c r="AG1192" s="158"/>
      <c r="AH1192" s="158"/>
    </row>
    <row r="1193" spans="1:34" ht="15.75" customHeight="1">
      <c r="A1193" s="179"/>
      <c r="B1193" s="180"/>
      <c r="C1193" s="180"/>
      <c r="D1193" s="179"/>
      <c r="E1193" s="179"/>
      <c r="F1193" s="179"/>
      <c r="G1193" s="179"/>
      <c r="H1193" s="181"/>
      <c r="I1193" s="181"/>
      <c r="J1193" s="181"/>
      <c r="K1193" s="179"/>
      <c r="L1193" s="179"/>
      <c r="M1193" s="179"/>
      <c r="N1193" s="181"/>
      <c r="O1193" s="179"/>
      <c r="P1193" s="179"/>
      <c r="Q1193" s="179"/>
      <c r="R1193" s="179"/>
      <c r="S1193" s="179"/>
      <c r="T1193" s="179"/>
      <c r="U1193" s="179"/>
      <c r="V1193" s="179"/>
      <c r="W1193" s="192"/>
      <c r="X1193" s="192"/>
      <c r="Y1193" s="192"/>
      <c r="Z1193" s="158"/>
      <c r="AA1193" s="158"/>
      <c r="AB1193" s="158"/>
      <c r="AC1193" s="158"/>
      <c r="AD1193" s="158"/>
      <c r="AE1193" s="158"/>
      <c r="AF1193" s="158"/>
      <c r="AG1193" s="158"/>
      <c r="AH1193" s="158"/>
    </row>
    <row r="1194" spans="1:34" ht="15.75" customHeight="1">
      <c r="A1194" s="179"/>
      <c r="B1194" s="180"/>
      <c r="C1194" s="180"/>
      <c r="D1194" s="179"/>
      <c r="E1194" s="179"/>
      <c r="F1194" s="179"/>
      <c r="G1194" s="179"/>
      <c r="H1194" s="181"/>
      <c r="I1194" s="181"/>
      <c r="J1194" s="181"/>
      <c r="K1194" s="179"/>
      <c r="L1194" s="179"/>
      <c r="M1194" s="179"/>
      <c r="N1194" s="181"/>
      <c r="O1194" s="179"/>
      <c r="P1194" s="179"/>
      <c r="Q1194" s="179"/>
      <c r="R1194" s="179"/>
      <c r="S1194" s="179"/>
      <c r="T1194" s="179"/>
      <c r="U1194" s="179"/>
      <c r="V1194" s="179"/>
      <c r="W1194" s="192"/>
      <c r="X1194" s="192"/>
      <c r="Y1194" s="192"/>
      <c r="Z1194" s="158"/>
      <c r="AA1194" s="158"/>
      <c r="AB1194" s="158"/>
      <c r="AC1194" s="158"/>
      <c r="AD1194" s="158"/>
      <c r="AE1194" s="158"/>
      <c r="AF1194" s="158"/>
      <c r="AG1194" s="158"/>
      <c r="AH1194" s="158"/>
    </row>
    <row r="1195" spans="1:34" ht="15.75" customHeight="1">
      <c r="A1195" s="179"/>
      <c r="B1195" s="180"/>
      <c r="C1195" s="180"/>
      <c r="D1195" s="179"/>
      <c r="E1195" s="179"/>
      <c r="F1195" s="179"/>
      <c r="G1195" s="179"/>
      <c r="H1195" s="181"/>
      <c r="I1195" s="181"/>
      <c r="J1195" s="181"/>
      <c r="K1195" s="179"/>
      <c r="L1195" s="179"/>
      <c r="M1195" s="179"/>
      <c r="N1195" s="181"/>
      <c r="O1195" s="179"/>
      <c r="P1195" s="179"/>
      <c r="Q1195" s="179"/>
      <c r="R1195" s="179"/>
      <c r="S1195" s="179"/>
      <c r="T1195" s="179"/>
      <c r="U1195" s="179"/>
      <c r="V1195" s="179"/>
      <c r="W1195" s="192"/>
      <c r="X1195" s="192"/>
      <c r="Y1195" s="192"/>
      <c r="Z1195" s="158"/>
      <c r="AA1195" s="158"/>
      <c r="AB1195" s="158"/>
      <c r="AC1195" s="158"/>
      <c r="AD1195" s="158"/>
      <c r="AE1195" s="158"/>
      <c r="AF1195" s="158"/>
      <c r="AG1195" s="158"/>
      <c r="AH1195" s="158"/>
    </row>
    <row r="1196" spans="1:34" ht="15.75" customHeight="1">
      <c r="A1196" s="179"/>
      <c r="B1196" s="180"/>
      <c r="C1196" s="180"/>
      <c r="D1196" s="179"/>
      <c r="E1196" s="179"/>
      <c r="F1196" s="179"/>
      <c r="G1196" s="179"/>
      <c r="H1196" s="181"/>
      <c r="I1196" s="181"/>
      <c r="J1196" s="181"/>
      <c r="K1196" s="179"/>
      <c r="L1196" s="179"/>
      <c r="M1196" s="179"/>
      <c r="N1196" s="181"/>
      <c r="O1196" s="179"/>
      <c r="P1196" s="179"/>
      <c r="Q1196" s="179"/>
      <c r="R1196" s="179"/>
      <c r="S1196" s="179"/>
      <c r="T1196" s="179"/>
      <c r="U1196" s="179"/>
      <c r="V1196" s="179"/>
      <c r="W1196" s="192"/>
      <c r="X1196" s="192"/>
      <c r="Y1196" s="192"/>
      <c r="Z1196" s="158"/>
      <c r="AA1196" s="158"/>
      <c r="AB1196" s="158"/>
      <c r="AC1196" s="158"/>
      <c r="AD1196" s="158"/>
      <c r="AE1196" s="158"/>
      <c r="AF1196" s="158"/>
      <c r="AG1196" s="158"/>
      <c r="AH1196" s="158"/>
    </row>
    <row r="1197" spans="1:34" ht="15.75" customHeight="1">
      <c r="A1197" s="179"/>
      <c r="B1197" s="180"/>
      <c r="C1197" s="180"/>
      <c r="D1197" s="179"/>
      <c r="E1197" s="179"/>
      <c r="F1197" s="179"/>
      <c r="G1197" s="179"/>
      <c r="H1197" s="181"/>
      <c r="I1197" s="181"/>
      <c r="J1197" s="181"/>
      <c r="K1197" s="179"/>
      <c r="L1197" s="179"/>
      <c r="M1197" s="179"/>
      <c r="N1197" s="181"/>
      <c r="O1197" s="179"/>
      <c r="P1197" s="179"/>
      <c r="Q1197" s="179"/>
      <c r="R1197" s="179"/>
      <c r="S1197" s="179"/>
      <c r="T1197" s="179"/>
      <c r="U1197" s="179"/>
      <c r="V1197" s="179"/>
      <c r="W1197" s="192"/>
      <c r="X1197" s="192"/>
      <c r="Y1197" s="192"/>
      <c r="Z1197" s="158"/>
      <c r="AA1197" s="158"/>
      <c r="AB1197" s="158"/>
      <c r="AC1197" s="158"/>
      <c r="AD1197" s="158"/>
      <c r="AE1197" s="158"/>
      <c r="AF1197" s="158"/>
      <c r="AG1197" s="158"/>
      <c r="AH1197" s="158"/>
    </row>
    <row r="1198" spans="1:34" ht="15.75" customHeight="1">
      <c r="A1198" s="179"/>
      <c r="B1198" s="180"/>
      <c r="C1198" s="180"/>
      <c r="D1198" s="179"/>
      <c r="E1198" s="179"/>
      <c r="F1198" s="179"/>
      <c r="G1198" s="179"/>
      <c r="H1198" s="181"/>
      <c r="I1198" s="181"/>
      <c r="J1198" s="181"/>
      <c r="K1198" s="179"/>
      <c r="L1198" s="179"/>
      <c r="M1198" s="179"/>
      <c r="N1198" s="181"/>
      <c r="O1198" s="179"/>
      <c r="P1198" s="179"/>
      <c r="Q1198" s="179"/>
      <c r="R1198" s="179"/>
      <c r="S1198" s="179"/>
      <c r="T1198" s="179"/>
      <c r="U1198" s="179"/>
      <c r="V1198" s="179"/>
      <c r="W1198" s="192"/>
      <c r="X1198" s="192"/>
      <c r="Y1198" s="192"/>
      <c r="Z1198" s="158"/>
      <c r="AA1198" s="158"/>
      <c r="AB1198" s="158"/>
      <c r="AC1198" s="158"/>
      <c r="AD1198" s="158"/>
      <c r="AE1198" s="158"/>
      <c r="AF1198" s="158"/>
      <c r="AG1198" s="158"/>
      <c r="AH1198" s="158"/>
    </row>
    <row r="1199" spans="1:34" ht="15.75" customHeight="1">
      <c r="A1199" s="179"/>
      <c r="B1199" s="180"/>
      <c r="C1199" s="180"/>
      <c r="D1199" s="179"/>
      <c r="E1199" s="179"/>
      <c r="F1199" s="179"/>
      <c r="G1199" s="179"/>
      <c r="H1199" s="181"/>
      <c r="I1199" s="181"/>
      <c r="J1199" s="181"/>
      <c r="K1199" s="179"/>
      <c r="L1199" s="179"/>
      <c r="M1199" s="179"/>
      <c r="N1199" s="181"/>
      <c r="O1199" s="179"/>
      <c r="P1199" s="179"/>
      <c r="Q1199" s="179"/>
      <c r="R1199" s="179"/>
      <c r="S1199" s="179"/>
      <c r="T1199" s="179"/>
      <c r="U1199" s="179"/>
      <c r="V1199" s="179"/>
      <c r="W1199" s="192"/>
      <c r="X1199" s="192"/>
      <c r="Y1199" s="192"/>
      <c r="Z1199" s="158"/>
      <c r="AA1199" s="158"/>
      <c r="AB1199" s="158"/>
      <c r="AC1199" s="158"/>
      <c r="AD1199" s="158"/>
      <c r="AE1199" s="158"/>
      <c r="AF1199" s="158"/>
      <c r="AG1199" s="158"/>
      <c r="AH1199" s="158"/>
    </row>
    <row r="1200" spans="1:34" ht="15.75" customHeight="1">
      <c r="A1200" s="179"/>
      <c r="B1200" s="180"/>
      <c r="C1200" s="180"/>
      <c r="D1200" s="179"/>
      <c r="E1200" s="179"/>
      <c r="F1200" s="179"/>
      <c r="G1200" s="179"/>
      <c r="H1200" s="181"/>
      <c r="I1200" s="181"/>
      <c r="J1200" s="181"/>
      <c r="K1200" s="179"/>
      <c r="L1200" s="179"/>
      <c r="M1200" s="179"/>
      <c r="N1200" s="181"/>
      <c r="O1200" s="179"/>
      <c r="P1200" s="179"/>
      <c r="Q1200" s="179"/>
      <c r="R1200" s="179"/>
      <c r="S1200" s="179"/>
      <c r="T1200" s="179"/>
      <c r="U1200" s="179"/>
      <c r="V1200" s="179"/>
      <c r="W1200" s="192"/>
      <c r="X1200" s="192"/>
      <c r="Y1200" s="192"/>
      <c r="Z1200" s="158"/>
      <c r="AA1200" s="158"/>
      <c r="AB1200" s="158"/>
      <c r="AC1200" s="158"/>
      <c r="AD1200" s="158"/>
      <c r="AE1200" s="158"/>
      <c r="AF1200" s="158"/>
      <c r="AG1200" s="158"/>
      <c r="AH1200" s="158"/>
    </row>
    <row r="1201" spans="1:34" ht="15.75" customHeight="1">
      <c r="A1201" s="179"/>
      <c r="B1201" s="180"/>
      <c r="C1201" s="180"/>
      <c r="D1201" s="179"/>
      <c r="E1201" s="179"/>
      <c r="F1201" s="179"/>
      <c r="G1201" s="179"/>
      <c r="H1201" s="181"/>
      <c r="I1201" s="181"/>
      <c r="J1201" s="181"/>
      <c r="K1201" s="179"/>
      <c r="L1201" s="179"/>
      <c r="M1201" s="179"/>
      <c r="N1201" s="181"/>
      <c r="O1201" s="179"/>
      <c r="P1201" s="179"/>
      <c r="Q1201" s="179"/>
      <c r="R1201" s="179"/>
      <c r="S1201" s="179"/>
      <c r="T1201" s="179"/>
      <c r="U1201" s="179"/>
      <c r="V1201" s="179"/>
      <c r="W1201" s="192"/>
      <c r="X1201" s="192"/>
      <c r="Y1201" s="192"/>
      <c r="Z1201" s="158"/>
      <c r="AA1201" s="158"/>
      <c r="AB1201" s="158"/>
      <c r="AC1201" s="158"/>
      <c r="AD1201" s="158"/>
      <c r="AE1201" s="158"/>
      <c r="AF1201" s="158"/>
      <c r="AG1201" s="158"/>
      <c r="AH1201" s="158"/>
    </row>
    <row r="1202" spans="1:34" ht="15.75" customHeight="1">
      <c r="A1202" s="179"/>
      <c r="B1202" s="180"/>
      <c r="C1202" s="180"/>
      <c r="D1202" s="179"/>
      <c r="E1202" s="179"/>
      <c r="F1202" s="179"/>
      <c r="G1202" s="179"/>
      <c r="H1202" s="181"/>
      <c r="I1202" s="181"/>
      <c r="J1202" s="181"/>
      <c r="K1202" s="179"/>
      <c r="L1202" s="179"/>
      <c r="M1202" s="179"/>
      <c r="N1202" s="181"/>
      <c r="O1202" s="179"/>
      <c r="P1202" s="179"/>
      <c r="Q1202" s="179"/>
      <c r="R1202" s="179"/>
      <c r="S1202" s="179"/>
      <c r="T1202" s="179"/>
      <c r="U1202" s="179"/>
      <c r="V1202" s="179"/>
      <c r="W1202" s="192"/>
      <c r="X1202" s="192"/>
      <c r="Y1202" s="192"/>
      <c r="Z1202" s="158"/>
      <c r="AA1202" s="158"/>
      <c r="AB1202" s="158"/>
      <c r="AC1202" s="158"/>
      <c r="AD1202" s="158"/>
      <c r="AE1202" s="158"/>
      <c r="AF1202" s="158"/>
      <c r="AG1202" s="158"/>
      <c r="AH1202" s="158"/>
    </row>
    <row r="1203" spans="1:34" ht="15.75" customHeight="1">
      <c r="A1203" s="179"/>
      <c r="B1203" s="180"/>
      <c r="C1203" s="180"/>
      <c r="D1203" s="179"/>
      <c r="E1203" s="179"/>
      <c r="F1203" s="179"/>
      <c r="G1203" s="179"/>
      <c r="H1203" s="181"/>
      <c r="I1203" s="181"/>
      <c r="J1203" s="181"/>
      <c r="K1203" s="179"/>
      <c r="L1203" s="179"/>
      <c r="M1203" s="179"/>
      <c r="N1203" s="181"/>
      <c r="O1203" s="179"/>
      <c r="P1203" s="179"/>
      <c r="Q1203" s="179"/>
      <c r="R1203" s="179"/>
      <c r="S1203" s="179"/>
      <c r="T1203" s="179"/>
      <c r="U1203" s="179"/>
      <c r="V1203" s="179"/>
      <c r="W1203" s="192"/>
      <c r="X1203" s="192"/>
      <c r="Y1203" s="192"/>
      <c r="Z1203" s="158"/>
      <c r="AA1203" s="158"/>
      <c r="AB1203" s="158"/>
      <c r="AC1203" s="158"/>
      <c r="AD1203" s="158"/>
      <c r="AE1203" s="158"/>
      <c r="AF1203" s="158"/>
      <c r="AG1203" s="158"/>
      <c r="AH1203" s="158"/>
    </row>
    <row r="1204" spans="1:34" ht="15.75" customHeight="1">
      <c r="A1204" s="179"/>
      <c r="B1204" s="180"/>
      <c r="C1204" s="180"/>
      <c r="D1204" s="179"/>
      <c r="E1204" s="179"/>
      <c r="F1204" s="179"/>
      <c r="G1204" s="179"/>
      <c r="H1204" s="181"/>
      <c r="I1204" s="181"/>
      <c r="J1204" s="181"/>
      <c r="K1204" s="179"/>
      <c r="L1204" s="179"/>
      <c r="M1204" s="179"/>
      <c r="N1204" s="181"/>
      <c r="O1204" s="179"/>
      <c r="P1204" s="179"/>
      <c r="Q1204" s="179"/>
      <c r="R1204" s="179"/>
      <c r="S1204" s="179"/>
      <c r="T1204" s="179"/>
      <c r="U1204" s="179"/>
      <c r="V1204" s="179"/>
      <c r="W1204" s="192"/>
      <c r="X1204" s="192"/>
      <c r="Y1204" s="192"/>
      <c r="Z1204" s="158"/>
      <c r="AA1204" s="158"/>
      <c r="AB1204" s="158"/>
      <c r="AC1204" s="158"/>
      <c r="AD1204" s="158"/>
      <c r="AE1204" s="158"/>
      <c r="AF1204" s="158"/>
      <c r="AG1204" s="158"/>
      <c r="AH1204" s="158"/>
    </row>
    <row r="1205" spans="1:34" ht="15.75" customHeight="1">
      <c r="A1205" s="179"/>
      <c r="B1205" s="180"/>
      <c r="C1205" s="180"/>
      <c r="D1205" s="179"/>
      <c r="E1205" s="179"/>
      <c r="F1205" s="179"/>
      <c r="G1205" s="179"/>
      <c r="H1205" s="181"/>
      <c r="I1205" s="181"/>
      <c r="J1205" s="181"/>
      <c r="K1205" s="179"/>
      <c r="L1205" s="179"/>
      <c r="M1205" s="179"/>
      <c r="N1205" s="181"/>
      <c r="O1205" s="179"/>
      <c r="P1205" s="179"/>
      <c r="Q1205" s="179"/>
      <c r="R1205" s="179"/>
      <c r="S1205" s="179"/>
      <c r="T1205" s="179"/>
      <c r="U1205" s="179"/>
      <c r="V1205" s="179"/>
      <c r="W1205" s="192"/>
      <c r="X1205" s="192"/>
      <c r="Y1205" s="192"/>
      <c r="Z1205" s="158"/>
      <c r="AA1205" s="158"/>
      <c r="AB1205" s="158"/>
      <c r="AC1205" s="158"/>
      <c r="AD1205" s="158"/>
      <c r="AE1205" s="158"/>
      <c r="AF1205" s="158"/>
      <c r="AG1205" s="158"/>
      <c r="AH1205" s="158"/>
    </row>
    <row r="1206" spans="1:34" ht="15.75" customHeight="1">
      <c r="A1206" s="179"/>
      <c r="B1206" s="180"/>
      <c r="C1206" s="180"/>
      <c r="D1206" s="179"/>
      <c r="E1206" s="179"/>
      <c r="F1206" s="179"/>
      <c r="G1206" s="179"/>
      <c r="H1206" s="181"/>
      <c r="I1206" s="181"/>
      <c r="J1206" s="181"/>
      <c r="K1206" s="179"/>
      <c r="L1206" s="179"/>
      <c r="M1206" s="179"/>
      <c r="N1206" s="181"/>
      <c r="O1206" s="179"/>
      <c r="P1206" s="179"/>
      <c r="Q1206" s="179"/>
      <c r="R1206" s="179"/>
      <c r="S1206" s="179"/>
      <c r="T1206" s="179"/>
      <c r="U1206" s="179"/>
      <c r="V1206" s="179"/>
      <c r="W1206" s="192"/>
      <c r="X1206" s="192"/>
      <c r="Y1206" s="192"/>
      <c r="Z1206" s="158"/>
      <c r="AA1206" s="158"/>
      <c r="AB1206" s="158"/>
      <c r="AC1206" s="158"/>
      <c r="AD1206" s="158"/>
      <c r="AE1206" s="158"/>
      <c r="AF1206" s="158"/>
      <c r="AG1206" s="158"/>
      <c r="AH1206" s="158"/>
    </row>
    <row r="1207" spans="1:34" ht="15.75" customHeight="1">
      <c r="A1207" s="179"/>
      <c r="B1207" s="180"/>
      <c r="C1207" s="180"/>
      <c r="D1207" s="179"/>
      <c r="E1207" s="179"/>
      <c r="F1207" s="179"/>
      <c r="G1207" s="179"/>
      <c r="H1207" s="181"/>
      <c r="I1207" s="181"/>
      <c r="J1207" s="181"/>
      <c r="K1207" s="179"/>
      <c r="L1207" s="179"/>
      <c r="M1207" s="179"/>
      <c r="N1207" s="181"/>
      <c r="O1207" s="179"/>
      <c r="P1207" s="179"/>
      <c r="Q1207" s="179"/>
      <c r="R1207" s="179"/>
      <c r="S1207" s="179"/>
      <c r="T1207" s="179"/>
      <c r="U1207" s="179"/>
      <c r="V1207" s="179"/>
      <c r="W1207" s="192"/>
      <c r="X1207" s="192"/>
      <c r="Y1207" s="192"/>
      <c r="Z1207" s="158"/>
      <c r="AA1207" s="158"/>
      <c r="AB1207" s="158"/>
      <c r="AC1207" s="158"/>
      <c r="AD1207" s="158"/>
      <c r="AE1207" s="158"/>
      <c r="AF1207" s="158"/>
      <c r="AG1207" s="158"/>
      <c r="AH1207" s="158"/>
    </row>
    <row r="1208" spans="1:34" ht="15.75" customHeight="1">
      <c r="A1208" s="179"/>
      <c r="B1208" s="180"/>
      <c r="C1208" s="180"/>
      <c r="D1208" s="179"/>
      <c r="E1208" s="179"/>
      <c r="F1208" s="179"/>
      <c r="G1208" s="179"/>
      <c r="H1208" s="181"/>
      <c r="I1208" s="181"/>
      <c r="J1208" s="181"/>
      <c r="K1208" s="179"/>
      <c r="L1208" s="179"/>
      <c r="M1208" s="179"/>
      <c r="N1208" s="181"/>
      <c r="O1208" s="179"/>
      <c r="P1208" s="179"/>
      <c r="Q1208" s="179"/>
      <c r="R1208" s="179"/>
      <c r="S1208" s="179"/>
      <c r="T1208" s="179"/>
      <c r="U1208" s="179"/>
      <c r="V1208" s="179"/>
      <c r="W1208" s="192"/>
      <c r="X1208" s="192"/>
      <c r="Y1208" s="192"/>
      <c r="Z1208" s="158"/>
      <c r="AA1208" s="158"/>
      <c r="AB1208" s="158"/>
      <c r="AC1208" s="158"/>
      <c r="AD1208" s="158"/>
      <c r="AE1208" s="158"/>
      <c r="AF1208" s="158"/>
      <c r="AG1208" s="158"/>
      <c r="AH1208" s="158"/>
    </row>
    <row r="1209" spans="1:34" ht="15.75" customHeight="1">
      <c r="A1209" s="179"/>
      <c r="B1209" s="180"/>
      <c r="C1209" s="180"/>
      <c r="D1209" s="179"/>
      <c r="E1209" s="179"/>
      <c r="F1209" s="179"/>
      <c r="G1209" s="179"/>
      <c r="H1209" s="181"/>
      <c r="I1209" s="181"/>
      <c r="J1209" s="181"/>
      <c r="K1209" s="179"/>
      <c r="L1209" s="179"/>
      <c r="M1209" s="179"/>
      <c r="N1209" s="181"/>
      <c r="O1209" s="179"/>
      <c r="P1209" s="179"/>
      <c r="Q1209" s="179"/>
      <c r="R1209" s="179"/>
      <c r="S1209" s="179"/>
      <c r="T1209" s="179"/>
      <c r="U1209" s="179"/>
      <c r="V1209" s="179"/>
      <c r="W1209" s="192"/>
      <c r="X1209" s="192"/>
      <c r="Y1209" s="192"/>
      <c r="Z1209" s="158"/>
      <c r="AA1209" s="158"/>
      <c r="AB1209" s="158"/>
      <c r="AC1209" s="158"/>
      <c r="AD1209" s="158"/>
      <c r="AE1209" s="158"/>
      <c r="AF1209" s="158"/>
      <c r="AG1209" s="158"/>
      <c r="AH1209" s="158"/>
    </row>
    <row r="1210" spans="1:34" ht="15.75" customHeight="1">
      <c r="A1210" s="179"/>
      <c r="B1210" s="180"/>
      <c r="C1210" s="180"/>
      <c r="D1210" s="179"/>
      <c r="E1210" s="179"/>
      <c r="F1210" s="179"/>
      <c r="G1210" s="179"/>
      <c r="H1210" s="181"/>
      <c r="I1210" s="181"/>
      <c r="J1210" s="181"/>
      <c r="K1210" s="179"/>
      <c r="L1210" s="179"/>
      <c r="M1210" s="179"/>
      <c r="N1210" s="181"/>
      <c r="O1210" s="179"/>
      <c r="P1210" s="179"/>
      <c r="Q1210" s="179"/>
      <c r="R1210" s="179"/>
      <c r="S1210" s="179"/>
      <c r="T1210" s="179"/>
      <c r="U1210" s="179"/>
      <c r="V1210" s="179"/>
      <c r="W1210" s="192"/>
      <c r="X1210" s="192"/>
      <c r="Y1210" s="192"/>
      <c r="Z1210" s="158"/>
      <c r="AA1210" s="158"/>
      <c r="AB1210" s="158"/>
      <c r="AC1210" s="158"/>
      <c r="AD1210" s="158"/>
      <c r="AE1210" s="158"/>
      <c r="AF1210" s="158"/>
      <c r="AG1210" s="158"/>
      <c r="AH1210" s="158"/>
    </row>
    <row r="1211" spans="1:34" ht="15.75" customHeight="1">
      <c r="A1211" s="179"/>
      <c r="B1211" s="180"/>
      <c r="C1211" s="180"/>
      <c r="D1211" s="179"/>
      <c r="E1211" s="179"/>
      <c r="F1211" s="179"/>
      <c r="G1211" s="179"/>
      <c r="H1211" s="181"/>
      <c r="I1211" s="181"/>
      <c r="J1211" s="181"/>
      <c r="K1211" s="179"/>
      <c r="L1211" s="179"/>
      <c r="M1211" s="179"/>
      <c r="N1211" s="181"/>
      <c r="O1211" s="179"/>
      <c r="P1211" s="179"/>
      <c r="Q1211" s="179"/>
      <c r="R1211" s="179"/>
      <c r="S1211" s="179"/>
      <c r="T1211" s="179"/>
      <c r="U1211" s="179"/>
      <c r="V1211" s="179"/>
      <c r="W1211" s="192"/>
      <c r="X1211" s="192"/>
      <c r="Y1211" s="192"/>
      <c r="Z1211" s="158"/>
      <c r="AA1211" s="158"/>
      <c r="AB1211" s="158"/>
      <c r="AC1211" s="158"/>
      <c r="AD1211" s="158"/>
      <c r="AE1211" s="158"/>
      <c r="AF1211" s="158"/>
      <c r="AG1211" s="158"/>
      <c r="AH1211" s="158"/>
    </row>
    <row r="1212" spans="1:34" ht="15.75" customHeight="1">
      <c r="A1212" s="179"/>
      <c r="B1212" s="180"/>
      <c r="C1212" s="180"/>
      <c r="D1212" s="179"/>
      <c r="E1212" s="179"/>
      <c r="F1212" s="179"/>
      <c r="G1212" s="179"/>
      <c r="H1212" s="181"/>
      <c r="I1212" s="181"/>
      <c r="J1212" s="181"/>
      <c r="K1212" s="179"/>
      <c r="L1212" s="179"/>
      <c r="M1212" s="179"/>
      <c r="N1212" s="181"/>
      <c r="O1212" s="179"/>
      <c r="P1212" s="179"/>
      <c r="Q1212" s="179"/>
      <c r="R1212" s="179"/>
      <c r="S1212" s="179"/>
      <c r="T1212" s="179"/>
      <c r="U1212" s="179"/>
      <c r="V1212" s="179"/>
      <c r="W1212" s="192"/>
      <c r="X1212" s="192"/>
      <c r="Y1212" s="192"/>
      <c r="Z1212" s="158"/>
      <c r="AA1212" s="158"/>
      <c r="AB1212" s="158"/>
      <c r="AC1212" s="158"/>
      <c r="AD1212" s="158"/>
      <c r="AE1212" s="158"/>
      <c r="AF1212" s="158"/>
      <c r="AG1212" s="158"/>
      <c r="AH1212" s="158"/>
    </row>
    <row r="1213" spans="1:34" ht="15.75" customHeight="1">
      <c r="A1213" s="179"/>
      <c r="B1213" s="180"/>
      <c r="C1213" s="180"/>
      <c r="D1213" s="179"/>
      <c r="E1213" s="179"/>
      <c r="F1213" s="179"/>
      <c r="G1213" s="179"/>
      <c r="H1213" s="181"/>
      <c r="I1213" s="181"/>
      <c r="J1213" s="181"/>
      <c r="K1213" s="179"/>
      <c r="L1213" s="179"/>
      <c r="M1213" s="179"/>
      <c r="N1213" s="181"/>
      <c r="O1213" s="179"/>
      <c r="P1213" s="179"/>
      <c r="Q1213" s="179"/>
      <c r="R1213" s="179"/>
      <c r="S1213" s="179"/>
      <c r="T1213" s="179"/>
      <c r="U1213" s="179"/>
      <c r="V1213" s="179"/>
      <c r="W1213" s="192"/>
      <c r="X1213" s="192"/>
      <c r="Y1213" s="192"/>
      <c r="Z1213" s="158"/>
      <c r="AA1213" s="158"/>
      <c r="AB1213" s="158"/>
      <c r="AC1213" s="158"/>
      <c r="AD1213" s="158"/>
      <c r="AE1213" s="158"/>
      <c r="AF1213" s="158"/>
      <c r="AG1213" s="158"/>
      <c r="AH1213" s="158"/>
    </row>
    <row r="1214" spans="1:34" ht="15.75" customHeight="1">
      <c r="A1214" s="179"/>
      <c r="B1214" s="180"/>
      <c r="C1214" s="180"/>
      <c r="D1214" s="179"/>
      <c r="E1214" s="179"/>
      <c r="F1214" s="179"/>
      <c r="G1214" s="179"/>
      <c r="H1214" s="181"/>
      <c r="I1214" s="181"/>
      <c r="J1214" s="181"/>
      <c r="K1214" s="179"/>
      <c r="L1214" s="179"/>
      <c r="M1214" s="179"/>
      <c r="N1214" s="181"/>
      <c r="O1214" s="179"/>
      <c r="P1214" s="179"/>
      <c r="Q1214" s="179"/>
      <c r="R1214" s="179"/>
      <c r="S1214" s="179"/>
      <c r="T1214" s="179"/>
      <c r="U1214" s="179"/>
      <c r="V1214" s="179"/>
      <c r="W1214" s="192"/>
      <c r="X1214" s="192"/>
      <c r="Y1214" s="192"/>
      <c r="Z1214" s="158"/>
      <c r="AA1214" s="158"/>
      <c r="AB1214" s="158"/>
      <c r="AC1214" s="158"/>
      <c r="AD1214" s="158"/>
      <c r="AE1214" s="158"/>
      <c r="AF1214" s="158"/>
      <c r="AG1214" s="158"/>
      <c r="AH1214" s="158"/>
    </row>
    <row r="1215" spans="1:34" ht="15.75" customHeight="1">
      <c r="A1215" s="179"/>
      <c r="B1215" s="180"/>
      <c r="C1215" s="180"/>
      <c r="D1215" s="179"/>
      <c r="E1215" s="179"/>
      <c r="F1215" s="179"/>
      <c r="G1215" s="179"/>
      <c r="H1215" s="181"/>
      <c r="I1215" s="181"/>
      <c r="J1215" s="181"/>
      <c r="K1215" s="179"/>
      <c r="L1215" s="179"/>
      <c r="M1215" s="179"/>
      <c r="N1215" s="181"/>
      <c r="O1215" s="179"/>
      <c r="P1215" s="179"/>
      <c r="Q1215" s="179"/>
      <c r="R1215" s="179"/>
      <c r="S1215" s="179"/>
      <c r="T1215" s="179"/>
      <c r="U1215" s="179"/>
      <c r="V1215" s="179"/>
      <c r="W1215" s="192"/>
      <c r="X1215" s="192"/>
      <c r="Y1215" s="192"/>
      <c r="Z1215" s="158"/>
      <c r="AA1215" s="158"/>
      <c r="AB1215" s="158"/>
      <c r="AC1215" s="158"/>
      <c r="AD1215" s="158"/>
      <c r="AE1215" s="158"/>
      <c r="AF1215" s="158"/>
      <c r="AG1215" s="158"/>
      <c r="AH1215" s="158"/>
    </row>
    <row r="1216" spans="1:34" ht="15.75" customHeight="1">
      <c r="A1216" s="179"/>
      <c r="B1216" s="180"/>
      <c r="C1216" s="180"/>
      <c r="D1216" s="179"/>
      <c r="E1216" s="179"/>
      <c r="F1216" s="179"/>
      <c r="G1216" s="179"/>
      <c r="H1216" s="181"/>
      <c r="I1216" s="181"/>
      <c r="J1216" s="181"/>
      <c r="K1216" s="179"/>
      <c r="L1216" s="179"/>
      <c r="M1216" s="179"/>
      <c r="N1216" s="181"/>
      <c r="O1216" s="179"/>
      <c r="P1216" s="179"/>
      <c r="Q1216" s="179"/>
      <c r="R1216" s="179"/>
      <c r="S1216" s="179"/>
      <c r="T1216" s="179"/>
      <c r="U1216" s="179"/>
      <c r="V1216" s="179"/>
      <c r="W1216" s="192"/>
      <c r="X1216" s="192"/>
      <c r="Y1216" s="192"/>
      <c r="Z1216" s="158"/>
      <c r="AA1216" s="158"/>
      <c r="AB1216" s="158"/>
      <c r="AC1216" s="158"/>
      <c r="AD1216" s="158"/>
      <c r="AE1216" s="158"/>
      <c r="AF1216" s="158"/>
      <c r="AG1216" s="158"/>
      <c r="AH1216" s="158"/>
    </row>
    <row r="1217" spans="1:34" ht="15.75" customHeight="1">
      <c r="A1217" s="179"/>
      <c r="B1217" s="180"/>
      <c r="C1217" s="180"/>
      <c r="D1217" s="179"/>
      <c r="E1217" s="179"/>
      <c r="F1217" s="179"/>
      <c r="G1217" s="179"/>
      <c r="H1217" s="181"/>
      <c r="I1217" s="181"/>
      <c r="J1217" s="181"/>
      <c r="K1217" s="179"/>
      <c r="L1217" s="179"/>
      <c r="M1217" s="179"/>
      <c r="N1217" s="181"/>
      <c r="O1217" s="179"/>
      <c r="P1217" s="179"/>
      <c r="Q1217" s="179"/>
      <c r="R1217" s="179"/>
      <c r="S1217" s="179"/>
      <c r="T1217" s="179"/>
      <c r="U1217" s="179"/>
      <c r="V1217" s="179"/>
      <c r="W1217" s="192"/>
      <c r="X1217" s="192"/>
      <c r="Y1217" s="192"/>
      <c r="Z1217" s="158"/>
      <c r="AA1217" s="158"/>
      <c r="AB1217" s="158"/>
      <c r="AC1217" s="158"/>
      <c r="AD1217" s="158"/>
      <c r="AE1217" s="158"/>
      <c r="AF1217" s="158"/>
      <c r="AG1217" s="158"/>
      <c r="AH1217" s="158"/>
    </row>
    <row r="1218" spans="1:34" ht="15.75" customHeight="1">
      <c r="A1218" s="179"/>
      <c r="B1218" s="180"/>
      <c r="C1218" s="180"/>
      <c r="D1218" s="179"/>
      <c r="E1218" s="179"/>
      <c r="F1218" s="179"/>
      <c r="G1218" s="179"/>
      <c r="H1218" s="181"/>
      <c r="I1218" s="181"/>
      <c r="J1218" s="181"/>
      <c r="K1218" s="179"/>
      <c r="L1218" s="179"/>
      <c r="M1218" s="179"/>
      <c r="N1218" s="181"/>
      <c r="O1218" s="179"/>
      <c r="P1218" s="179"/>
      <c r="Q1218" s="179"/>
      <c r="R1218" s="179"/>
      <c r="S1218" s="179"/>
      <c r="T1218" s="179"/>
      <c r="U1218" s="179"/>
      <c r="V1218" s="179"/>
      <c r="W1218" s="192"/>
      <c r="X1218" s="192"/>
      <c r="Y1218" s="192"/>
      <c r="Z1218" s="158"/>
      <c r="AA1218" s="158"/>
      <c r="AB1218" s="158"/>
      <c r="AC1218" s="158"/>
      <c r="AD1218" s="158"/>
      <c r="AE1218" s="158"/>
      <c r="AF1218" s="158"/>
      <c r="AG1218" s="158"/>
      <c r="AH1218" s="158"/>
    </row>
    <row r="1219" spans="1:34" ht="15.75" customHeight="1">
      <c r="A1219" s="179"/>
      <c r="B1219" s="180"/>
      <c r="C1219" s="180"/>
      <c r="D1219" s="179"/>
      <c r="E1219" s="179"/>
      <c r="F1219" s="179"/>
      <c r="G1219" s="179"/>
      <c r="H1219" s="181"/>
      <c r="I1219" s="181"/>
      <c r="J1219" s="181"/>
      <c r="K1219" s="179"/>
      <c r="L1219" s="179"/>
      <c r="M1219" s="179"/>
      <c r="N1219" s="181"/>
      <c r="O1219" s="179"/>
      <c r="P1219" s="179"/>
      <c r="Q1219" s="179"/>
      <c r="R1219" s="179"/>
      <c r="S1219" s="179"/>
      <c r="T1219" s="179"/>
      <c r="U1219" s="179"/>
      <c r="V1219" s="179"/>
      <c r="W1219" s="192"/>
      <c r="X1219" s="192"/>
      <c r="Y1219" s="192"/>
      <c r="Z1219" s="158"/>
      <c r="AA1219" s="158"/>
      <c r="AB1219" s="158"/>
      <c r="AC1219" s="158"/>
      <c r="AD1219" s="158"/>
      <c r="AE1219" s="158"/>
      <c r="AF1219" s="158"/>
      <c r="AG1219" s="158"/>
      <c r="AH1219" s="158"/>
    </row>
    <row r="1220" spans="1:34" ht="15.75" customHeight="1">
      <c r="A1220" s="179"/>
      <c r="B1220" s="180"/>
      <c r="C1220" s="180"/>
      <c r="D1220" s="179"/>
      <c r="E1220" s="179"/>
      <c r="F1220" s="179"/>
      <c r="G1220" s="179"/>
      <c r="H1220" s="181"/>
      <c r="I1220" s="181"/>
      <c r="J1220" s="181"/>
      <c r="K1220" s="179"/>
      <c r="L1220" s="179"/>
      <c r="M1220" s="179"/>
      <c r="N1220" s="181"/>
      <c r="O1220" s="179"/>
      <c r="P1220" s="179"/>
      <c r="Q1220" s="179"/>
      <c r="R1220" s="179"/>
      <c r="S1220" s="179"/>
      <c r="T1220" s="179"/>
      <c r="U1220" s="179"/>
      <c r="V1220" s="179"/>
      <c r="W1220" s="192"/>
      <c r="X1220" s="192"/>
      <c r="Y1220" s="192"/>
      <c r="Z1220" s="158"/>
      <c r="AA1220" s="158"/>
      <c r="AB1220" s="158"/>
      <c r="AC1220" s="158"/>
      <c r="AD1220" s="158"/>
      <c r="AE1220" s="158"/>
      <c r="AF1220" s="158"/>
      <c r="AG1220" s="158"/>
      <c r="AH1220" s="158"/>
    </row>
    <row r="1221" spans="1:34" ht="15.75" customHeight="1">
      <c r="A1221" s="179"/>
      <c r="B1221" s="180"/>
      <c r="C1221" s="180"/>
      <c r="D1221" s="179"/>
      <c r="E1221" s="179"/>
      <c r="F1221" s="179"/>
      <c r="G1221" s="179"/>
      <c r="H1221" s="181"/>
      <c r="I1221" s="181"/>
      <c r="J1221" s="181"/>
      <c r="K1221" s="179"/>
      <c r="L1221" s="179"/>
      <c r="M1221" s="179"/>
      <c r="N1221" s="181"/>
      <c r="O1221" s="179"/>
      <c r="P1221" s="179"/>
      <c r="Q1221" s="179"/>
      <c r="R1221" s="179"/>
      <c r="S1221" s="179"/>
      <c r="T1221" s="179"/>
      <c r="U1221" s="179"/>
      <c r="V1221" s="179"/>
      <c r="W1221" s="192"/>
      <c r="X1221" s="192"/>
      <c r="Y1221" s="192"/>
      <c r="Z1221" s="158"/>
      <c r="AA1221" s="158"/>
      <c r="AB1221" s="158"/>
      <c r="AC1221" s="158"/>
      <c r="AD1221" s="158"/>
      <c r="AE1221" s="158"/>
      <c r="AF1221" s="158"/>
      <c r="AG1221" s="158"/>
      <c r="AH1221" s="158"/>
    </row>
    <row r="1222" spans="1:34" ht="15.75" customHeight="1">
      <c r="A1222" s="179"/>
      <c r="B1222" s="180"/>
      <c r="C1222" s="180"/>
      <c r="D1222" s="179"/>
      <c r="E1222" s="179"/>
      <c r="F1222" s="179"/>
      <c r="G1222" s="179"/>
      <c r="H1222" s="181"/>
      <c r="I1222" s="181"/>
      <c r="J1222" s="181"/>
      <c r="K1222" s="179"/>
      <c r="L1222" s="179"/>
      <c r="M1222" s="179"/>
      <c r="N1222" s="181"/>
      <c r="O1222" s="179"/>
      <c r="P1222" s="179"/>
      <c r="Q1222" s="179"/>
      <c r="R1222" s="179"/>
      <c r="S1222" s="179"/>
      <c r="T1222" s="179"/>
      <c r="U1222" s="179"/>
      <c r="V1222" s="179"/>
      <c r="W1222" s="192"/>
      <c r="X1222" s="192"/>
      <c r="Y1222" s="192"/>
      <c r="Z1222" s="158"/>
      <c r="AA1222" s="158"/>
      <c r="AB1222" s="158"/>
      <c r="AC1222" s="158"/>
      <c r="AD1222" s="158"/>
      <c r="AE1222" s="158"/>
      <c r="AF1222" s="158"/>
      <c r="AG1222" s="158"/>
      <c r="AH1222" s="158"/>
    </row>
    <row r="1223" spans="1:34" ht="15.75" customHeight="1">
      <c r="A1223" s="179"/>
      <c r="B1223" s="180"/>
      <c r="C1223" s="180"/>
      <c r="D1223" s="179"/>
      <c r="E1223" s="179"/>
      <c r="F1223" s="179"/>
      <c r="G1223" s="179"/>
      <c r="H1223" s="181"/>
      <c r="I1223" s="181"/>
      <c r="J1223" s="181"/>
      <c r="K1223" s="179"/>
      <c r="L1223" s="179"/>
      <c r="M1223" s="179"/>
      <c r="N1223" s="181"/>
      <c r="O1223" s="179"/>
      <c r="P1223" s="179"/>
      <c r="Q1223" s="179"/>
      <c r="R1223" s="179"/>
      <c r="S1223" s="179"/>
      <c r="T1223" s="179"/>
      <c r="U1223" s="179"/>
      <c r="V1223" s="179"/>
      <c r="W1223" s="192"/>
      <c r="X1223" s="192"/>
      <c r="Y1223" s="192"/>
      <c r="Z1223" s="158"/>
      <c r="AA1223" s="158"/>
      <c r="AB1223" s="158"/>
      <c r="AC1223" s="158"/>
      <c r="AD1223" s="158"/>
      <c r="AE1223" s="158"/>
      <c r="AF1223" s="158"/>
      <c r="AG1223" s="158"/>
      <c r="AH1223" s="158"/>
    </row>
    <row r="1224" spans="1:34" ht="15.75" customHeight="1">
      <c r="A1224" s="179"/>
      <c r="B1224" s="180"/>
      <c r="C1224" s="180"/>
      <c r="D1224" s="179"/>
      <c r="E1224" s="179"/>
      <c r="F1224" s="179"/>
      <c r="G1224" s="179"/>
      <c r="H1224" s="181"/>
      <c r="I1224" s="181"/>
      <c r="J1224" s="181"/>
      <c r="K1224" s="179"/>
      <c r="L1224" s="179"/>
      <c r="M1224" s="179"/>
      <c r="N1224" s="181"/>
      <c r="O1224" s="179"/>
      <c r="P1224" s="179"/>
      <c r="Q1224" s="179"/>
      <c r="R1224" s="179"/>
      <c r="S1224" s="179"/>
      <c r="T1224" s="179"/>
      <c r="U1224" s="179"/>
      <c r="V1224" s="179"/>
      <c r="W1224" s="192"/>
      <c r="X1224" s="192"/>
      <c r="Y1224" s="192"/>
      <c r="Z1224" s="158"/>
      <c r="AA1224" s="158"/>
      <c r="AB1224" s="158"/>
      <c r="AC1224" s="158"/>
      <c r="AD1224" s="158"/>
      <c r="AE1224" s="158"/>
      <c r="AF1224" s="158"/>
      <c r="AG1224" s="158"/>
      <c r="AH1224" s="158"/>
    </row>
    <row r="1225" spans="1:34" ht="15.75" customHeight="1">
      <c r="A1225" s="179"/>
      <c r="B1225" s="180"/>
      <c r="C1225" s="180"/>
      <c r="D1225" s="179"/>
      <c r="E1225" s="179"/>
      <c r="F1225" s="179"/>
      <c r="G1225" s="179"/>
      <c r="H1225" s="181"/>
      <c r="I1225" s="181"/>
      <c r="J1225" s="181"/>
      <c r="K1225" s="179"/>
      <c r="L1225" s="179"/>
      <c r="M1225" s="179"/>
      <c r="N1225" s="181"/>
      <c r="O1225" s="179"/>
      <c r="P1225" s="179"/>
      <c r="Q1225" s="179"/>
      <c r="R1225" s="179"/>
      <c r="S1225" s="179"/>
      <c r="T1225" s="179"/>
      <c r="U1225" s="179"/>
      <c r="V1225" s="179"/>
      <c r="W1225" s="192"/>
      <c r="X1225" s="192"/>
      <c r="Y1225" s="192"/>
      <c r="Z1225" s="158"/>
      <c r="AA1225" s="158"/>
      <c r="AB1225" s="158"/>
      <c r="AC1225" s="158"/>
      <c r="AD1225" s="158"/>
      <c r="AE1225" s="158"/>
      <c r="AF1225" s="158"/>
      <c r="AG1225" s="158"/>
      <c r="AH1225" s="158"/>
    </row>
  </sheetData>
  <hyperlinks>
    <hyperlink ref="A4" r:id="rId1" xr:uid="{00000000-0004-0000-2800-000000000000}"/>
    <hyperlink ref="B6" r:id="rId2" display="https://www.fangraphs.com/players/cal-quantrill/19312/stats?position=P" xr:uid="{00000000-0004-0000-2800-000001000000}"/>
    <hyperlink ref="B7" r:id="rId3" display="https://www.fangraphs.com/players/bradley-blalock/26419/stats?position=P" xr:uid="{00000000-0004-0000-2800-000002000000}"/>
    <hyperlink ref="C7" r:id="rId4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03000000}"/>
    <hyperlink ref="B8" r:id="rId5" display="https://www.fangraphs.com/players/german-marquez/15038/stats?position=P" xr:uid="{00000000-0004-0000-2800-000004000000}"/>
    <hyperlink ref="C8" r:id="rId6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05000000}"/>
    <hyperlink ref="B9" r:id="rId7" display="https://www.fangraphs.com/players/walker-buehler/19374/stats?position=P" xr:uid="{00000000-0004-0000-2800-000006000000}"/>
    <hyperlink ref="B10" r:id="rId8" display="https://www.fangraphs.com/players/tyler-anderson/12880/stats?position=P" xr:uid="{00000000-0004-0000-2800-000007000000}"/>
    <hyperlink ref="C10" r:id="rId9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08000000}"/>
    <hyperlink ref="B11" r:id="rId10" display="https://www.fangraphs.com/players/luis-gil/21052/stats?position=P" xr:uid="{00000000-0004-0000-2800-000009000000}"/>
    <hyperlink ref="C11" r:id="rId11" display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xr:uid="{00000000-0004-0000-2800-00000A000000}"/>
    <hyperlink ref="B12" r:id="rId12" display="https://www.fangraphs.com/players/chris-paddack/20099/stats?position=P" xr:uid="{00000000-0004-0000-2800-00000B000000}"/>
    <hyperlink ref="C12" r:id="rId13" display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xr:uid="{00000000-0004-0000-2800-00000C000000}"/>
    <hyperlink ref="B13" r:id="rId14" display="https://www.fangraphs.com/players/seth-lugo/12447/stats?position=P" xr:uid="{00000000-0004-0000-2800-00000D000000}"/>
    <hyperlink ref="C13" r:id="rId15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0E000000}"/>
    <hyperlink ref="B14" r:id="rId16" display="https://www.fangraphs.com/players/mccade-brown/30004/stats?position=P" xr:uid="{00000000-0004-0000-2800-00000F000000}"/>
    <hyperlink ref="C14" r:id="rId17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10000000}"/>
    <hyperlink ref="B15" r:id="rId18" display="https://www.fangraphs.com/players/michael-king/19853/stats?position=P" xr:uid="{00000000-0004-0000-2800-000011000000}"/>
    <hyperlink ref="C15" r:id="rId19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12000000}"/>
    <hyperlink ref="B16" r:id="rId20" display="https://www.fangraphs.com/players/lucas-giolito/15474/stats?position=P" xr:uid="{00000000-0004-0000-2800-000013000000}"/>
    <hyperlink ref="C16" r:id="rId21" display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xr:uid="{00000000-0004-0000-2800-000014000000}"/>
    <hyperlink ref="B17" r:id="rId22" display="https://www.fangraphs.com/players/miles-mikolas/9803/stats?position=P" xr:uid="{00000000-0004-0000-2800-000015000000}"/>
    <hyperlink ref="C17" r:id="rId23" display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xr:uid="{00000000-0004-0000-2800-000016000000}"/>
    <hyperlink ref="B18" r:id="rId24" display="https://www.fangraphs.com/players/nestor-cortes/17874/stats?position=P" xr:uid="{00000000-0004-0000-2800-000017000000}"/>
    <hyperlink ref="C18" r:id="rId25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18000000}"/>
    <hyperlink ref="B19" r:id="rId26" display="https://www.fangraphs.com/players/adam-mazur/31900/stats?position=P" xr:uid="{00000000-0004-0000-2800-000019000000}"/>
    <hyperlink ref="C19" r:id="rId27" display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xr:uid="{00000000-0004-0000-2800-00001A000000}"/>
    <hyperlink ref="B20" r:id="rId28" display="https://www.fangraphs.com/players/mitchell-parker/27636/stats?position=P" xr:uid="{00000000-0004-0000-2800-00001B000000}"/>
    <hyperlink ref="C20" r:id="rId29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1C000000}"/>
    <hyperlink ref="B21" r:id="rId30" display="https://www.fangraphs.com/players/mason-barnett/31741/stats?position=P" xr:uid="{00000000-0004-0000-2800-00001D000000}"/>
    <hyperlink ref="C21" r:id="rId31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1E000000}"/>
    <hyperlink ref="B22" r:id="rId32" display="https://www.fangraphs.com/players/jake-irvin/21504/stats?position=P" xr:uid="{00000000-0004-0000-2800-00001F000000}"/>
    <hyperlink ref="C22" r:id="rId33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20000000}"/>
    <hyperlink ref="B23" r:id="rId34" display="https://www.fangraphs.com/players/andre-pallante/26108/stats?position=P" xr:uid="{00000000-0004-0000-2800-000021000000}"/>
    <hyperlink ref="C23" r:id="rId35" display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xr:uid="{00000000-0004-0000-2800-000022000000}"/>
    <hyperlink ref="B24" r:id="rId36" display="https://www.fangraphs.com/players/spencer-arrighetti/29921/stats?position=P" xr:uid="{00000000-0004-0000-2800-000023000000}"/>
    <hyperlink ref="C24" r:id="rId37" display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xr:uid="{00000000-0004-0000-2800-000024000000}"/>
    <hyperlink ref="B25" r:id="rId38" display="https://www.fangraphs.com/players/eduardo-rodriguez/13164/stats?position=P" xr:uid="{00000000-0004-0000-2800-000025000000}"/>
    <hyperlink ref="C25" r:id="rId39" display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xr:uid="{00000000-0004-0000-2800-000026000000}"/>
    <hyperlink ref="B26" r:id="rId40" display="https://www.fangraphs.com/players/taijuan-walker/11836/stats?position=P" xr:uid="{00000000-0004-0000-2800-000027000000}"/>
    <hyperlink ref="C26" r:id="rId41" display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xr:uid="{00000000-0004-0000-2800-000028000000}"/>
    <hyperlink ref="B27" r:id="rId42" display="https://www.fangraphs.com/players/jose-quintana/11423/stats?position=P" xr:uid="{00000000-0004-0000-2800-000029000000}"/>
    <hyperlink ref="C27" r:id="rId43" display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xr:uid="{00000000-0004-0000-2800-00002A000000}"/>
    <hyperlink ref="B28" r:id="rId44" display="https://www.fangraphs.com/players/brandon-young/27819/stats?position=P" xr:uid="{00000000-0004-0000-2800-00002B000000}"/>
    <hyperlink ref="C28" r:id="rId45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2C000000}"/>
    <hyperlink ref="B29" r:id="rId46" display="https://www.fangraphs.com/players/davis-martin/21448/stats?position=P" xr:uid="{00000000-0004-0000-2800-00002D000000}"/>
    <hyperlink ref="C29" r:id="rId47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2E000000}"/>
    <hyperlink ref="B30" r:id="rId48" display="https://www.fangraphs.com/players/spencer-strider/27498/stats?position=P" xr:uid="{00000000-0004-0000-2800-00002F000000}"/>
    <hyperlink ref="C30" r:id="rId49" display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xr:uid="{00000000-0004-0000-2800-000030000000}"/>
    <hyperlink ref="B31" r:id="rId50" display="https://www.fangraphs.com/players/matthew-liberatore/22294/stats?position=P" xr:uid="{00000000-0004-0000-2800-000031000000}"/>
    <hyperlink ref="C31" r:id="rId51" display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xr:uid="{00000000-0004-0000-2800-000032000000}"/>
    <hyperlink ref="B32" r:id="rId52" display="https://www.fangraphs.com/players/martin-perez/6902/stats?position=P" xr:uid="{00000000-0004-0000-2800-000033000000}"/>
    <hyperlink ref="C32" r:id="rId53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34000000}"/>
    <hyperlink ref="B33" r:id="rId54" display="https://www.fangraphs.com/players/logan-allen/27589/stats?position=P" xr:uid="{00000000-0004-0000-2800-000035000000}"/>
    <hyperlink ref="C33" r:id="rId55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36000000}"/>
    <hyperlink ref="B34" r:id="rId56" display="https://www.fangraphs.com/players/johan-oviedo/22487/stats?position=P" xr:uid="{00000000-0004-0000-2800-000037000000}"/>
    <hyperlink ref="C34" r:id="rId57" display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xr:uid="{00000000-0004-0000-2800-000038000000}"/>
    <hyperlink ref="B35" r:id="rId58" display="https://www.fangraphs.com/players/michael-wacha/14078/stats?position=P" xr:uid="{00000000-0004-0000-2800-000039000000}"/>
    <hyperlink ref="C35" r:id="rId59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3A000000}"/>
    <hyperlink ref="B36" r:id="rId60" display="https://www.fangraphs.com/players/mitch-farris/33628/stats?position=P" xr:uid="{00000000-0004-0000-2800-00003B000000}"/>
    <hyperlink ref="C36" r:id="rId61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3C000000}"/>
    <hyperlink ref="B37" r:id="rId62" display="https://www.fangraphs.com/players/patrick-corbin/9323/stats?position=P" xr:uid="{00000000-0004-0000-2800-00003D000000}"/>
    <hyperlink ref="C37" r:id="rId63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3E000000}"/>
    <hyperlink ref="B38" r:id="rId64" display="https://www.fangraphs.com/players/javier-assad/21741/stats?position=P" xr:uid="{00000000-0004-0000-2800-00003F000000}"/>
    <hyperlink ref="C38" r:id="rId65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40000000}"/>
    <hyperlink ref="B39" r:id="rId66" display="https://www.fangraphs.com/players/noah-cameron/30184/stats?position=P" xr:uid="{00000000-0004-0000-2800-000041000000}"/>
    <hyperlink ref="C39" r:id="rId67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42000000}"/>
    <hyperlink ref="B40" r:id="rId68" display="https://www.fangraphs.com/players/clay-holmes/13649/stats?position=P" xr:uid="{00000000-0004-0000-2800-000043000000}"/>
    <hyperlink ref="C40" r:id="rId69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44000000}"/>
    <hyperlink ref="B41" r:id="rId70" display="https://www.fangraphs.com/players/max-scherzer/3137/stats?position=P" xr:uid="{00000000-0004-0000-2800-000045000000}"/>
    <hyperlink ref="C41" r:id="rId71" display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xr:uid="{00000000-0004-0000-2800-000046000000}"/>
    <hyperlink ref="B42" r:id="rId72" display="https://www.fangraphs.com/players/cristian-javier/17606/stats?position=P" xr:uid="{00000000-0004-0000-2800-000047000000}"/>
    <hyperlink ref="C42" r:id="rId73" display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xr:uid="{00000000-0004-0000-2800-000048000000}"/>
    <hyperlink ref="B43" r:id="rId74" display="https://www.fangraphs.com/players/chase-dollander/33482/stats?position=P" xr:uid="{00000000-0004-0000-2800-000049000000}"/>
    <hyperlink ref="C43" r:id="rId75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4A000000}"/>
    <hyperlink ref="B44" r:id="rId76" display="https://www.fangraphs.com/players/jeffrey-springs/17677/stats?position=P" xr:uid="{00000000-0004-0000-2800-00004B000000}"/>
    <hyperlink ref="C44" r:id="rId77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4C000000}"/>
    <hyperlink ref="B45" r:id="rId78" display="https://www.fangraphs.com/players/kodai-senga/31838/stats?position=P" xr:uid="{00000000-0004-0000-2800-00004D000000}"/>
    <hyperlink ref="C45" r:id="rId79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4E000000}"/>
    <hyperlink ref="B46" r:id="rId80" display="https://www.fangraphs.com/players/yusei-kikuchi/20633/stats?position=P" xr:uid="{00000000-0004-0000-2800-00004F000000}"/>
    <hyperlink ref="C46" r:id="rId81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50000000}"/>
    <hyperlink ref="B47" r:id="rId82" display="https://www.fangraphs.com/players/joe-boyle/29608/stats?position=P" xr:uid="{00000000-0004-0000-2800-000051000000}"/>
    <hyperlink ref="C47" r:id="rId83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52000000}"/>
    <hyperlink ref="B48" r:id="rId84" display="https://www.fangraphs.com/players/brayan-bello/23920/stats?position=P" xr:uid="{00000000-0004-0000-2800-000053000000}"/>
    <hyperlink ref="C48" r:id="rId85" display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xr:uid="{00000000-0004-0000-2800-000054000000}"/>
    <hyperlink ref="B49" r:id="rId86" display="https://www.fangraphs.com/players/mackenzie-gore/22201/stats?position=P" xr:uid="{00000000-0004-0000-2800-000055000000}"/>
    <hyperlink ref="C49" r:id="rId87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56000000}"/>
    <hyperlink ref="B50" r:id="rId88" display="https://www.fangraphs.com/players/jp-sears/23429/stats?position=P" xr:uid="{00000000-0004-0000-2800-000057000000}"/>
    <hyperlink ref="C50" r:id="rId89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58000000}"/>
    <hyperlink ref="B51" r:id="rId90" display="https://www.fangraphs.com/players/kyle-hendricks/12049/stats?position=P" xr:uid="{00000000-0004-0000-2800-000059000000}"/>
    <hyperlink ref="C51" r:id="rId91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5A000000}"/>
    <hyperlink ref="B52" r:id="rId92" display="https://www.fangraphs.com/players/ryan-bergert/29863/stats?position=P" xr:uid="{00000000-0004-0000-2800-00005B000000}"/>
    <hyperlink ref="C52" r:id="rId93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5C000000}"/>
    <hyperlink ref="B53" r:id="rId94" display="https://www.fangraphs.com/players/jose-berrios/14168/stats?position=P" xr:uid="{00000000-0004-0000-2800-00005D000000}"/>
    <hyperlink ref="C53" r:id="rId95" display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xr:uid="{00000000-0004-0000-2800-00005E000000}"/>
    <hyperlink ref="B54" r:id="rId96" display="https://www.fangraphs.com/players/nick-martinez/12730/stats?position=P" xr:uid="{00000000-0004-0000-2800-00005F000000}"/>
    <hyperlink ref="C54" r:id="rId97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60000000}"/>
    <hyperlink ref="B55" r:id="rId98" display="https://www.fangraphs.com/players/dustin-may/19716/stats?position=P" xr:uid="{00000000-0004-0000-2800-000061000000}"/>
    <hyperlink ref="C55" r:id="rId99" display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xr:uid="{00000000-0004-0000-2800-000062000000}"/>
    <hyperlink ref="B56" r:id="rId100" display="https://www.fangraphs.com/players/nabil-crismatt/17732/stats?position=P" xr:uid="{00000000-0004-0000-2800-000063000000}"/>
    <hyperlink ref="C56" r:id="rId101" display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xr:uid="{00000000-0004-0000-2800-000064000000}"/>
    <hyperlink ref="B57" r:id="rId102" display="https://www.fangraphs.com/players/michael-mcgreevy/29869/stats?position=P" xr:uid="{00000000-0004-0000-2800-000065000000}"/>
    <hyperlink ref="C57" r:id="rId103" display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xr:uid="{00000000-0004-0000-2800-000066000000}"/>
    <hyperlink ref="B58" r:id="rId104" display="https://www.fangraphs.com/players/janson-junk/23301/stats?position=P" xr:uid="{00000000-0004-0000-2800-000067000000}"/>
    <hyperlink ref="C58" r:id="rId105" display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xr:uid="{00000000-0004-0000-2800-000068000000}"/>
    <hyperlink ref="B59" r:id="rId106" display="https://www.fangraphs.com/players/jacob-latz/21306/stats?position=P" xr:uid="{00000000-0004-0000-2800-000069000000}"/>
    <hyperlink ref="C59" r:id="rId107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6A000000}"/>
    <hyperlink ref="B60" r:id="rId108" display="https://www.fangraphs.com/players/tomoyuki-sugano/35321/stats?position=P" xr:uid="{00000000-0004-0000-2800-00006B000000}"/>
    <hyperlink ref="C60" r:id="rId109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6C000000}"/>
    <hyperlink ref="B61" r:id="rId110" display="https://www.fangraphs.com/players/chris-bassitt/12304/stats?position=P" xr:uid="{00000000-0004-0000-2800-00006D000000}"/>
    <hyperlink ref="C61" r:id="rId111" display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xr:uid="{00000000-0004-0000-2800-00006E000000}"/>
    <hyperlink ref="B62" r:id="rId112" display="https://www.fangraphs.com/players/joey-wentz/19962/stats?position=P" xr:uid="{00000000-0004-0000-2800-00006F000000}"/>
    <hyperlink ref="C62" r:id="rId113" display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xr:uid="{00000000-0004-0000-2800-000070000000}"/>
    <hyperlink ref="B63" r:id="rId114" display="https://www.fangraphs.com/players/jameson-taillon/11674/stats?position=P" xr:uid="{00000000-0004-0000-2800-000071000000}"/>
    <hyperlink ref="C63" r:id="rId115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72000000}"/>
    <hyperlink ref="B64" r:id="rId116" display="https://www.fangraphs.com/players/luis-severino/15890/stats?position=P" xr:uid="{00000000-0004-0000-2800-000073000000}"/>
    <hyperlink ref="C64" r:id="rId117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74000000}"/>
    <hyperlink ref="B65" r:id="rId118" display="https://www.fangraphs.com/players/andrew-alvarez/29914/stats?position=P" xr:uid="{00000000-0004-0000-2800-000075000000}"/>
    <hyperlink ref="C65" r:id="rId119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76000000}"/>
    <hyperlink ref="B66" r:id="rId120" display="https://www.fangraphs.com/players/caden-dana/31508/stats?position=P" xr:uid="{00000000-0004-0000-2800-000077000000}"/>
    <hyperlink ref="C66" r:id="rId121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78000000}"/>
    <hyperlink ref="B67" r:id="rId122" display="https://www.fangraphs.com/players/will-warren/30182/stats?position=P" xr:uid="{00000000-0004-0000-2800-000079000000}"/>
    <hyperlink ref="C67" r:id="rId123" display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xr:uid="{00000000-0004-0000-2800-00007A000000}"/>
    <hyperlink ref="B68" r:id="rId124" display="https://www.fangraphs.com/players/framber-valdez/17295/stats?position=P" xr:uid="{00000000-0004-0000-2800-00007B000000}"/>
    <hyperlink ref="B69" r:id="rId125" display="https://www.fangraphs.com/players/charlie-morton/4676/stats?position=P" xr:uid="{00000000-0004-0000-2800-00007C000000}"/>
    <hyperlink ref="B70" r:id="rId126" display="https://www.fangraphs.com/players/carlos-rodon/16137/stats?position=P" xr:uid="{00000000-0004-0000-2800-00007D000000}"/>
    <hyperlink ref="C70" r:id="rId127" display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xr:uid="{00000000-0004-0000-2800-00007E000000}"/>
    <hyperlink ref="B71" r:id="rId128" display="https://www.fangraphs.com/players/robbie-ray/11486/stats?position=P" xr:uid="{00000000-0004-0000-2800-00007F000000}"/>
    <hyperlink ref="C71" r:id="rId129" display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xr:uid="{00000000-0004-0000-2800-000080000000}"/>
    <hyperlink ref="B72" r:id="rId130" display="https://www.fangraphs.com/players/cade-povich/30055/stats?position=P" xr:uid="{00000000-0004-0000-2800-000081000000}"/>
    <hyperlink ref="C72" r:id="rId131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82000000}"/>
    <hyperlink ref="B73" r:id="rId132" display="https://www.fangraphs.com/players/luis-morales/32227/stats?position=P" xr:uid="{00000000-0004-0000-2800-000083000000}"/>
    <hyperlink ref="C73" r:id="rId133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84000000}"/>
    <hyperlink ref="B74" r:id="rId134" display="https://www.fangraphs.com/players/zack-littell/15823/stats?position=P" xr:uid="{00000000-0004-0000-2800-000085000000}"/>
    <hyperlink ref="C74" r:id="rId135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86000000}"/>
    <hyperlink ref="B75" r:id="rId136" display="https://www.fangraphs.com/players/david-peterson/20302/stats?position=P" xr:uid="{00000000-0004-0000-2800-000087000000}"/>
    <hyperlink ref="C75" r:id="rId137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88000000}"/>
    <hyperlink ref="B76" r:id="rId138" display="https://www.fangraphs.com/players/taj-bradley/22543/stats?position=P" xr:uid="{00000000-0004-0000-2800-000089000000}"/>
    <hyperlink ref="C76" r:id="rId139" display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xr:uid="{00000000-0004-0000-2800-00008A000000}"/>
    <hyperlink ref="B77" r:id="rId140" display="https://www.fangraphs.com/players/brad-lord/31972/stats?position=P" xr:uid="{00000000-0004-0000-2800-00008B000000}"/>
    <hyperlink ref="C77" r:id="rId141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8C000000}"/>
    <hyperlink ref="B78" r:id="rId142" display="https://www.fangraphs.com/players/zac-gallen/19291/stats?position=P" xr:uid="{00000000-0004-0000-2800-00008D000000}"/>
    <hyperlink ref="C78" r:id="rId143" display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xr:uid="{00000000-0004-0000-2800-00008E000000}"/>
    <hyperlink ref="B79" r:id="rId144" display="https://www.fangraphs.com/players/adrian-houser/12718/stats?position=P" xr:uid="{00000000-0004-0000-2800-00008F000000}"/>
    <hyperlink ref="C79" r:id="rId145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90000000}"/>
    <hyperlink ref="B80" r:id="rId146" display="https://www.fangraphs.com/players/bryce-miller/29837/stats?position=P" xr:uid="{00000000-0004-0000-2800-000091000000}"/>
    <hyperlink ref="C80" r:id="rId147" display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xr:uid="{00000000-0004-0000-2800-000092000000}"/>
    <hyperlink ref="B81" r:id="rId148" display="https://www.fangraphs.com/players/zebby-matthews/31827/stats?position=P" xr:uid="{00000000-0004-0000-2800-000093000000}"/>
    <hyperlink ref="C81" r:id="rId149" display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xr:uid="{00000000-0004-0000-2800-000094000000}"/>
    <hyperlink ref="B82" r:id="rId150" display="https://www.fangraphs.com/players/kyle-freeland/16256/stats?position=P" xr:uid="{00000000-0004-0000-2800-000095000000}"/>
    <hyperlink ref="C82" r:id="rId151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96000000}"/>
    <hyperlink ref="B83" r:id="rId152" display="https://www.fangraphs.com/players/aaron-civale/19479/stats?position=P" xr:uid="{00000000-0004-0000-2800-000097000000}"/>
    <hyperlink ref="C83" r:id="rId153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98000000}"/>
    <hyperlink ref="B84" r:id="rId154" display="https://www.fangraphs.com/players/matthew-boyd/15440/stats?position=P" xr:uid="{00000000-0004-0000-2800-000099000000}"/>
    <hyperlink ref="C84" r:id="rId155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9A000000}"/>
    <hyperlink ref="B85" r:id="rId156" display="https://www.fangraphs.com/players/clayton-kershaw/2036/stats?position=P" xr:uid="{00000000-0004-0000-2800-00009B000000}"/>
    <hyperlink ref="C85" r:id="rId157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9C000000}"/>
    <hyperlink ref="B86" r:id="rId158" display="https://www.fangraphs.com/players/brandon-sproat/33850/stats?position=P" xr:uid="{00000000-0004-0000-2800-00009D000000}"/>
    <hyperlink ref="C86" r:id="rId159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9E000000}"/>
    <hyperlink ref="B87" r:id="rId160" display="https://www.fangraphs.com/players/tanner-bibee/30134/stats?position=P" xr:uid="{00000000-0004-0000-2800-00009F000000}"/>
    <hyperlink ref="C87" r:id="rId161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A0000000}"/>
    <hyperlink ref="B88" r:id="rId162" display="https://www.fangraphs.com/players/bailey-ober/21224/stats?position=P" xr:uid="{00000000-0004-0000-2800-0000A1000000}"/>
    <hyperlink ref="C88" r:id="rId163" display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xr:uid="{00000000-0004-0000-2800-0000A2000000}"/>
    <hyperlink ref="B89" r:id="rId164" display="https://www.fangraphs.com/players/nick-pivetta/15454/stats?position=P" xr:uid="{00000000-0004-0000-2800-0000A3000000}"/>
    <hyperlink ref="C89" r:id="rId165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A4000000}"/>
    <hyperlink ref="B90" r:id="rId166" display="https://www.fangraphs.com/players/dean-kremer/19350/stats?position=P" xr:uid="{00000000-0004-0000-2800-0000A5000000}"/>
    <hyperlink ref="C90" r:id="rId167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A6000000}"/>
    <hyperlink ref="B91" r:id="rId168" display="https://www.fangraphs.com/players/kai-wei-teng/24282/stats?position=P" xr:uid="{00000000-0004-0000-2800-0000A7000000}"/>
    <hyperlink ref="C91" r:id="rId169" display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xr:uid="{00000000-0004-0000-2800-0000A8000000}"/>
    <hyperlink ref="B92" r:id="rId170" display="https://www.fangraphs.com/players/merrill-kelly/11156/stats?position=P" xr:uid="{00000000-0004-0000-2800-0000A9000000}"/>
    <hyperlink ref="C92" r:id="rId171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AA000000}"/>
    <hyperlink ref="B93" r:id="rId172" display="https://www.fangraphs.com/players/ryan-pepiot/26221/stats?position=P" xr:uid="{00000000-0004-0000-2800-0000AB000000}"/>
    <hyperlink ref="C93" r:id="rId173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AC000000}"/>
    <hyperlink ref="B94" r:id="rId174" display="https://www.fangraphs.com/players/cade-cavalli/27473/stats?position=P" xr:uid="{00000000-0004-0000-2800-0000AD000000}"/>
    <hyperlink ref="C94" r:id="rId175" display="https://www.fangraphs.com/leaders/major-league?pos=all&amp;stats=sta&amp;lg=all&amp;ind=0&amp;team=24&amp;rost=0&amp;filter=&amp;players=0&amp;page=1_500&amp;season1=2025&amp;season=2025&amp;pageitems=2000000000&amp;qual=20&amp;type=1&amp;month=1000&amp;startdate=2025-08-01&amp;enddate=2026-03-28" xr:uid="{00000000-0004-0000-2800-0000AE000000}"/>
    <hyperlink ref="B95" r:id="rId176" display="https://www.fangraphs.com/players/ryne-nelson/26253/stats?position=P" xr:uid="{00000000-0004-0000-2800-0000AF000000}"/>
    <hyperlink ref="C95" r:id="rId177" display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xr:uid="{00000000-0004-0000-2800-0000B0000000}"/>
    <hyperlink ref="B96" r:id="rId178" display="https://www.fangraphs.com/players/justin-verlander/8700/stats?position=P" xr:uid="{00000000-0004-0000-2800-0000B1000000}"/>
    <hyperlink ref="C96" r:id="rId179" display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xr:uid="{00000000-0004-0000-2800-0000B2000000}"/>
    <hyperlink ref="B97" r:id="rId180" display="https://www.fangraphs.com/players/mitch-keller/17594/stats?position=P" xr:uid="{00000000-0004-0000-2800-0000B3000000}"/>
    <hyperlink ref="C97" r:id="rId181" display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xr:uid="{00000000-0004-0000-2800-0000B4000000}"/>
    <hyperlink ref="B98" r:id="rId182" display="https://www.fangraphs.com/players/drew-rasmussen/25385/stats?position=P" xr:uid="{00000000-0004-0000-2800-0000B5000000}"/>
    <hyperlink ref="C98" r:id="rId183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B6000000}"/>
    <hyperlink ref="B99" r:id="rId184" display="https://www.fangraphs.com/players/brandon-pfaadt/27782/stats?position=P" xr:uid="{00000000-0004-0000-2800-0000B7000000}"/>
    <hyperlink ref="C99" r:id="rId185" display="https://www.fangraphs.com/leaders/major-league?pos=all&amp;stats=sta&amp;lg=all&amp;ind=0&amp;team=15&amp;rost=0&amp;filter=&amp;players=0&amp;page=1_500&amp;season1=2025&amp;season=2025&amp;pageitems=2000000000&amp;qual=20&amp;type=1&amp;month=1000&amp;startdate=2025-08-01&amp;enddate=2026-03-28" xr:uid="{00000000-0004-0000-2800-0000B8000000}"/>
    <hyperlink ref="B100" r:id="rId186" display="https://www.fangraphs.com/players/slade-cecconi/27500/stats?position=P" xr:uid="{00000000-0004-0000-2800-0000B9000000}"/>
    <hyperlink ref="C100" r:id="rId187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BA000000}"/>
    <hyperlink ref="B101" r:id="rId188" display="https://www.fangraphs.com/players/yoendrys-gomez/22872/stats?position=P" xr:uid="{00000000-0004-0000-2800-0000BB000000}"/>
    <hyperlink ref="C101" r:id="rId189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BC000000}"/>
    <hyperlink ref="B102" r:id="rId190" display="https://www.fangraphs.com/players/colin-rea/12317/stats?position=P" xr:uid="{00000000-0004-0000-2800-0000BD000000}"/>
    <hyperlink ref="C102" r:id="rId191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BE000000}"/>
    <hyperlink ref="B103" r:id="rId192" display="https://www.fangraphs.com/players/quinn-priester/25977/stats?position=P" xr:uid="{00000000-0004-0000-2800-0000BF000000}"/>
    <hyperlink ref="C103" r:id="rId193" display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xr:uid="{00000000-0004-0000-2800-0000C0000000}"/>
    <hyperlink ref="B104" r:id="rId194" display="https://www.fangraphs.com/players/tanner-gordon/27669/stats?position=P" xr:uid="{00000000-0004-0000-2800-0000C1000000}"/>
    <hyperlink ref="C104" r:id="rId195" display="https://www.fangraphs.com/leaders/major-league?pos=all&amp;stats=sta&amp;lg=all&amp;ind=0&amp;team=19&amp;rost=0&amp;filter=&amp;players=0&amp;page=1_500&amp;season1=2025&amp;season=2025&amp;pageitems=2000000000&amp;qual=20&amp;type=1&amp;month=1000&amp;startdate=2025-08-01&amp;enddate=2026-03-28" xr:uid="{00000000-0004-0000-2800-0000C2000000}"/>
    <hyperlink ref="B105" r:id="rId196" display="https://www.fangraphs.com/players/jt-ginn/27889/stats?position=P" xr:uid="{00000000-0004-0000-2800-0000C3000000}"/>
    <hyperlink ref="C105" r:id="rId197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C4000000}"/>
    <hyperlink ref="B106" r:id="rId198" display="https://www.fangraphs.com/players/bryce-elder/27779/stats?position=P" xr:uid="{00000000-0004-0000-2800-0000C5000000}"/>
    <hyperlink ref="C106" r:id="rId199" display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xr:uid="{00000000-0004-0000-2800-0000C6000000}"/>
    <hyperlink ref="B107" r:id="rId200" display="https://www.fangraphs.com/players/jason-alexander/19666/stats?position=P" xr:uid="{00000000-0004-0000-2800-0000C7000000}"/>
    <hyperlink ref="C107" r:id="rId201" display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xr:uid="{00000000-0004-0000-2800-0000C8000000}"/>
    <hyperlink ref="B108" r:id="rId202" display="https://www.fangraphs.com/players/shota-imanaga/33829/stats?position=P" xr:uid="{00000000-0004-0000-2800-0000C9000000}"/>
    <hyperlink ref="C108" r:id="rId203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CA000000}"/>
    <hyperlink ref="B109" r:id="rId204" display="https://www.fangraphs.com/players/jose-soriano/22100/stats?position=P" xr:uid="{00000000-0004-0000-2800-0000CB000000}"/>
    <hyperlink ref="C109" r:id="rId205" display="https://www.fangraphs.com/leaders/major-league?pos=all&amp;stats=sta&amp;lg=all&amp;ind=0&amp;team=1&amp;rost=0&amp;filter=&amp;players=0&amp;page=1_500&amp;season1=2025&amp;season=2025&amp;pageitems=2000000000&amp;qual=20&amp;type=1&amp;month=1000&amp;startdate=2025-08-01&amp;enddate=2026-03-28" xr:uid="{00000000-0004-0000-2800-0000CC000000}"/>
    <hyperlink ref="B110" r:id="rId206" display="https://www.fangraphs.com/players/tyler-wells/20000/stats?position=P" xr:uid="{00000000-0004-0000-2800-0000CD000000}"/>
    <hyperlink ref="C110" r:id="rId207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CE000000}"/>
    <hyperlink ref="B111" r:id="rId208" display="https://www.fangraphs.com/players/stephen-kolek/21487/stats?position=P" xr:uid="{00000000-0004-0000-2800-0000CF000000}"/>
    <hyperlink ref="C111" r:id="rId209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D0000000}"/>
    <hyperlink ref="B112" r:id="rId210" display="https://www.fangraphs.com/players/sean-burke/29878/stats?position=P" xr:uid="{00000000-0004-0000-2800-0000D1000000}"/>
    <hyperlink ref="C112" r:id="rId211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D2000000}"/>
    <hyperlink ref="B113" r:id="rId212" display="https://www.fangraphs.com/players/hurston-waldrep/33527/stats?position=P" xr:uid="{00000000-0004-0000-2800-0000D3000000}"/>
    <hyperlink ref="C113" r:id="rId213" display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xr:uid="{00000000-0004-0000-2800-0000D4000000}"/>
    <hyperlink ref="B114" r:id="rId214" display="https://www.fangraphs.com/players/jack-flaherty/17479/stats?position=P" xr:uid="{00000000-0004-0000-2800-0000D5000000}"/>
    <hyperlink ref="C114" r:id="rId215" display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xr:uid="{00000000-0004-0000-2800-0000D6000000}"/>
    <hyperlink ref="B115" r:id="rId216" display="https://www.fangraphs.com/players/andrew-abbott/29911/stats?position=P" xr:uid="{00000000-0004-0000-2800-0000D7000000}"/>
    <hyperlink ref="C115" r:id="rId217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D8000000}"/>
    <hyperlink ref="B116" r:id="rId218" display="https://www.fangraphs.com/players/joey-cantillo/23335/stats?position=P" xr:uid="{00000000-0004-0000-2800-0000D9000000}"/>
    <hyperlink ref="C116" r:id="rId219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DA000000}"/>
    <hyperlink ref="B117" r:id="rId220" display="https://www.fangraphs.com/players/gavin-williams/30122/stats?position=P" xr:uid="{00000000-0004-0000-2800-0000DB000000}"/>
    <hyperlink ref="C117" r:id="rId221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DC000000}"/>
    <hyperlink ref="B118" r:id="rId222" display="https://www.fangraphs.com/players/jack-leiter/30146/stats?position=P" xr:uid="{00000000-0004-0000-2800-0000DD000000}"/>
    <hyperlink ref="C118" r:id="rId223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DE000000}"/>
    <hyperlink ref="B119" r:id="rId224" display="https://www.fangraphs.com/players/shane-smith/31687/stats?position=P" xr:uid="{00000000-0004-0000-2800-0000DF000000}"/>
    <hyperlink ref="C119" r:id="rId225" display="https://www.fangraphs.com/leaders/major-league?pos=all&amp;stats=sta&amp;lg=all&amp;ind=0&amp;team=4&amp;rost=0&amp;filter=&amp;players=0&amp;page=1_500&amp;season1=2025&amp;season=2025&amp;pageitems=2000000000&amp;qual=20&amp;type=1&amp;month=1000&amp;startdate=2025-08-01&amp;enddate=2026-03-28" xr:uid="{00000000-0004-0000-2800-0000E0000000}"/>
    <hyperlink ref="B120" r:id="rId226" display="https://www.fangraphs.com/players/tyler-glasnow/14374/stats?position=P" xr:uid="{00000000-0004-0000-2800-0000E1000000}"/>
    <hyperlink ref="C120" r:id="rId227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E2000000}"/>
    <hyperlink ref="B121" r:id="rId228" display="https://www.fangraphs.com/players/dylan-cease/18525/stats?position=P" xr:uid="{00000000-0004-0000-2800-0000E3000000}"/>
    <hyperlink ref="C121" r:id="rId229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E4000000}"/>
    <hyperlink ref="B122" r:id="rId230" display="https://www.fangraphs.com/players/randy-vasquez/24719/stats?position=P" xr:uid="{00000000-0004-0000-2800-0000E5000000}"/>
    <hyperlink ref="C122" r:id="rId231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E6000000}"/>
    <hyperlink ref="B123" r:id="rId232" display="https://www.fangraphs.com/players/michael-lorenzen/14843/stats?position=P" xr:uid="{00000000-0004-0000-2800-0000E7000000}"/>
    <hyperlink ref="C123" r:id="rId233" display="https://www.fangraphs.com/leaders/major-league?pos=all&amp;stats=sta&amp;lg=all&amp;ind=0&amp;team=7&amp;rost=0&amp;filter=&amp;players=0&amp;page=1_500&amp;season1=2025&amp;season=2025&amp;pageitems=2000000000&amp;qual=20&amp;type=1&amp;month=1000&amp;startdate=2025-08-01&amp;enddate=2026-03-28" xr:uid="{00000000-0004-0000-2800-0000E8000000}"/>
    <hyperlink ref="B124" r:id="rId234" display="https://www.fangraphs.com/players/aaron-nola/16149/stats?position=P" xr:uid="{00000000-0004-0000-2800-0000E9000000}"/>
    <hyperlink ref="C124" r:id="rId235" display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xr:uid="{00000000-0004-0000-2800-0000EA000000}"/>
    <hyperlink ref="B125" r:id="rId236" display="https://www.fangraphs.com/players/cade-horton/31872/stats?position=P" xr:uid="{00000000-0004-0000-2800-0000EB000000}"/>
    <hyperlink ref="C125" r:id="rId237" display="https://www.fangraphs.com/leaders/major-league?pos=all&amp;stats=sta&amp;lg=all&amp;ind=0&amp;team=17&amp;rost=0&amp;filter=&amp;players=0&amp;page=1_500&amp;season1=2025&amp;season=2025&amp;pageitems=2000000000&amp;qual=20&amp;type=1&amp;month=1000&amp;startdate=2025-08-01&amp;enddate=2026-03-28" xr:uid="{00000000-0004-0000-2800-0000EC000000}"/>
    <hyperlink ref="B126" r:id="rId238" display="https://www.fangraphs.com/players/chad-patrick/30113/stats?position=P" xr:uid="{00000000-0004-0000-2800-0000ED000000}"/>
    <hyperlink ref="C126" r:id="rId239" display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xr:uid="{00000000-0004-0000-2800-0000EE000000}"/>
    <hyperlink ref="B127" r:id="rId240" display="https://www.fangraphs.com/players/hunter-brown/25880/stats?position=P" xr:uid="{00000000-0004-0000-2800-0000EF000000}"/>
    <hyperlink ref="C127" r:id="rId241" display="https://www.fangraphs.com/leaders/major-league?pos=all&amp;stats=sta&amp;lg=all&amp;ind=0&amp;team=21&amp;rost=0&amp;filter=&amp;players=0&amp;page=1_500&amp;season1=2025&amp;season=2025&amp;pageitems=2000000000&amp;qual=20&amp;type=1&amp;month=1000&amp;startdate=2025-08-01&amp;enddate=2026-03-28" xr:uid="{00000000-0004-0000-2800-0000F0000000}"/>
    <hyperlink ref="B128" r:id="rId242" display="https://www.fangraphs.com/players/brady-singer/25377/stats?position=P" xr:uid="{00000000-0004-0000-2800-0000F1000000}"/>
    <hyperlink ref="C128" r:id="rId243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F2000000}"/>
    <hyperlink ref="B129" r:id="rId244" display="https://www.fangraphs.com/players/luis-castillo/15689/stats?position=P" xr:uid="{00000000-0004-0000-2800-0000F3000000}"/>
    <hyperlink ref="C129" r:id="rId245" display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xr:uid="{00000000-0004-0000-2800-0000F4000000}"/>
    <hyperlink ref="B130" r:id="rId246" display="https://www.fangraphs.com/players/sandy-alcantara/18684/stats?position=P" xr:uid="{00000000-0004-0000-2800-0000F5000000}"/>
    <hyperlink ref="C130" r:id="rId247" display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xr:uid="{00000000-0004-0000-2800-0000F6000000}"/>
    <hyperlink ref="B131" r:id="rId248" display="https://www.fangraphs.com/players/trevor-rogers/22286/stats?position=P" xr:uid="{00000000-0004-0000-2800-0000F7000000}"/>
    <hyperlink ref="C131" r:id="rId249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F8000000}"/>
    <hyperlink ref="B132" r:id="rId250" display="https://www.fangraphs.com/players/eury-perez/27768/stats?position=P" xr:uid="{00000000-0004-0000-2800-0000F9000000}"/>
    <hyperlink ref="C132" r:id="rId251" display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xr:uid="{00000000-0004-0000-2800-0000FA000000}"/>
    <hyperlink ref="B133" r:id="rId252" display="https://www.fangraphs.com/players/shane-baz/22264/stats?position=P" xr:uid="{00000000-0004-0000-2800-0000FB000000}"/>
    <hyperlink ref="C133" r:id="rId253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FC000000}"/>
    <hyperlink ref="B134" r:id="rId254" display="https://www.fangraphs.com/players/ranger-suarez/17277/stats?position=P" xr:uid="{00000000-0004-0000-2800-0000FD000000}"/>
    <hyperlink ref="C134" r:id="rId255" display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xr:uid="{00000000-0004-0000-2800-0000FE000000}"/>
    <hyperlink ref="B135" r:id="rId256" display="https://www.fangraphs.com/players/mike-burrows/24728/stats?position=P" xr:uid="{00000000-0004-0000-2800-0000FF000000}"/>
    <hyperlink ref="B136" r:id="rId257" display="https://www.fangraphs.com/players/joe-ryan/21390/stats?position=P" xr:uid="{00000000-0004-0000-2800-000000010000}"/>
    <hyperlink ref="C136" r:id="rId258" display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xr:uid="{00000000-0004-0000-2800-000001010000}"/>
    <hyperlink ref="B137" r:id="rId259" display="https://www.fangraphs.com/players/casey-mize/20492/stats?position=P" xr:uid="{00000000-0004-0000-2800-000002010000}"/>
    <hyperlink ref="C137" r:id="rId260" display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xr:uid="{00000000-0004-0000-2800-000003010000}"/>
    <hyperlink ref="B138" r:id="rId261" display="https://www.fangraphs.com/players/jacob-misiorowski/31623/stats?position=P" xr:uid="{00000000-0004-0000-2800-000004010000}"/>
    <hyperlink ref="C138" r:id="rId262" display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xr:uid="{00000000-0004-0000-2800-000005010000}"/>
    <hyperlink ref="B139" r:id="rId263" display="https://www.fangraphs.com/players/yu-darvish/13074/stats?position=P" xr:uid="{00000000-0004-0000-2800-000006010000}"/>
    <hyperlink ref="C139" r:id="rId264" display="https://www.fangraphs.com/leaders/major-league?pos=all&amp;stats=sta&amp;lg=all&amp;ind=0&amp;team=29&amp;rost=0&amp;filter=&amp;players=0&amp;page=1_500&amp;season1=2025&amp;season=2025&amp;pageitems=2000000000&amp;qual=20&amp;type=1&amp;month=1000&amp;startdate=2025-08-01&amp;enddate=2026-03-28" xr:uid="{00000000-0004-0000-2800-000007010000}"/>
    <hyperlink ref="B140" r:id="rId265" display="https://www.fangraphs.com/players/braxton-ashcraft/23793/stats?position=P" xr:uid="{00000000-0004-0000-2800-000008010000}"/>
    <hyperlink ref="C140" r:id="rId266" display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xr:uid="{00000000-0004-0000-2800-000009010000}"/>
    <hyperlink ref="B141" r:id="rId267" display="https://www.fangraphs.com/players/shane-bieber/19427/stats?position=P" xr:uid="{00000000-0004-0000-2800-00000A010000}"/>
    <hyperlink ref="C141" r:id="rId268" display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xr:uid="{00000000-0004-0000-2800-00000B010000}"/>
    <hyperlink ref="B142" r:id="rId269" display="https://www.fangraphs.com/players/max-fried/13743/stats?position=P" xr:uid="{00000000-0004-0000-2800-00000C010000}"/>
    <hyperlink ref="C142" r:id="rId270" display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xr:uid="{00000000-0004-0000-2800-00000D010000}"/>
    <hyperlink ref="B143" r:id="rId271" display="https://www.fangraphs.com/players/parker-messick/31986/stats?position=P" xr:uid="{00000000-0004-0000-2800-00000E010000}"/>
    <hyperlink ref="C143" r:id="rId272" display="https://www.fangraphs.com/leaders/major-league?pos=all&amp;stats=sta&amp;lg=all&amp;ind=0&amp;team=5&amp;rost=0&amp;filter=&amp;players=0&amp;page=1_500&amp;season1=2025&amp;season=2025&amp;pageitems=2000000000&amp;qual=20&amp;type=1&amp;month=1000&amp;startdate=2025-08-01&amp;enddate=2026-03-28" xr:uid="{00000000-0004-0000-2800-00000F010000}"/>
    <hyperlink ref="B144" r:id="rId273" display="https://www.fangraphs.com/players/sonny-gray/12768/stats?position=P" xr:uid="{00000000-0004-0000-2800-000010010000}"/>
    <hyperlink ref="C144" r:id="rId274" display="https://www.fangraphs.com/leaders/major-league?pos=all&amp;stats=sta&amp;lg=all&amp;ind=0&amp;team=28&amp;rost=0&amp;filter=&amp;players=0&amp;page=1_500&amp;season1=2025&amp;season=2025&amp;pageitems=2000000000&amp;qual=20&amp;type=1&amp;month=1000&amp;startdate=2025-08-01&amp;enddate=2026-03-28" xr:uid="{00000000-0004-0000-2800-000011010000}"/>
    <hyperlink ref="B145" r:id="rId275" display="https://www.fangraphs.com/players/simeon-woods-richardson/24494/stats?position=P" xr:uid="{00000000-0004-0000-2800-000012010000}"/>
    <hyperlink ref="C145" r:id="rId276" display="https://www.fangraphs.com/leaders/major-league?pos=all&amp;stats=sta&amp;lg=all&amp;ind=0&amp;team=8&amp;rost=0&amp;filter=&amp;players=0&amp;page=1_500&amp;season1=2025&amp;season=2025&amp;pageitems=2000000000&amp;qual=20&amp;type=1&amp;month=1000&amp;startdate=2025-08-01&amp;enddate=2026-03-28" xr:uid="{00000000-0004-0000-2800-000013010000}"/>
    <hyperlink ref="B146" r:id="rId277" display="https://www.fangraphs.com/players/edward-cabrera/21690/stats?position=P" xr:uid="{00000000-0004-0000-2800-000014010000}"/>
    <hyperlink ref="C146" r:id="rId278" display="https://www.fangraphs.com/leaders/major-league?pos=all&amp;stats=sta&amp;lg=all&amp;ind=0&amp;team=20&amp;rost=0&amp;filter=&amp;players=0&amp;page=1_500&amp;season1=2025&amp;season=2025&amp;pageitems=2000000000&amp;qual=20&amp;type=1&amp;month=1000&amp;startdate=2025-08-01&amp;enddate=2026-03-28" xr:uid="{00000000-0004-0000-2800-000015010000}"/>
    <hyperlink ref="B147" r:id="rId279" display="https://www.fangraphs.com/players/jacob-degrom/10954/stats?position=P" xr:uid="{00000000-0004-0000-2800-000016010000}"/>
    <hyperlink ref="C147" r:id="rId280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17010000}"/>
    <hyperlink ref="B148" r:id="rId281" display="https://www.fangraphs.com/players/cameron-schlittler/32095/stats?position=P" xr:uid="{00000000-0004-0000-2800-000018010000}"/>
    <hyperlink ref="C148" r:id="rId282" display="https://www.fangraphs.com/leaders/major-league?pos=all&amp;stats=sta&amp;lg=all&amp;ind=0&amp;team=9&amp;rost=0&amp;filter=&amp;players=0&amp;page=1_500&amp;season1=2025&amp;season=2025&amp;pageitems=2000000000&amp;qual=20&amp;type=1&amp;month=1000&amp;startdate=2025-08-01&amp;enddate=2026-03-28" xr:uid="{00000000-0004-0000-2800-000019010000}"/>
    <hyperlink ref="B149" r:id="rId283" display="https://www.fangraphs.com/players/jacob-lopez/25098/stats?position=P" xr:uid="{00000000-0004-0000-2800-00001A010000}"/>
    <hyperlink ref="C149" r:id="rId284" display="https://www.fangraphs.com/leaders/major-league?pos=all&amp;stats=sta&amp;lg=all&amp;ind=0&amp;team=10&amp;rost=0&amp;filter=&amp;players=0&amp;page=1_500&amp;season1=2025&amp;season=2025&amp;pageitems=2000000000&amp;qual=20&amp;type=1&amp;month=1000&amp;startdate=2025-08-01&amp;enddate=2026-03-28" xr:uid="{00000000-0004-0000-2800-00001B010000}"/>
    <hyperlink ref="B150" r:id="rId285" display="https://www.fangraphs.com/players/ian-seymour/27932/stats?position=P" xr:uid="{00000000-0004-0000-2800-00001C010000}"/>
    <hyperlink ref="C150" r:id="rId286" display="https://www.fangraphs.com/leaders/major-league?pos=all&amp;stats=sta&amp;lg=all&amp;ind=0&amp;team=12&amp;rost=0&amp;filter=&amp;players=0&amp;page=1_500&amp;season1=2025&amp;season=2025&amp;pageitems=2000000000&amp;qual=20&amp;type=1&amp;month=1000&amp;startdate=2025-08-01&amp;enddate=2026-03-28" xr:uid="{00000000-0004-0000-2800-00001D010000}"/>
    <hyperlink ref="B151" r:id="rId287" display="https://www.fangraphs.com/players/kevin-gausman/14107/stats?position=P" xr:uid="{00000000-0004-0000-2800-00001E010000}"/>
    <hyperlink ref="C151" r:id="rId288" display="https://www.fangraphs.com/leaders/major-league?pos=all&amp;stats=sta&amp;lg=all&amp;ind=0&amp;team=14&amp;rost=0&amp;filter=&amp;players=0&amp;page=1_500&amp;season1=2025&amp;season=2025&amp;pageitems=2000000000&amp;qual=20&amp;type=1&amp;month=1000&amp;startdate=2025-08-01&amp;enddate=2026-03-28" xr:uid="{00000000-0004-0000-2800-00001F010000}"/>
    <hyperlink ref="B152" r:id="rId289" display="https://www.fangraphs.com/players/logan-gilbert/22250/stats?position=P" xr:uid="{00000000-0004-0000-2800-000020010000}"/>
    <hyperlink ref="C152" r:id="rId290" display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xr:uid="{00000000-0004-0000-2800-000021010000}"/>
    <hyperlink ref="B153" r:id="rId291" display="https://www.fangraphs.com/players/sean-manaea/15873/stats?position=P" xr:uid="{00000000-0004-0000-2800-000022010000}"/>
    <hyperlink ref="C153" r:id="rId292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23010000}"/>
    <hyperlink ref="B154" r:id="rId293" display="https://www.fangraphs.com/players/george-kirby/25436/stats?position=P" xr:uid="{00000000-0004-0000-2800-000024010000}"/>
    <hyperlink ref="C154" r:id="rId294" display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xr:uid="{00000000-0004-0000-2800-000025010000}"/>
    <hyperlink ref="B155" r:id="rId295" display="https://www.fangraphs.com/players/yoshinobu-yamamoto/33825/stats?position=P" xr:uid="{00000000-0004-0000-2800-000026010000}"/>
    <hyperlink ref="C155" r:id="rId296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27010000}"/>
    <hyperlink ref="B156" r:id="rId297" display="https://www.fangraphs.com/players/tarik-skubal/22267/stats?position=P" xr:uid="{00000000-0004-0000-2800-000028010000}"/>
    <hyperlink ref="C156" r:id="rId298" display="https://www.fangraphs.com/leaders/major-league?pos=all&amp;stats=sta&amp;lg=all&amp;ind=0&amp;team=6&amp;rost=0&amp;filter=&amp;players=0&amp;page=1_500&amp;season1=2025&amp;season=2025&amp;pageitems=2000000000&amp;qual=20&amp;type=1&amp;month=1000&amp;startdate=2025-08-01&amp;enddate=2026-03-28" xr:uid="{00000000-0004-0000-2800-000029010000}"/>
    <hyperlink ref="B157" r:id="rId299" display="https://www.fangraphs.com/players/brandon-woodruff/16162/stats?position=P" xr:uid="{00000000-0004-0000-2800-00002A010000}"/>
    <hyperlink ref="C157" r:id="rId300" display="https://www.fangraphs.com/leaders/major-league?pos=all&amp;stats=sta&amp;lg=all&amp;ind=0&amp;team=23&amp;rost=0&amp;filter=&amp;players=0&amp;page=1_500&amp;season1=2025&amp;season=2025&amp;pageitems=2000000000&amp;qual=20&amp;type=1&amp;month=1000&amp;startdate=2025-08-01&amp;enddate=2026-03-28" xr:uid="{00000000-0004-0000-2800-00002B010000}"/>
    <hyperlink ref="B158" r:id="rId301" display="https://www.fangraphs.com/players/nolan-mclean/33703/stats?position=P" xr:uid="{00000000-0004-0000-2800-00002C010000}"/>
    <hyperlink ref="C158" r:id="rId302" display="https://www.fangraphs.com/leaders/major-league?pos=all&amp;stats=sta&amp;lg=all&amp;ind=0&amp;team=25&amp;rost=0&amp;filter=&amp;players=0&amp;page=1_500&amp;season1=2025&amp;season=2025&amp;pageitems=2000000000&amp;qual=20&amp;type=1&amp;month=1000&amp;startdate=2025-08-01&amp;enddate=2026-03-28" xr:uid="{00000000-0004-0000-2800-00002D010000}"/>
    <hyperlink ref="B159" r:id="rId303" display="https://www.fangraphs.com/players/nick-lodolo/26378/stats?position=P" xr:uid="{00000000-0004-0000-2800-00002E010000}"/>
    <hyperlink ref="C159" r:id="rId304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2F010000}"/>
    <hyperlink ref="B160" r:id="rId305" display="https://www.fangraphs.com/players/blake-snell/13543/stats?position=P" xr:uid="{00000000-0004-0000-2800-000030010000}"/>
    <hyperlink ref="C160" r:id="rId306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31010000}"/>
    <hyperlink ref="B161" r:id="rId307" display="https://www.fangraphs.com/players/logan-webb/17995/stats?position=P" xr:uid="{00000000-0004-0000-2800-000032010000}"/>
    <hyperlink ref="C161" r:id="rId308" display="https://www.fangraphs.com/leaders/major-league?pos=all&amp;stats=sta&amp;lg=all&amp;ind=0&amp;team=30&amp;rost=0&amp;filter=&amp;players=0&amp;page=1_500&amp;season1=2025&amp;season=2025&amp;pageitems=2000000000&amp;qual=20&amp;type=1&amp;month=1000&amp;startdate=2025-08-01&amp;enddate=2026-03-28" xr:uid="{00000000-0004-0000-2800-000033010000}"/>
    <hyperlink ref="B162" r:id="rId309" display="https://www.fangraphs.com/players/freddy-peralta/18679/stats?position=P" xr:uid="{00000000-0004-0000-2800-000034010000}"/>
    <hyperlink ref="B163" r:id="rId310" display="https://www.fangraphs.com/players/hunter-greene/22182/stats?position=P" xr:uid="{00000000-0004-0000-2800-000035010000}"/>
    <hyperlink ref="C163" r:id="rId311" display="https://www.fangraphs.com/leaders/major-league?pos=all&amp;stats=sta&amp;lg=all&amp;ind=0&amp;team=18&amp;rost=0&amp;filter=&amp;players=0&amp;page=1_500&amp;season1=2025&amp;season=2025&amp;pageitems=2000000000&amp;qual=20&amp;type=1&amp;month=1000&amp;startdate=2025-08-01&amp;enddate=2026-03-28" xr:uid="{00000000-0004-0000-2800-000036010000}"/>
    <hyperlink ref="B164" r:id="rId312" display="https://www.fangraphs.com/players/nathan-eovaldi/9132/stats?position=P" xr:uid="{00000000-0004-0000-2800-000037010000}"/>
    <hyperlink ref="C164" r:id="rId313" display="https://www.fangraphs.com/leaders/major-league?pos=all&amp;stats=sta&amp;lg=all&amp;ind=0&amp;team=13&amp;rost=0&amp;filter=&amp;players=0&amp;page=1_500&amp;season1=2025&amp;season=2025&amp;pageitems=2000000000&amp;qual=20&amp;type=1&amp;month=1000&amp;startdate=2025-08-01&amp;enddate=2026-03-28" xr:uid="{00000000-0004-0000-2800-000038010000}"/>
    <hyperlink ref="B165" r:id="rId314" display="https://www.fangraphs.com/players/paul-skenes/33677/stats?position=P" xr:uid="{00000000-0004-0000-2800-000039010000}"/>
    <hyperlink ref="C165" r:id="rId315" display="https://www.fangraphs.com/leaders/major-league?pos=all&amp;stats=sta&amp;lg=all&amp;ind=0&amp;team=27&amp;rost=0&amp;filter=&amp;players=0&amp;page=1_500&amp;season1=2025&amp;season=2025&amp;pageitems=2000000000&amp;qual=20&amp;type=1&amp;month=1000&amp;startdate=2025-08-01&amp;enddate=2026-03-28" xr:uid="{00000000-0004-0000-2800-00003A010000}"/>
    <hyperlink ref="B166" r:id="rId316" display="https://www.fangraphs.com/players/jesus-luzardo/19959/stats?position=P" xr:uid="{00000000-0004-0000-2800-00003B010000}"/>
    <hyperlink ref="C166" r:id="rId317" display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xr:uid="{00000000-0004-0000-2800-00003C010000}"/>
    <hyperlink ref="B167" r:id="rId318" display="https://www.fangraphs.com/players/emmet-sheehan/29839/stats?position=P" xr:uid="{00000000-0004-0000-2800-00003D010000}"/>
    <hyperlink ref="C167" r:id="rId319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3E010000}"/>
    <hyperlink ref="B168" r:id="rId320" display="https://www.fangraphs.com/players/cristopher-sanchez/20778/stats?position=P" xr:uid="{00000000-0004-0000-2800-00003F010000}"/>
    <hyperlink ref="C168" r:id="rId321" display="https://www.fangraphs.com/leaders/major-league?pos=all&amp;stats=sta&amp;lg=all&amp;ind=0&amp;team=26&amp;rost=0&amp;filter=&amp;players=0&amp;page=1_500&amp;season1=2025&amp;season=2025&amp;pageitems=2000000000&amp;qual=20&amp;type=1&amp;month=1000&amp;startdate=2025-08-01&amp;enddate=2026-03-28" xr:uid="{00000000-0004-0000-2800-000040010000}"/>
    <hyperlink ref="B169" r:id="rId322" display="https://www.fangraphs.com/players/kyle-bradish/24586/stats?position=P" xr:uid="{00000000-0004-0000-2800-000041010000}"/>
    <hyperlink ref="C169" r:id="rId323" display="https://www.fangraphs.com/leaders/major-league?pos=all&amp;stats=sta&amp;lg=all&amp;ind=0&amp;team=2&amp;rost=0&amp;filter=&amp;players=0&amp;page=1_500&amp;season1=2025&amp;season=2025&amp;pageitems=2000000000&amp;qual=20&amp;type=1&amp;month=1000&amp;startdate=2025-08-01&amp;enddate=2026-03-28" xr:uid="{00000000-0004-0000-2800-000042010000}"/>
    <hyperlink ref="B170" r:id="rId324" display="https://www.fangraphs.com/players/bryan-woo/30279/stats?position=P" xr:uid="{00000000-0004-0000-2800-000043010000}"/>
    <hyperlink ref="C170" r:id="rId325" display="https://www.fangraphs.com/leaders/major-league?pos=all&amp;stats=sta&amp;lg=all&amp;ind=0&amp;team=11&amp;rost=0&amp;filter=&amp;players=0&amp;page=1_500&amp;season1=2025&amp;season=2025&amp;pageitems=2000000000&amp;qual=20&amp;type=1&amp;month=1000&amp;startdate=2025-08-01&amp;enddate=2026-03-28" xr:uid="{00000000-0004-0000-2800-000044010000}"/>
    <hyperlink ref="B171" r:id="rId326" display="https://www.fangraphs.com/players/garrett-crochet/27463/stats?position=P" xr:uid="{00000000-0004-0000-2800-000045010000}"/>
    <hyperlink ref="C171" r:id="rId327" display="https://www.fangraphs.com/leaders/major-league?pos=all&amp;stats=sta&amp;lg=all&amp;ind=0&amp;team=3&amp;rost=0&amp;filter=&amp;players=0&amp;page=1_500&amp;season1=2025&amp;season=2025&amp;pageitems=2000000000&amp;qual=20&amp;type=1&amp;month=1000&amp;startdate=2025-08-01&amp;enddate=2026-03-28" xr:uid="{00000000-0004-0000-2800-000046010000}"/>
    <hyperlink ref="B172" r:id="rId328" display="https://www.fangraphs.com/players/chris-sale/10603/stats?position=P" xr:uid="{00000000-0004-0000-2800-000047010000}"/>
    <hyperlink ref="C172" r:id="rId329" display="https://www.fangraphs.com/leaders/major-league?pos=all&amp;stats=sta&amp;lg=all&amp;ind=0&amp;team=16&amp;rost=0&amp;filter=&amp;players=0&amp;page=1_500&amp;season1=2025&amp;season=2025&amp;pageitems=2000000000&amp;qual=20&amp;type=1&amp;month=1000&amp;startdate=2025-08-01&amp;enddate=2026-03-28" xr:uid="{00000000-0004-0000-2800-000048010000}"/>
    <hyperlink ref="B173" r:id="rId330" display="https://www.fangraphs.com/players/shohei-ohtani/19755/stats?position=DH" xr:uid="{00000000-0004-0000-2800-000049010000}"/>
    <hyperlink ref="C173" r:id="rId331" display="https://www.fangraphs.com/leaders/major-league?pos=all&amp;stats=sta&amp;lg=all&amp;ind=0&amp;team=22&amp;rost=0&amp;filter=&amp;players=0&amp;page=1_500&amp;season1=2025&amp;season=2025&amp;pageitems=2000000000&amp;qual=20&amp;type=1&amp;month=1000&amp;startdate=2025-08-01&amp;enddate=2026-03-28" xr:uid="{00000000-0004-0000-2800-00004A01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FFFF"/>
    <outlinePr summaryBelow="0" summaryRight="0"/>
  </sheetPr>
  <dimension ref="A1:AK262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19.42578125" customWidth="1"/>
    <col min="2" max="2" width="17.42578125" customWidth="1"/>
    <col min="3" max="3" width="10.5703125" customWidth="1"/>
    <col min="4" max="4" width="5.140625" customWidth="1"/>
    <col min="5" max="5" width="12.28515625" customWidth="1"/>
    <col min="6" max="6" width="5.140625" customWidth="1"/>
    <col min="7" max="7" width="4.7109375" customWidth="1"/>
    <col min="8" max="10" width="6.5703125" customWidth="1"/>
    <col min="11" max="11" width="12.28515625" customWidth="1"/>
    <col min="12" max="12" width="5.42578125" customWidth="1"/>
    <col min="13" max="13" width="11.7109375" customWidth="1"/>
    <col min="14" max="14" width="7.5703125" customWidth="1"/>
    <col min="15" max="15" width="5" customWidth="1"/>
    <col min="16" max="16" width="4.140625" customWidth="1"/>
    <col min="17" max="17" width="5" customWidth="1"/>
    <col min="18" max="18" width="5.140625" customWidth="1"/>
    <col min="19" max="19" width="11.7109375" customWidth="1"/>
    <col min="20" max="20" width="4.7109375" customWidth="1"/>
    <col min="21" max="21" width="4.42578125" customWidth="1"/>
    <col min="22" max="22" width="11.7109375" customWidth="1"/>
    <col min="23" max="23" width="18.42578125" customWidth="1"/>
    <col min="24" max="24" width="12.28515625" customWidth="1"/>
    <col min="25" max="25" width="10.85546875" customWidth="1"/>
    <col min="26" max="37" width="5.5703125" customWidth="1"/>
  </cols>
  <sheetData>
    <row r="1" spans="1:37" ht="15.75" customHeight="1">
      <c r="A1" s="184"/>
    </row>
    <row r="2" spans="1:37" ht="15.75" customHeight="1">
      <c r="E2" s="161"/>
      <c r="F2" s="185"/>
      <c r="G2" s="186"/>
      <c r="H2" s="185"/>
      <c r="I2" s="185"/>
      <c r="J2" s="185"/>
      <c r="K2" s="161"/>
      <c r="L2" s="185"/>
      <c r="M2" s="161"/>
      <c r="N2" s="185"/>
      <c r="O2" s="185"/>
      <c r="P2" s="185"/>
      <c r="Q2" s="185"/>
      <c r="R2" s="185"/>
      <c r="S2" s="161"/>
      <c r="T2" s="185"/>
      <c r="U2" s="185"/>
      <c r="V2" s="161"/>
      <c r="W2" s="161"/>
      <c r="X2" s="161"/>
      <c r="Y2" s="161"/>
      <c r="Z2" s="161"/>
      <c r="AA2" s="161"/>
    </row>
    <row r="3" spans="1:37" ht="15.75" customHeight="1">
      <c r="C3" s="162"/>
      <c r="E3" s="163"/>
      <c r="F3" s="185"/>
      <c r="G3" s="185"/>
      <c r="H3" s="185"/>
      <c r="I3" s="185"/>
      <c r="J3" s="185"/>
      <c r="K3" s="163"/>
      <c r="L3" s="185"/>
      <c r="M3" s="163"/>
      <c r="N3" s="185"/>
      <c r="O3" s="185"/>
      <c r="P3" s="185"/>
      <c r="Q3" s="185"/>
      <c r="R3" s="185"/>
      <c r="S3" s="163"/>
      <c r="T3" s="185"/>
      <c r="U3" s="185"/>
      <c r="V3" s="163"/>
      <c r="W3" s="161"/>
      <c r="X3" s="161"/>
      <c r="Y3" s="161"/>
      <c r="Z3" s="161"/>
      <c r="AA3" s="161"/>
    </row>
    <row r="4" spans="1:37" ht="17.25" customHeight="1">
      <c r="A4" s="189" t="s">
        <v>5</v>
      </c>
      <c r="B4" s="158" t="s">
        <v>6</v>
      </c>
      <c r="C4" s="158"/>
      <c r="D4" s="158"/>
      <c r="E4" s="158"/>
      <c r="F4" s="158"/>
      <c r="G4" s="158"/>
      <c r="H4" s="158">
        <f>AVERAGE($H$6:$H262)</f>
        <v>16.821011673151752</v>
      </c>
      <c r="I4" s="158">
        <f>AVERAGE($I$6:$I262)</f>
        <v>89.181712062256821</v>
      </c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61"/>
      <c r="X4" s="161"/>
      <c r="Y4" s="161"/>
      <c r="Z4" s="161"/>
      <c r="AA4" s="161"/>
    </row>
    <row r="5" spans="1:37" ht="15.75" customHeight="1">
      <c r="A5" s="164" t="s">
        <v>7</v>
      </c>
      <c r="B5" s="165" t="s">
        <v>8</v>
      </c>
      <c r="C5" s="165" t="s">
        <v>9</v>
      </c>
      <c r="D5" s="166" t="s">
        <v>350</v>
      </c>
      <c r="E5" s="166" t="s">
        <v>311</v>
      </c>
      <c r="F5" s="166" t="s">
        <v>936</v>
      </c>
      <c r="G5" s="166" t="s">
        <v>937</v>
      </c>
      <c r="H5" s="166" t="s">
        <v>938</v>
      </c>
      <c r="I5" s="166" t="s">
        <v>263</v>
      </c>
      <c r="J5" s="167" t="s">
        <v>10</v>
      </c>
      <c r="K5" s="166" t="s">
        <v>11</v>
      </c>
      <c r="L5" s="166" t="s">
        <v>13</v>
      </c>
      <c r="M5" s="166" t="s">
        <v>17</v>
      </c>
      <c r="N5" s="166" t="s">
        <v>18</v>
      </c>
      <c r="O5" s="166" t="s">
        <v>939</v>
      </c>
      <c r="P5" s="166" t="s">
        <v>940</v>
      </c>
      <c r="Q5" s="167" t="s">
        <v>941</v>
      </c>
      <c r="R5" s="167" t="s">
        <v>22</v>
      </c>
      <c r="S5" s="166" t="s">
        <v>942</v>
      </c>
      <c r="T5" s="166" t="s">
        <v>2</v>
      </c>
      <c r="U5" s="166" t="s">
        <v>24</v>
      </c>
      <c r="V5" s="167" t="s">
        <v>943</v>
      </c>
      <c r="W5" s="161"/>
      <c r="X5" s="161"/>
      <c r="Y5" s="161"/>
      <c r="Z5" s="161"/>
      <c r="AA5" s="161"/>
      <c r="AB5" s="158"/>
      <c r="AC5" s="158"/>
      <c r="AD5" s="158"/>
      <c r="AE5" s="158"/>
      <c r="AF5" s="158"/>
      <c r="AG5" s="158"/>
      <c r="AH5" s="158"/>
      <c r="AI5" s="158"/>
      <c r="AJ5" s="158"/>
      <c r="AK5" s="158"/>
    </row>
    <row r="6" spans="1:37" ht="15.75" customHeight="1">
      <c r="A6" s="169">
        <v>1</v>
      </c>
      <c r="B6" s="170" t="s">
        <v>214</v>
      </c>
      <c r="C6" s="170" t="s">
        <v>44</v>
      </c>
      <c r="D6" s="169">
        <v>13</v>
      </c>
      <c r="E6" s="169">
        <v>5</v>
      </c>
      <c r="F6" s="169">
        <v>0</v>
      </c>
      <c r="G6" s="169">
        <v>29</v>
      </c>
      <c r="H6" s="169">
        <v>29</v>
      </c>
      <c r="I6" s="169">
        <v>183.1</v>
      </c>
      <c r="J6" s="173">
        <v>11</v>
      </c>
      <c r="K6" s="169">
        <v>1.37</v>
      </c>
      <c r="L6" s="169">
        <v>0.83</v>
      </c>
      <c r="M6" s="169">
        <v>0.26700000000000002</v>
      </c>
      <c r="N6" s="172">
        <v>0.80500000000000005</v>
      </c>
      <c r="O6" s="172">
        <v>0.40500000000000003</v>
      </c>
      <c r="P6" s="172">
        <v>0.1</v>
      </c>
      <c r="Q6" s="173">
        <v>97.6</v>
      </c>
      <c r="R6" s="173">
        <v>2.2599999999999998</v>
      </c>
      <c r="S6" s="169">
        <v>2.77</v>
      </c>
      <c r="T6" s="169">
        <v>2.4500000000000002</v>
      </c>
      <c r="U6" s="169">
        <v>2.67</v>
      </c>
      <c r="V6" s="173">
        <v>6.2</v>
      </c>
      <c r="W6" s="192"/>
      <c r="X6" s="192"/>
      <c r="Y6" s="192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</row>
    <row r="7" spans="1:37" ht="15.75" customHeight="1">
      <c r="A7" s="169">
        <v>2</v>
      </c>
      <c r="B7" s="170" t="s">
        <v>223</v>
      </c>
      <c r="C7" s="170" t="s">
        <v>82</v>
      </c>
      <c r="D7" s="169">
        <v>10</v>
      </c>
      <c r="E7" s="169">
        <v>9</v>
      </c>
      <c r="F7" s="169">
        <v>0</v>
      </c>
      <c r="G7" s="169">
        <v>30</v>
      </c>
      <c r="H7" s="169">
        <v>30</v>
      </c>
      <c r="I7" s="169">
        <v>178</v>
      </c>
      <c r="J7" s="173">
        <v>10.26</v>
      </c>
      <c r="K7" s="169">
        <v>1.97</v>
      </c>
      <c r="L7" s="169">
        <v>0.51</v>
      </c>
      <c r="M7" s="169">
        <v>0.26600000000000001</v>
      </c>
      <c r="N7" s="172">
        <v>0.82099999999999995</v>
      </c>
      <c r="O7" s="172">
        <v>0.44400000000000001</v>
      </c>
      <c r="P7" s="172">
        <v>6.0999999999999999E-2</v>
      </c>
      <c r="Q7" s="173">
        <v>98.3</v>
      </c>
      <c r="R7" s="173">
        <v>1.92</v>
      </c>
      <c r="S7" s="169">
        <v>2.52</v>
      </c>
      <c r="T7" s="169">
        <v>2.35</v>
      </c>
      <c r="U7" s="169">
        <v>3.03</v>
      </c>
      <c r="V7" s="173">
        <v>6.2</v>
      </c>
      <c r="W7" s="192"/>
      <c r="X7" s="192"/>
      <c r="Y7" s="192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</row>
    <row r="8" spans="1:37" ht="15.75" customHeight="1">
      <c r="A8" s="169">
        <v>3</v>
      </c>
      <c r="B8" s="170" t="s">
        <v>226</v>
      </c>
      <c r="C8" s="170" t="s">
        <v>68</v>
      </c>
      <c r="D8" s="169">
        <v>13</v>
      </c>
      <c r="E8" s="169">
        <v>5</v>
      </c>
      <c r="F8" s="169">
        <v>0</v>
      </c>
      <c r="G8" s="169">
        <v>29</v>
      </c>
      <c r="H8" s="169">
        <v>29</v>
      </c>
      <c r="I8" s="169">
        <v>182.1</v>
      </c>
      <c r="J8" s="173">
        <v>9.48</v>
      </c>
      <c r="K8" s="169">
        <v>2.12</v>
      </c>
      <c r="L8" s="169">
        <v>0.49</v>
      </c>
      <c r="M8" s="169">
        <v>0.30599999999999999</v>
      </c>
      <c r="N8" s="172">
        <v>0.79400000000000004</v>
      </c>
      <c r="O8" s="172">
        <v>0.58299999999999996</v>
      </c>
      <c r="P8" s="172">
        <v>8.5999999999999993E-2</v>
      </c>
      <c r="Q8" s="173"/>
      <c r="R8" s="173">
        <v>2.57</v>
      </c>
      <c r="S8" s="169">
        <v>3.09</v>
      </c>
      <c r="T8" s="169">
        <v>2.56</v>
      </c>
      <c r="U8" s="169">
        <v>2.82</v>
      </c>
      <c r="V8" s="173">
        <v>5.7</v>
      </c>
      <c r="W8" s="192"/>
      <c r="X8" s="192"/>
      <c r="Y8" s="192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</row>
    <row r="9" spans="1:37" ht="15.75" customHeight="1">
      <c r="A9" s="169">
        <v>4</v>
      </c>
      <c r="B9" s="170" t="s">
        <v>229</v>
      </c>
      <c r="C9" s="170" t="s">
        <v>51</v>
      </c>
      <c r="D9" s="169">
        <v>16</v>
      </c>
      <c r="E9" s="169">
        <v>5</v>
      </c>
      <c r="F9" s="169">
        <v>0</v>
      </c>
      <c r="G9" s="169">
        <v>30</v>
      </c>
      <c r="H9" s="169">
        <v>30</v>
      </c>
      <c r="I9" s="169">
        <v>191.1</v>
      </c>
      <c r="J9" s="173">
        <v>11.29</v>
      </c>
      <c r="K9" s="169">
        <v>2.02</v>
      </c>
      <c r="L9" s="169">
        <v>1.03</v>
      </c>
      <c r="M9" s="169">
        <v>0.29899999999999999</v>
      </c>
      <c r="N9" s="172">
        <v>0.83699999999999997</v>
      </c>
      <c r="O9" s="172">
        <v>0.48099999999999998</v>
      </c>
      <c r="P9" s="172">
        <v>0.13800000000000001</v>
      </c>
      <c r="Q9" s="173">
        <v>96.5</v>
      </c>
      <c r="R9" s="173">
        <v>2.63</v>
      </c>
      <c r="S9" s="169">
        <v>3.01</v>
      </c>
      <c r="T9" s="169">
        <v>2.85</v>
      </c>
      <c r="U9" s="169">
        <v>2.64</v>
      </c>
      <c r="V9" s="173">
        <v>5.5</v>
      </c>
      <c r="W9" s="192"/>
      <c r="X9" s="192"/>
      <c r="Y9" s="192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</row>
    <row r="10" spans="1:37" ht="15.75" customHeight="1">
      <c r="A10" s="169">
        <v>5</v>
      </c>
      <c r="B10" s="170" t="s">
        <v>224</v>
      </c>
      <c r="C10" s="170" t="s">
        <v>68</v>
      </c>
      <c r="D10" s="169">
        <v>14</v>
      </c>
      <c r="E10" s="169">
        <v>6</v>
      </c>
      <c r="F10" s="169">
        <v>0</v>
      </c>
      <c r="G10" s="169">
        <v>30</v>
      </c>
      <c r="H10" s="169">
        <v>30</v>
      </c>
      <c r="I10" s="169">
        <v>169.2</v>
      </c>
      <c r="J10" s="173">
        <v>10.61</v>
      </c>
      <c r="K10" s="169">
        <v>2.97</v>
      </c>
      <c r="L10" s="169">
        <v>0.74</v>
      </c>
      <c r="M10" s="169">
        <v>0.33200000000000002</v>
      </c>
      <c r="N10" s="172">
        <v>0.69399999999999995</v>
      </c>
      <c r="O10" s="172">
        <v>0.42899999999999999</v>
      </c>
      <c r="P10" s="172">
        <v>8.5000000000000006E-2</v>
      </c>
      <c r="Q10" s="173">
        <v>96.4</v>
      </c>
      <c r="R10" s="173">
        <v>4.03</v>
      </c>
      <c r="S10" s="169">
        <v>3.38</v>
      </c>
      <c r="T10" s="169">
        <v>2.9</v>
      </c>
      <c r="U10" s="169">
        <v>3.32</v>
      </c>
      <c r="V10" s="173">
        <v>4.8</v>
      </c>
      <c r="W10" s="192"/>
      <c r="X10" s="192"/>
      <c r="Y10" s="192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</row>
    <row r="11" spans="1:37" ht="15.75" customHeight="1">
      <c r="A11" s="169">
        <v>6</v>
      </c>
      <c r="B11" s="170" t="s">
        <v>219</v>
      </c>
      <c r="C11" s="170" t="s">
        <v>126</v>
      </c>
      <c r="D11" s="169">
        <v>14</v>
      </c>
      <c r="E11" s="169">
        <v>10</v>
      </c>
      <c r="F11" s="169">
        <v>0</v>
      </c>
      <c r="G11" s="169">
        <v>31</v>
      </c>
      <c r="H11" s="169">
        <v>31</v>
      </c>
      <c r="I11" s="169">
        <v>188.2</v>
      </c>
      <c r="J11" s="173">
        <v>9.83</v>
      </c>
      <c r="K11" s="169">
        <v>2.0499999999999998</v>
      </c>
      <c r="L11" s="169">
        <v>0.67</v>
      </c>
      <c r="M11" s="169">
        <v>0.35</v>
      </c>
      <c r="N11" s="172">
        <v>0.74399999999999999</v>
      </c>
      <c r="O11" s="172">
        <v>0.53200000000000003</v>
      </c>
      <c r="P11" s="172">
        <v>0.109</v>
      </c>
      <c r="Q11" s="173">
        <v>92.7</v>
      </c>
      <c r="R11" s="173">
        <v>3.34</v>
      </c>
      <c r="S11" s="169">
        <v>3.74</v>
      </c>
      <c r="T11" s="169">
        <v>2.71</v>
      </c>
      <c r="U11" s="169">
        <v>2.78</v>
      </c>
      <c r="V11" s="173">
        <v>4.8</v>
      </c>
      <c r="W11" s="192"/>
      <c r="X11" s="192"/>
      <c r="Y11" s="192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</row>
    <row r="12" spans="1:37" ht="15.75" customHeight="1">
      <c r="A12" s="169">
        <v>7</v>
      </c>
      <c r="B12" s="170" t="s">
        <v>213</v>
      </c>
      <c r="C12" s="170" t="s">
        <v>143</v>
      </c>
      <c r="D12" s="169">
        <v>11</v>
      </c>
      <c r="E12" s="169">
        <v>8</v>
      </c>
      <c r="F12" s="169">
        <v>0</v>
      </c>
      <c r="G12" s="169">
        <v>28</v>
      </c>
      <c r="H12" s="169">
        <v>28</v>
      </c>
      <c r="I12" s="169">
        <v>162.1</v>
      </c>
      <c r="J12" s="173">
        <v>10.37</v>
      </c>
      <c r="K12" s="169">
        <v>2.83</v>
      </c>
      <c r="L12" s="169">
        <v>0.78</v>
      </c>
      <c r="M12" s="169">
        <v>0.245</v>
      </c>
      <c r="N12" s="172">
        <v>0.76500000000000001</v>
      </c>
      <c r="O12" s="172">
        <v>0.52200000000000002</v>
      </c>
      <c r="P12" s="172">
        <v>0.113</v>
      </c>
      <c r="Q12" s="173">
        <v>95.3</v>
      </c>
      <c r="R12" s="173">
        <v>2.66</v>
      </c>
      <c r="S12" s="169">
        <v>2.7</v>
      </c>
      <c r="T12" s="169">
        <v>2.96</v>
      </c>
      <c r="U12" s="169">
        <v>3.01</v>
      </c>
      <c r="V12" s="173">
        <v>4.5999999999999996</v>
      </c>
      <c r="W12" s="192"/>
      <c r="X12" s="192"/>
      <c r="Y12" s="192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</row>
    <row r="13" spans="1:37" ht="15.75" customHeight="1">
      <c r="A13" s="169">
        <v>8</v>
      </c>
      <c r="B13" s="170" t="s">
        <v>185</v>
      </c>
      <c r="C13" s="170" t="s">
        <v>64</v>
      </c>
      <c r="D13" s="169">
        <v>12</v>
      </c>
      <c r="E13" s="169">
        <v>7</v>
      </c>
      <c r="F13" s="169">
        <v>0</v>
      </c>
      <c r="G13" s="169">
        <v>29</v>
      </c>
      <c r="H13" s="169">
        <v>29</v>
      </c>
      <c r="I13" s="169">
        <v>174.1</v>
      </c>
      <c r="J13" s="173">
        <v>9.91</v>
      </c>
      <c r="K13" s="169">
        <v>2.74</v>
      </c>
      <c r="L13" s="169">
        <v>0.77</v>
      </c>
      <c r="M13" s="169">
        <v>0.25800000000000001</v>
      </c>
      <c r="N13" s="172">
        <v>0.82499999999999996</v>
      </c>
      <c r="O13" s="172">
        <v>0.47</v>
      </c>
      <c r="P13" s="172">
        <v>0.104</v>
      </c>
      <c r="Q13" s="173">
        <v>96.6</v>
      </c>
      <c r="R13" s="173">
        <v>2.27</v>
      </c>
      <c r="S13" s="169">
        <v>3.13</v>
      </c>
      <c r="T13" s="169">
        <v>3.08</v>
      </c>
      <c r="U13" s="169">
        <v>3.23</v>
      </c>
      <c r="V13" s="173">
        <v>4.5</v>
      </c>
      <c r="W13" s="192"/>
      <c r="X13" s="192"/>
      <c r="Y13" s="192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</row>
    <row r="14" spans="1:37" ht="15.75" customHeight="1">
      <c r="A14" s="169">
        <v>9</v>
      </c>
      <c r="B14" s="170" t="s">
        <v>944</v>
      </c>
      <c r="C14" s="170" t="s">
        <v>68</v>
      </c>
      <c r="D14" s="169">
        <v>12</v>
      </c>
      <c r="E14" s="169">
        <v>6</v>
      </c>
      <c r="F14" s="169">
        <v>0</v>
      </c>
      <c r="G14" s="169">
        <v>23</v>
      </c>
      <c r="H14" s="169">
        <v>23</v>
      </c>
      <c r="I14" s="169">
        <v>143</v>
      </c>
      <c r="J14" s="173">
        <v>8.81</v>
      </c>
      <c r="K14" s="169">
        <v>2.2000000000000002</v>
      </c>
      <c r="L14" s="169">
        <v>0.63</v>
      </c>
      <c r="M14" s="169">
        <v>0.30599999999999999</v>
      </c>
      <c r="N14" s="172">
        <v>0.80300000000000005</v>
      </c>
      <c r="O14" s="172">
        <v>0.45900000000000002</v>
      </c>
      <c r="P14" s="172">
        <v>6.8000000000000005E-2</v>
      </c>
      <c r="Q14" s="173">
        <v>91.2</v>
      </c>
      <c r="R14" s="173">
        <v>2.77</v>
      </c>
      <c r="S14" s="169">
        <v>2.98</v>
      </c>
      <c r="T14" s="169">
        <v>2.96</v>
      </c>
      <c r="U14" s="169">
        <v>3.62</v>
      </c>
      <c r="V14" s="173">
        <v>4.0999999999999996</v>
      </c>
      <c r="W14" s="192"/>
      <c r="X14" s="192"/>
      <c r="Y14" s="192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</row>
    <row r="15" spans="1:37" ht="15.75" customHeight="1">
      <c r="A15" s="169">
        <v>10</v>
      </c>
      <c r="B15" s="170" t="s">
        <v>200</v>
      </c>
      <c r="C15" s="170" t="s">
        <v>42</v>
      </c>
      <c r="D15" s="169">
        <v>17</v>
      </c>
      <c r="E15" s="169">
        <v>5</v>
      </c>
      <c r="F15" s="169">
        <v>0</v>
      </c>
      <c r="G15" s="169">
        <v>30</v>
      </c>
      <c r="H15" s="169">
        <v>30</v>
      </c>
      <c r="I15" s="169">
        <v>181.1</v>
      </c>
      <c r="J15" s="173">
        <v>8.39</v>
      </c>
      <c r="K15" s="169">
        <v>2.38</v>
      </c>
      <c r="L15" s="169">
        <v>0.69</v>
      </c>
      <c r="M15" s="169">
        <v>0.28100000000000003</v>
      </c>
      <c r="N15" s="172">
        <v>0.73199999999999998</v>
      </c>
      <c r="O15" s="172">
        <v>0.52400000000000002</v>
      </c>
      <c r="P15" s="172">
        <v>9.1999999999999998E-2</v>
      </c>
      <c r="Q15" s="173">
        <v>95.8</v>
      </c>
      <c r="R15" s="173">
        <v>3.03</v>
      </c>
      <c r="S15" s="169">
        <v>3.61</v>
      </c>
      <c r="T15" s="169">
        <v>3.25</v>
      </c>
      <c r="U15" s="169">
        <v>3.53</v>
      </c>
      <c r="V15" s="173">
        <v>4.0999999999999996</v>
      </c>
      <c r="W15" s="192"/>
      <c r="X15" s="192"/>
      <c r="Y15" s="192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</row>
    <row r="16" spans="1:37" ht="15.75" customHeight="1">
      <c r="A16" s="169">
        <v>11</v>
      </c>
      <c r="B16" s="170" t="s">
        <v>945</v>
      </c>
      <c r="C16" s="170" t="s">
        <v>68</v>
      </c>
      <c r="D16" s="169">
        <v>10</v>
      </c>
      <c r="E16" s="169">
        <v>5</v>
      </c>
      <c r="F16" s="169">
        <v>0</v>
      </c>
      <c r="G16" s="169">
        <v>24</v>
      </c>
      <c r="H16" s="169">
        <v>24</v>
      </c>
      <c r="I16" s="169">
        <v>149.19999999999999</v>
      </c>
      <c r="J16" s="173">
        <v>11.73</v>
      </c>
      <c r="K16" s="169">
        <v>1.98</v>
      </c>
      <c r="L16" s="169">
        <v>1.1399999999999999</v>
      </c>
      <c r="M16" s="169">
        <v>0.26700000000000002</v>
      </c>
      <c r="N16" s="172">
        <v>0.82399999999999995</v>
      </c>
      <c r="O16" s="172">
        <v>0.39900000000000002</v>
      </c>
      <c r="P16" s="172">
        <v>0.14199999999999999</v>
      </c>
      <c r="Q16" s="173">
        <v>96</v>
      </c>
      <c r="R16" s="173">
        <v>2.71</v>
      </c>
      <c r="S16" s="169">
        <v>2.4700000000000002</v>
      </c>
      <c r="T16" s="169">
        <v>3.01</v>
      </c>
      <c r="U16" s="169">
        <v>2.74</v>
      </c>
      <c r="V16" s="173">
        <v>4</v>
      </c>
      <c r="W16" s="192"/>
      <c r="X16" s="192"/>
      <c r="Y16" s="192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</row>
    <row r="17" spans="1:37" ht="15.75" customHeight="1">
      <c r="A17" s="169">
        <v>12</v>
      </c>
      <c r="B17" s="170" t="s">
        <v>122</v>
      </c>
      <c r="C17" s="170" t="s">
        <v>64</v>
      </c>
      <c r="D17" s="169">
        <v>12</v>
      </c>
      <c r="E17" s="169">
        <v>10</v>
      </c>
      <c r="F17" s="169">
        <v>0</v>
      </c>
      <c r="G17" s="169">
        <v>29</v>
      </c>
      <c r="H17" s="169">
        <v>29</v>
      </c>
      <c r="I17" s="169">
        <v>180.1</v>
      </c>
      <c r="J17" s="173">
        <v>8.6300000000000008</v>
      </c>
      <c r="K17" s="169">
        <v>3.09</v>
      </c>
      <c r="L17" s="169">
        <v>0.65</v>
      </c>
      <c r="M17" s="169">
        <v>0.29399999999999998</v>
      </c>
      <c r="N17" s="172">
        <v>0.72299999999999998</v>
      </c>
      <c r="O17" s="172">
        <v>0.58199999999999996</v>
      </c>
      <c r="P17" s="172">
        <v>0.114</v>
      </c>
      <c r="Q17" s="173">
        <v>95.4</v>
      </c>
      <c r="R17" s="173">
        <v>3.59</v>
      </c>
      <c r="S17" s="169">
        <v>3.74</v>
      </c>
      <c r="T17" s="169">
        <v>3.31</v>
      </c>
      <c r="U17" s="169">
        <v>3.35</v>
      </c>
      <c r="V17" s="173">
        <v>4</v>
      </c>
      <c r="W17" s="192"/>
      <c r="X17" s="192"/>
      <c r="Y17" s="192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</row>
    <row r="18" spans="1:37" ht="15.75" customHeight="1">
      <c r="A18" s="169">
        <v>13</v>
      </c>
      <c r="B18" s="170" t="s">
        <v>147</v>
      </c>
      <c r="C18" s="170" t="s">
        <v>49</v>
      </c>
      <c r="D18" s="169">
        <v>13</v>
      </c>
      <c r="E18" s="169">
        <v>5</v>
      </c>
      <c r="F18" s="169">
        <v>0</v>
      </c>
      <c r="G18" s="169">
        <v>29</v>
      </c>
      <c r="H18" s="169">
        <v>29</v>
      </c>
      <c r="I18" s="169">
        <v>171.1</v>
      </c>
      <c r="J18" s="173">
        <v>9.4600000000000009</v>
      </c>
      <c r="K18" s="169">
        <v>2.36</v>
      </c>
      <c r="L18" s="169">
        <v>1</v>
      </c>
      <c r="M18" s="169">
        <v>0.23100000000000001</v>
      </c>
      <c r="N18" s="172">
        <v>0.78200000000000003</v>
      </c>
      <c r="O18" s="172">
        <v>0.33900000000000002</v>
      </c>
      <c r="P18" s="172">
        <v>0.09</v>
      </c>
      <c r="Q18" s="173">
        <v>93.9</v>
      </c>
      <c r="R18" s="173">
        <v>2.73</v>
      </c>
      <c r="S18" s="169">
        <v>3.76</v>
      </c>
      <c r="T18" s="169">
        <v>3.33</v>
      </c>
      <c r="U18" s="169">
        <v>3.78</v>
      </c>
      <c r="V18" s="173">
        <v>3.9</v>
      </c>
      <c r="W18" s="192"/>
      <c r="X18" s="192"/>
      <c r="Y18" s="192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</row>
    <row r="19" spans="1:37" ht="15.75" customHeight="1">
      <c r="A19" s="169">
        <v>14</v>
      </c>
      <c r="B19" s="170" t="s">
        <v>222</v>
      </c>
      <c r="C19" s="170" t="s">
        <v>86</v>
      </c>
      <c r="D19" s="169">
        <v>11</v>
      </c>
      <c r="E19" s="169">
        <v>3</v>
      </c>
      <c r="F19" s="169">
        <v>0</v>
      </c>
      <c r="G19" s="169">
        <v>22</v>
      </c>
      <c r="H19" s="169">
        <v>22</v>
      </c>
      <c r="I19" s="169">
        <v>130</v>
      </c>
      <c r="J19" s="173">
        <v>8.93</v>
      </c>
      <c r="K19" s="169">
        <v>1.45</v>
      </c>
      <c r="L19" s="169">
        <v>0.69</v>
      </c>
      <c r="M19" s="169">
        <v>0.24299999999999999</v>
      </c>
      <c r="N19" s="172">
        <v>0.86499999999999999</v>
      </c>
      <c r="O19" s="172">
        <v>0.503</v>
      </c>
      <c r="P19" s="172">
        <v>9.6000000000000002E-2</v>
      </c>
      <c r="Q19" s="173">
        <v>94.4</v>
      </c>
      <c r="R19" s="173">
        <v>1.73</v>
      </c>
      <c r="S19" s="169">
        <v>3.05</v>
      </c>
      <c r="T19" s="169">
        <v>2.81</v>
      </c>
      <c r="U19" s="169">
        <v>3.04</v>
      </c>
      <c r="V19" s="173">
        <v>3.8</v>
      </c>
      <c r="W19" s="192"/>
      <c r="X19" s="192"/>
      <c r="Y19" s="192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</row>
    <row r="20" spans="1:37" ht="15.75" customHeight="1">
      <c r="A20" s="169">
        <v>15</v>
      </c>
      <c r="B20" s="170" t="s">
        <v>189</v>
      </c>
      <c r="C20" s="170" t="s">
        <v>72</v>
      </c>
      <c r="D20" s="169">
        <v>8</v>
      </c>
      <c r="E20" s="169">
        <v>2</v>
      </c>
      <c r="F20" s="169">
        <v>0</v>
      </c>
      <c r="G20" s="169">
        <v>16</v>
      </c>
      <c r="H20" s="169">
        <v>16</v>
      </c>
      <c r="I20" s="169">
        <v>100.2</v>
      </c>
      <c r="J20" s="173">
        <v>8.31</v>
      </c>
      <c r="K20" s="169">
        <v>2.15</v>
      </c>
      <c r="L20" s="169">
        <v>0.27</v>
      </c>
      <c r="M20" s="169">
        <v>0.23699999999999999</v>
      </c>
      <c r="N20" s="172">
        <v>0.85299999999999998</v>
      </c>
      <c r="O20" s="172">
        <v>0.47199999999999998</v>
      </c>
      <c r="P20" s="172">
        <v>3.1E-2</v>
      </c>
      <c r="Q20" s="173">
        <v>93</v>
      </c>
      <c r="R20" s="173">
        <v>1.43</v>
      </c>
      <c r="S20" s="169">
        <v>3.05</v>
      </c>
      <c r="T20" s="169">
        <v>2.4300000000000002</v>
      </c>
      <c r="U20" s="169">
        <v>3.51</v>
      </c>
      <c r="V20" s="173">
        <v>3.6</v>
      </c>
      <c r="W20" s="192"/>
      <c r="X20" s="192"/>
      <c r="Y20" s="192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</row>
    <row r="21" spans="1:37" ht="15.75" customHeight="1">
      <c r="A21" s="169">
        <v>16</v>
      </c>
      <c r="B21" s="170" t="s">
        <v>83</v>
      </c>
      <c r="C21" s="170" t="s">
        <v>46</v>
      </c>
      <c r="D21" s="169">
        <v>9</v>
      </c>
      <c r="E21" s="169">
        <v>11</v>
      </c>
      <c r="F21" s="169">
        <v>0</v>
      </c>
      <c r="G21" s="169">
        <v>28</v>
      </c>
      <c r="H21" s="169">
        <v>28</v>
      </c>
      <c r="I21" s="169">
        <v>159</v>
      </c>
      <c r="J21" s="173">
        <v>6.62</v>
      </c>
      <c r="K21" s="169">
        <v>2.3199999999999998</v>
      </c>
      <c r="L21" s="169">
        <v>0.74</v>
      </c>
      <c r="M21" s="169">
        <v>0.28000000000000003</v>
      </c>
      <c r="N21" s="172">
        <v>0.752</v>
      </c>
      <c r="O21" s="172">
        <v>0.36699999999999999</v>
      </c>
      <c r="P21" s="172">
        <v>6.3E-2</v>
      </c>
      <c r="Q21" s="173">
        <v>93.3</v>
      </c>
      <c r="R21" s="173">
        <v>3.45</v>
      </c>
      <c r="S21" s="169">
        <v>4.05</v>
      </c>
      <c r="T21" s="169">
        <v>3.57</v>
      </c>
      <c r="U21" s="169">
        <v>4.51</v>
      </c>
      <c r="V21" s="173">
        <v>3.5</v>
      </c>
      <c r="W21" s="192"/>
      <c r="X21" s="192"/>
      <c r="Y21" s="192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</row>
    <row r="22" spans="1:37" ht="15.75" customHeight="1">
      <c r="A22" s="169">
        <v>17</v>
      </c>
      <c r="B22" s="170" t="s">
        <v>209</v>
      </c>
      <c r="C22" s="170" t="s">
        <v>93</v>
      </c>
      <c r="D22" s="169">
        <v>10</v>
      </c>
      <c r="E22" s="169">
        <v>10</v>
      </c>
      <c r="F22" s="169">
        <v>0</v>
      </c>
      <c r="G22" s="169">
        <v>29</v>
      </c>
      <c r="H22" s="169">
        <v>29</v>
      </c>
      <c r="I22" s="169">
        <v>177.2</v>
      </c>
      <c r="J22" s="173">
        <v>8.66</v>
      </c>
      <c r="K22" s="169">
        <v>2.2799999999999998</v>
      </c>
      <c r="L22" s="169">
        <v>1.06</v>
      </c>
      <c r="M22" s="169">
        <v>0.23899999999999999</v>
      </c>
      <c r="N22" s="172">
        <v>0.73</v>
      </c>
      <c r="O22" s="172">
        <v>0.35599999999999998</v>
      </c>
      <c r="P22" s="172">
        <v>0.10100000000000001</v>
      </c>
      <c r="Q22" s="173">
        <v>94.4</v>
      </c>
      <c r="R22" s="173">
        <v>3.44</v>
      </c>
      <c r="S22" s="169">
        <v>3.67</v>
      </c>
      <c r="T22" s="169">
        <v>3.57</v>
      </c>
      <c r="U22" s="169">
        <v>3.82</v>
      </c>
      <c r="V22" s="173">
        <v>3.5</v>
      </c>
      <c r="W22" s="192"/>
      <c r="X22" s="192"/>
      <c r="Y22" s="192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</row>
    <row r="23" spans="1:37" ht="15.75" customHeight="1">
      <c r="A23" s="169">
        <v>18</v>
      </c>
      <c r="B23" s="170" t="s">
        <v>173</v>
      </c>
      <c r="C23" s="170" t="s">
        <v>108</v>
      </c>
      <c r="D23" s="169">
        <v>9</v>
      </c>
      <c r="E23" s="169">
        <v>6</v>
      </c>
      <c r="F23" s="169">
        <v>0</v>
      </c>
      <c r="G23" s="169">
        <v>26</v>
      </c>
      <c r="H23" s="169">
        <v>26</v>
      </c>
      <c r="I23" s="169">
        <v>151.19999999999999</v>
      </c>
      <c r="J23" s="173">
        <v>8.07</v>
      </c>
      <c r="K23" s="169">
        <v>2.4900000000000002</v>
      </c>
      <c r="L23" s="169">
        <v>1.01</v>
      </c>
      <c r="M23" s="169">
        <v>0.26700000000000002</v>
      </c>
      <c r="N23" s="172">
        <v>0.8</v>
      </c>
      <c r="O23" s="172">
        <v>0.31900000000000001</v>
      </c>
      <c r="P23" s="172">
        <v>8.1000000000000003E-2</v>
      </c>
      <c r="Q23" s="173">
        <v>92.7</v>
      </c>
      <c r="R23" s="173">
        <v>2.79</v>
      </c>
      <c r="S23" s="169">
        <v>3.51</v>
      </c>
      <c r="T23" s="169">
        <v>3.7</v>
      </c>
      <c r="U23" s="169">
        <v>4.37</v>
      </c>
      <c r="V23" s="173">
        <v>3.5</v>
      </c>
      <c r="W23" s="192"/>
      <c r="X23" s="192"/>
      <c r="Y23" s="192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</row>
    <row r="24" spans="1:37" ht="15.75" customHeight="1">
      <c r="A24" s="169">
        <v>19</v>
      </c>
      <c r="B24" s="170" t="s">
        <v>194</v>
      </c>
      <c r="C24" s="170" t="s">
        <v>132</v>
      </c>
      <c r="D24" s="169">
        <v>13</v>
      </c>
      <c r="E24" s="169">
        <v>8</v>
      </c>
      <c r="F24" s="169">
        <v>0</v>
      </c>
      <c r="G24" s="169">
        <v>28</v>
      </c>
      <c r="H24" s="169">
        <v>28</v>
      </c>
      <c r="I24" s="169">
        <v>156</v>
      </c>
      <c r="J24" s="173">
        <v>10.15</v>
      </c>
      <c r="K24" s="169">
        <v>1.96</v>
      </c>
      <c r="L24" s="169">
        <v>1.1499999999999999</v>
      </c>
      <c r="M24" s="169">
        <v>0.27300000000000002</v>
      </c>
      <c r="N24" s="172">
        <v>0.78300000000000003</v>
      </c>
      <c r="O24" s="172">
        <v>0.37</v>
      </c>
      <c r="P24" s="172">
        <v>0.104</v>
      </c>
      <c r="Q24" s="173">
        <v>93.6</v>
      </c>
      <c r="R24" s="173">
        <v>3.29</v>
      </c>
      <c r="S24" s="169">
        <v>3.54</v>
      </c>
      <c r="T24" s="169">
        <v>3.44</v>
      </c>
      <c r="U24" s="169">
        <v>3.66</v>
      </c>
      <c r="V24" s="173">
        <v>3.5</v>
      </c>
      <c r="W24" s="192"/>
      <c r="X24" s="192"/>
      <c r="Y24" s="192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</row>
    <row r="25" spans="1:37" ht="15.75" customHeight="1">
      <c r="A25" s="169">
        <v>20</v>
      </c>
      <c r="B25" s="170" t="s">
        <v>141</v>
      </c>
      <c r="C25" s="170" t="s">
        <v>88</v>
      </c>
      <c r="D25" s="169">
        <v>13</v>
      </c>
      <c r="E25" s="169">
        <v>8</v>
      </c>
      <c r="F25" s="169">
        <v>0</v>
      </c>
      <c r="G25" s="169">
        <v>29</v>
      </c>
      <c r="H25" s="169">
        <v>29</v>
      </c>
      <c r="I25" s="169">
        <v>171.1</v>
      </c>
      <c r="J25" s="173">
        <v>7.67</v>
      </c>
      <c r="K25" s="169">
        <v>2.0499999999999998</v>
      </c>
      <c r="L25" s="169">
        <v>0.89</v>
      </c>
      <c r="M25" s="169">
        <v>0.27200000000000002</v>
      </c>
      <c r="N25" s="172">
        <v>0.76600000000000001</v>
      </c>
      <c r="O25" s="172">
        <v>0.38300000000000001</v>
      </c>
      <c r="P25" s="172">
        <v>0.08</v>
      </c>
      <c r="Q25" s="173">
        <v>93.3</v>
      </c>
      <c r="R25" s="173">
        <v>3.05</v>
      </c>
      <c r="S25" s="169">
        <v>3.57</v>
      </c>
      <c r="T25" s="169">
        <v>3.54</v>
      </c>
      <c r="U25" s="169">
        <v>4.16</v>
      </c>
      <c r="V25" s="173">
        <v>3.5</v>
      </c>
      <c r="W25" s="192"/>
      <c r="X25" s="192"/>
      <c r="Y25" s="192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</row>
    <row r="26" spans="1:37" ht="15.75" customHeight="1">
      <c r="A26" s="169">
        <v>21</v>
      </c>
      <c r="B26" s="170" t="s">
        <v>220</v>
      </c>
      <c r="C26" s="170" t="s">
        <v>70</v>
      </c>
      <c r="D26" s="169">
        <v>16</v>
      </c>
      <c r="E26" s="169">
        <v>6</v>
      </c>
      <c r="F26" s="169">
        <v>0</v>
      </c>
      <c r="G26" s="169">
        <v>30</v>
      </c>
      <c r="H26" s="169">
        <v>30</v>
      </c>
      <c r="I26" s="169">
        <v>163.19999999999999</v>
      </c>
      <c r="J26" s="173">
        <v>10.17</v>
      </c>
      <c r="K26" s="169">
        <v>3.46</v>
      </c>
      <c r="L26" s="169">
        <v>0.99</v>
      </c>
      <c r="M26" s="169">
        <v>0.24399999999999999</v>
      </c>
      <c r="N26" s="172">
        <v>0.84699999999999998</v>
      </c>
      <c r="O26" s="172">
        <v>0.377</v>
      </c>
      <c r="P26" s="172">
        <v>9.8000000000000004E-2</v>
      </c>
      <c r="Q26" s="173">
        <v>94.7</v>
      </c>
      <c r="R26" s="173">
        <v>2.69</v>
      </c>
      <c r="S26" s="169">
        <v>3.38</v>
      </c>
      <c r="T26" s="169">
        <v>3.64</v>
      </c>
      <c r="U26" s="169">
        <v>3.93</v>
      </c>
      <c r="V26" s="173">
        <v>3.4</v>
      </c>
      <c r="W26" s="192"/>
      <c r="X26" s="192"/>
      <c r="Y26" s="192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</row>
    <row r="27" spans="1:37" ht="15.75" customHeight="1">
      <c r="A27" s="169">
        <v>22</v>
      </c>
      <c r="B27" s="170" t="s">
        <v>228</v>
      </c>
      <c r="C27" s="170" t="s">
        <v>137</v>
      </c>
      <c r="D27" s="169">
        <v>14</v>
      </c>
      <c r="E27" s="169">
        <v>7</v>
      </c>
      <c r="F27" s="169">
        <v>0</v>
      </c>
      <c r="G27" s="169">
        <v>29</v>
      </c>
      <c r="H27" s="169">
        <v>29</v>
      </c>
      <c r="I27" s="169">
        <v>181.2</v>
      </c>
      <c r="J27" s="173">
        <v>9.4600000000000009</v>
      </c>
      <c r="K27" s="169">
        <v>1.73</v>
      </c>
      <c r="L27" s="169">
        <v>1.29</v>
      </c>
      <c r="M27" s="169">
        <v>0.24</v>
      </c>
      <c r="N27" s="172">
        <v>0.80100000000000005</v>
      </c>
      <c r="O27" s="172">
        <v>0.40600000000000003</v>
      </c>
      <c r="P27" s="172">
        <v>0.13100000000000001</v>
      </c>
      <c r="Q27" s="173">
        <v>95.7</v>
      </c>
      <c r="R27" s="173">
        <v>3.02</v>
      </c>
      <c r="S27" s="169">
        <v>3.09</v>
      </c>
      <c r="T27" s="169">
        <v>3.55</v>
      </c>
      <c r="U27" s="169">
        <v>3.37</v>
      </c>
      <c r="V27" s="173">
        <v>3.4</v>
      </c>
      <c r="W27" s="192"/>
      <c r="X27" s="192"/>
      <c r="Y27" s="192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</row>
    <row r="28" spans="1:37" ht="15.75" customHeight="1">
      <c r="A28" s="169">
        <v>23</v>
      </c>
      <c r="B28" s="170" t="s">
        <v>205</v>
      </c>
      <c r="C28" s="170" t="s">
        <v>86</v>
      </c>
      <c r="D28" s="169">
        <v>12</v>
      </c>
      <c r="E28" s="169">
        <v>7</v>
      </c>
      <c r="F28" s="169">
        <v>0</v>
      </c>
      <c r="G28" s="169">
        <v>28</v>
      </c>
      <c r="H28" s="169">
        <v>28</v>
      </c>
      <c r="I28" s="169">
        <v>162.19999999999999</v>
      </c>
      <c r="J28" s="173">
        <v>9.4600000000000009</v>
      </c>
      <c r="K28" s="169">
        <v>1.94</v>
      </c>
      <c r="L28" s="169">
        <v>1.27</v>
      </c>
      <c r="M28" s="169">
        <v>0.22900000000000001</v>
      </c>
      <c r="N28" s="172">
        <v>0.84299999999999997</v>
      </c>
      <c r="O28" s="172">
        <v>0.39100000000000001</v>
      </c>
      <c r="P28" s="172">
        <v>0.13400000000000001</v>
      </c>
      <c r="Q28" s="173">
        <v>97.6</v>
      </c>
      <c r="R28" s="173">
        <v>2.82</v>
      </c>
      <c r="S28" s="169">
        <v>3.31</v>
      </c>
      <c r="T28" s="169">
        <v>3.58</v>
      </c>
      <c r="U28" s="169">
        <v>3.37</v>
      </c>
      <c r="V28" s="173">
        <v>3.4</v>
      </c>
      <c r="W28" s="192"/>
      <c r="X28" s="192"/>
      <c r="Y28" s="192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</row>
    <row r="29" spans="1:37" ht="15.75" customHeight="1">
      <c r="A29" s="169">
        <v>24</v>
      </c>
      <c r="B29" s="170" t="s">
        <v>202</v>
      </c>
      <c r="C29" s="170" t="s">
        <v>53</v>
      </c>
      <c r="D29" s="169">
        <v>13</v>
      </c>
      <c r="E29" s="169">
        <v>8</v>
      </c>
      <c r="F29" s="169">
        <v>0</v>
      </c>
      <c r="G29" s="169">
        <v>30</v>
      </c>
      <c r="H29" s="169">
        <v>30</v>
      </c>
      <c r="I29" s="169">
        <v>168.2</v>
      </c>
      <c r="J29" s="173">
        <v>9.98</v>
      </c>
      <c r="K29" s="169">
        <v>1.92</v>
      </c>
      <c r="L29" s="169">
        <v>1.23</v>
      </c>
      <c r="M29" s="169">
        <v>0.32500000000000001</v>
      </c>
      <c r="N29" s="172">
        <v>0.67700000000000005</v>
      </c>
      <c r="O29" s="172">
        <v>0.42599999999999999</v>
      </c>
      <c r="P29" s="172">
        <v>0.14000000000000001</v>
      </c>
      <c r="Q29" s="173">
        <v>91.7</v>
      </c>
      <c r="R29" s="173">
        <v>4.43</v>
      </c>
      <c r="S29" s="169">
        <v>3.88</v>
      </c>
      <c r="T29" s="169">
        <v>3.4</v>
      </c>
      <c r="U29" s="169">
        <v>3.12</v>
      </c>
      <c r="V29" s="173">
        <v>3.3</v>
      </c>
      <c r="W29" s="192"/>
      <c r="X29" s="192"/>
      <c r="Y29" s="192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</row>
    <row r="30" spans="1:37" ht="15.75" customHeight="1">
      <c r="A30" s="169">
        <v>25</v>
      </c>
      <c r="B30" s="170" t="s">
        <v>946</v>
      </c>
      <c r="C30" s="170" t="s">
        <v>46</v>
      </c>
      <c r="D30" s="169">
        <v>8</v>
      </c>
      <c r="E30" s="169">
        <v>7</v>
      </c>
      <c r="F30" s="169">
        <v>0</v>
      </c>
      <c r="G30" s="169">
        <v>20</v>
      </c>
      <c r="H30" s="169">
        <v>20</v>
      </c>
      <c r="I30" s="169">
        <v>116.1</v>
      </c>
      <c r="J30" s="173">
        <v>8.9700000000000006</v>
      </c>
      <c r="K30" s="169">
        <v>3.02</v>
      </c>
      <c r="L30" s="169">
        <v>0.46</v>
      </c>
      <c r="M30" s="169">
        <v>0.29499999999999998</v>
      </c>
      <c r="N30" s="172">
        <v>0.77500000000000002</v>
      </c>
      <c r="O30" s="172">
        <v>0.47199999999999998</v>
      </c>
      <c r="P30" s="172">
        <v>5.7000000000000002E-2</v>
      </c>
      <c r="Q30" s="173">
        <v>92.4</v>
      </c>
      <c r="R30" s="173">
        <v>2.5499999999999998</v>
      </c>
      <c r="S30" s="169">
        <v>3.14</v>
      </c>
      <c r="T30" s="169">
        <v>2.91</v>
      </c>
      <c r="U30" s="169">
        <v>3.63</v>
      </c>
      <c r="V30" s="173">
        <v>3.3</v>
      </c>
      <c r="W30" s="192"/>
      <c r="X30" s="192"/>
      <c r="Y30" s="192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</row>
    <row r="31" spans="1:37" ht="15.75" customHeight="1">
      <c r="A31" s="169">
        <v>26</v>
      </c>
      <c r="B31" s="170" t="s">
        <v>130</v>
      </c>
      <c r="C31" s="170" t="s">
        <v>91</v>
      </c>
      <c r="D31" s="169">
        <v>9</v>
      </c>
      <c r="E31" s="169">
        <v>5</v>
      </c>
      <c r="F31" s="169">
        <v>0</v>
      </c>
      <c r="G31" s="169">
        <v>28</v>
      </c>
      <c r="H31" s="169">
        <v>28</v>
      </c>
      <c r="I31" s="169">
        <v>162.1</v>
      </c>
      <c r="J31" s="173">
        <v>8.2100000000000009</v>
      </c>
      <c r="K31" s="169">
        <v>3.33</v>
      </c>
      <c r="L31" s="169">
        <v>0.55000000000000004</v>
      </c>
      <c r="M31" s="169">
        <v>0.313</v>
      </c>
      <c r="N31" s="172">
        <v>0.71499999999999997</v>
      </c>
      <c r="O31" s="172">
        <v>0.55300000000000005</v>
      </c>
      <c r="P31" s="172">
        <v>0.09</v>
      </c>
      <c r="Q31" s="173">
        <v>92.4</v>
      </c>
      <c r="R31" s="173">
        <v>3.77</v>
      </c>
      <c r="S31" s="169">
        <v>4.3499999999999996</v>
      </c>
      <c r="T31" s="169">
        <v>3.34</v>
      </c>
      <c r="U31" s="169">
        <v>3.59</v>
      </c>
      <c r="V31" s="173">
        <v>3.3</v>
      </c>
      <c r="W31" s="192"/>
      <c r="X31" s="192"/>
      <c r="Y31" s="192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</row>
    <row r="32" spans="1:37" ht="15.75" customHeight="1">
      <c r="A32" s="169">
        <v>27</v>
      </c>
      <c r="B32" s="170" t="s">
        <v>230</v>
      </c>
      <c r="C32" s="170" t="s">
        <v>76</v>
      </c>
      <c r="D32" s="169">
        <v>5</v>
      </c>
      <c r="E32" s="169">
        <v>5</v>
      </c>
      <c r="F32" s="169">
        <v>0</v>
      </c>
      <c r="G32" s="169">
        <v>18</v>
      </c>
      <c r="H32" s="169">
        <v>18</v>
      </c>
      <c r="I32" s="169">
        <v>107</v>
      </c>
      <c r="J32" s="173">
        <v>11.86</v>
      </c>
      <c r="K32" s="169">
        <v>2.36</v>
      </c>
      <c r="L32" s="169">
        <v>0.76</v>
      </c>
      <c r="M32" s="169">
        <v>0.32900000000000001</v>
      </c>
      <c r="N32" s="172">
        <v>0.83199999999999996</v>
      </c>
      <c r="O32" s="172">
        <v>0.371</v>
      </c>
      <c r="P32" s="172">
        <v>8.5999999999999993E-2</v>
      </c>
      <c r="Q32" s="173">
        <v>94.9</v>
      </c>
      <c r="R32" s="173">
        <v>2.52</v>
      </c>
      <c r="S32" s="169">
        <v>2.86</v>
      </c>
      <c r="T32" s="169">
        <v>2.61</v>
      </c>
      <c r="U32" s="169">
        <v>3.03</v>
      </c>
      <c r="V32" s="173">
        <v>3.2</v>
      </c>
      <c r="W32" s="192"/>
      <c r="X32" s="192"/>
      <c r="Y32" s="192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</row>
    <row r="33" spans="1:37" ht="15.75" customHeight="1">
      <c r="A33" s="169">
        <v>28</v>
      </c>
      <c r="B33" s="170" t="s">
        <v>179</v>
      </c>
      <c r="C33" s="170" t="s">
        <v>49</v>
      </c>
      <c r="D33" s="169">
        <v>8</v>
      </c>
      <c r="E33" s="169">
        <v>11</v>
      </c>
      <c r="F33" s="169">
        <v>0</v>
      </c>
      <c r="G33" s="169">
        <v>30</v>
      </c>
      <c r="H33" s="169">
        <v>30</v>
      </c>
      <c r="I33" s="169">
        <v>157</v>
      </c>
      <c r="J33" s="173">
        <v>11.52</v>
      </c>
      <c r="K33" s="169">
        <v>3.78</v>
      </c>
      <c r="L33" s="169">
        <v>1.1499999999999999</v>
      </c>
      <c r="M33" s="169">
        <v>0.318</v>
      </c>
      <c r="N33" s="172">
        <v>0.68300000000000005</v>
      </c>
      <c r="O33" s="172">
        <v>0.35799999999999998</v>
      </c>
      <c r="P33" s="172">
        <v>0.11899999999999999</v>
      </c>
      <c r="Q33" s="173">
        <v>97</v>
      </c>
      <c r="R33" s="173">
        <v>4.59</v>
      </c>
      <c r="S33" s="169">
        <v>3.48</v>
      </c>
      <c r="T33" s="169">
        <v>3.56</v>
      </c>
      <c r="U33" s="169">
        <v>3.55</v>
      </c>
      <c r="V33" s="173">
        <v>3.2</v>
      </c>
      <c r="W33" s="192"/>
      <c r="X33" s="192"/>
      <c r="Y33" s="192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</row>
    <row r="34" spans="1:37" ht="15.75" customHeight="1">
      <c r="A34" s="169">
        <v>29</v>
      </c>
      <c r="B34" s="170" t="s">
        <v>167</v>
      </c>
      <c r="C34" s="170" t="s">
        <v>40</v>
      </c>
      <c r="D34" s="169">
        <v>10</v>
      </c>
      <c r="E34" s="169">
        <v>10</v>
      </c>
      <c r="F34" s="169">
        <v>0</v>
      </c>
      <c r="G34" s="169">
        <v>30</v>
      </c>
      <c r="H34" s="169">
        <v>30</v>
      </c>
      <c r="I34" s="169">
        <v>167.2</v>
      </c>
      <c r="J34" s="173">
        <v>8.16</v>
      </c>
      <c r="K34" s="169">
        <v>4.08</v>
      </c>
      <c r="L34" s="169">
        <v>0.64</v>
      </c>
      <c r="M34" s="169">
        <v>0.30499999999999999</v>
      </c>
      <c r="N34" s="172">
        <v>0.68600000000000005</v>
      </c>
      <c r="O34" s="172">
        <v>0.65400000000000003</v>
      </c>
      <c r="P34" s="172">
        <v>0.152</v>
      </c>
      <c r="Q34" s="173">
        <v>98</v>
      </c>
      <c r="R34" s="173">
        <v>4.13</v>
      </c>
      <c r="S34" s="169">
        <v>4.0999999999999996</v>
      </c>
      <c r="T34" s="169">
        <v>3.71</v>
      </c>
      <c r="U34" s="169">
        <v>3.51</v>
      </c>
      <c r="V34" s="173">
        <v>3</v>
      </c>
      <c r="W34" s="192"/>
      <c r="X34" s="192"/>
      <c r="Y34" s="192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</row>
    <row r="35" spans="1:37" ht="15.75" customHeight="1">
      <c r="A35" s="169">
        <v>30</v>
      </c>
      <c r="B35" s="170" t="s">
        <v>102</v>
      </c>
      <c r="C35" s="170" t="s">
        <v>58</v>
      </c>
      <c r="D35" s="169">
        <v>5</v>
      </c>
      <c r="E35" s="169">
        <v>14</v>
      </c>
      <c r="F35" s="169">
        <v>0</v>
      </c>
      <c r="G35" s="169">
        <v>28</v>
      </c>
      <c r="H35" s="169">
        <v>28</v>
      </c>
      <c r="I35" s="169">
        <v>152.1</v>
      </c>
      <c r="J35" s="173">
        <v>10.46</v>
      </c>
      <c r="K35" s="169">
        <v>3.37</v>
      </c>
      <c r="L35" s="169">
        <v>1.1200000000000001</v>
      </c>
      <c r="M35" s="169">
        <v>0.32700000000000001</v>
      </c>
      <c r="N35" s="172">
        <v>0.755</v>
      </c>
      <c r="O35" s="172">
        <v>0.36499999999999999</v>
      </c>
      <c r="P35" s="172">
        <v>0.114</v>
      </c>
      <c r="Q35" s="173">
        <v>95.4</v>
      </c>
      <c r="R35" s="173">
        <v>4.1399999999999997</v>
      </c>
      <c r="S35" s="169">
        <v>4.1399999999999997</v>
      </c>
      <c r="T35" s="169">
        <v>3.67</v>
      </c>
      <c r="U35" s="169">
        <v>3.73</v>
      </c>
      <c r="V35" s="173">
        <v>2.9</v>
      </c>
      <c r="W35" s="192"/>
      <c r="X35" s="192"/>
      <c r="Y35" s="192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</row>
    <row r="36" spans="1:37" ht="15.75" customHeight="1">
      <c r="A36" s="169">
        <v>31</v>
      </c>
      <c r="B36" s="170" t="s">
        <v>150</v>
      </c>
      <c r="C36" s="178" t="s">
        <v>34</v>
      </c>
      <c r="D36" s="169">
        <v>12</v>
      </c>
      <c r="E36" s="169">
        <v>7</v>
      </c>
      <c r="F36" s="169">
        <v>0</v>
      </c>
      <c r="G36" s="169">
        <v>30</v>
      </c>
      <c r="H36" s="169">
        <v>30</v>
      </c>
      <c r="I36" s="169">
        <v>176.2</v>
      </c>
      <c r="J36" s="173">
        <v>8.25</v>
      </c>
      <c r="K36" s="169">
        <v>2.39</v>
      </c>
      <c r="L36" s="169">
        <v>1.17</v>
      </c>
      <c r="M36" s="169">
        <v>0.248</v>
      </c>
      <c r="N36" s="172">
        <v>0.76</v>
      </c>
      <c r="O36" s="172">
        <v>0.42599999999999999</v>
      </c>
      <c r="P36" s="172">
        <v>0.12</v>
      </c>
      <c r="Q36" s="173">
        <v>91.9</v>
      </c>
      <c r="R36" s="173">
        <v>3.21</v>
      </c>
      <c r="S36" s="169">
        <v>4.1100000000000003</v>
      </c>
      <c r="T36" s="169">
        <v>3.84</v>
      </c>
      <c r="U36" s="169">
        <v>3.8</v>
      </c>
      <c r="V36" s="173">
        <v>2.8</v>
      </c>
      <c r="W36" s="192"/>
      <c r="X36" s="192"/>
      <c r="Y36" s="192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</row>
    <row r="37" spans="1:37" ht="15.75" customHeight="1">
      <c r="A37" s="169">
        <v>32</v>
      </c>
      <c r="B37" s="170" t="s">
        <v>124</v>
      </c>
      <c r="C37" s="170" t="s">
        <v>42</v>
      </c>
      <c r="D37" s="169">
        <v>16</v>
      </c>
      <c r="E37" s="169">
        <v>8</v>
      </c>
      <c r="F37" s="169">
        <v>0</v>
      </c>
      <c r="G37" s="169">
        <v>30</v>
      </c>
      <c r="H37" s="169">
        <v>30</v>
      </c>
      <c r="I37" s="169">
        <v>176.1</v>
      </c>
      <c r="J37" s="173">
        <v>9.49</v>
      </c>
      <c r="K37" s="169">
        <v>3.57</v>
      </c>
      <c r="L37" s="169">
        <v>1.02</v>
      </c>
      <c r="M37" s="169">
        <v>0.22900000000000001</v>
      </c>
      <c r="N37" s="172">
        <v>0.76300000000000001</v>
      </c>
      <c r="O37" s="172">
        <v>0.433</v>
      </c>
      <c r="P37" s="172">
        <v>0.11</v>
      </c>
      <c r="Q37" s="173">
        <v>94.2</v>
      </c>
      <c r="R37" s="173">
        <v>3.11</v>
      </c>
      <c r="S37" s="169">
        <v>3.29</v>
      </c>
      <c r="T37" s="169">
        <v>3.84</v>
      </c>
      <c r="U37" s="169">
        <v>3.95</v>
      </c>
      <c r="V37" s="173">
        <v>2.8</v>
      </c>
      <c r="W37" s="192"/>
      <c r="X37" s="192"/>
      <c r="Y37" s="192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</row>
    <row r="38" spans="1:37" ht="15.75" customHeight="1">
      <c r="A38" s="169">
        <v>33</v>
      </c>
      <c r="B38" s="170" t="s">
        <v>186</v>
      </c>
      <c r="C38" s="170" t="s">
        <v>108</v>
      </c>
      <c r="D38" s="169">
        <v>13</v>
      </c>
      <c r="E38" s="169">
        <v>10</v>
      </c>
      <c r="F38" s="169">
        <v>0</v>
      </c>
      <c r="G38" s="169">
        <v>29</v>
      </c>
      <c r="H38" s="169">
        <v>29</v>
      </c>
      <c r="I38" s="169">
        <v>155.1</v>
      </c>
      <c r="J38" s="173">
        <v>8.6300000000000008</v>
      </c>
      <c r="K38" s="169">
        <v>3.3</v>
      </c>
      <c r="L38" s="169">
        <v>0.93</v>
      </c>
      <c r="M38" s="169">
        <v>0.28299999999999997</v>
      </c>
      <c r="N38" s="172">
        <v>0.73099999999999998</v>
      </c>
      <c r="O38" s="172">
        <v>0.39400000000000002</v>
      </c>
      <c r="P38" s="172">
        <v>9.4E-2</v>
      </c>
      <c r="Q38" s="173">
        <v>91.5</v>
      </c>
      <c r="R38" s="173">
        <v>3.94</v>
      </c>
      <c r="S38" s="169">
        <v>4.1500000000000004</v>
      </c>
      <c r="T38" s="169">
        <v>3.88</v>
      </c>
      <c r="U38" s="169">
        <v>4.2300000000000004</v>
      </c>
      <c r="V38" s="173">
        <v>2.8</v>
      </c>
      <c r="W38" s="192"/>
      <c r="X38" s="192"/>
      <c r="Y38" s="192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</row>
    <row r="39" spans="1:37" ht="15.75" customHeight="1">
      <c r="A39" s="169">
        <v>34</v>
      </c>
      <c r="B39" s="170" t="s">
        <v>155</v>
      </c>
      <c r="C39" s="170" t="s">
        <v>82</v>
      </c>
      <c r="D39" s="169">
        <v>6</v>
      </c>
      <c r="E39" s="169">
        <v>14</v>
      </c>
      <c r="F39" s="169">
        <v>0</v>
      </c>
      <c r="G39" s="169">
        <v>30</v>
      </c>
      <c r="H39" s="169">
        <v>30</v>
      </c>
      <c r="I39" s="169">
        <v>167.2</v>
      </c>
      <c r="J39" s="173">
        <v>7.51</v>
      </c>
      <c r="K39" s="169">
        <v>2.42</v>
      </c>
      <c r="L39" s="169">
        <v>0.97</v>
      </c>
      <c r="M39" s="169">
        <v>0.29399999999999998</v>
      </c>
      <c r="N39" s="172">
        <v>0.68600000000000005</v>
      </c>
      <c r="O39" s="172">
        <v>0.44400000000000001</v>
      </c>
      <c r="P39" s="172">
        <v>9.9000000000000005E-2</v>
      </c>
      <c r="Q39" s="173">
        <v>94.1</v>
      </c>
      <c r="R39" s="173">
        <v>4.13</v>
      </c>
      <c r="S39" s="169">
        <v>4.22</v>
      </c>
      <c r="T39" s="169">
        <v>3.86</v>
      </c>
      <c r="U39" s="169">
        <v>4.12</v>
      </c>
      <c r="V39" s="173">
        <v>2.7</v>
      </c>
      <c r="W39" s="192"/>
      <c r="X39" s="192"/>
      <c r="Y39" s="192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</row>
    <row r="40" spans="1:37" ht="15.75" customHeight="1">
      <c r="A40" s="169">
        <v>35</v>
      </c>
      <c r="B40" s="170" t="s">
        <v>156</v>
      </c>
      <c r="C40" s="170" t="s">
        <v>100</v>
      </c>
      <c r="D40" s="169">
        <v>10</v>
      </c>
      <c r="E40" s="169">
        <v>5</v>
      </c>
      <c r="F40" s="169">
        <v>0</v>
      </c>
      <c r="G40" s="169">
        <v>29</v>
      </c>
      <c r="H40" s="169">
        <v>29</v>
      </c>
      <c r="I40" s="169">
        <v>144.19999999999999</v>
      </c>
      <c r="J40" s="173">
        <v>7.59</v>
      </c>
      <c r="K40" s="169">
        <v>2.12</v>
      </c>
      <c r="L40" s="169">
        <v>1.06</v>
      </c>
      <c r="M40" s="169">
        <v>0.24399999999999999</v>
      </c>
      <c r="N40" s="172">
        <v>0.83099999999999996</v>
      </c>
      <c r="O40" s="172">
        <v>0.48199999999999998</v>
      </c>
      <c r="P40" s="172">
        <v>0.124</v>
      </c>
      <c r="Q40" s="173">
        <v>95.8</v>
      </c>
      <c r="R40" s="173">
        <v>2.74</v>
      </c>
      <c r="S40" s="169">
        <v>3.48</v>
      </c>
      <c r="T40" s="169">
        <v>3.8</v>
      </c>
      <c r="U40" s="169">
        <v>3.72</v>
      </c>
      <c r="V40" s="173">
        <v>2.6</v>
      </c>
      <c r="W40" s="192"/>
      <c r="X40" s="192"/>
      <c r="Y40" s="192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</row>
    <row r="41" spans="1:37" ht="15.75" customHeight="1">
      <c r="A41" s="169">
        <v>36</v>
      </c>
      <c r="B41" s="170" t="s">
        <v>217</v>
      </c>
      <c r="C41" s="170" t="s">
        <v>108</v>
      </c>
      <c r="D41" s="169">
        <v>8</v>
      </c>
      <c r="E41" s="169">
        <v>8</v>
      </c>
      <c r="F41" s="169">
        <v>0</v>
      </c>
      <c r="G41" s="169">
        <v>26</v>
      </c>
      <c r="H41" s="169">
        <v>26</v>
      </c>
      <c r="I41" s="169">
        <v>144.19999999999999</v>
      </c>
      <c r="J41" s="173">
        <v>8.52</v>
      </c>
      <c r="K41" s="169">
        <v>1.62</v>
      </c>
      <c r="L41" s="169">
        <v>1.24</v>
      </c>
      <c r="M41" s="169">
        <v>0.26600000000000001</v>
      </c>
      <c r="N41" s="172">
        <v>0.80100000000000005</v>
      </c>
      <c r="O41" s="172">
        <v>0.42299999999999999</v>
      </c>
      <c r="P41" s="172">
        <v>0.125</v>
      </c>
      <c r="Q41" s="173">
        <v>93.8</v>
      </c>
      <c r="R41" s="173">
        <v>3.3</v>
      </c>
      <c r="S41" s="169">
        <v>3.51</v>
      </c>
      <c r="T41" s="169">
        <v>3.86</v>
      </c>
      <c r="U41" s="169">
        <v>3.76</v>
      </c>
      <c r="V41" s="173">
        <v>2.5</v>
      </c>
      <c r="W41" s="192"/>
      <c r="X41" s="192"/>
      <c r="Y41" s="192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</row>
    <row r="42" spans="1:37" ht="15.75" customHeight="1">
      <c r="A42" s="169">
        <v>37</v>
      </c>
      <c r="B42" s="170" t="s">
        <v>125</v>
      </c>
      <c r="C42" s="170" t="s">
        <v>126</v>
      </c>
      <c r="D42" s="169">
        <v>11</v>
      </c>
      <c r="E42" s="169">
        <v>7</v>
      </c>
      <c r="F42" s="169">
        <v>0</v>
      </c>
      <c r="G42" s="169">
        <v>31</v>
      </c>
      <c r="H42" s="169">
        <v>31</v>
      </c>
      <c r="I42" s="169">
        <v>177.2</v>
      </c>
      <c r="J42" s="173">
        <v>9.17</v>
      </c>
      <c r="K42" s="169">
        <v>3.6</v>
      </c>
      <c r="L42" s="169">
        <v>0.96</v>
      </c>
      <c r="M42" s="169">
        <v>0.27</v>
      </c>
      <c r="N42" s="172">
        <v>0.74199999999999999</v>
      </c>
      <c r="O42" s="172">
        <v>0.36799999999999999</v>
      </c>
      <c r="P42" s="172">
        <v>8.6999999999999994E-2</v>
      </c>
      <c r="Q42" s="173">
        <v>93.6</v>
      </c>
      <c r="R42" s="173">
        <v>3.5</v>
      </c>
      <c r="S42" s="169">
        <v>3.62</v>
      </c>
      <c r="T42" s="169">
        <v>3.77</v>
      </c>
      <c r="U42" s="169">
        <v>4.2699999999999996</v>
      </c>
      <c r="V42" s="173">
        <v>2.5</v>
      </c>
      <c r="W42" s="192"/>
      <c r="X42" s="192"/>
      <c r="Y42" s="192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</row>
    <row r="43" spans="1:37" ht="15.75" customHeight="1">
      <c r="A43" s="169">
        <v>38</v>
      </c>
      <c r="B43" s="170" t="s">
        <v>210</v>
      </c>
      <c r="C43" s="170" t="s">
        <v>137</v>
      </c>
      <c r="D43" s="169">
        <v>4</v>
      </c>
      <c r="E43" s="169">
        <v>6</v>
      </c>
      <c r="F43" s="169">
        <v>0</v>
      </c>
      <c r="G43" s="169">
        <v>22</v>
      </c>
      <c r="H43" s="169">
        <v>22</v>
      </c>
      <c r="I43" s="169">
        <v>114.1</v>
      </c>
      <c r="J43" s="173">
        <v>12.52</v>
      </c>
      <c r="K43" s="169">
        <v>2.2000000000000002</v>
      </c>
      <c r="L43" s="169">
        <v>1.34</v>
      </c>
      <c r="M43" s="169">
        <v>0.28399999999999997</v>
      </c>
      <c r="N43" s="172">
        <v>0.75800000000000001</v>
      </c>
      <c r="O43" s="172">
        <v>0.40200000000000002</v>
      </c>
      <c r="P43" s="172">
        <v>0.155</v>
      </c>
      <c r="Q43" s="173">
        <v>95.5</v>
      </c>
      <c r="R43" s="173">
        <v>3.54</v>
      </c>
      <c r="S43" s="169">
        <v>2.86</v>
      </c>
      <c r="T43" s="169">
        <v>3.19</v>
      </c>
      <c r="U43" s="169">
        <v>2.73</v>
      </c>
      <c r="V43" s="173">
        <v>2.5</v>
      </c>
      <c r="W43" s="192"/>
      <c r="X43" s="192"/>
      <c r="Y43" s="192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</row>
    <row r="44" spans="1:37" ht="15.75" customHeight="1">
      <c r="A44" s="169">
        <v>39</v>
      </c>
      <c r="B44" s="170" t="s">
        <v>148</v>
      </c>
      <c r="C44" s="170" t="s">
        <v>72</v>
      </c>
      <c r="D44" s="169">
        <v>9</v>
      </c>
      <c r="E44" s="169">
        <v>9</v>
      </c>
      <c r="F44" s="169">
        <v>0</v>
      </c>
      <c r="G44" s="169">
        <v>27</v>
      </c>
      <c r="H44" s="169">
        <v>27</v>
      </c>
      <c r="I44" s="169">
        <v>151.1</v>
      </c>
      <c r="J44" s="173">
        <v>7.37</v>
      </c>
      <c r="K44" s="169">
        <v>2.3199999999999998</v>
      </c>
      <c r="L44" s="169">
        <v>1.1299999999999999</v>
      </c>
      <c r="M44" s="169">
        <v>0.29899999999999999</v>
      </c>
      <c r="N44" s="172">
        <v>0.69699999999999995</v>
      </c>
      <c r="O44" s="172">
        <v>0.41099999999999998</v>
      </c>
      <c r="P44" s="172">
        <v>0.10199999999999999</v>
      </c>
      <c r="Q44" s="173">
        <v>93.3</v>
      </c>
      <c r="R44" s="173">
        <v>4.4000000000000004</v>
      </c>
      <c r="S44" s="169">
        <v>3.97</v>
      </c>
      <c r="T44" s="169">
        <v>3.93</v>
      </c>
      <c r="U44" s="169">
        <v>4.2</v>
      </c>
      <c r="V44" s="173">
        <v>2.4</v>
      </c>
      <c r="W44" s="192"/>
      <c r="X44" s="192"/>
      <c r="Y44" s="192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</row>
    <row r="45" spans="1:37" ht="15.75" customHeight="1">
      <c r="A45" s="169">
        <v>40</v>
      </c>
      <c r="B45" s="170" t="s">
        <v>115</v>
      </c>
      <c r="C45" s="170" t="s">
        <v>93</v>
      </c>
      <c r="D45" s="169">
        <v>11</v>
      </c>
      <c r="E45" s="169">
        <v>8</v>
      </c>
      <c r="F45" s="169">
        <v>0</v>
      </c>
      <c r="G45" s="169">
        <v>30</v>
      </c>
      <c r="H45" s="169">
        <v>30</v>
      </c>
      <c r="I45" s="169">
        <v>165</v>
      </c>
      <c r="J45" s="173">
        <v>8.84</v>
      </c>
      <c r="K45" s="169">
        <v>2.73</v>
      </c>
      <c r="L45" s="169">
        <v>1.2</v>
      </c>
      <c r="M45" s="169">
        <v>0.31</v>
      </c>
      <c r="N45" s="172">
        <v>0.76600000000000001</v>
      </c>
      <c r="O45" s="172">
        <v>0.46</v>
      </c>
      <c r="P45" s="172">
        <v>0.13600000000000001</v>
      </c>
      <c r="Q45" s="173">
        <v>91.4</v>
      </c>
      <c r="R45" s="173">
        <v>3.93</v>
      </c>
      <c r="S45" s="169">
        <v>4.1399999999999997</v>
      </c>
      <c r="T45" s="169">
        <v>4.04</v>
      </c>
      <c r="U45" s="169">
        <v>3.82</v>
      </c>
      <c r="V45" s="173">
        <v>2.4</v>
      </c>
      <c r="W45" s="192"/>
      <c r="X45" s="192"/>
      <c r="Y45" s="192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</row>
    <row r="46" spans="1:37" ht="15.75" customHeight="1">
      <c r="A46" s="169">
        <v>41</v>
      </c>
      <c r="B46" s="170" t="s">
        <v>172</v>
      </c>
      <c r="C46" s="170" t="s">
        <v>44</v>
      </c>
      <c r="D46" s="169">
        <v>8</v>
      </c>
      <c r="E46" s="169">
        <v>13</v>
      </c>
      <c r="F46" s="169">
        <v>0</v>
      </c>
      <c r="G46" s="169">
        <v>29</v>
      </c>
      <c r="H46" s="169">
        <v>29</v>
      </c>
      <c r="I46" s="169">
        <v>151.19999999999999</v>
      </c>
      <c r="J46" s="173">
        <v>10.56</v>
      </c>
      <c r="K46" s="169">
        <v>3.26</v>
      </c>
      <c r="L46" s="169">
        <v>1.31</v>
      </c>
      <c r="M46" s="169">
        <v>0.308</v>
      </c>
      <c r="N46" s="172">
        <v>0.70199999999999996</v>
      </c>
      <c r="O46" s="172">
        <v>0.36799999999999999</v>
      </c>
      <c r="P46" s="172">
        <v>0.13200000000000001</v>
      </c>
      <c r="Q46" s="173">
        <v>93.1</v>
      </c>
      <c r="R46" s="173">
        <v>4.6900000000000004</v>
      </c>
      <c r="S46" s="169">
        <v>4.0999999999999996</v>
      </c>
      <c r="T46" s="169">
        <v>3.87</v>
      </c>
      <c r="U46" s="169">
        <v>3.68</v>
      </c>
      <c r="V46" s="173">
        <v>2.4</v>
      </c>
      <c r="W46" s="192"/>
      <c r="X46" s="192"/>
      <c r="Y46" s="192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</row>
    <row r="47" spans="1:37" ht="15.75" customHeight="1">
      <c r="A47" s="169">
        <v>42</v>
      </c>
      <c r="B47" s="170" t="s">
        <v>947</v>
      </c>
      <c r="C47" s="170" t="s">
        <v>76</v>
      </c>
      <c r="D47" s="169">
        <v>7</v>
      </c>
      <c r="E47" s="169">
        <v>4</v>
      </c>
      <c r="F47" s="169">
        <v>0</v>
      </c>
      <c r="G47" s="169">
        <v>17</v>
      </c>
      <c r="H47" s="169">
        <v>17</v>
      </c>
      <c r="I47" s="169">
        <v>110.2</v>
      </c>
      <c r="J47" s="173">
        <v>8.7799999999999994</v>
      </c>
      <c r="K47" s="169">
        <v>1.46</v>
      </c>
      <c r="L47" s="169">
        <v>1.06</v>
      </c>
      <c r="M47" s="169">
        <v>0.25900000000000001</v>
      </c>
      <c r="N47" s="172">
        <v>0.71599999999999997</v>
      </c>
      <c r="O47" s="172">
        <v>0.46899999999999997</v>
      </c>
      <c r="P47" s="172">
        <v>0.14099999999999999</v>
      </c>
      <c r="Q47" s="173">
        <v>97</v>
      </c>
      <c r="R47" s="173">
        <v>3.09</v>
      </c>
      <c r="S47" s="169">
        <v>3.55</v>
      </c>
      <c r="T47" s="169">
        <v>3.26</v>
      </c>
      <c r="U47" s="169">
        <v>3.01</v>
      </c>
      <c r="V47" s="173">
        <v>2.4</v>
      </c>
      <c r="W47" s="192"/>
      <c r="X47" s="192"/>
      <c r="Y47" s="192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</row>
    <row r="48" spans="1:37" ht="15.75" customHeight="1">
      <c r="A48" s="169">
        <v>43</v>
      </c>
      <c r="B48" s="170" t="s">
        <v>98</v>
      </c>
      <c r="C48" s="170" t="s">
        <v>40</v>
      </c>
      <c r="D48" s="169">
        <v>6</v>
      </c>
      <c r="E48" s="169">
        <v>11</v>
      </c>
      <c r="F48" s="169">
        <v>0</v>
      </c>
      <c r="G48" s="169">
        <v>31</v>
      </c>
      <c r="H48" s="169">
        <v>31</v>
      </c>
      <c r="I48" s="169">
        <v>167.2</v>
      </c>
      <c r="J48" s="173">
        <v>8.91</v>
      </c>
      <c r="K48" s="169">
        <v>3.76</v>
      </c>
      <c r="L48" s="169">
        <v>1.23</v>
      </c>
      <c r="M48" s="169">
        <v>0.32300000000000001</v>
      </c>
      <c r="N48" s="172">
        <v>0.75900000000000001</v>
      </c>
      <c r="O48" s="172">
        <v>0.38200000000000001</v>
      </c>
      <c r="P48" s="172">
        <v>0.11600000000000001</v>
      </c>
      <c r="Q48" s="173">
        <v>95</v>
      </c>
      <c r="R48" s="173">
        <v>4.08</v>
      </c>
      <c r="S48" s="169">
        <v>4.62</v>
      </c>
      <c r="T48" s="169">
        <v>4.26</v>
      </c>
      <c r="U48" s="169">
        <v>4.3</v>
      </c>
      <c r="V48" s="173">
        <v>2.2999999999999998</v>
      </c>
      <c r="W48" s="192"/>
      <c r="X48" s="192"/>
      <c r="Y48" s="192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</row>
    <row r="49" spans="1:37" ht="15.75" customHeight="1">
      <c r="A49" s="169">
        <v>44</v>
      </c>
      <c r="B49" s="170" t="s">
        <v>135</v>
      </c>
      <c r="C49" s="178" t="s">
        <v>34</v>
      </c>
      <c r="D49" s="169">
        <v>8</v>
      </c>
      <c r="E49" s="169">
        <v>4</v>
      </c>
      <c r="F49" s="169">
        <v>0</v>
      </c>
      <c r="G49" s="169">
        <v>19</v>
      </c>
      <c r="H49" s="169">
        <v>19</v>
      </c>
      <c r="I49" s="169">
        <v>113</v>
      </c>
      <c r="J49" s="173">
        <v>6.77</v>
      </c>
      <c r="K49" s="169">
        <v>2.63</v>
      </c>
      <c r="L49" s="169">
        <v>0.72</v>
      </c>
      <c r="M49" s="169">
        <v>0.30399999999999999</v>
      </c>
      <c r="N49" s="172">
        <v>0.78600000000000003</v>
      </c>
      <c r="O49" s="172">
        <v>0.49399999999999999</v>
      </c>
      <c r="P49" s="172">
        <v>0.08</v>
      </c>
      <c r="Q49" s="173">
        <v>95.3</v>
      </c>
      <c r="R49" s="173">
        <v>3.11</v>
      </c>
      <c r="S49" s="169">
        <v>3.87</v>
      </c>
      <c r="T49" s="169">
        <v>3.74</v>
      </c>
      <c r="U49" s="169">
        <v>4.2300000000000004</v>
      </c>
      <c r="V49" s="173">
        <v>2.2000000000000002</v>
      </c>
      <c r="W49" s="192"/>
      <c r="X49" s="192"/>
      <c r="Y49" s="192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</row>
    <row r="50" spans="1:37" ht="15.75" customHeight="1">
      <c r="A50" s="169">
        <v>45</v>
      </c>
      <c r="B50" s="170" t="s">
        <v>187</v>
      </c>
      <c r="C50" s="170" t="s">
        <v>137</v>
      </c>
      <c r="D50" s="169">
        <v>9</v>
      </c>
      <c r="E50" s="169">
        <v>8</v>
      </c>
      <c r="F50" s="169">
        <v>0</v>
      </c>
      <c r="G50" s="169">
        <v>30</v>
      </c>
      <c r="H50" s="169">
        <v>30</v>
      </c>
      <c r="I50" s="169">
        <v>167.1</v>
      </c>
      <c r="J50" s="173">
        <v>8.01</v>
      </c>
      <c r="K50" s="169">
        <v>2.4700000000000002</v>
      </c>
      <c r="L50" s="169">
        <v>1.18</v>
      </c>
      <c r="M50" s="169">
        <v>0.29799999999999999</v>
      </c>
      <c r="N50" s="172">
        <v>0.76300000000000001</v>
      </c>
      <c r="O50" s="172">
        <v>0.42499999999999999</v>
      </c>
      <c r="P50" s="172">
        <v>0.112</v>
      </c>
      <c r="Q50" s="173">
        <v>95.1</v>
      </c>
      <c r="R50" s="173">
        <v>3.76</v>
      </c>
      <c r="S50" s="169">
        <v>4.32</v>
      </c>
      <c r="T50" s="169">
        <v>4.03</v>
      </c>
      <c r="U50" s="169">
        <v>4.12</v>
      </c>
      <c r="V50" s="173">
        <v>2.2000000000000002</v>
      </c>
      <c r="W50" s="192"/>
      <c r="X50" s="192"/>
      <c r="Y50" s="192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</row>
    <row r="51" spans="1:37" ht="15.75" customHeight="1">
      <c r="A51" s="169">
        <v>46</v>
      </c>
      <c r="B51" s="170" t="s">
        <v>221</v>
      </c>
      <c r="C51" s="170" t="s">
        <v>108</v>
      </c>
      <c r="D51" s="169">
        <v>6</v>
      </c>
      <c r="E51" s="169">
        <v>4</v>
      </c>
      <c r="F51" s="169">
        <v>0</v>
      </c>
      <c r="G51" s="169">
        <v>17</v>
      </c>
      <c r="H51" s="169">
        <v>17</v>
      </c>
      <c r="I51" s="169">
        <v>92.2</v>
      </c>
      <c r="J51" s="173">
        <v>11.27</v>
      </c>
      <c r="K51" s="169">
        <v>2.23</v>
      </c>
      <c r="L51" s="169">
        <v>1.46</v>
      </c>
      <c r="M51" s="169">
        <v>0.25600000000000001</v>
      </c>
      <c r="N51" s="172">
        <v>0.83599999999999997</v>
      </c>
      <c r="O51" s="172">
        <v>0.28999999999999998</v>
      </c>
      <c r="P51" s="172">
        <v>0.128</v>
      </c>
      <c r="Q51" s="173">
        <v>99.4</v>
      </c>
      <c r="R51" s="173">
        <v>3.01</v>
      </c>
      <c r="S51" s="169">
        <v>3.25</v>
      </c>
      <c r="T51" s="169">
        <v>3.56</v>
      </c>
      <c r="U51" s="169">
        <v>3.39</v>
      </c>
      <c r="V51" s="173">
        <v>2.2000000000000002</v>
      </c>
      <c r="W51" s="192"/>
      <c r="X51" s="192"/>
      <c r="Y51" s="192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</row>
    <row r="52" spans="1:37" ht="15.75" customHeight="1">
      <c r="A52" s="169">
        <v>47</v>
      </c>
      <c r="B52" s="170" t="s">
        <v>184</v>
      </c>
      <c r="C52" s="170" t="s">
        <v>70</v>
      </c>
      <c r="D52" s="169">
        <v>3</v>
      </c>
      <c r="E52" s="169">
        <v>8</v>
      </c>
      <c r="F52" s="169">
        <v>0</v>
      </c>
      <c r="G52" s="169">
        <v>21</v>
      </c>
      <c r="H52" s="169">
        <v>21</v>
      </c>
      <c r="I52" s="169">
        <v>108.1</v>
      </c>
      <c r="J52" s="173">
        <v>9.2200000000000006</v>
      </c>
      <c r="K52" s="169">
        <v>2.99</v>
      </c>
      <c r="L52" s="169">
        <v>1</v>
      </c>
      <c r="M52" s="169">
        <v>0.311</v>
      </c>
      <c r="N52" s="172">
        <v>0.77700000000000002</v>
      </c>
      <c r="O52" s="172">
        <v>0.315</v>
      </c>
      <c r="P52" s="172">
        <v>9.0999999999999998E-2</v>
      </c>
      <c r="Q52" s="173">
        <v>94.1</v>
      </c>
      <c r="R52" s="173">
        <v>3.57</v>
      </c>
      <c r="S52" s="169">
        <v>4.01</v>
      </c>
      <c r="T52" s="169">
        <v>3.65</v>
      </c>
      <c r="U52" s="169">
        <v>4.08</v>
      </c>
      <c r="V52" s="173">
        <v>2.2000000000000002</v>
      </c>
      <c r="W52" s="192"/>
      <c r="X52" s="192"/>
      <c r="Y52" s="192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</row>
    <row r="53" spans="1:37" ht="15.75" customHeight="1">
      <c r="A53" s="169">
        <v>48</v>
      </c>
      <c r="B53" s="170" t="s">
        <v>121</v>
      </c>
      <c r="C53" s="170" t="s">
        <v>42</v>
      </c>
      <c r="D53" s="169">
        <v>8</v>
      </c>
      <c r="E53" s="169">
        <v>7</v>
      </c>
      <c r="F53" s="169">
        <v>0</v>
      </c>
      <c r="G53" s="169">
        <v>31</v>
      </c>
      <c r="H53" s="169">
        <v>31</v>
      </c>
      <c r="I53" s="169">
        <v>152</v>
      </c>
      <c r="J53" s="173">
        <v>9.4700000000000006</v>
      </c>
      <c r="K53" s="169">
        <v>3.67</v>
      </c>
      <c r="L53" s="169">
        <v>1.1299999999999999</v>
      </c>
      <c r="M53" s="169">
        <v>0.30599999999999999</v>
      </c>
      <c r="N53" s="172">
        <v>0.69899999999999995</v>
      </c>
      <c r="O53" s="172">
        <v>0.43</v>
      </c>
      <c r="P53" s="172">
        <v>0.122</v>
      </c>
      <c r="Q53" s="173">
        <v>93.2</v>
      </c>
      <c r="R53" s="173">
        <v>4.4400000000000004</v>
      </c>
      <c r="S53" s="169">
        <v>4.47</v>
      </c>
      <c r="T53" s="169">
        <v>3.97</v>
      </c>
      <c r="U53" s="169">
        <v>3.92</v>
      </c>
      <c r="V53" s="173">
        <v>2.2000000000000002</v>
      </c>
      <c r="W53" s="192"/>
      <c r="X53" s="192"/>
      <c r="Y53" s="192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</row>
    <row r="54" spans="1:37" ht="15.75" customHeight="1">
      <c r="A54" s="169">
        <v>49</v>
      </c>
      <c r="B54" s="170" t="s">
        <v>118</v>
      </c>
      <c r="C54" s="170" t="s">
        <v>60</v>
      </c>
      <c r="D54" s="169">
        <v>6</v>
      </c>
      <c r="E54" s="169">
        <v>11</v>
      </c>
      <c r="F54" s="169">
        <v>0</v>
      </c>
      <c r="G54" s="169">
        <v>27</v>
      </c>
      <c r="H54" s="169">
        <v>27</v>
      </c>
      <c r="I54" s="169">
        <v>151.1</v>
      </c>
      <c r="J54" s="173">
        <v>6.9</v>
      </c>
      <c r="K54" s="169">
        <v>2.85</v>
      </c>
      <c r="L54" s="169">
        <v>0.95</v>
      </c>
      <c r="M54" s="169">
        <v>0.29399999999999998</v>
      </c>
      <c r="N54" s="172">
        <v>0.65100000000000002</v>
      </c>
      <c r="O54" s="172">
        <v>0.40699999999999997</v>
      </c>
      <c r="P54" s="172">
        <v>9.0999999999999998E-2</v>
      </c>
      <c r="Q54" s="173">
        <v>96.1</v>
      </c>
      <c r="R54" s="173">
        <v>4.82</v>
      </c>
      <c r="S54" s="169">
        <v>4.67</v>
      </c>
      <c r="T54" s="169">
        <v>4.26</v>
      </c>
      <c r="U54" s="169">
        <v>4.66</v>
      </c>
      <c r="V54" s="173">
        <v>2.2000000000000002</v>
      </c>
      <c r="W54" s="192"/>
      <c r="X54" s="192"/>
      <c r="Y54" s="192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</row>
    <row r="55" spans="1:37" ht="15.75" customHeight="1">
      <c r="A55" s="169">
        <v>50</v>
      </c>
      <c r="B55" s="170" t="s">
        <v>142</v>
      </c>
      <c r="C55" s="170" t="s">
        <v>143</v>
      </c>
      <c r="D55" s="169">
        <v>10</v>
      </c>
      <c r="E55" s="169">
        <v>2</v>
      </c>
      <c r="F55" s="169">
        <v>0</v>
      </c>
      <c r="G55" s="169">
        <v>20</v>
      </c>
      <c r="H55" s="169">
        <v>20</v>
      </c>
      <c r="I55" s="169">
        <v>102</v>
      </c>
      <c r="J55" s="173">
        <v>6.26</v>
      </c>
      <c r="K55" s="169">
        <v>2.65</v>
      </c>
      <c r="L55" s="169">
        <v>0.62</v>
      </c>
      <c r="M55" s="169">
        <v>0.28199999999999997</v>
      </c>
      <c r="N55" s="172">
        <v>0.70599999999999996</v>
      </c>
      <c r="O55" s="172">
        <v>0.48099999999999998</v>
      </c>
      <c r="P55" s="172">
        <v>6.8000000000000005E-2</v>
      </c>
      <c r="Q55" s="173">
        <v>88.8</v>
      </c>
      <c r="R55" s="173">
        <v>3.53</v>
      </c>
      <c r="S55" s="169">
        <v>3.83</v>
      </c>
      <c r="T55" s="169">
        <v>3.59</v>
      </c>
      <c r="U55" s="169">
        <v>4.25</v>
      </c>
      <c r="V55" s="173">
        <v>2.2000000000000002</v>
      </c>
      <c r="W55" s="192"/>
      <c r="X55" s="192"/>
      <c r="Y55" s="192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</row>
    <row r="56" spans="1:37" ht="15.75" customHeight="1">
      <c r="A56" s="169">
        <v>51</v>
      </c>
      <c r="B56" s="170" t="s">
        <v>154</v>
      </c>
      <c r="C56" s="170" t="s">
        <v>126</v>
      </c>
      <c r="D56" s="169">
        <v>3</v>
      </c>
      <c r="E56" s="169">
        <v>10</v>
      </c>
      <c r="F56" s="169">
        <v>0</v>
      </c>
      <c r="G56" s="169">
        <v>26</v>
      </c>
      <c r="H56" s="169">
        <v>26</v>
      </c>
      <c r="I56" s="169">
        <v>134.19999999999999</v>
      </c>
      <c r="J56" s="173">
        <v>8.2899999999999991</v>
      </c>
      <c r="K56" s="169">
        <v>3.14</v>
      </c>
      <c r="L56" s="169">
        <v>0.87</v>
      </c>
      <c r="M56" s="169">
        <v>0.313</v>
      </c>
      <c r="N56" s="172">
        <v>0.72299999999999998</v>
      </c>
      <c r="O56" s="172">
        <v>0.34100000000000003</v>
      </c>
      <c r="P56" s="172">
        <v>7.1999999999999995E-2</v>
      </c>
      <c r="Q56" s="173">
        <v>94.1</v>
      </c>
      <c r="R56" s="173">
        <v>3.94</v>
      </c>
      <c r="S56" s="169">
        <v>4.2699999999999996</v>
      </c>
      <c r="T56" s="169">
        <v>3.74</v>
      </c>
      <c r="U56" s="169">
        <v>4.54</v>
      </c>
      <c r="V56" s="173">
        <v>2.1</v>
      </c>
      <c r="W56" s="192"/>
      <c r="X56" s="192"/>
      <c r="Y56" s="192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</row>
    <row r="57" spans="1:37" ht="15.75" customHeight="1">
      <c r="A57" s="169">
        <v>52</v>
      </c>
      <c r="B57" s="170" t="s">
        <v>101</v>
      </c>
      <c r="C57" s="170" t="s">
        <v>51</v>
      </c>
      <c r="D57" s="169">
        <v>10</v>
      </c>
      <c r="E57" s="169">
        <v>7</v>
      </c>
      <c r="F57" s="169">
        <v>0</v>
      </c>
      <c r="G57" s="169">
        <v>26</v>
      </c>
      <c r="H57" s="169">
        <v>26</v>
      </c>
      <c r="I57" s="169">
        <v>152.19999999999999</v>
      </c>
      <c r="J57" s="173">
        <v>6.78</v>
      </c>
      <c r="K57" s="169">
        <v>3.12</v>
      </c>
      <c r="L57" s="169">
        <v>0.83</v>
      </c>
      <c r="M57" s="169">
        <v>0.27500000000000002</v>
      </c>
      <c r="N57" s="172">
        <v>0.76500000000000001</v>
      </c>
      <c r="O57" s="172">
        <v>0.48199999999999998</v>
      </c>
      <c r="P57" s="172">
        <v>9.7000000000000003E-2</v>
      </c>
      <c r="Q57" s="173">
        <v>95.1</v>
      </c>
      <c r="R57" s="173">
        <v>3.24</v>
      </c>
      <c r="S57" s="169">
        <v>4.46</v>
      </c>
      <c r="T57" s="169">
        <v>4.05</v>
      </c>
      <c r="U57" s="169">
        <v>4.32</v>
      </c>
      <c r="V57" s="173">
        <v>2.1</v>
      </c>
      <c r="W57" s="192"/>
      <c r="X57" s="192"/>
      <c r="Y57" s="192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</row>
    <row r="58" spans="1:37" ht="15.75" customHeight="1">
      <c r="A58" s="169">
        <v>53</v>
      </c>
      <c r="B58" s="170" t="s">
        <v>204</v>
      </c>
      <c r="C58" s="170" t="s">
        <v>56</v>
      </c>
      <c r="D58" s="169">
        <v>7</v>
      </c>
      <c r="E58" s="169">
        <v>7</v>
      </c>
      <c r="F58" s="169">
        <v>0</v>
      </c>
      <c r="G58" s="169">
        <v>24</v>
      </c>
      <c r="H58" s="169">
        <v>24</v>
      </c>
      <c r="I58" s="169">
        <v>128.19999999999999</v>
      </c>
      <c r="J58" s="173">
        <v>9.7899999999999991</v>
      </c>
      <c r="K58" s="169">
        <v>2.94</v>
      </c>
      <c r="L58" s="169">
        <v>1.05</v>
      </c>
      <c r="M58" s="169">
        <v>0.29499999999999998</v>
      </c>
      <c r="N58" s="172">
        <v>0.752</v>
      </c>
      <c r="O58" s="172">
        <v>0.46400000000000002</v>
      </c>
      <c r="P58" s="172">
        <v>0.127</v>
      </c>
      <c r="Q58" s="173">
        <v>96.9</v>
      </c>
      <c r="R58" s="173">
        <v>3.57</v>
      </c>
      <c r="S58" s="169">
        <v>3.94</v>
      </c>
      <c r="T58" s="169">
        <v>3.7</v>
      </c>
      <c r="U58" s="169">
        <v>3.59</v>
      </c>
      <c r="V58" s="173">
        <v>2.1</v>
      </c>
      <c r="W58" s="192"/>
      <c r="X58" s="192"/>
      <c r="Y58" s="192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</row>
    <row r="59" spans="1:37" ht="15.75" customHeight="1">
      <c r="A59" s="169">
        <v>54</v>
      </c>
      <c r="B59" s="170" t="s">
        <v>176</v>
      </c>
      <c r="C59" s="170" t="s">
        <v>86</v>
      </c>
      <c r="D59" s="169">
        <v>9</v>
      </c>
      <c r="E59" s="169">
        <v>8</v>
      </c>
      <c r="F59" s="169">
        <v>0</v>
      </c>
      <c r="G59" s="169">
        <v>26</v>
      </c>
      <c r="H59" s="169">
        <v>26</v>
      </c>
      <c r="I59" s="169">
        <v>132.1</v>
      </c>
      <c r="J59" s="173">
        <v>8.84</v>
      </c>
      <c r="K59" s="169">
        <v>4.3499999999999996</v>
      </c>
      <c r="L59" s="169">
        <v>0.95</v>
      </c>
      <c r="M59" s="169">
        <v>0.27100000000000002</v>
      </c>
      <c r="N59" s="172">
        <v>0.76400000000000001</v>
      </c>
      <c r="O59" s="172">
        <v>0.36399999999999999</v>
      </c>
      <c r="P59" s="172">
        <v>8.4000000000000005E-2</v>
      </c>
      <c r="Q59" s="173">
        <v>97.4</v>
      </c>
      <c r="R59" s="173">
        <v>3.81</v>
      </c>
      <c r="S59" s="169">
        <v>4.6399999999999997</v>
      </c>
      <c r="T59" s="169">
        <v>4.0999999999999996</v>
      </c>
      <c r="U59" s="169">
        <v>4.6500000000000004</v>
      </c>
      <c r="V59" s="173">
        <v>2.1</v>
      </c>
      <c r="W59" s="192"/>
      <c r="X59" s="192"/>
      <c r="Y59" s="192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</row>
    <row r="60" spans="1:37" ht="15.75" customHeight="1">
      <c r="A60" s="169">
        <v>55</v>
      </c>
      <c r="B60" s="170" t="s">
        <v>212</v>
      </c>
      <c r="C60" s="170" t="s">
        <v>137</v>
      </c>
      <c r="D60" s="169">
        <v>9</v>
      </c>
      <c r="E60" s="169">
        <v>7</v>
      </c>
      <c r="F60" s="169">
        <v>0</v>
      </c>
      <c r="G60" s="169">
        <v>21</v>
      </c>
      <c r="H60" s="169">
        <v>21</v>
      </c>
      <c r="I60" s="169">
        <v>115</v>
      </c>
      <c r="J60" s="173">
        <v>9.39</v>
      </c>
      <c r="K60" s="169">
        <v>2.19</v>
      </c>
      <c r="L60" s="169">
        <v>1.1000000000000001</v>
      </c>
      <c r="M60" s="169">
        <v>0.315</v>
      </c>
      <c r="N60" s="172">
        <v>0.69899999999999995</v>
      </c>
      <c r="O60" s="172">
        <v>0.436</v>
      </c>
      <c r="P60" s="172">
        <v>0.13100000000000001</v>
      </c>
      <c r="Q60" s="173">
        <v>96.1</v>
      </c>
      <c r="R60" s="173">
        <v>4.46</v>
      </c>
      <c r="S60" s="169">
        <v>4.18</v>
      </c>
      <c r="T60" s="169">
        <v>3.53</v>
      </c>
      <c r="U60" s="169">
        <v>3.38</v>
      </c>
      <c r="V60" s="173">
        <v>2</v>
      </c>
      <c r="W60" s="192"/>
      <c r="X60" s="192"/>
      <c r="Y60" s="192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</row>
    <row r="61" spans="1:37" ht="15.75" customHeight="1">
      <c r="A61" s="169">
        <v>56</v>
      </c>
      <c r="B61" s="170" t="s">
        <v>151</v>
      </c>
      <c r="C61" s="170" t="s">
        <v>100</v>
      </c>
      <c r="D61" s="169">
        <v>11</v>
      </c>
      <c r="E61" s="169">
        <v>10</v>
      </c>
      <c r="F61" s="169">
        <v>0</v>
      </c>
      <c r="G61" s="169">
        <v>29</v>
      </c>
      <c r="H61" s="169">
        <v>29</v>
      </c>
      <c r="I61" s="169">
        <v>163</v>
      </c>
      <c r="J61" s="173">
        <v>8.89</v>
      </c>
      <c r="K61" s="169">
        <v>3.15</v>
      </c>
      <c r="L61" s="169">
        <v>1.44</v>
      </c>
      <c r="M61" s="169">
        <v>0.25</v>
      </c>
      <c r="N61" s="172">
        <v>0.78100000000000003</v>
      </c>
      <c r="O61" s="172">
        <v>0.38100000000000001</v>
      </c>
      <c r="P61" s="172">
        <v>0.14199999999999999</v>
      </c>
      <c r="Q61" s="173">
        <v>95.1</v>
      </c>
      <c r="R61" s="173">
        <v>3.59</v>
      </c>
      <c r="S61" s="169">
        <v>3.96</v>
      </c>
      <c r="T61" s="169">
        <v>4.4000000000000004</v>
      </c>
      <c r="U61" s="169">
        <v>4.05</v>
      </c>
      <c r="V61" s="173">
        <v>2</v>
      </c>
      <c r="W61" s="192"/>
      <c r="X61" s="192"/>
      <c r="Y61" s="192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</row>
    <row r="62" spans="1:37" ht="15.75" customHeight="1">
      <c r="A62" s="169">
        <v>57</v>
      </c>
      <c r="B62" s="170" t="s">
        <v>139</v>
      </c>
      <c r="C62" s="170" t="s">
        <v>36</v>
      </c>
      <c r="D62" s="169">
        <v>4</v>
      </c>
      <c r="E62" s="169">
        <v>15</v>
      </c>
      <c r="F62" s="169">
        <v>0</v>
      </c>
      <c r="G62" s="169">
        <v>28</v>
      </c>
      <c r="H62" s="169">
        <v>28</v>
      </c>
      <c r="I62" s="169">
        <v>145</v>
      </c>
      <c r="J62" s="173">
        <v>6.95</v>
      </c>
      <c r="K62" s="169">
        <v>2.17</v>
      </c>
      <c r="L62" s="169">
        <v>1.3</v>
      </c>
      <c r="M62" s="169">
        <v>0.33600000000000002</v>
      </c>
      <c r="N62" s="172">
        <v>0.65</v>
      </c>
      <c r="O62" s="172">
        <v>0.41499999999999998</v>
      </c>
      <c r="P62" s="172">
        <v>0.11799999999999999</v>
      </c>
      <c r="Q62" s="173">
        <v>91.6</v>
      </c>
      <c r="R62" s="173">
        <v>4.97</v>
      </c>
      <c r="S62" s="169">
        <v>4.96</v>
      </c>
      <c r="T62" s="169">
        <v>4.3099999999999996</v>
      </c>
      <c r="U62" s="169">
        <v>4.3099999999999996</v>
      </c>
      <c r="V62" s="173">
        <v>2</v>
      </c>
      <c r="W62" s="192"/>
      <c r="X62" s="192"/>
      <c r="Y62" s="192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</row>
    <row r="63" spans="1:37" ht="15.75" customHeight="1">
      <c r="A63" s="169">
        <v>58</v>
      </c>
      <c r="B63" s="170" t="s">
        <v>107</v>
      </c>
      <c r="C63" s="170" t="s">
        <v>108</v>
      </c>
      <c r="D63" s="169">
        <v>10</v>
      </c>
      <c r="E63" s="169">
        <v>10</v>
      </c>
      <c r="F63" s="169">
        <v>0</v>
      </c>
      <c r="G63" s="169">
        <v>26</v>
      </c>
      <c r="H63" s="169">
        <v>26</v>
      </c>
      <c r="I63" s="169">
        <v>145</v>
      </c>
      <c r="J63" s="173">
        <v>6.64</v>
      </c>
      <c r="K63" s="169">
        <v>2.23</v>
      </c>
      <c r="L63" s="169">
        <v>1.24</v>
      </c>
      <c r="M63" s="169">
        <v>0.28899999999999998</v>
      </c>
      <c r="N63" s="172">
        <v>0.68600000000000005</v>
      </c>
      <c r="O63" s="172">
        <v>0.38300000000000001</v>
      </c>
      <c r="P63" s="172">
        <v>0.11</v>
      </c>
      <c r="Q63" s="173">
        <v>92.6</v>
      </c>
      <c r="R63" s="173">
        <v>4.72</v>
      </c>
      <c r="S63" s="169">
        <v>4.1399999999999997</v>
      </c>
      <c r="T63" s="169">
        <v>4.33</v>
      </c>
      <c r="U63" s="169">
        <v>4.47</v>
      </c>
      <c r="V63" s="173">
        <v>2</v>
      </c>
      <c r="W63" s="192"/>
      <c r="X63" s="192"/>
      <c r="Y63" s="192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</row>
    <row r="64" spans="1:37" ht="15.75" customHeight="1">
      <c r="A64" s="169">
        <v>59</v>
      </c>
      <c r="B64" s="170" t="s">
        <v>183</v>
      </c>
      <c r="C64" s="170" t="s">
        <v>88</v>
      </c>
      <c r="D64" s="169">
        <v>9</v>
      </c>
      <c r="E64" s="169">
        <v>4</v>
      </c>
      <c r="F64" s="169">
        <v>0</v>
      </c>
      <c r="G64" s="169">
        <v>20</v>
      </c>
      <c r="H64" s="169">
        <v>20</v>
      </c>
      <c r="I64" s="169">
        <v>106</v>
      </c>
      <c r="J64" s="173">
        <v>7.13</v>
      </c>
      <c r="K64" s="169">
        <v>2.72</v>
      </c>
      <c r="L64" s="169">
        <v>0.68</v>
      </c>
      <c r="M64" s="169">
        <v>0.26100000000000001</v>
      </c>
      <c r="N64" s="172">
        <v>0.78700000000000003</v>
      </c>
      <c r="O64" s="172">
        <v>0.44400000000000001</v>
      </c>
      <c r="P64" s="172">
        <v>6.7000000000000004E-2</v>
      </c>
      <c r="Q64" s="173">
        <v>95.5</v>
      </c>
      <c r="R64" s="173">
        <v>2.5499999999999998</v>
      </c>
      <c r="S64" s="169">
        <v>4.05</v>
      </c>
      <c r="T64" s="169">
        <v>3.59</v>
      </c>
      <c r="U64" s="169">
        <v>4.3499999999999996</v>
      </c>
      <c r="V64" s="173">
        <v>2</v>
      </c>
      <c r="W64" s="192"/>
      <c r="X64" s="192"/>
      <c r="Y64" s="192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</row>
    <row r="65" spans="1:37" ht="15.75" customHeight="1">
      <c r="A65" s="169">
        <v>60</v>
      </c>
      <c r="B65" s="170" t="s">
        <v>195</v>
      </c>
      <c r="C65" s="170" t="s">
        <v>44</v>
      </c>
      <c r="D65" s="169">
        <v>14</v>
      </c>
      <c r="E65" s="169">
        <v>5</v>
      </c>
      <c r="F65" s="169">
        <v>0</v>
      </c>
      <c r="G65" s="169">
        <v>25</v>
      </c>
      <c r="H65" s="169">
        <v>25</v>
      </c>
      <c r="I65" s="169">
        <v>131.19999999999999</v>
      </c>
      <c r="J65" s="173">
        <v>8.07</v>
      </c>
      <c r="K65" s="169">
        <v>2.19</v>
      </c>
      <c r="L65" s="169">
        <v>1.3</v>
      </c>
      <c r="M65" s="169">
        <v>0.30399999999999999</v>
      </c>
      <c r="N65" s="172">
        <v>0.76700000000000002</v>
      </c>
      <c r="O65" s="172">
        <v>0.40200000000000002</v>
      </c>
      <c r="P65" s="172">
        <v>0.11899999999999999</v>
      </c>
      <c r="Q65" s="173">
        <v>94.8</v>
      </c>
      <c r="R65" s="173">
        <v>3.83</v>
      </c>
      <c r="S65" s="169">
        <v>3.79</v>
      </c>
      <c r="T65" s="169">
        <v>4.03</v>
      </c>
      <c r="U65" s="169">
        <v>4.0199999999999996</v>
      </c>
      <c r="V65" s="173">
        <v>1.9</v>
      </c>
      <c r="W65" s="192"/>
      <c r="X65" s="192"/>
      <c r="Y65" s="192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</row>
    <row r="66" spans="1:37" ht="15.75" customHeight="1">
      <c r="A66" s="169">
        <v>61</v>
      </c>
      <c r="B66" s="170" t="s">
        <v>161</v>
      </c>
      <c r="C66" s="170" t="s">
        <v>70</v>
      </c>
      <c r="D66" s="169">
        <v>10</v>
      </c>
      <c r="E66" s="169">
        <v>2</v>
      </c>
      <c r="F66" s="169">
        <v>0</v>
      </c>
      <c r="G66" s="169">
        <v>22</v>
      </c>
      <c r="H66" s="169">
        <v>22</v>
      </c>
      <c r="I66" s="169">
        <v>120</v>
      </c>
      <c r="J66" s="173">
        <v>7.73</v>
      </c>
      <c r="K66" s="169">
        <v>2.78</v>
      </c>
      <c r="L66" s="169">
        <v>0.9</v>
      </c>
      <c r="M66" s="169">
        <v>0.29599999999999999</v>
      </c>
      <c r="N66" s="172">
        <v>0.81899999999999995</v>
      </c>
      <c r="O66" s="172">
        <v>0.55600000000000005</v>
      </c>
      <c r="P66" s="172">
        <v>0.11899999999999999</v>
      </c>
      <c r="Q66" s="173"/>
      <c r="R66" s="173">
        <v>2.85</v>
      </c>
      <c r="S66" s="169">
        <v>3.65</v>
      </c>
      <c r="T66" s="169">
        <v>3.8</v>
      </c>
      <c r="U66" s="169">
        <v>3.8</v>
      </c>
      <c r="V66" s="173">
        <v>1.9</v>
      </c>
      <c r="W66" s="192"/>
      <c r="X66" s="192"/>
      <c r="Y66" s="192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</row>
    <row r="67" spans="1:37" ht="15.75" customHeight="1">
      <c r="A67" s="169">
        <v>62</v>
      </c>
      <c r="B67" s="170" t="s">
        <v>90</v>
      </c>
      <c r="C67" s="170" t="s">
        <v>91</v>
      </c>
      <c r="D67" s="169">
        <v>11</v>
      </c>
      <c r="E67" s="169">
        <v>8</v>
      </c>
      <c r="F67" s="169">
        <v>0</v>
      </c>
      <c r="G67" s="169">
        <v>29</v>
      </c>
      <c r="H67" s="169">
        <v>29</v>
      </c>
      <c r="I67" s="169">
        <v>151</v>
      </c>
      <c r="J67" s="173">
        <v>7.27</v>
      </c>
      <c r="K67" s="169">
        <v>3.7</v>
      </c>
      <c r="L67" s="169">
        <v>0.72</v>
      </c>
      <c r="M67" s="169">
        <v>0.29299999999999998</v>
      </c>
      <c r="N67" s="172">
        <v>0.72899999999999998</v>
      </c>
      <c r="O67" s="172">
        <v>0.55000000000000004</v>
      </c>
      <c r="P67" s="172">
        <v>0.1</v>
      </c>
      <c r="Q67" s="173">
        <v>93.5</v>
      </c>
      <c r="R67" s="173">
        <v>3.75</v>
      </c>
      <c r="S67" s="169">
        <v>4.47</v>
      </c>
      <c r="T67" s="169">
        <v>4.05</v>
      </c>
      <c r="U67" s="169">
        <v>4.24</v>
      </c>
      <c r="V67" s="173">
        <v>1.9</v>
      </c>
      <c r="W67" s="192"/>
      <c r="X67" s="192"/>
      <c r="Y67" s="192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</row>
    <row r="68" spans="1:37" ht="15.75" customHeight="1">
      <c r="A68" s="169">
        <v>63</v>
      </c>
      <c r="B68" s="170" t="s">
        <v>50</v>
      </c>
      <c r="C68" s="170" t="s">
        <v>51</v>
      </c>
      <c r="D68" s="169">
        <v>10</v>
      </c>
      <c r="E68" s="169">
        <v>4</v>
      </c>
      <c r="F68" s="169">
        <v>0</v>
      </c>
      <c r="G68" s="169">
        <v>24</v>
      </c>
      <c r="H68" s="169">
        <v>24</v>
      </c>
      <c r="I68" s="169">
        <v>136</v>
      </c>
      <c r="J68" s="173">
        <v>7.48</v>
      </c>
      <c r="K68" s="169">
        <v>3.11</v>
      </c>
      <c r="L68" s="169">
        <v>1.1299999999999999</v>
      </c>
      <c r="M68" s="169">
        <v>0.27200000000000002</v>
      </c>
      <c r="N68" s="172">
        <v>0.77400000000000002</v>
      </c>
      <c r="O68" s="172">
        <v>0.38100000000000001</v>
      </c>
      <c r="P68" s="172">
        <v>0.10199999999999999</v>
      </c>
      <c r="Q68" s="173">
        <v>93.4</v>
      </c>
      <c r="R68" s="173">
        <v>3.31</v>
      </c>
      <c r="S68" s="169">
        <v>5</v>
      </c>
      <c r="T68" s="169">
        <v>4.17</v>
      </c>
      <c r="U68" s="169">
        <v>4.43</v>
      </c>
      <c r="V68" s="173">
        <v>1.9</v>
      </c>
      <c r="W68" s="192"/>
      <c r="X68" s="192"/>
      <c r="Y68" s="192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</row>
    <row r="69" spans="1:37" ht="15.75" customHeight="1">
      <c r="A69" s="169">
        <v>64</v>
      </c>
      <c r="B69" s="170" t="s">
        <v>131</v>
      </c>
      <c r="C69" s="178" t="s">
        <v>34</v>
      </c>
      <c r="D69" s="169">
        <v>6</v>
      </c>
      <c r="E69" s="169">
        <v>7</v>
      </c>
      <c r="F69" s="169">
        <v>0</v>
      </c>
      <c r="G69" s="169">
        <v>25</v>
      </c>
      <c r="H69" s="169">
        <v>25</v>
      </c>
      <c r="I69" s="169">
        <v>132.19999999999999</v>
      </c>
      <c r="J69" s="173">
        <v>7.73</v>
      </c>
      <c r="K69" s="169">
        <v>3.46</v>
      </c>
      <c r="L69" s="169">
        <v>1.0900000000000001</v>
      </c>
      <c r="M69" s="169">
        <v>0.27900000000000003</v>
      </c>
      <c r="N69" s="172">
        <v>0.625</v>
      </c>
      <c r="O69" s="172">
        <v>0.45900000000000002</v>
      </c>
      <c r="P69" s="172">
        <v>0.11</v>
      </c>
      <c r="Q69" s="173">
        <v>96.2</v>
      </c>
      <c r="R69" s="173">
        <v>4.88</v>
      </c>
      <c r="S69" s="169">
        <v>3.92</v>
      </c>
      <c r="T69" s="169">
        <v>4.24</v>
      </c>
      <c r="U69" s="169">
        <v>4.3499999999999996</v>
      </c>
      <c r="V69" s="173">
        <v>1.8</v>
      </c>
      <c r="W69" s="192"/>
      <c r="X69" s="192"/>
      <c r="Y69" s="192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</row>
    <row r="70" spans="1:37" ht="15.75" customHeight="1">
      <c r="A70" s="169">
        <v>65</v>
      </c>
      <c r="B70" s="170" t="s">
        <v>188</v>
      </c>
      <c r="C70" s="170" t="s">
        <v>56</v>
      </c>
      <c r="D70" s="169">
        <v>9</v>
      </c>
      <c r="E70" s="169">
        <v>12</v>
      </c>
      <c r="F70" s="169">
        <v>0</v>
      </c>
      <c r="G70" s="169">
        <v>29</v>
      </c>
      <c r="H70" s="169">
        <v>29</v>
      </c>
      <c r="I70" s="169">
        <v>161</v>
      </c>
      <c r="J70" s="173">
        <v>7.32</v>
      </c>
      <c r="K70" s="169">
        <v>2.96</v>
      </c>
      <c r="L70" s="169">
        <v>1.06</v>
      </c>
      <c r="M70" s="169">
        <v>0.28199999999999997</v>
      </c>
      <c r="N70" s="172">
        <v>0.6</v>
      </c>
      <c r="O70" s="172">
        <v>0.45800000000000002</v>
      </c>
      <c r="P70" s="172">
        <v>0.114</v>
      </c>
      <c r="Q70" s="173">
        <v>97.7</v>
      </c>
      <c r="R70" s="173">
        <v>5.53</v>
      </c>
      <c r="S70" s="169">
        <v>4.5999999999999996</v>
      </c>
      <c r="T70" s="169">
        <v>4.1900000000000004</v>
      </c>
      <c r="U70" s="169">
        <v>4.24</v>
      </c>
      <c r="V70" s="173">
        <v>1.8</v>
      </c>
      <c r="W70" s="192"/>
      <c r="X70" s="192"/>
      <c r="Y70" s="192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</row>
    <row r="71" spans="1:37" ht="15.75" customHeight="1">
      <c r="A71" s="169">
        <v>66</v>
      </c>
      <c r="B71" s="170" t="s">
        <v>191</v>
      </c>
      <c r="C71" s="170" t="s">
        <v>100</v>
      </c>
      <c r="D71" s="169">
        <v>9</v>
      </c>
      <c r="E71" s="169">
        <v>12</v>
      </c>
      <c r="F71" s="169">
        <v>0</v>
      </c>
      <c r="G71" s="169">
        <v>29</v>
      </c>
      <c r="H71" s="169">
        <v>29</v>
      </c>
      <c r="I71" s="169">
        <v>157.1</v>
      </c>
      <c r="J71" s="173">
        <v>9.67</v>
      </c>
      <c r="K71" s="169">
        <v>3.43</v>
      </c>
      <c r="L71" s="169">
        <v>1.49</v>
      </c>
      <c r="M71" s="169">
        <v>0.313</v>
      </c>
      <c r="N71" s="172">
        <v>0.71</v>
      </c>
      <c r="O71" s="172">
        <v>0.47599999999999998</v>
      </c>
      <c r="P71" s="172">
        <v>0.16600000000000001</v>
      </c>
      <c r="Q71" s="173">
        <v>96.8</v>
      </c>
      <c r="R71" s="173">
        <v>5.15</v>
      </c>
      <c r="S71" s="169">
        <v>3.84</v>
      </c>
      <c r="T71" s="169">
        <v>4.46</v>
      </c>
      <c r="U71" s="169">
        <v>3.85</v>
      </c>
      <c r="V71" s="173">
        <v>1.8</v>
      </c>
      <c r="W71" s="192"/>
      <c r="X71" s="192"/>
      <c r="Y71" s="192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</row>
    <row r="72" spans="1:37" ht="15.75" customHeight="1">
      <c r="A72" s="169">
        <v>67</v>
      </c>
      <c r="B72" s="170" t="s">
        <v>948</v>
      </c>
      <c r="C72" s="170" t="s">
        <v>132</v>
      </c>
      <c r="D72" s="169">
        <v>5</v>
      </c>
      <c r="E72" s="169">
        <v>4</v>
      </c>
      <c r="F72" s="169">
        <v>0</v>
      </c>
      <c r="G72" s="169">
        <v>13</v>
      </c>
      <c r="H72" s="169">
        <v>13</v>
      </c>
      <c r="I72" s="169">
        <v>71.2</v>
      </c>
      <c r="J72" s="173">
        <v>8.92</v>
      </c>
      <c r="K72" s="169">
        <v>2.2599999999999998</v>
      </c>
      <c r="L72" s="169">
        <v>0.75</v>
      </c>
      <c r="M72" s="169">
        <v>0.28100000000000003</v>
      </c>
      <c r="N72" s="172">
        <v>0.76400000000000001</v>
      </c>
      <c r="O72" s="172">
        <v>0.38500000000000001</v>
      </c>
      <c r="P72" s="172">
        <v>7.2999999999999995E-2</v>
      </c>
      <c r="Q72" s="173">
        <v>94.7</v>
      </c>
      <c r="R72" s="173">
        <v>2.64</v>
      </c>
      <c r="S72" s="169">
        <v>3.8</v>
      </c>
      <c r="T72" s="169">
        <v>3.17</v>
      </c>
      <c r="U72" s="169">
        <v>3.84</v>
      </c>
      <c r="V72" s="173">
        <v>1.7</v>
      </c>
      <c r="W72" s="192"/>
      <c r="X72" s="192"/>
      <c r="Y72" s="192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</row>
    <row r="73" spans="1:37" ht="15.75" customHeight="1">
      <c r="A73" s="169">
        <v>68</v>
      </c>
      <c r="B73" s="170" t="s">
        <v>315</v>
      </c>
      <c r="C73" s="170" t="s">
        <v>86</v>
      </c>
      <c r="D73" s="169">
        <v>6</v>
      </c>
      <c r="E73" s="169">
        <v>3</v>
      </c>
      <c r="F73" s="169">
        <v>0</v>
      </c>
      <c r="G73" s="169">
        <v>14</v>
      </c>
      <c r="H73" s="169">
        <v>14</v>
      </c>
      <c r="I73" s="169">
        <v>77</v>
      </c>
      <c r="J73" s="173">
        <v>6.55</v>
      </c>
      <c r="K73" s="169">
        <v>3.16</v>
      </c>
      <c r="L73" s="169">
        <v>0.47</v>
      </c>
      <c r="M73" s="169">
        <v>0.253</v>
      </c>
      <c r="N73" s="172">
        <v>0.82299999999999995</v>
      </c>
      <c r="O73" s="172">
        <v>0.40600000000000003</v>
      </c>
      <c r="P73" s="172">
        <v>4.5999999999999999E-2</v>
      </c>
      <c r="Q73" s="173">
        <v>92.3</v>
      </c>
      <c r="R73" s="173">
        <v>2.34</v>
      </c>
      <c r="S73" s="169">
        <v>4.34</v>
      </c>
      <c r="T73" s="169">
        <v>3.42</v>
      </c>
      <c r="U73" s="169">
        <v>4.4800000000000004</v>
      </c>
      <c r="V73" s="173">
        <v>1.7</v>
      </c>
      <c r="W73" s="192"/>
      <c r="X73" s="192"/>
      <c r="Y73" s="192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</row>
    <row r="74" spans="1:37" ht="15.75" customHeight="1">
      <c r="A74" s="169">
        <v>69</v>
      </c>
      <c r="B74" s="170" t="s">
        <v>949</v>
      </c>
      <c r="C74" s="170" t="s">
        <v>46</v>
      </c>
      <c r="D74" s="169">
        <v>2</v>
      </c>
      <c r="E74" s="169">
        <v>3</v>
      </c>
      <c r="F74" s="169">
        <v>0</v>
      </c>
      <c r="G74" s="169">
        <v>10</v>
      </c>
      <c r="H74" s="169">
        <v>10</v>
      </c>
      <c r="I74" s="169">
        <v>48.2</v>
      </c>
      <c r="J74" s="173">
        <v>14.05</v>
      </c>
      <c r="K74" s="169">
        <v>2.96</v>
      </c>
      <c r="L74" s="169">
        <v>0.92</v>
      </c>
      <c r="M74" s="169">
        <v>0.38200000000000001</v>
      </c>
      <c r="N74" s="172">
        <v>0.621</v>
      </c>
      <c r="O74" s="172">
        <v>0.36799999999999999</v>
      </c>
      <c r="P74" s="172">
        <v>0.109</v>
      </c>
      <c r="Q74" s="173">
        <v>95.6</v>
      </c>
      <c r="R74" s="173">
        <v>5.18</v>
      </c>
      <c r="S74" s="169">
        <v>2.73</v>
      </c>
      <c r="T74" s="169">
        <v>2.4700000000000002</v>
      </c>
      <c r="U74" s="169">
        <v>2.58</v>
      </c>
      <c r="V74" s="173">
        <v>1.7</v>
      </c>
      <c r="W74" s="192"/>
      <c r="X74" s="192"/>
      <c r="Y74" s="192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</row>
    <row r="75" spans="1:37" ht="15.75" customHeight="1">
      <c r="A75" s="169">
        <v>70</v>
      </c>
      <c r="B75" s="170" t="s">
        <v>89</v>
      </c>
      <c r="C75" s="170" t="s">
        <v>46</v>
      </c>
      <c r="D75" s="169">
        <v>8</v>
      </c>
      <c r="E75" s="169">
        <v>7</v>
      </c>
      <c r="F75" s="169">
        <v>0</v>
      </c>
      <c r="G75" s="169">
        <v>22</v>
      </c>
      <c r="H75" s="169">
        <v>22</v>
      </c>
      <c r="I75" s="169">
        <v>127</v>
      </c>
      <c r="J75" s="173">
        <v>7.3</v>
      </c>
      <c r="K75" s="169">
        <v>2.62</v>
      </c>
      <c r="L75" s="169">
        <v>1.2</v>
      </c>
      <c r="M75" s="169">
        <v>0.24299999999999999</v>
      </c>
      <c r="N75" s="172">
        <v>0.84599999999999997</v>
      </c>
      <c r="O75" s="172">
        <v>0.40300000000000002</v>
      </c>
      <c r="P75" s="172">
        <v>0.121</v>
      </c>
      <c r="Q75" s="173">
        <v>92.4</v>
      </c>
      <c r="R75" s="173">
        <v>2.98</v>
      </c>
      <c r="S75" s="169">
        <v>3.75</v>
      </c>
      <c r="T75" s="169">
        <v>4.21</v>
      </c>
      <c r="U75" s="169">
        <v>4.16</v>
      </c>
      <c r="V75" s="173">
        <v>1.7</v>
      </c>
      <c r="W75" s="192"/>
      <c r="X75" s="192"/>
      <c r="Y75" s="192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</row>
    <row r="76" spans="1:37" ht="15.75" customHeight="1">
      <c r="A76" s="169">
        <v>71</v>
      </c>
      <c r="B76" s="170" t="s">
        <v>85</v>
      </c>
      <c r="C76" s="170" t="s">
        <v>86</v>
      </c>
      <c r="D76" s="169">
        <v>7</v>
      </c>
      <c r="E76" s="169">
        <v>9</v>
      </c>
      <c r="F76" s="169">
        <v>0</v>
      </c>
      <c r="G76" s="169">
        <v>28</v>
      </c>
      <c r="H76" s="169">
        <v>28</v>
      </c>
      <c r="I76" s="169">
        <v>146.19999999999999</v>
      </c>
      <c r="J76" s="173">
        <v>7.61</v>
      </c>
      <c r="K76" s="169">
        <v>2.88</v>
      </c>
      <c r="L76" s="169">
        <v>1.29</v>
      </c>
      <c r="M76" s="169">
        <v>0.3</v>
      </c>
      <c r="N76" s="172">
        <v>0.753</v>
      </c>
      <c r="O76" s="172">
        <v>0.39</v>
      </c>
      <c r="P76" s="172">
        <v>0.128</v>
      </c>
      <c r="Q76" s="173">
        <v>91.6</v>
      </c>
      <c r="R76" s="173">
        <v>4.2300000000000004</v>
      </c>
      <c r="S76" s="169">
        <v>4.74</v>
      </c>
      <c r="T76" s="169">
        <v>4.32</v>
      </c>
      <c r="U76" s="169">
        <v>4.17</v>
      </c>
      <c r="V76" s="173">
        <v>1.7</v>
      </c>
      <c r="W76" s="192"/>
      <c r="X76" s="192"/>
      <c r="Y76" s="192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</row>
    <row r="77" spans="1:37" ht="15.75" customHeight="1">
      <c r="A77" s="169">
        <v>72</v>
      </c>
      <c r="B77" s="170" t="s">
        <v>177</v>
      </c>
      <c r="C77" s="170" t="s">
        <v>74</v>
      </c>
      <c r="D77" s="169">
        <v>6</v>
      </c>
      <c r="E77" s="169">
        <v>7</v>
      </c>
      <c r="F77" s="169">
        <v>0</v>
      </c>
      <c r="G77" s="169">
        <v>26</v>
      </c>
      <c r="H77" s="169">
        <v>26</v>
      </c>
      <c r="I77" s="169">
        <v>131</v>
      </c>
      <c r="J77" s="173">
        <v>8.3800000000000008</v>
      </c>
      <c r="K77" s="169">
        <v>3.64</v>
      </c>
      <c r="L77" s="169">
        <v>1.1000000000000001</v>
      </c>
      <c r="M77" s="169">
        <v>0.247</v>
      </c>
      <c r="N77" s="172">
        <v>0.71899999999999997</v>
      </c>
      <c r="O77" s="172">
        <v>0.40200000000000002</v>
      </c>
      <c r="P77" s="172">
        <v>0.111</v>
      </c>
      <c r="Q77" s="173">
        <v>95.8</v>
      </c>
      <c r="R77" s="173">
        <v>3.78</v>
      </c>
      <c r="S77" s="169">
        <v>4.26</v>
      </c>
      <c r="T77" s="169">
        <v>4.3600000000000003</v>
      </c>
      <c r="U77" s="169">
        <v>4.46</v>
      </c>
      <c r="V77" s="173">
        <v>1.6</v>
      </c>
      <c r="W77" s="192"/>
      <c r="X77" s="192"/>
      <c r="Y77" s="192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</row>
    <row r="78" spans="1:37" ht="15.75" customHeight="1">
      <c r="A78" s="169">
        <v>73</v>
      </c>
      <c r="B78" s="170" t="s">
        <v>153</v>
      </c>
      <c r="C78" s="170" t="s">
        <v>66</v>
      </c>
      <c r="D78" s="169">
        <v>6</v>
      </c>
      <c r="E78" s="169">
        <v>3</v>
      </c>
      <c r="F78" s="169">
        <v>0</v>
      </c>
      <c r="G78" s="169">
        <v>21</v>
      </c>
      <c r="H78" s="169">
        <v>21</v>
      </c>
      <c r="I78" s="169">
        <v>117</v>
      </c>
      <c r="J78" s="173">
        <v>7.31</v>
      </c>
      <c r="K78" s="169">
        <v>2.54</v>
      </c>
      <c r="L78" s="169">
        <v>1</v>
      </c>
      <c r="M78" s="169">
        <v>0.24399999999999999</v>
      </c>
      <c r="N78" s="172">
        <v>0.76300000000000001</v>
      </c>
      <c r="O78" s="172">
        <v>0.39900000000000002</v>
      </c>
      <c r="P78" s="172">
        <v>9.5000000000000001E-2</v>
      </c>
      <c r="Q78" s="173">
        <v>95.6</v>
      </c>
      <c r="R78" s="173">
        <v>3.08</v>
      </c>
      <c r="S78" s="169">
        <v>4.05</v>
      </c>
      <c r="T78" s="169">
        <v>3.89</v>
      </c>
      <c r="U78" s="169">
        <v>4.24</v>
      </c>
      <c r="V78" s="173">
        <v>1.6</v>
      </c>
      <c r="W78" s="192"/>
      <c r="X78" s="192"/>
      <c r="Y78" s="192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</row>
    <row r="79" spans="1:37" ht="15.75" customHeight="1">
      <c r="A79" s="169">
        <v>74</v>
      </c>
      <c r="B79" s="170" t="s">
        <v>215</v>
      </c>
      <c r="C79" s="170" t="s">
        <v>70</v>
      </c>
      <c r="D79" s="169">
        <v>6</v>
      </c>
      <c r="E79" s="169">
        <v>2</v>
      </c>
      <c r="F79" s="169">
        <v>0</v>
      </c>
      <c r="G79" s="169">
        <v>11</v>
      </c>
      <c r="H79" s="169">
        <v>11</v>
      </c>
      <c r="I79" s="169">
        <v>59.2</v>
      </c>
      <c r="J79" s="173">
        <v>11.16</v>
      </c>
      <c r="K79" s="169">
        <v>2.11</v>
      </c>
      <c r="L79" s="169">
        <v>1.21</v>
      </c>
      <c r="M79" s="169">
        <v>0.25</v>
      </c>
      <c r="N79" s="172">
        <v>0.71699999999999997</v>
      </c>
      <c r="O79" s="172">
        <v>0.35099999999999998</v>
      </c>
      <c r="P79" s="172">
        <v>0.11</v>
      </c>
      <c r="Q79" s="173">
        <v>93</v>
      </c>
      <c r="R79" s="173">
        <v>3.32</v>
      </c>
      <c r="S79" s="169">
        <v>2.27</v>
      </c>
      <c r="T79" s="169">
        <v>3.26</v>
      </c>
      <c r="U79" s="169">
        <v>3.4</v>
      </c>
      <c r="V79" s="173">
        <v>1.6</v>
      </c>
      <c r="W79" s="192"/>
      <c r="X79" s="192"/>
      <c r="Y79" s="192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</row>
    <row r="80" spans="1:37" ht="15.75" customHeight="1">
      <c r="A80" s="169">
        <v>75</v>
      </c>
      <c r="B80" s="170" t="s">
        <v>106</v>
      </c>
      <c r="C80" s="170" t="s">
        <v>93</v>
      </c>
      <c r="D80" s="169">
        <v>9</v>
      </c>
      <c r="E80" s="169">
        <v>5</v>
      </c>
      <c r="F80" s="169">
        <v>0</v>
      </c>
      <c r="G80" s="169">
        <v>29</v>
      </c>
      <c r="H80" s="169">
        <v>29</v>
      </c>
      <c r="I80" s="169">
        <v>160</v>
      </c>
      <c r="J80" s="173">
        <v>7.59</v>
      </c>
      <c r="K80" s="169">
        <v>2.93</v>
      </c>
      <c r="L80" s="169">
        <v>1.35</v>
      </c>
      <c r="M80" s="169">
        <v>0.28799999999999998</v>
      </c>
      <c r="N80" s="172">
        <v>0.74099999999999999</v>
      </c>
      <c r="O80" s="172">
        <v>0.41</v>
      </c>
      <c r="P80" s="172">
        <v>0.128</v>
      </c>
      <c r="Q80" s="173">
        <v>93</v>
      </c>
      <c r="R80" s="173">
        <v>3.99</v>
      </c>
      <c r="S80" s="169">
        <v>4.78</v>
      </c>
      <c r="T80" s="169">
        <v>4.5199999999999996</v>
      </c>
      <c r="U80" s="169">
        <v>4.3600000000000003</v>
      </c>
      <c r="V80" s="173">
        <v>1.5</v>
      </c>
      <c r="W80" s="192"/>
      <c r="X80" s="192"/>
      <c r="Y80" s="192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</row>
    <row r="81" spans="1:37" ht="15.75" customHeight="1">
      <c r="A81" s="169">
        <v>76</v>
      </c>
      <c r="B81" s="170" t="s">
        <v>145</v>
      </c>
      <c r="C81" s="170" t="s">
        <v>80</v>
      </c>
      <c r="D81" s="169">
        <v>10</v>
      </c>
      <c r="E81" s="169">
        <v>11</v>
      </c>
      <c r="F81" s="169">
        <v>0</v>
      </c>
      <c r="G81" s="169">
        <v>29</v>
      </c>
      <c r="H81" s="169">
        <v>29</v>
      </c>
      <c r="I81" s="169">
        <v>170.1</v>
      </c>
      <c r="J81" s="173">
        <v>7.87</v>
      </c>
      <c r="K81" s="169">
        <v>2.64</v>
      </c>
      <c r="L81" s="169">
        <v>1.43</v>
      </c>
      <c r="M81" s="169">
        <v>0.28000000000000003</v>
      </c>
      <c r="N81" s="172">
        <v>0.71</v>
      </c>
      <c r="O81" s="172">
        <v>0.443</v>
      </c>
      <c r="P81" s="172">
        <v>0.13500000000000001</v>
      </c>
      <c r="Q81" s="173">
        <v>94.4</v>
      </c>
      <c r="R81" s="173">
        <v>4.4400000000000004</v>
      </c>
      <c r="S81" s="169">
        <v>3.73</v>
      </c>
      <c r="T81" s="169">
        <v>4.51</v>
      </c>
      <c r="U81" s="169">
        <v>4.26</v>
      </c>
      <c r="V81" s="173">
        <v>1.5</v>
      </c>
      <c r="W81" s="192"/>
      <c r="X81" s="192"/>
      <c r="Y81" s="192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</row>
    <row r="82" spans="1:37" ht="15.75" customHeight="1">
      <c r="A82" s="169">
        <v>77</v>
      </c>
      <c r="B82" s="170" t="s">
        <v>77</v>
      </c>
      <c r="C82" s="170" t="s">
        <v>53</v>
      </c>
      <c r="D82" s="169">
        <v>7</v>
      </c>
      <c r="E82" s="169">
        <v>12</v>
      </c>
      <c r="F82" s="169">
        <v>0</v>
      </c>
      <c r="G82" s="169">
        <v>27</v>
      </c>
      <c r="H82" s="169">
        <v>27</v>
      </c>
      <c r="I82" s="169">
        <v>140.19999999999999</v>
      </c>
      <c r="J82" s="173">
        <v>7.04</v>
      </c>
      <c r="K82" s="169">
        <v>2.4300000000000002</v>
      </c>
      <c r="L82" s="169">
        <v>1.1499999999999999</v>
      </c>
      <c r="M82" s="169">
        <v>0.30099999999999999</v>
      </c>
      <c r="N82" s="172">
        <v>0.7</v>
      </c>
      <c r="O82" s="172">
        <v>0.38300000000000001</v>
      </c>
      <c r="P82" s="172">
        <v>0.10199999999999999</v>
      </c>
      <c r="Q82" s="173">
        <v>93.8</v>
      </c>
      <c r="R82" s="173">
        <v>4.3499999999999996</v>
      </c>
      <c r="S82" s="169">
        <v>4.7699999999999996</v>
      </c>
      <c r="T82" s="169">
        <v>4.1399999999999997</v>
      </c>
      <c r="U82" s="169">
        <v>4.41</v>
      </c>
      <c r="V82" s="173">
        <v>1.5</v>
      </c>
      <c r="W82" s="192"/>
      <c r="X82" s="192"/>
      <c r="Y82" s="192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</row>
    <row r="83" spans="1:37" ht="15.75" customHeight="1">
      <c r="A83" s="169">
        <v>78</v>
      </c>
      <c r="B83" s="170" t="s">
        <v>950</v>
      </c>
      <c r="C83" s="170" t="s">
        <v>91</v>
      </c>
      <c r="D83" s="169">
        <v>5</v>
      </c>
      <c r="E83" s="169">
        <v>5</v>
      </c>
      <c r="F83" s="169">
        <v>0</v>
      </c>
      <c r="G83" s="169">
        <v>14</v>
      </c>
      <c r="H83" s="169">
        <v>14</v>
      </c>
      <c r="I83" s="169">
        <v>68.099999999999994</v>
      </c>
      <c r="J83" s="173">
        <v>11.72</v>
      </c>
      <c r="K83" s="169">
        <v>4.3499999999999996</v>
      </c>
      <c r="L83" s="169">
        <v>0.79</v>
      </c>
      <c r="M83" s="169">
        <v>0.318</v>
      </c>
      <c r="N83" s="172">
        <v>0.68799999999999994</v>
      </c>
      <c r="O83" s="172">
        <v>0.40200000000000002</v>
      </c>
      <c r="P83" s="172">
        <v>9.4E-2</v>
      </c>
      <c r="Q83" s="173">
        <v>95.7</v>
      </c>
      <c r="R83" s="173">
        <v>3.95</v>
      </c>
      <c r="S83" s="169">
        <v>3.86</v>
      </c>
      <c r="T83" s="169">
        <v>3.44</v>
      </c>
      <c r="U83" s="169">
        <v>3.74</v>
      </c>
      <c r="V83" s="173">
        <v>1.5</v>
      </c>
      <c r="W83" s="192"/>
      <c r="X83" s="192"/>
      <c r="Y83" s="192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</row>
    <row r="84" spans="1:37" ht="15.75" customHeight="1">
      <c r="A84" s="169">
        <v>79</v>
      </c>
      <c r="B84" s="170" t="s">
        <v>169</v>
      </c>
      <c r="C84" s="178" t="s">
        <v>34</v>
      </c>
      <c r="D84" s="169">
        <v>5</v>
      </c>
      <c r="E84" s="169">
        <v>5</v>
      </c>
      <c r="F84" s="169">
        <v>0</v>
      </c>
      <c r="G84" s="169">
        <v>17</v>
      </c>
      <c r="H84" s="169">
        <v>17</v>
      </c>
      <c r="I84" s="169">
        <v>99.1</v>
      </c>
      <c r="J84" s="173">
        <v>6.07</v>
      </c>
      <c r="K84" s="169">
        <v>2.54</v>
      </c>
      <c r="L84" s="169">
        <v>0.72</v>
      </c>
      <c r="M84" s="169">
        <v>0.27700000000000002</v>
      </c>
      <c r="N84" s="172">
        <v>0.71399999999999997</v>
      </c>
      <c r="O84" s="172">
        <v>0.51</v>
      </c>
      <c r="P84" s="172">
        <v>8.7999999999999995E-2</v>
      </c>
      <c r="Q84" s="173">
        <v>94.1</v>
      </c>
      <c r="R84" s="173">
        <v>3.71</v>
      </c>
      <c r="S84" s="169">
        <v>4.4000000000000004</v>
      </c>
      <c r="T84" s="169">
        <v>3.9</v>
      </c>
      <c r="U84" s="169">
        <v>4.26</v>
      </c>
      <c r="V84" s="173">
        <v>1.4</v>
      </c>
      <c r="W84" s="192"/>
      <c r="X84" s="192"/>
      <c r="Y84" s="192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</row>
    <row r="85" spans="1:37" ht="15.75" customHeight="1">
      <c r="A85" s="169">
        <v>80</v>
      </c>
      <c r="B85" s="170" t="s">
        <v>97</v>
      </c>
      <c r="C85" s="170" t="s">
        <v>91</v>
      </c>
      <c r="D85" s="169">
        <v>7</v>
      </c>
      <c r="E85" s="169">
        <v>6</v>
      </c>
      <c r="F85" s="169">
        <v>0</v>
      </c>
      <c r="G85" s="169">
        <v>22</v>
      </c>
      <c r="H85" s="169">
        <v>22</v>
      </c>
      <c r="I85" s="169">
        <v>113.1</v>
      </c>
      <c r="J85" s="173">
        <v>8.66</v>
      </c>
      <c r="K85" s="169">
        <v>4.37</v>
      </c>
      <c r="L85" s="169">
        <v>0.95</v>
      </c>
      <c r="M85" s="169">
        <v>0.27100000000000002</v>
      </c>
      <c r="N85" s="172">
        <v>0.79900000000000004</v>
      </c>
      <c r="O85" s="172">
        <v>0.46600000000000003</v>
      </c>
      <c r="P85" s="172">
        <v>0.10199999999999999</v>
      </c>
      <c r="Q85" s="173">
        <v>94.8</v>
      </c>
      <c r="R85" s="173">
        <v>3.02</v>
      </c>
      <c r="S85" s="169">
        <v>3.93</v>
      </c>
      <c r="T85" s="169">
        <v>4.13</v>
      </c>
      <c r="U85" s="169">
        <v>4.3600000000000003</v>
      </c>
      <c r="V85" s="173">
        <v>1.4</v>
      </c>
      <c r="W85" s="192"/>
      <c r="X85" s="192"/>
      <c r="Y85" s="192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</row>
    <row r="86" spans="1:37" ht="15.75" customHeight="1">
      <c r="A86" s="169">
        <v>81</v>
      </c>
      <c r="B86" s="170" t="s">
        <v>207</v>
      </c>
      <c r="C86" s="170" t="s">
        <v>60</v>
      </c>
      <c r="D86" s="169">
        <v>7</v>
      </c>
      <c r="E86" s="169">
        <v>6</v>
      </c>
      <c r="F86" s="169">
        <v>0</v>
      </c>
      <c r="G86" s="169">
        <v>17</v>
      </c>
      <c r="H86" s="169">
        <v>17</v>
      </c>
      <c r="I86" s="169">
        <v>84</v>
      </c>
      <c r="J86" s="173">
        <v>10.61</v>
      </c>
      <c r="K86" s="169">
        <v>3.54</v>
      </c>
      <c r="L86" s="169">
        <v>1.29</v>
      </c>
      <c r="M86" s="169">
        <v>0.28599999999999998</v>
      </c>
      <c r="N86" s="172">
        <v>0.754</v>
      </c>
      <c r="O86" s="172">
        <v>0.28499999999999998</v>
      </c>
      <c r="P86" s="172">
        <v>0.115</v>
      </c>
      <c r="Q86" s="173">
        <v>90.8</v>
      </c>
      <c r="R86" s="173">
        <v>3.96</v>
      </c>
      <c r="S86" s="169">
        <v>3.65</v>
      </c>
      <c r="T86" s="169">
        <v>4.08</v>
      </c>
      <c r="U86" s="169">
        <v>4.12</v>
      </c>
      <c r="V86" s="173">
        <v>1.4</v>
      </c>
      <c r="W86" s="192"/>
      <c r="X86" s="192"/>
      <c r="Y86" s="192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</row>
    <row r="87" spans="1:37" ht="15.75" customHeight="1">
      <c r="A87" s="169">
        <v>82</v>
      </c>
      <c r="B87" s="170" t="s">
        <v>231</v>
      </c>
      <c r="C87" s="170" t="s">
        <v>143</v>
      </c>
      <c r="D87" s="169">
        <v>1</v>
      </c>
      <c r="E87" s="169">
        <v>1</v>
      </c>
      <c r="F87" s="169">
        <v>0</v>
      </c>
      <c r="G87" s="169">
        <v>12</v>
      </c>
      <c r="H87" s="169">
        <v>12</v>
      </c>
      <c r="I87" s="169">
        <v>36</v>
      </c>
      <c r="J87" s="173">
        <v>12.25</v>
      </c>
      <c r="K87" s="169">
        <v>2</v>
      </c>
      <c r="L87" s="169">
        <v>0.75</v>
      </c>
      <c r="M87" s="169">
        <v>0.35599999999999998</v>
      </c>
      <c r="N87" s="172">
        <v>0.72199999999999998</v>
      </c>
      <c r="O87" s="172">
        <v>0.41299999999999998</v>
      </c>
      <c r="P87" s="172">
        <v>8.7999999999999995E-2</v>
      </c>
      <c r="Q87" s="173">
        <v>98.1</v>
      </c>
      <c r="R87" s="173">
        <v>3.75</v>
      </c>
      <c r="S87" s="169">
        <v>2.4700000000000002</v>
      </c>
      <c r="T87" s="169">
        <v>2.17</v>
      </c>
      <c r="U87" s="169">
        <v>2.54</v>
      </c>
      <c r="V87" s="173">
        <v>1.4</v>
      </c>
      <c r="W87" s="192"/>
      <c r="X87" s="192"/>
      <c r="Y87" s="192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</row>
    <row r="88" spans="1:37" ht="15.75" customHeight="1">
      <c r="A88" s="169">
        <v>83</v>
      </c>
      <c r="B88" s="170" t="s">
        <v>178</v>
      </c>
      <c r="C88" s="170" t="s">
        <v>143</v>
      </c>
      <c r="D88" s="169">
        <v>3</v>
      </c>
      <c r="E88" s="169">
        <v>3</v>
      </c>
      <c r="F88" s="169">
        <v>0</v>
      </c>
      <c r="G88" s="169">
        <v>16</v>
      </c>
      <c r="H88" s="169">
        <v>16</v>
      </c>
      <c r="I88" s="169">
        <v>82.1</v>
      </c>
      <c r="J88" s="173">
        <v>10.49</v>
      </c>
      <c r="K88" s="169">
        <v>4.1500000000000004</v>
      </c>
      <c r="L88" s="169">
        <v>1.0900000000000001</v>
      </c>
      <c r="M88" s="169">
        <v>0.20300000000000001</v>
      </c>
      <c r="N88" s="172">
        <v>0.79700000000000004</v>
      </c>
      <c r="O88" s="172">
        <v>0.432</v>
      </c>
      <c r="P88" s="172">
        <v>0.13200000000000001</v>
      </c>
      <c r="Q88" s="173">
        <v>95.8</v>
      </c>
      <c r="R88" s="173">
        <v>3.06</v>
      </c>
      <c r="S88" s="169">
        <v>3.05</v>
      </c>
      <c r="T88" s="169">
        <v>3.89</v>
      </c>
      <c r="U88" s="169">
        <v>3.73</v>
      </c>
      <c r="V88" s="173">
        <v>1.4</v>
      </c>
      <c r="W88" s="192"/>
      <c r="X88" s="192"/>
      <c r="Y88" s="192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</row>
    <row r="89" spans="1:37" ht="15.75" customHeight="1">
      <c r="A89" s="169">
        <v>84</v>
      </c>
      <c r="B89" s="170" t="s">
        <v>951</v>
      </c>
      <c r="C89" s="170" t="s">
        <v>44</v>
      </c>
      <c r="D89" s="169">
        <v>4</v>
      </c>
      <c r="E89" s="169">
        <v>4</v>
      </c>
      <c r="F89" s="169">
        <v>0</v>
      </c>
      <c r="G89" s="169">
        <v>13</v>
      </c>
      <c r="H89" s="169">
        <v>13</v>
      </c>
      <c r="I89" s="169">
        <v>68.2</v>
      </c>
      <c r="J89" s="173">
        <v>8.52</v>
      </c>
      <c r="K89" s="169">
        <v>3.28</v>
      </c>
      <c r="L89" s="169">
        <v>0.66</v>
      </c>
      <c r="M89" s="169">
        <v>0.28599999999999998</v>
      </c>
      <c r="N89" s="172">
        <v>0.79</v>
      </c>
      <c r="O89" s="172">
        <v>0.42899999999999999</v>
      </c>
      <c r="P89" s="172">
        <v>7.5999999999999998E-2</v>
      </c>
      <c r="Q89" s="173">
        <v>94.4</v>
      </c>
      <c r="R89" s="173">
        <v>3.15</v>
      </c>
      <c r="S89" s="169">
        <v>4</v>
      </c>
      <c r="T89" s="169">
        <v>3.51</v>
      </c>
      <c r="U89" s="169">
        <v>4.04</v>
      </c>
      <c r="V89" s="173">
        <v>1.4</v>
      </c>
      <c r="W89" s="192"/>
      <c r="X89" s="192"/>
      <c r="Y89" s="192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</row>
    <row r="90" spans="1:37" ht="15.75" customHeight="1">
      <c r="A90" s="169">
        <v>85</v>
      </c>
      <c r="B90" s="170" t="s">
        <v>65</v>
      </c>
      <c r="C90" s="170" t="s">
        <v>66</v>
      </c>
      <c r="D90" s="169">
        <v>8</v>
      </c>
      <c r="E90" s="169">
        <v>8</v>
      </c>
      <c r="F90" s="169">
        <v>0</v>
      </c>
      <c r="G90" s="169">
        <v>26</v>
      </c>
      <c r="H90" s="169">
        <v>26</v>
      </c>
      <c r="I90" s="169">
        <v>137.1</v>
      </c>
      <c r="J90" s="173">
        <v>8.52</v>
      </c>
      <c r="K90" s="169">
        <v>3.6</v>
      </c>
      <c r="L90" s="169">
        <v>1.38</v>
      </c>
      <c r="M90" s="169">
        <v>0.33300000000000002</v>
      </c>
      <c r="N90" s="172">
        <v>0.70399999999999996</v>
      </c>
      <c r="O90" s="172">
        <v>0.372</v>
      </c>
      <c r="P90" s="172">
        <v>0.11899999999999999</v>
      </c>
      <c r="Q90" s="173">
        <v>92</v>
      </c>
      <c r="R90" s="173">
        <v>4.9800000000000004</v>
      </c>
      <c r="S90" s="169">
        <v>4.32</v>
      </c>
      <c r="T90" s="169">
        <v>4.46</v>
      </c>
      <c r="U90" s="169">
        <v>4.4400000000000004</v>
      </c>
      <c r="V90" s="173">
        <v>1.4</v>
      </c>
      <c r="W90" s="192"/>
      <c r="X90" s="192"/>
      <c r="Y90" s="192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</row>
    <row r="91" spans="1:37" ht="15.75" customHeight="1">
      <c r="A91" s="169">
        <v>86</v>
      </c>
      <c r="B91" s="170" t="s">
        <v>104</v>
      </c>
      <c r="C91" s="170" t="s">
        <v>40</v>
      </c>
      <c r="D91" s="169">
        <v>7</v>
      </c>
      <c r="E91" s="169">
        <v>10</v>
      </c>
      <c r="F91" s="169">
        <v>0</v>
      </c>
      <c r="G91" s="169">
        <v>29</v>
      </c>
      <c r="H91" s="169">
        <v>29</v>
      </c>
      <c r="I91" s="169">
        <v>152.19999999999999</v>
      </c>
      <c r="J91" s="173">
        <v>5.95</v>
      </c>
      <c r="K91" s="169">
        <v>2.5299999999999998</v>
      </c>
      <c r="L91" s="169">
        <v>1.41</v>
      </c>
      <c r="M91" s="169">
        <v>0.28399999999999997</v>
      </c>
      <c r="N91" s="172">
        <v>0.68100000000000005</v>
      </c>
      <c r="O91" s="172">
        <v>0.38400000000000001</v>
      </c>
      <c r="P91" s="172">
        <v>0.113</v>
      </c>
      <c r="Q91" s="173">
        <v>86.6</v>
      </c>
      <c r="R91" s="173">
        <v>5.01</v>
      </c>
      <c r="S91" s="169">
        <v>4.09</v>
      </c>
      <c r="T91" s="169">
        <v>4.8099999999999996</v>
      </c>
      <c r="U91" s="169">
        <v>4.91</v>
      </c>
      <c r="V91" s="173">
        <v>1.4</v>
      </c>
      <c r="W91" s="192"/>
      <c r="X91" s="192"/>
      <c r="Y91" s="192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</row>
    <row r="92" spans="1:37" ht="15.75" customHeight="1">
      <c r="A92" s="169">
        <v>87</v>
      </c>
      <c r="B92" s="170" t="s">
        <v>112</v>
      </c>
      <c r="C92" s="170" t="s">
        <v>56</v>
      </c>
      <c r="D92" s="169">
        <v>5</v>
      </c>
      <c r="E92" s="169">
        <v>3</v>
      </c>
      <c r="F92" s="169">
        <v>0</v>
      </c>
      <c r="G92" s="169">
        <v>14</v>
      </c>
      <c r="H92" s="169">
        <v>14</v>
      </c>
      <c r="I92" s="169">
        <v>75.2</v>
      </c>
      <c r="J92" s="173">
        <v>5.71</v>
      </c>
      <c r="K92" s="169">
        <v>1.31</v>
      </c>
      <c r="L92" s="169">
        <v>0.95</v>
      </c>
      <c r="M92" s="169">
        <v>0.30599999999999999</v>
      </c>
      <c r="N92" s="172">
        <v>0.60599999999999998</v>
      </c>
      <c r="O92" s="172">
        <v>0.38600000000000001</v>
      </c>
      <c r="P92" s="172">
        <v>7.6999999999999999E-2</v>
      </c>
      <c r="Q92" s="173">
        <v>93.4</v>
      </c>
      <c r="R92" s="173">
        <v>5</v>
      </c>
      <c r="S92" s="169">
        <v>4.49</v>
      </c>
      <c r="T92" s="169">
        <v>3.81</v>
      </c>
      <c r="U92" s="169">
        <v>4.54</v>
      </c>
      <c r="V92" s="173">
        <v>1.3</v>
      </c>
      <c r="W92" s="192"/>
      <c r="X92" s="192"/>
      <c r="Y92" s="192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</row>
    <row r="93" spans="1:37" ht="15.75" customHeight="1">
      <c r="A93" s="169">
        <v>88</v>
      </c>
      <c r="B93" s="170" t="s">
        <v>138</v>
      </c>
      <c r="C93" s="170" t="s">
        <v>132</v>
      </c>
      <c r="D93" s="169">
        <v>4</v>
      </c>
      <c r="E93" s="169">
        <v>5</v>
      </c>
      <c r="F93" s="169">
        <v>0</v>
      </c>
      <c r="G93" s="169">
        <v>14</v>
      </c>
      <c r="H93" s="169">
        <v>14</v>
      </c>
      <c r="I93" s="169">
        <v>69.099999999999994</v>
      </c>
      <c r="J93" s="173">
        <v>10.38</v>
      </c>
      <c r="K93" s="169">
        <v>2.86</v>
      </c>
      <c r="L93" s="169">
        <v>1.3</v>
      </c>
      <c r="M93" s="169">
        <v>0.35799999999999998</v>
      </c>
      <c r="N93" s="172">
        <v>0.70099999999999996</v>
      </c>
      <c r="O93" s="172">
        <v>0.33800000000000002</v>
      </c>
      <c r="P93" s="172">
        <v>0.12</v>
      </c>
      <c r="Q93" s="173">
        <v>96.3</v>
      </c>
      <c r="R93" s="173">
        <v>5.0599999999999996</v>
      </c>
      <c r="S93" s="169">
        <v>4.18</v>
      </c>
      <c r="T93" s="169">
        <v>3.67</v>
      </c>
      <c r="U93" s="169">
        <v>3.63</v>
      </c>
      <c r="V93" s="173">
        <v>1.3</v>
      </c>
      <c r="W93" s="192"/>
      <c r="X93" s="192"/>
      <c r="Y93" s="192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</row>
    <row r="94" spans="1:37" ht="15.75" customHeight="1">
      <c r="A94" s="169">
        <v>89</v>
      </c>
      <c r="B94" s="170" t="s">
        <v>79</v>
      </c>
      <c r="C94" s="170" t="s">
        <v>80</v>
      </c>
      <c r="D94" s="169">
        <v>6</v>
      </c>
      <c r="E94" s="169">
        <v>11</v>
      </c>
      <c r="F94" s="169">
        <v>0</v>
      </c>
      <c r="G94" s="169">
        <v>27</v>
      </c>
      <c r="H94" s="169">
        <v>27</v>
      </c>
      <c r="I94" s="169">
        <v>143.1</v>
      </c>
      <c r="J94" s="173">
        <v>6.84</v>
      </c>
      <c r="K94" s="169">
        <v>3.7</v>
      </c>
      <c r="L94" s="169">
        <v>1.1299999999999999</v>
      </c>
      <c r="M94" s="169">
        <v>0.30199999999999999</v>
      </c>
      <c r="N94" s="172">
        <v>0.70799999999999996</v>
      </c>
      <c r="O94" s="172">
        <v>0.438</v>
      </c>
      <c r="P94" s="172">
        <v>0.10199999999999999</v>
      </c>
      <c r="Q94" s="173">
        <v>91.2</v>
      </c>
      <c r="R94" s="173">
        <v>4.46</v>
      </c>
      <c r="S94" s="169">
        <v>4.6399999999999997</v>
      </c>
      <c r="T94" s="169">
        <v>4.5999999999999996</v>
      </c>
      <c r="U94" s="169">
        <v>4.8499999999999996</v>
      </c>
      <c r="V94" s="173">
        <v>1.3</v>
      </c>
      <c r="W94" s="192"/>
      <c r="X94" s="192"/>
      <c r="Y94" s="192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</row>
    <row r="95" spans="1:37" ht="15.75" customHeight="1">
      <c r="A95" s="169">
        <v>90</v>
      </c>
      <c r="B95" s="170" t="s">
        <v>129</v>
      </c>
      <c r="C95" s="178" t="s">
        <v>34</v>
      </c>
      <c r="D95" s="169">
        <v>9</v>
      </c>
      <c r="E95" s="169">
        <v>8</v>
      </c>
      <c r="F95" s="169">
        <v>0</v>
      </c>
      <c r="G95" s="169">
        <v>29</v>
      </c>
      <c r="H95" s="169">
        <v>29</v>
      </c>
      <c r="I95" s="169">
        <v>171.1</v>
      </c>
      <c r="J95" s="173">
        <v>6.3</v>
      </c>
      <c r="K95" s="169">
        <v>1.52</v>
      </c>
      <c r="L95" s="169">
        <v>1.79</v>
      </c>
      <c r="M95" s="169">
        <v>0.253</v>
      </c>
      <c r="N95" s="172">
        <v>0.82399999999999995</v>
      </c>
      <c r="O95" s="172">
        <v>0.39900000000000002</v>
      </c>
      <c r="P95" s="172">
        <v>0.153</v>
      </c>
      <c r="Q95" s="173">
        <v>92.1</v>
      </c>
      <c r="R95" s="173">
        <v>3.78</v>
      </c>
      <c r="S95" s="169">
        <v>4.6399999999999997</v>
      </c>
      <c r="T95" s="169">
        <v>4.9400000000000004</v>
      </c>
      <c r="U95" s="169">
        <v>4.3499999999999996</v>
      </c>
      <c r="V95" s="173">
        <v>1.3</v>
      </c>
      <c r="W95" s="192"/>
      <c r="X95" s="192"/>
      <c r="Y95" s="192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</row>
    <row r="96" spans="1:37" ht="15.75" customHeight="1">
      <c r="A96" s="169">
        <v>91</v>
      </c>
      <c r="B96" s="170" t="s">
        <v>96</v>
      </c>
      <c r="C96" s="170" t="s">
        <v>60</v>
      </c>
      <c r="D96" s="169">
        <v>10</v>
      </c>
      <c r="E96" s="169">
        <v>10</v>
      </c>
      <c r="F96" s="169">
        <v>0</v>
      </c>
      <c r="G96" s="169">
        <v>28</v>
      </c>
      <c r="H96" s="169">
        <v>28</v>
      </c>
      <c r="I96" s="169">
        <v>149.1</v>
      </c>
      <c r="J96" s="173">
        <v>7.05</v>
      </c>
      <c r="K96" s="169">
        <v>2.83</v>
      </c>
      <c r="L96" s="169">
        <v>1.57</v>
      </c>
      <c r="M96" s="169">
        <v>0.253</v>
      </c>
      <c r="N96" s="172">
        <v>0.70699999999999996</v>
      </c>
      <c r="O96" s="172">
        <v>0.316</v>
      </c>
      <c r="P96" s="172">
        <v>0.126</v>
      </c>
      <c r="Q96" s="173">
        <v>90.7</v>
      </c>
      <c r="R96" s="173">
        <v>4.28</v>
      </c>
      <c r="S96" s="169">
        <v>4.34</v>
      </c>
      <c r="T96" s="169">
        <v>4.8499999999999996</v>
      </c>
      <c r="U96" s="169">
        <v>4.7</v>
      </c>
      <c r="V96" s="173">
        <v>1.3</v>
      </c>
      <c r="W96" s="192"/>
      <c r="X96" s="192"/>
      <c r="Y96" s="192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</row>
    <row r="97" spans="1:37" ht="15.75" customHeight="1">
      <c r="A97" s="169">
        <v>92</v>
      </c>
      <c r="B97" s="170" t="s">
        <v>952</v>
      </c>
      <c r="C97" s="170" t="s">
        <v>42</v>
      </c>
      <c r="D97" s="169">
        <v>4</v>
      </c>
      <c r="E97" s="169">
        <v>4</v>
      </c>
      <c r="F97" s="169">
        <v>0</v>
      </c>
      <c r="G97" s="169">
        <v>14</v>
      </c>
      <c r="H97" s="169">
        <v>14</v>
      </c>
      <c r="I97" s="169">
        <v>78.2</v>
      </c>
      <c r="J97" s="173">
        <v>8.35</v>
      </c>
      <c r="K97" s="169">
        <v>3.43</v>
      </c>
      <c r="L97" s="169">
        <v>1.03</v>
      </c>
      <c r="M97" s="169">
        <v>0.23200000000000001</v>
      </c>
      <c r="N97" s="172">
        <v>0.78</v>
      </c>
      <c r="O97" s="172">
        <v>0.33200000000000002</v>
      </c>
      <c r="P97" s="172">
        <v>8.8999999999999996E-2</v>
      </c>
      <c r="Q97" s="173">
        <v>94.3</v>
      </c>
      <c r="R97" s="173">
        <v>3.32</v>
      </c>
      <c r="S97" s="169">
        <v>3.01</v>
      </c>
      <c r="T97" s="169">
        <v>3.96</v>
      </c>
      <c r="U97" s="169">
        <v>4.4400000000000004</v>
      </c>
      <c r="V97" s="173">
        <v>1.3</v>
      </c>
      <c r="W97" s="192"/>
      <c r="X97" s="192"/>
      <c r="Y97" s="192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</row>
    <row r="98" spans="1:37" ht="15.75" customHeight="1">
      <c r="A98" s="169">
        <v>93</v>
      </c>
      <c r="B98" s="170" t="s">
        <v>157</v>
      </c>
      <c r="C98" s="170" t="s">
        <v>66</v>
      </c>
      <c r="D98" s="169">
        <v>13</v>
      </c>
      <c r="E98" s="169">
        <v>8</v>
      </c>
      <c r="F98" s="169">
        <v>0</v>
      </c>
      <c r="G98" s="169">
        <v>30</v>
      </c>
      <c r="H98" s="169">
        <v>30</v>
      </c>
      <c r="I98" s="169">
        <v>157.19999999999999</v>
      </c>
      <c r="J98" s="173">
        <v>7.48</v>
      </c>
      <c r="K98" s="169">
        <v>1.94</v>
      </c>
      <c r="L98" s="169">
        <v>1.37</v>
      </c>
      <c r="M98" s="169">
        <v>0.32900000000000001</v>
      </c>
      <c r="N98" s="172">
        <v>0.68500000000000005</v>
      </c>
      <c r="O98" s="172">
        <v>0.43</v>
      </c>
      <c r="P98" s="172">
        <v>0.14099999999999999</v>
      </c>
      <c r="Q98" s="173">
        <v>93.7</v>
      </c>
      <c r="R98" s="173">
        <v>5.31</v>
      </c>
      <c r="S98" s="169">
        <v>5.75</v>
      </c>
      <c r="T98" s="169">
        <v>4.32</v>
      </c>
      <c r="U98" s="169">
        <v>4</v>
      </c>
      <c r="V98" s="173">
        <v>1.3</v>
      </c>
      <c r="W98" s="192"/>
      <c r="X98" s="192"/>
      <c r="Y98" s="192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</row>
    <row r="99" spans="1:37" ht="15.75" customHeight="1">
      <c r="A99" s="169">
        <v>94</v>
      </c>
      <c r="B99" s="170" t="s">
        <v>953</v>
      </c>
      <c r="C99" s="170" t="s">
        <v>108</v>
      </c>
      <c r="D99" s="169">
        <v>0</v>
      </c>
      <c r="E99" s="169">
        <v>3</v>
      </c>
      <c r="F99" s="169">
        <v>0</v>
      </c>
      <c r="G99" s="169">
        <v>8</v>
      </c>
      <c r="H99" s="169">
        <v>8</v>
      </c>
      <c r="I99" s="169">
        <v>34.1</v>
      </c>
      <c r="J99" s="173">
        <v>14.94</v>
      </c>
      <c r="K99" s="169">
        <v>3.41</v>
      </c>
      <c r="L99" s="169">
        <v>1.05</v>
      </c>
      <c r="M99" s="169">
        <v>0.377</v>
      </c>
      <c r="N99" s="172">
        <v>0.56899999999999995</v>
      </c>
      <c r="O99" s="172">
        <v>0.36699999999999999</v>
      </c>
      <c r="P99" s="172">
        <v>0.129</v>
      </c>
      <c r="Q99" s="173">
        <v>98.3</v>
      </c>
      <c r="R99" s="173">
        <v>5.24</v>
      </c>
      <c r="S99" s="169">
        <v>3.16</v>
      </c>
      <c r="T99" s="169">
        <v>2.48</v>
      </c>
      <c r="U99" s="169">
        <v>2.35</v>
      </c>
      <c r="V99" s="173">
        <v>1.3</v>
      </c>
      <c r="W99" s="192"/>
      <c r="X99" s="192"/>
      <c r="Y99" s="192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</row>
    <row r="100" spans="1:37" ht="15.75" customHeight="1">
      <c r="A100" s="169">
        <v>95</v>
      </c>
      <c r="B100" s="170" t="s">
        <v>48</v>
      </c>
      <c r="C100" s="170" t="s">
        <v>49</v>
      </c>
      <c r="D100" s="169">
        <v>4</v>
      </c>
      <c r="E100" s="169">
        <v>2</v>
      </c>
      <c r="F100" s="169">
        <v>0</v>
      </c>
      <c r="G100" s="169">
        <v>12</v>
      </c>
      <c r="H100" s="169">
        <v>12</v>
      </c>
      <c r="I100" s="169">
        <v>62.2</v>
      </c>
      <c r="J100" s="173">
        <v>9.6199999999999992</v>
      </c>
      <c r="K100" s="169">
        <v>2.87</v>
      </c>
      <c r="L100" s="169">
        <v>1.1499999999999999</v>
      </c>
      <c r="M100" s="169">
        <v>0.247</v>
      </c>
      <c r="N100" s="172">
        <v>0.79600000000000004</v>
      </c>
      <c r="O100" s="172">
        <v>0.376</v>
      </c>
      <c r="P100" s="172">
        <v>0.104</v>
      </c>
      <c r="Q100" s="173">
        <v>93.8</v>
      </c>
      <c r="R100" s="173">
        <v>2.87</v>
      </c>
      <c r="S100" s="169">
        <v>3.63</v>
      </c>
      <c r="T100" s="169">
        <v>3.72</v>
      </c>
      <c r="U100" s="169">
        <v>3.95</v>
      </c>
      <c r="V100" s="173">
        <v>1.3</v>
      </c>
      <c r="W100" s="192"/>
      <c r="X100" s="192"/>
      <c r="Y100" s="192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</row>
    <row r="101" spans="1:37" ht="15.75" customHeight="1">
      <c r="A101" s="169">
        <v>96</v>
      </c>
      <c r="B101" s="170" t="s">
        <v>225</v>
      </c>
      <c r="C101" s="170" t="s">
        <v>143</v>
      </c>
      <c r="D101" s="169">
        <v>5</v>
      </c>
      <c r="E101" s="169">
        <v>2</v>
      </c>
      <c r="F101" s="169">
        <v>0</v>
      </c>
      <c r="G101" s="169">
        <v>10</v>
      </c>
      <c r="H101" s="169">
        <v>10</v>
      </c>
      <c r="I101" s="169">
        <v>51.2</v>
      </c>
      <c r="J101" s="173">
        <v>10.63</v>
      </c>
      <c r="K101" s="169">
        <v>2.2599999999999998</v>
      </c>
      <c r="L101" s="169">
        <v>1.22</v>
      </c>
      <c r="M101" s="169">
        <v>0.28299999999999997</v>
      </c>
      <c r="N101" s="172">
        <v>0.71399999999999997</v>
      </c>
      <c r="O101" s="172">
        <v>0.33600000000000002</v>
      </c>
      <c r="P101" s="172">
        <v>0.123</v>
      </c>
      <c r="Q101" s="173">
        <v>95.6</v>
      </c>
      <c r="R101" s="173">
        <v>3.66</v>
      </c>
      <c r="S101" s="169">
        <v>3.56</v>
      </c>
      <c r="T101" s="169">
        <v>3.3</v>
      </c>
      <c r="U101" s="169">
        <v>3.23</v>
      </c>
      <c r="V101" s="173">
        <v>1.3</v>
      </c>
      <c r="W101" s="192"/>
      <c r="X101" s="192"/>
      <c r="Y101" s="192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</row>
    <row r="102" spans="1:37" ht="15.75" customHeight="1">
      <c r="A102" s="169">
        <v>97</v>
      </c>
      <c r="B102" s="170" t="s">
        <v>166</v>
      </c>
      <c r="C102" s="170" t="s">
        <v>88</v>
      </c>
      <c r="D102" s="169">
        <v>9</v>
      </c>
      <c r="E102" s="169">
        <v>7</v>
      </c>
      <c r="F102" s="169">
        <v>0</v>
      </c>
      <c r="G102" s="169">
        <v>23</v>
      </c>
      <c r="H102" s="169">
        <v>23</v>
      </c>
      <c r="I102" s="169">
        <v>134</v>
      </c>
      <c r="J102" s="173">
        <v>7.39</v>
      </c>
      <c r="K102" s="169">
        <v>1.54</v>
      </c>
      <c r="L102" s="169">
        <v>1.75</v>
      </c>
      <c r="M102" s="169">
        <v>0.216</v>
      </c>
      <c r="N102" s="172">
        <v>0.85199999999999998</v>
      </c>
      <c r="O102" s="172">
        <v>0.29299999999999998</v>
      </c>
      <c r="P102" s="172">
        <v>0.125</v>
      </c>
      <c r="Q102" s="173">
        <v>90.8</v>
      </c>
      <c r="R102" s="173">
        <v>3.29</v>
      </c>
      <c r="S102" s="169">
        <v>3.81</v>
      </c>
      <c r="T102" s="169">
        <v>4.5599999999999996</v>
      </c>
      <c r="U102" s="169">
        <v>4.43</v>
      </c>
      <c r="V102" s="173">
        <v>1.3</v>
      </c>
      <c r="W102" s="192"/>
      <c r="X102" s="192"/>
      <c r="Y102" s="192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</row>
    <row r="103" spans="1:37" ht="15.75" customHeight="1">
      <c r="A103" s="169">
        <v>98</v>
      </c>
      <c r="B103" s="170" t="s">
        <v>174</v>
      </c>
      <c r="C103" s="170" t="s">
        <v>80</v>
      </c>
      <c r="D103" s="169">
        <v>4</v>
      </c>
      <c r="E103" s="169">
        <v>3</v>
      </c>
      <c r="F103" s="169">
        <v>0</v>
      </c>
      <c r="G103" s="169">
        <v>10</v>
      </c>
      <c r="H103" s="169">
        <v>10</v>
      </c>
      <c r="I103" s="169">
        <v>52</v>
      </c>
      <c r="J103" s="173">
        <v>9.69</v>
      </c>
      <c r="K103" s="169">
        <v>4.1500000000000004</v>
      </c>
      <c r="L103" s="169">
        <v>0.52</v>
      </c>
      <c r="M103" s="169">
        <v>0.28899999999999998</v>
      </c>
      <c r="N103" s="172">
        <v>0.77700000000000002</v>
      </c>
      <c r="O103" s="172">
        <v>0.41299999999999998</v>
      </c>
      <c r="P103" s="172">
        <v>5.8999999999999997E-2</v>
      </c>
      <c r="Q103" s="173">
        <v>91.4</v>
      </c>
      <c r="R103" s="173">
        <v>3.12</v>
      </c>
      <c r="S103" s="169">
        <v>3.29</v>
      </c>
      <c r="T103" s="169">
        <v>3.13</v>
      </c>
      <c r="U103" s="169">
        <v>3.88</v>
      </c>
      <c r="V103" s="173">
        <v>1.2</v>
      </c>
      <c r="W103" s="192"/>
      <c r="X103" s="192"/>
      <c r="Y103" s="192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</row>
    <row r="104" spans="1:37" ht="15.75" customHeight="1">
      <c r="A104" s="169">
        <v>99</v>
      </c>
      <c r="B104" s="170" t="s">
        <v>196</v>
      </c>
      <c r="C104" s="170" t="s">
        <v>70</v>
      </c>
      <c r="D104" s="169">
        <v>5</v>
      </c>
      <c r="E104" s="169">
        <v>2</v>
      </c>
      <c r="F104" s="169">
        <v>0</v>
      </c>
      <c r="G104" s="169">
        <v>13</v>
      </c>
      <c r="H104" s="169">
        <v>13</v>
      </c>
      <c r="I104" s="169">
        <v>60</v>
      </c>
      <c r="J104" s="173">
        <v>12.15</v>
      </c>
      <c r="K104" s="169">
        <v>3.75</v>
      </c>
      <c r="L104" s="169">
        <v>1.2</v>
      </c>
      <c r="M104" s="169">
        <v>0.27600000000000002</v>
      </c>
      <c r="N104" s="172">
        <v>0.68</v>
      </c>
      <c r="O104" s="172">
        <v>0.34100000000000003</v>
      </c>
      <c r="P104" s="172">
        <v>0.127</v>
      </c>
      <c r="Q104" s="173">
        <v>99</v>
      </c>
      <c r="R104" s="173">
        <v>4.3499999999999996</v>
      </c>
      <c r="S104" s="169">
        <v>2.99</v>
      </c>
      <c r="T104" s="169">
        <v>3.53</v>
      </c>
      <c r="U104" s="169">
        <v>3.41</v>
      </c>
      <c r="V104" s="173">
        <v>1.2</v>
      </c>
      <c r="W104" s="192"/>
      <c r="X104" s="192"/>
      <c r="Y104" s="192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</row>
    <row r="105" spans="1:37" ht="15.75" customHeight="1">
      <c r="A105" s="169">
        <v>100</v>
      </c>
      <c r="B105" s="170" t="s">
        <v>190</v>
      </c>
      <c r="C105" s="170" t="s">
        <v>56</v>
      </c>
      <c r="D105" s="169">
        <v>6</v>
      </c>
      <c r="E105" s="169">
        <v>5</v>
      </c>
      <c r="F105" s="169">
        <v>0</v>
      </c>
      <c r="G105" s="169">
        <v>17</v>
      </c>
      <c r="H105" s="169">
        <v>17</v>
      </c>
      <c r="I105" s="169">
        <v>81</v>
      </c>
      <c r="J105" s="173">
        <v>8.7799999999999994</v>
      </c>
      <c r="K105" s="169">
        <v>3.11</v>
      </c>
      <c r="L105" s="169">
        <v>1.22</v>
      </c>
      <c r="M105" s="169">
        <v>0.24399999999999999</v>
      </c>
      <c r="N105" s="172">
        <v>0.63100000000000001</v>
      </c>
      <c r="O105" s="172">
        <v>0.309</v>
      </c>
      <c r="P105" s="172">
        <v>9.8000000000000004E-2</v>
      </c>
      <c r="Q105" s="173">
        <v>97.8</v>
      </c>
      <c r="R105" s="173">
        <v>4.67</v>
      </c>
      <c r="S105" s="169">
        <v>3.44</v>
      </c>
      <c r="T105" s="169">
        <v>4.1100000000000003</v>
      </c>
      <c r="U105" s="169">
        <v>4.47</v>
      </c>
      <c r="V105" s="173">
        <v>1.2</v>
      </c>
      <c r="W105" s="192"/>
      <c r="X105" s="192"/>
      <c r="Y105" s="192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</row>
    <row r="106" spans="1:37" ht="15.75" customHeight="1">
      <c r="A106" s="169">
        <v>101</v>
      </c>
      <c r="B106" s="170" t="s">
        <v>218</v>
      </c>
      <c r="C106" s="170" t="s">
        <v>143</v>
      </c>
      <c r="D106" s="169">
        <v>4</v>
      </c>
      <c r="E106" s="169">
        <v>4</v>
      </c>
      <c r="F106" s="169">
        <v>0</v>
      </c>
      <c r="G106" s="169">
        <v>9</v>
      </c>
      <c r="H106" s="169">
        <v>9</v>
      </c>
      <c r="I106" s="169">
        <v>48.1</v>
      </c>
      <c r="J106" s="173">
        <v>10.24</v>
      </c>
      <c r="K106" s="169">
        <v>4.28</v>
      </c>
      <c r="L106" s="169">
        <v>0.56000000000000005</v>
      </c>
      <c r="M106" s="169">
        <v>0.32800000000000001</v>
      </c>
      <c r="N106" s="172">
        <v>0.748</v>
      </c>
      <c r="O106" s="172">
        <v>0.46700000000000003</v>
      </c>
      <c r="P106" s="172">
        <v>9.4E-2</v>
      </c>
      <c r="Q106" s="173">
        <v>95.1</v>
      </c>
      <c r="R106" s="173">
        <v>2.79</v>
      </c>
      <c r="S106" s="169">
        <v>3.56</v>
      </c>
      <c r="T106" s="169">
        <v>3.11</v>
      </c>
      <c r="U106" s="169">
        <v>3.31</v>
      </c>
      <c r="V106" s="173">
        <v>1.2</v>
      </c>
      <c r="W106" s="192"/>
      <c r="X106" s="192"/>
      <c r="Y106" s="192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</row>
    <row r="107" spans="1:37" ht="15.75" customHeight="1">
      <c r="A107" s="169">
        <v>102</v>
      </c>
      <c r="B107" s="170" t="s">
        <v>216</v>
      </c>
      <c r="C107" s="170" t="s">
        <v>91</v>
      </c>
      <c r="D107" s="169">
        <v>4</v>
      </c>
      <c r="E107" s="169">
        <v>1</v>
      </c>
      <c r="F107" s="169">
        <v>0</v>
      </c>
      <c r="G107" s="169">
        <v>6</v>
      </c>
      <c r="H107" s="169">
        <v>6</v>
      </c>
      <c r="I107" s="169">
        <v>37.200000000000003</v>
      </c>
      <c r="J107" s="173">
        <v>9.56</v>
      </c>
      <c r="K107" s="169">
        <v>2.87</v>
      </c>
      <c r="L107" s="169">
        <v>0.24</v>
      </c>
      <c r="M107" s="169">
        <v>0.27300000000000002</v>
      </c>
      <c r="N107" s="172">
        <v>0.90400000000000003</v>
      </c>
      <c r="O107" s="172">
        <v>0.64</v>
      </c>
      <c r="P107" s="172">
        <v>0.05</v>
      </c>
      <c r="Q107" s="173">
        <v>95.8</v>
      </c>
      <c r="R107" s="173">
        <v>1.19</v>
      </c>
      <c r="S107" s="169">
        <v>3.05</v>
      </c>
      <c r="T107" s="169">
        <v>2.48</v>
      </c>
      <c r="U107" s="169">
        <v>2.95</v>
      </c>
      <c r="V107" s="173">
        <v>1.2</v>
      </c>
      <c r="W107" s="192"/>
      <c r="X107" s="192"/>
      <c r="Y107" s="192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</row>
    <row r="108" spans="1:37" ht="15.75" customHeight="1">
      <c r="A108" s="169">
        <v>103</v>
      </c>
      <c r="B108" s="170" t="s">
        <v>954</v>
      </c>
      <c r="C108" s="170" t="s">
        <v>58</v>
      </c>
      <c r="D108" s="169">
        <v>3</v>
      </c>
      <c r="E108" s="169">
        <v>10</v>
      </c>
      <c r="F108" s="169">
        <v>0</v>
      </c>
      <c r="G108" s="169">
        <v>17</v>
      </c>
      <c r="H108" s="169">
        <v>17</v>
      </c>
      <c r="I108" s="169">
        <v>82.2</v>
      </c>
      <c r="J108" s="173">
        <v>7.08</v>
      </c>
      <c r="K108" s="169">
        <v>2.29</v>
      </c>
      <c r="L108" s="169">
        <v>1.2</v>
      </c>
      <c r="M108" s="169">
        <v>0.34699999999999998</v>
      </c>
      <c r="N108" s="172">
        <v>0.61599999999999999</v>
      </c>
      <c r="O108" s="172">
        <v>0.33</v>
      </c>
      <c r="P108" s="172">
        <v>9.5000000000000001E-2</v>
      </c>
      <c r="Q108" s="173">
        <v>87.9</v>
      </c>
      <c r="R108" s="173">
        <v>6.21</v>
      </c>
      <c r="S108" s="169">
        <v>4.46</v>
      </c>
      <c r="T108" s="169">
        <v>4.1399999999999997</v>
      </c>
      <c r="U108" s="169">
        <v>4.5599999999999996</v>
      </c>
      <c r="V108" s="173">
        <v>1.2</v>
      </c>
      <c r="W108" s="192"/>
      <c r="X108" s="192"/>
      <c r="Y108" s="192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</row>
    <row r="109" spans="1:37" ht="15.75" customHeight="1">
      <c r="A109" s="169">
        <v>104</v>
      </c>
      <c r="B109" s="170" t="s">
        <v>193</v>
      </c>
      <c r="C109" s="170" t="s">
        <v>82</v>
      </c>
      <c r="D109" s="169">
        <v>1</v>
      </c>
      <c r="E109" s="169">
        <v>4</v>
      </c>
      <c r="F109" s="169">
        <v>0</v>
      </c>
      <c r="G109" s="169">
        <v>18</v>
      </c>
      <c r="H109" s="169">
        <v>18</v>
      </c>
      <c r="I109" s="169">
        <v>82.2</v>
      </c>
      <c r="J109" s="173">
        <v>9.69</v>
      </c>
      <c r="K109" s="169">
        <v>3.16</v>
      </c>
      <c r="L109" s="169">
        <v>1.31</v>
      </c>
      <c r="M109" s="169">
        <v>0.29099999999999998</v>
      </c>
      <c r="N109" s="172">
        <v>0.73199999999999998</v>
      </c>
      <c r="O109" s="172">
        <v>0.42399999999999999</v>
      </c>
      <c r="P109" s="172">
        <v>0.14299999999999999</v>
      </c>
      <c r="Q109" s="173">
        <v>95.3</v>
      </c>
      <c r="R109" s="173">
        <v>4.3499999999999996</v>
      </c>
      <c r="S109" s="169">
        <v>4.09</v>
      </c>
      <c r="T109" s="169">
        <v>4.08</v>
      </c>
      <c r="U109" s="169">
        <v>3.75</v>
      </c>
      <c r="V109" s="173">
        <v>1.2</v>
      </c>
      <c r="W109" s="192"/>
      <c r="X109" s="192"/>
      <c r="Y109" s="192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</row>
    <row r="110" spans="1:37" ht="15.75" customHeight="1">
      <c r="A110" s="169">
        <v>105</v>
      </c>
      <c r="B110" s="170" t="s">
        <v>181</v>
      </c>
      <c r="C110" s="170" t="s">
        <v>46</v>
      </c>
      <c r="D110" s="169">
        <v>5</v>
      </c>
      <c r="E110" s="169">
        <v>11</v>
      </c>
      <c r="F110" s="169">
        <v>0</v>
      </c>
      <c r="G110" s="169">
        <v>24</v>
      </c>
      <c r="H110" s="169">
        <v>24</v>
      </c>
      <c r="I110" s="169">
        <v>127.1</v>
      </c>
      <c r="J110" s="173">
        <v>7.99</v>
      </c>
      <c r="K110" s="169">
        <v>2.54</v>
      </c>
      <c r="L110" s="169">
        <v>1.55</v>
      </c>
      <c r="M110" s="169">
        <v>0.317</v>
      </c>
      <c r="N110" s="172">
        <v>0.72299999999999998</v>
      </c>
      <c r="O110" s="172">
        <v>0.39100000000000001</v>
      </c>
      <c r="P110" s="172">
        <v>0.13800000000000001</v>
      </c>
      <c r="Q110" s="173">
        <v>94.3</v>
      </c>
      <c r="R110" s="173">
        <v>4.95</v>
      </c>
      <c r="S110" s="169">
        <v>4.8099999999999996</v>
      </c>
      <c r="T110" s="169">
        <v>4.6100000000000003</v>
      </c>
      <c r="U110" s="169">
        <v>4.28</v>
      </c>
      <c r="V110" s="173">
        <v>1.1000000000000001</v>
      </c>
      <c r="W110" s="192"/>
      <c r="X110" s="192"/>
      <c r="Y110" s="192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</row>
    <row r="111" spans="1:37" ht="15.75" customHeight="1">
      <c r="A111" s="169">
        <v>106</v>
      </c>
      <c r="B111" s="170" t="s">
        <v>955</v>
      </c>
      <c r="C111" s="170" t="s">
        <v>126</v>
      </c>
      <c r="D111" s="169">
        <v>7</v>
      </c>
      <c r="E111" s="169">
        <v>7</v>
      </c>
      <c r="F111" s="169">
        <v>0</v>
      </c>
      <c r="G111" s="169">
        <v>22</v>
      </c>
      <c r="H111" s="169">
        <v>22</v>
      </c>
      <c r="I111" s="169">
        <v>106.2</v>
      </c>
      <c r="J111" s="173">
        <v>8.61</v>
      </c>
      <c r="K111" s="169">
        <v>3.8</v>
      </c>
      <c r="L111" s="169">
        <v>0.93</v>
      </c>
      <c r="M111" s="169">
        <v>0.32400000000000001</v>
      </c>
      <c r="N111" s="172">
        <v>0.72799999999999998</v>
      </c>
      <c r="O111" s="172">
        <v>0.45200000000000001</v>
      </c>
      <c r="P111" s="172">
        <v>0.104</v>
      </c>
      <c r="Q111" s="173">
        <v>93</v>
      </c>
      <c r="R111" s="173">
        <v>3.8</v>
      </c>
      <c r="S111" s="169">
        <v>4.26</v>
      </c>
      <c r="T111" s="169">
        <v>3.92</v>
      </c>
      <c r="U111" s="169">
        <v>4.1100000000000003</v>
      </c>
      <c r="V111" s="173">
        <v>1.1000000000000001</v>
      </c>
      <c r="W111" s="192"/>
      <c r="X111" s="192"/>
      <c r="Y111" s="192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</row>
    <row r="112" spans="1:37" ht="15.75" customHeight="1">
      <c r="A112" s="169">
        <v>107</v>
      </c>
      <c r="B112" s="170" t="s">
        <v>133</v>
      </c>
      <c r="C112" s="170" t="s">
        <v>58</v>
      </c>
      <c r="D112" s="169">
        <v>4</v>
      </c>
      <c r="E112" s="169">
        <v>7</v>
      </c>
      <c r="F112" s="169">
        <v>0</v>
      </c>
      <c r="G112" s="169">
        <v>16</v>
      </c>
      <c r="H112" s="169">
        <v>16</v>
      </c>
      <c r="I112" s="169">
        <v>76.2</v>
      </c>
      <c r="J112" s="173">
        <v>7.16</v>
      </c>
      <c r="K112" s="169">
        <v>2.93</v>
      </c>
      <c r="L112" s="169">
        <v>1.06</v>
      </c>
      <c r="M112" s="169">
        <v>0.316</v>
      </c>
      <c r="N112" s="172">
        <v>0.67800000000000005</v>
      </c>
      <c r="O112" s="172">
        <v>0.48299999999999998</v>
      </c>
      <c r="P112" s="172">
        <v>0.125</v>
      </c>
      <c r="Q112" s="173">
        <v>94.8</v>
      </c>
      <c r="R112" s="173">
        <v>4.93</v>
      </c>
      <c r="S112" s="169">
        <v>5</v>
      </c>
      <c r="T112" s="169">
        <v>4.1399999999999997</v>
      </c>
      <c r="U112" s="169">
        <v>4.05</v>
      </c>
      <c r="V112" s="173">
        <v>1.1000000000000001</v>
      </c>
      <c r="W112" s="192"/>
      <c r="X112" s="192"/>
      <c r="Y112" s="192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</row>
    <row r="113" spans="1:37" ht="15.75" customHeight="1">
      <c r="A113" s="169">
        <v>108</v>
      </c>
      <c r="B113" s="170" t="s">
        <v>175</v>
      </c>
      <c r="C113" s="170" t="s">
        <v>80</v>
      </c>
      <c r="D113" s="169">
        <v>10</v>
      </c>
      <c r="E113" s="169">
        <v>5</v>
      </c>
      <c r="F113" s="169">
        <v>0</v>
      </c>
      <c r="G113" s="169">
        <v>29</v>
      </c>
      <c r="H113" s="169">
        <v>29</v>
      </c>
      <c r="I113" s="169">
        <v>156.19999999999999</v>
      </c>
      <c r="J113" s="173">
        <v>8.73</v>
      </c>
      <c r="K113" s="169">
        <v>4.54</v>
      </c>
      <c r="L113" s="169">
        <v>1.26</v>
      </c>
      <c r="M113" s="169">
        <v>0.25</v>
      </c>
      <c r="N113" s="172">
        <v>0.83199999999999996</v>
      </c>
      <c r="O113" s="172">
        <v>0.44600000000000001</v>
      </c>
      <c r="P113" s="172">
        <v>0.14499999999999999</v>
      </c>
      <c r="Q113" s="173">
        <v>96.7</v>
      </c>
      <c r="R113" s="173">
        <v>3.16</v>
      </c>
      <c r="S113" s="169">
        <v>4.3899999999999997</v>
      </c>
      <c r="T113" s="169">
        <v>4.5999999999999996</v>
      </c>
      <c r="U113" s="169">
        <v>4.2699999999999996</v>
      </c>
      <c r="V113" s="173">
        <v>1.1000000000000001</v>
      </c>
      <c r="W113" s="192"/>
      <c r="X113" s="192"/>
      <c r="Y113" s="192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</row>
    <row r="114" spans="1:37" ht="15.75" customHeight="1">
      <c r="A114" s="169">
        <v>109</v>
      </c>
      <c r="B114" s="170" t="s">
        <v>956</v>
      </c>
      <c r="C114" s="178" t="s">
        <v>34</v>
      </c>
      <c r="D114" s="169">
        <v>3</v>
      </c>
      <c r="E114" s="169">
        <v>8</v>
      </c>
      <c r="F114" s="169">
        <v>0</v>
      </c>
      <c r="G114" s="169">
        <v>17</v>
      </c>
      <c r="H114" s="169">
        <v>17</v>
      </c>
      <c r="I114" s="169">
        <v>83.1</v>
      </c>
      <c r="J114" s="173">
        <v>9.7200000000000006</v>
      </c>
      <c r="K114" s="169">
        <v>2.7</v>
      </c>
      <c r="L114" s="169">
        <v>1.3</v>
      </c>
      <c r="M114" s="169">
        <v>0.27100000000000002</v>
      </c>
      <c r="N114" s="172">
        <v>0.69099999999999995</v>
      </c>
      <c r="O114" s="172">
        <v>0.42299999999999999</v>
      </c>
      <c r="P114" s="172">
        <v>0.126</v>
      </c>
      <c r="Q114" s="173">
        <v>93.6</v>
      </c>
      <c r="R114" s="173">
        <v>4.8600000000000003</v>
      </c>
      <c r="S114" s="169">
        <v>3.41</v>
      </c>
      <c r="T114" s="169">
        <v>4.26</v>
      </c>
      <c r="U114" s="169">
        <v>4.1399999999999997</v>
      </c>
      <c r="V114" s="173">
        <v>1.1000000000000001</v>
      </c>
      <c r="W114" s="192"/>
      <c r="X114" s="192"/>
      <c r="Y114" s="192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</row>
    <row r="115" spans="1:37" ht="15.75" customHeight="1">
      <c r="A115" s="169">
        <v>110</v>
      </c>
      <c r="B115" s="170" t="s">
        <v>206</v>
      </c>
      <c r="C115" s="170" t="s">
        <v>42</v>
      </c>
      <c r="D115" s="169">
        <v>3</v>
      </c>
      <c r="E115" s="169">
        <v>3</v>
      </c>
      <c r="F115" s="169">
        <v>0</v>
      </c>
      <c r="G115" s="169">
        <v>11</v>
      </c>
      <c r="H115" s="169">
        <v>11</v>
      </c>
      <c r="I115" s="169">
        <v>56</v>
      </c>
      <c r="J115" s="173">
        <v>10.130000000000001</v>
      </c>
      <c r="K115" s="169">
        <v>3.86</v>
      </c>
      <c r="L115" s="169">
        <v>0.96</v>
      </c>
      <c r="M115" s="169">
        <v>0.314</v>
      </c>
      <c r="N115" s="172">
        <v>0.84499999999999997</v>
      </c>
      <c r="O115" s="172">
        <v>0.39</v>
      </c>
      <c r="P115" s="172">
        <v>0.11799999999999999</v>
      </c>
      <c r="Q115" s="173">
        <v>97.8</v>
      </c>
      <c r="R115" s="173">
        <v>3.05</v>
      </c>
      <c r="S115" s="169">
        <v>4.12</v>
      </c>
      <c r="T115" s="169">
        <v>3.74</v>
      </c>
      <c r="U115" s="169">
        <v>3.74</v>
      </c>
      <c r="V115" s="173">
        <v>1</v>
      </c>
      <c r="W115" s="192"/>
      <c r="X115" s="192"/>
      <c r="Y115" s="192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</row>
    <row r="116" spans="1:37" ht="15.75" customHeight="1">
      <c r="A116" s="169">
        <v>111</v>
      </c>
      <c r="B116" s="170" t="s">
        <v>43</v>
      </c>
      <c r="C116" s="178" t="s">
        <v>34</v>
      </c>
      <c r="D116" s="169">
        <v>5</v>
      </c>
      <c r="E116" s="169">
        <v>11</v>
      </c>
      <c r="F116" s="169">
        <v>0</v>
      </c>
      <c r="G116" s="169">
        <v>27</v>
      </c>
      <c r="H116" s="169">
        <v>27</v>
      </c>
      <c r="I116" s="169">
        <v>141</v>
      </c>
      <c r="J116" s="173">
        <v>6.19</v>
      </c>
      <c r="K116" s="169">
        <v>2.04</v>
      </c>
      <c r="L116" s="169">
        <v>1.6</v>
      </c>
      <c r="M116" s="169">
        <v>0.27800000000000002</v>
      </c>
      <c r="N116" s="172">
        <v>0.67100000000000004</v>
      </c>
      <c r="O116" s="172">
        <v>0.35699999999999998</v>
      </c>
      <c r="P116" s="172">
        <v>0.123</v>
      </c>
      <c r="Q116" s="173">
        <v>93.8</v>
      </c>
      <c r="R116" s="173">
        <v>5.04</v>
      </c>
      <c r="S116" s="169">
        <v>5.05</v>
      </c>
      <c r="T116" s="169">
        <v>4.82</v>
      </c>
      <c r="U116" s="169">
        <v>4.7300000000000004</v>
      </c>
      <c r="V116" s="173">
        <v>1</v>
      </c>
      <c r="W116" s="192"/>
      <c r="X116" s="192"/>
      <c r="Y116" s="192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</row>
    <row r="117" spans="1:37" ht="15.75" customHeight="1">
      <c r="A117" s="169">
        <v>112</v>
      </c>
      <c r="B117" s="170" t="s">
        <v>957</v>
      </c>
      <c r="C117" s="170" t="s">
        <v>51</v>
      </c>
      <c r="D117" s="169">
        <v>4</v>
      </c>
      <c r="E117" s="169">
        <v>1</v>
      </c>
      <c r="F117" s="169">
        <v>0</v>
      </c>
      <c r="G117" s="169">
        <v>11</v>
      </c>
      <c r="H117" s="169">
        <v>11</v>
      </c>
      <c r="I117" s="169">
        <v>53</v>
      </c>
      <c r="J117" s="173">
        <v>6.79</v>
      </c>
      <c r="K117" s="169">
        <v>2.21</v>
      </c>
      <c r="L117" s="169">
        <v>0.85</v>
      </c>
      <c r="M117" s="169">
        <v>0.30199999999999999</v>
      </c>
      <c r="N117" s="172">
        <v>0.67700000000000005</v>
      </c>
      <c r="O117" s="172">
        <v>0.503</v>
      </c>
      <c r="P117" s="172">
        <v>9.8000000000000004E-2</v>
      </c>
      <c r="Q117" s="173">
        <v>95.6</v>
      </c>
      <c r="R117" s="173">
        <v>4.25</v>
      </c>
      <c r="S117" s="169">
        <v>3.69</v>
      </c>
      <c r="T117" s="169">
        <v>3.71</v>
      </c>
      <c r="U117" s="169">
        <v>3.96</v>
      </c>
      <c r="V117" s="173">
        <v>1</v>
      </c>
      <c r="W117" s="192"/>
      <c r="X117" s="192"/>
      <c r="Y117" s="192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</row>
    <row r="118" spans="1:37" ht="15.75" customHeight="1">
      <c r="A118" s="169">
        <v>113</v>
      </c>
      <c r="B118" s="170" t="s">
        <v>198</v>
      </c>
      <c r="C118" s="170" t="s">
        <v>82</v>
      </c>
      <c r="D118" s="169">
        <v>1</v>
      </c>
      <c r="E118" s="169">
        <v>0</v>
      </c>
      <c r="F118" s="169">
        <v>0</v>
      </c>
      <c r="G118" s="169">
        <v>6</v>
      </c>
      <c r="H118" s="169">
        <v>6</v>
      </c>
      <c r="I118" s="169">
        <v>25</v>
      </c>
      <c r="J118" s="173">
        <v>9.36</v>
      </c>
      <c r="K118" s="169">
        <v>2.52</v>
      </c>
      <c r="L118" s="169">
        <v>0</v>
      </c>
      <c r="M118" s="169">
        <v>0.23</v>
      </c>
      <c r="N118" s="172">
        <v>0.86399999999999999</v>
      </c>
      <c r="O118" s="172">
        <v>0.57399999999999995</v>
      </c>
      <c r="P118" s="172">
        <v>0</v>
      </c>
      <c r="Q118" s="173">
        <v>96.6</v>
      </c>
      <c r="R118" s="173">
        <v>1.08</v>
      </c>
      <c r="S118" s="169">
        <v>2.64</v>
      </c>
      <c r="T118" s="169">
        <v>2.0299999999999998</v>
      </c>
      <c r="U118" s="169">
        <v>2.83</v>
      </c>
      <c r="V118" s="173">
        <v>1</v>
      </c>
      <c r="W118" s="192"/>
      <c r="X118" s="192"/>
      <c r="Y118" s="192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</row>
    <row r="119" spans="1:37" ht="15.75" customHeight="1">
      <c r="A119" s="169">
        <v>114</v>
      </c>
      <c r="B119" s="170" t="s">
        <v>140</v>
      </c>
      <c r="C119" s="178" t="s">
        <v>34</v>
      </c>
      <c r="D119" s="169">
        <v>3</v>
      </c>
      <c r="E119" s="169">
        <v>9</v>
      </c>
      <c r="F119" s="169">
        <v>0</v>
      </c>
      <c r="G119" s="169">
        <v>18</v>
      </c>
      <c r="H119" s="169">
        <v>18</v>
      </c>
      <c r="I119" s="169">
        <v>89</v>
      </c>
      <c r="J119" s="173">
        <v>7.48</v>
      </c>
      <c r="K119" s="169">
        <v>3.34</v>
      </c>
      <c r="L119" s="169">
        <v>1.31</v>
      </c>
      <c r="M119" s="169">
        <v>0.29099999999999998</v>
      </c>
      <c r="N119" s="172">
        <v>0.64900000000000002</v>
      </c>
      <c r="O119" s="172">
        <v>0.33300000000000002</v>
      </c>
      <c r="P119" s="172">
        <v>0.10199999999999999</v>
      </c>
      <c r="Q119" s="173">
        <v>92</v>
      </c>
      <c r="R119" s="173">
        <v>5.26</v>
      </c>
      <c r="S119" s="169">
        <v>4.29</v>
      </c>
      <c r="T119" s="169">
        <v>4.63</v>
      </c>
      <c r="U119" s="169">
        <v>4.9400000000000004</v>
      </c>
      <c r="V119" s="173">
        <v>1</v>
      </c>
      <c r="W119" s="192"/>
      <c r="X119" s="192"/>
      <c r="Y119" s="192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</row>
    <row r="120" spans="1:37" ht="15.75" customHeight="1">
      <c r="A120" s="169">
        <v>115</v>
      </c>
      <c r="B120" s="170" t="s">
        <v>201</v>
      </c>
      <c r="C120" s="170" t="s">
        <v>80</v>
      </c>
      <c r="D120" s="169">
        <v>3</v>
      </c>
      <c r="E120" s="169">
        <v>0</v>
      </c>
      <c r="F120" s="169">
        <v>0</v>
      </c>
      <c r="G120" s="169">
        <v>5</v>
      </c>
      <c r="H120" s="169">
        <v>5</v>
      </c>
      <c r="I120" s="169">
        <v>29.1</v>
      </c>
      <c r="J120" s="173">
        <v>6.75</v>
      </c>
      <c r="K120" s="169">
        <v>1.23</v>
      </c>
      <c r="L120" s="169">
        <v>0.31</v>
      </c>
      <c r="M120" s="169">
        <v>0.36599999999999999</v>
      </c>
      <c r="N120" s="172">
        <v>0.878</v>
      </c>
      <c r="O120" s="172">
        <v>0.5</v>
      </c>
      <c r="P120" s="172">
        <v>0.04</v>
      </c>
      <c r="Q120" s="173">
        <v>92.7</v>
      </c>
      <c r="R120" s="173">
        <v>1.84</v>
      </c>
      <c r="S120" s="169">
        <v>3.14</v>
      </c>
      <c r="T120" s="169">
        <v>2.5</v>
      </c>
      <c r="U120" s="169">
        <v>3.36</v>
      </c>
      <c r="V120" s="173">
        <v>1</v>
      </c>
      <c r="W120" s="192"/>
      <c r="X120" s="192"/>
      <c r="Y120" s="192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</row>
    <row r="121" spans="1:37" ht="15.75" customHeight="1">
      <c r="A121" s="169">
        <v>116</v>
      </c>
      <c r="B121" s="170" t="s">
        <v>958</v>
      </c>
      <c r="C121" s="170" t="s">
        <v>80</v>
      </c>
      <c r="D121" s="169">
        <v>4</v>
      </c>
      <c r="E121" s="169">
        <v>9</v>
      </c>
      <c r="F121" s="169">
        <v>0</v>
      </c>
      <c r="G121" s="169">
        <v>16</v>
      </c>
      <c r="H121" s="169">
        <v>16</v>
      </c>
      <c r="I121" s="169">
        <v>88.2</v>
      </c>
      <c r="J121" s="173">
        <v>9.74</v>
      </c>
      <c r="K121" s="169">
        <v>4.26</v>
      </c>
      <c r="L121" s="169">
        <v>1.22</v>
      </c>
      <c r="M121" s="169">
        <v>0.29399999999999998</v>
      </c>
      <c r="N121" s="172">
        <v>0.74399999999999999</v>
      </c>
      <c r="O121" s="172">
        <v>0.46500000000000002</v>
      </c>
      <c r="P121" s="172">
        <v>0.14799999999999999</v>
      </c>
      <c r="Q121" s="173">
        <v>96.5</v>
      </c>
      <c r="R121" s="173">
        <v>4.3600000000000003</v>
      </c>
      <c r="S121" s="169">
        <v>4.79</v>
      </c>
      <c r="T121" s="169">
        <v>4.2</v>
      </c>
      <c r="U121" s="169">
        <v>3.84</v>
      </c>
      <c r="V121" s="173">
        <v>1</v>
      </c>
      <c r="W121" s="192"/>
      <c r="X121" s="192"/>
      <c r="Y121" s="192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</row>
    <row r="122" spans="1:37" ht="15.75" customHeight="1">
      <c r="A122" s="169">
        <v>117</v>
      </c>
      <c r="B122" s="170" t="s">
        <v>105</v>
      </c>
      <c r="C122" s="178" t="s">
        <v>34</v>
      </c>
      <c r="D122" s="169">
        <v>1</v>
      </c>
      <c r="E122" s="169">
        <v>2</v>
      </c>
      <c r="F122" s="169">
        <v>0</v>
      </c>
      <c r="G122" s="169">
        <v>15</v>
      </c>
      <c r="H122" s="169">
        <v>15</v>
      </c>
      <c r="I122" s="169">
        <v>72.099999999999994</v>
      </c>
      <c r="J122" s="173">
        <v>8.83</v>
      </c>
      <c r="K122" s="169">
        <v>4.3499999999999996</v>
      </c>
      <c r="L122" s="169">
        <v>1</v>
      </c>
      <c r="M122" s="169">
        <v>0.26700000000000002</v>
      </c>
      <c r="N122" s="172">
        <v>0.752</v>
      </c>
      <c r="O122" s="172">
        <v>0.29399999999999998</v>
      </c>
      <c r="P122" s="172">
        <v>8.5000000000000006E-2</v>
      </c>
      <c r="Q122" s="173">
        <v>93.4</v>
      </c>
      <c r="R122" s="173">
        <v>3.86</v>
      </c>
      <c r="S122" s="169">
        <v>4.24</v>
      </c>
      <c r="T122" s="169">
        <v>4.07</v>
      </c>
      <c r="U122" s="169">
        <v>4.63</v>
      </c>
      <c r="V122" s="173">
        <v>1</v>
      </c>
      <c r="W122" s="192"/>
      <c r="X122" s="192"/>
      <c r="Y122" s="192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</row>
    <row r="123" spans="1:37" ht="15.75" customHeight="1">
      <c r="A123" s="169">
        <v>118</v>
      </c>
      <c r="B123" s="170" t="s">
        <v>116</v>
      </c>
      <c r="C123" s="170" t="s">
        <v>76</v>
      </c>
      <c r="D123" s="169">
        <v>3</v>
      </c>
      <c r="E123" s="169">
        <v>5</v>
      </c>
      <c r="F123" s="169">
        <v>0</v>
      </c>
      <c r="G123" s="169">
        <v>11</v>
      </c>
      <c r="H123" s="169">
        <v>11</v>
      </c>
      <c r="I123" s="169">
        <v>52</v>
      </c>
      <c r="J123" s="173">
        <v>8.31</v>
      </c>
      <c r="K123" s="169">
        <v>3.12</v>
      </c>
      <c r="L123" s="169">
        <v>0.87</v>
      </c>
      <c r="M123" s="169">
        <v>0.32200000000000001</v>
      </c>
      <c r="N123" s="172">
        <v>0.61499999999999999</v>
      </c>
      <c r="O123" s="172">
        <v>0.40600000000000003</v>
      </c>
      <c r="P123" s="172">
        <v>8.7999999999999995E-2</v>
      </c>
      <c r="Q123" s="173">
        <v>92.9</v>
      </c>
      <c r="R123" s="173">
        <v>5.0199999999999996</v>
      </c>
      <c r="S123" s="169">
        <v>4.05</v>
      </c>
      <c r="T123" s="169">
        <v>3.59</v>
      </c>
      <c r="U123" s="169">
        <v>4.0199999999999996</v>
      </c>
      <c r="V123" s="173">
        <v>0.9</v>
      </c>
      <c r="W123" s="192"/>
      <c r="X123" s="192"/>
      <c r="Y123" s="192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</row>
    <row r="124" spans="1:37" ht="15.75" customHeight="1">
      <c r="A124" s="169">
        <v>119</v>
      </c>
      <c r="B124" s="170" t="s">
        <v>959</v>
      </c>
      <c r="C124" s="170" t="s">
        <v>91</v>
      </c>
      <c r="D124" s="169">
        <v>7</v>
      </c>
      <c r="E124" s="169">
        <v>3</v>
      </c>
      <c r="F124" s="169">
        <v>0</v>
      </c>
      <c r="G124" s="169">
        <v>16</v>
      </c>
      <c r="H124" s="169">
        <v>16</v>
      </c>
      <c r="I124" s="169">
        <v>76.099999999999994</v>
      </c>
      <c r="J124" s="173">
        <v>8.25</v>
      </c>
      <c r="K124" s="169">
        <v>4.13</v>
      </c>
      <c r="L124" s="169">
        <v>0.94</v>
      </c>
      <c r="M124" s="169">
        <v>0.28799999999999998</v>
      </c>
      <c r="N124" s="172">
        <v>0.746</v>
      </c>
      <c r="O124" s="172">
        <v>0.50900000000000001</v>
      </c>
      <c r="P124" s="172">
        <v>0.114</v>
      </c>
      <c r="Q124" s="173">
        <v>94.3</v>
      </c>
      <c r="R124" s="173">
        <v>3.77</v>
      </c>
      <c r="S124" s="169">
        <v>4.68</v>
      </c>
      <c r="T124" s="169">
        <v>4.05</v>
      </c>
      <c r="U124" s="169">
        <v>4.0999999999999996</v>
      </c>
      <c r="V124" s="173">
        <v>0.9</v>
      </c>
      <c r="W124" s="192"/>
      <c r="X124" s="192"/>
      <c r="Y124" s="192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</row>
    <row r="125" spans="1:37" ht="15.75" customHeight="1">
      <c r="A125" s="169">
        <v>120</v>
      </c>
      <c r="B125" s="170" t="s">
        <v>111</v>
      </c>
      <c r="C125" s="170" t="s">
        <v>53</v>
      </c>
      <c r="D125" s="169">
        <v>5</v>
      </c>
      <c r="E125" s="169">
        <v>3</v>
      </c>
      <c r="F125" s="169">
        <v>0</v>
      </c>
      <c r="G125" s="169">
        <v>13</v>
      </c>
      <c r="H125" s="169">
        <v>13</v>
      </c>
      <c r="I125" s="169">
        <v>73.099999999999994</v>
      </c>
      <c r="J125" s="173">
        <v>5.15</v>
      </c>
      <c r="K125" s="169">
        <v>1.35</v>
      </c>
      <c r="L125" s="169">
        <v>0.98</v>
      </c>
      <c r="M125" s="169">
        <v>0.308</v>
      </c>
      <c r="N125" s="172">
        <v>0.64100000000000001</v>
      </c>
      <c r="O125" s="172">
        <v>0.46200000000000002</v>
      </c>
      <c r="P125" s="172">
        <v>9.8000000000000004E-2</v>
      </c>
      <c r="Q125" s="173">
        <v>92.9</v>
      </c>
      <c r="R125" s="173">
        <v>4.79</v>
      </c>
      <c r="S125" s="169">
        <v>4.7300000000000004</v>
      </c>
      <c r="T125" s="169">
        <v>3.95</v>
      </c>
      <c r="U125" s="169">
        <v>4.25</v>
      </c>
      <c r="V125" s="173">
        <v>0.9</v>
      </c>
      <c r="W125" s="192"/>
      <c r="X125" s="192"/>
      <c r="Y125" s="192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</row>
    <row r="126" spans="1:37" ht="15.75" customHeight="1">
      <c r="A126" s="169">
        <v>121</v>
      </c>
      <c r="B126" s="170" t="s">
        <v>160</v>
      </c>
      <c r="C126" s="170" t="s">
        <v>88</v>
      </c>
      <c r="D126" s="169">
        <v>9</v>
      </c>
      <c r="E126" s="169">
        <v>6</v>
      </c>
      <c r="F126" s="169">
        <v>0</v>
      </c>
      <c r="G126" s="169">
        <v>25</v>
      </c>
      <c r="H126" s="169">
        <v>25</v>
      </c>
      <c r="I126" s="169">
        <v>130.19999999999999</v>
      </c>
      <c r="J126" s="173">
        <v>6.96</v>
      </c>
      <c r="K126" s="169">
        <v>2.89</v>
      </c>
      <c r="L126" s="169">
        <v>1.38</v>
      </c>
      <c r="M126" s="169">
        <v>0.29799999999999999</v>
      </c>
      <c r="N126" s="172">
        <v>0.72299999999999998</v>
      </c>
      <c r="O126" s="172">
        <v>0.40200000000000002</v>
      </c>
      <c r="P126" s="172">
        <v>0.123</v>
      </c>
      <c r="Q126" s="173">
        <v>93.9</v>
      </c>
      <c r="R126" s="173">
        <v>4.68</v>
      </c>
      <c r="S126" s="169">
        <v>4.8099999999999996</v>
      </c>
      <c r="T126" s="169">
        <v>4.67</v>
      </c>
      <c r="U126" s="169">
        <v>4.58</v>
      </c>
      <c r="V126" s="173">
        <v>0.9</v>
      </c>
      <c r="W126" s="192"/>
      <c r="X126" s="192"/>
      <c r="Y126" s="192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</row>
    <row r="127" spans="1:37" ht="15.75" customHeight="1">
      <c r="A127" s="169">
        <v>122</v>
      </c>
      <c r="B127" s="170" t="s">
        <v>162</v>
      </c>
      <c r="C127" s="170" t="s">
        <v>36</v>
      </c>
      <c r="D127" s="169">
        <v>6</v>
      </c>
      <c r="E127" s="169">
        <v>6</v>
      </c>
      <c r="F127" s="169">
        <v>0</v>
      </c>
      <c r="G127" s="169">
        <v>13</v>
      </c>
      <c r="H127" s="169">
        <v>13</v>
      </c>
      <c r="I127" s="169">
        <v>66</v>
      </c>
      <c r="J127" s="173">
        <v>7.5</v>
      </c>
      <c r="K127" s="169">
        <v>2.1800000000000002</v>
      </c>
      <c r="L127" s="169">
        <v>1.5</v>
      </c>
      <c r="M127" s="169">
        <v>0.34399999999999997</v>
      </c>
      <c r="N127" s="172">
        <v>0.60699999999999998</v>
      </c>
      <c r="O127" s="172">
        <v>0.35</v>
      </c>
      <c r="P127" s="172">
        <v>0.13100000000000001</v>
      </c>
      <c r="Q127" s="173">
        <v>92.3</v>
      </c>
      <c r="R127" s="173">
        <v>6.14</v>
      </c>
      <c r="S127" s="169">
        <v>5.47</v>
      </c>
      <c r="T127" s="169">
        <v>4.46</v>
      </c>
      <c r="U127" s="169">
        <v>4.25</v>
      </c>
      <c r="V127" s="173">
        <v>0.9</v>
      </c>
      <c r="W127" s="192"/>
      <c r="X127" s="192"/>
      <c r="Y127" s="192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</row>
    <row r="128" spans="1:37" ht="15.75" customHeight="1">
      <c r="A128" s="169">
        <v>123</v>
      </c>
      <c r="B128" s="170" t="s">
        <v>134</v>
      </c>
      <c r="C128" s="170" t="s">
        <v>66</v>
      </c>
      <c r="D128" s="169">
        <v>11</v>
      </c>
      <c r="E128" s="169">
        <v>14</v>
      </c>
      <c r="F128" s="169">
        <v>0</v>
      </c>
      <c r="G128" s="169">
        <v>30</v>
      </c>
      <c r="H128" s="169">
        <v>30</v>
      </c>
      <c r="I128" s="169">
        <v>174.2</v>
      </c>
      <c r="J128" s="173">
        <v>8.09</v>
      </c>
      <c r="K128" s="169">
        <v>3.09</v>
      </c>
      <c r="L128" s="169">
        <v>1.44</v>
      </c>
      <c r="M128" s="169">
        <v>0.27500000000000002</v>
      </c>
      <c r="N128" s="172">
        <v>0.68200000000000005</v>
      </c>
      <c r="O128" s="172">
        <v>0.435</v>
      </c>
      <c r="P128" s="172">
        <v>0.14699999999999999</v>
      </c>
      <c r="Q128" s="173">
        <v>93.5</v>
      </c>
      <c r="R128" s="173">
        <v>4.84</v>
      </c>
      <c r="S128" s="169">
        <v>4.51</v>
      </c>
      <c r="T128" s="169">
        <v>4.53</v>
      </c>
      <c r="U128" s="169">
        <v>4.12</v>
      </c>
      <c r="V128" s="173">
        <v>0.9</v>
      </c>
      <c r="W128" s="192"/>
      <c r="X128" s="192"/>
      <c r="Y128" s="192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</row>
    <row r="129" spans="1:37" ht="15.75" customHeight="1">
      <c r="A129" s="169">
        <v>124</v>
      </c>
      <c r="B129" s="170" t="s">
        <v>73</v>
      </c>
      <c r="C129" s="170" t="s">
        <v>74</v>
      </c>
      <c r="D129" s="169">
        <v>6</v>
      </c>
      <c r="E129" s="169">
        <v>10</v>
      </c>
      <c r="F129" s="169">
        <v>0</v>
      </c>
      <c r="G129" s="169">
        <v>23</v>
      </c>
      <c r="H129" s="169">
        <v>23</v>
      </c>
      <c r="I129" s="169">
        <v>126.1</v>
      </c>
      <c r="J129" s="173">
        <v>6.41</v>
      </c>
      <c r="K129" s="169">
        <v>3.06</v>
      </c>
      <c r="L129" s="169">
        <v>1.42</v>
      </c>
      <c r="M129" s="169">
        <v>0.26900000000000002</v>
      </c>
      <c r="N129" s="172">
        <v>0.71799999999999997</v>
      </c>
      <c r="O129" s="172">
        <v>0.437</v>
      </c>
      <c r="P129" s="172">
        <v>0.13200000000000001</v>
      </c>
      <c r="Q129" s="173">
        <v>94.1</v>
      </c>
      <c r="R129" s="173">
        <v>4.2</v>
      </c>
      <c r="S129" s="169">
        <v>5.37</v>
      </c>
      <c r="T129" s="169">
        <v>4.9400000000000004</v>
      </c>
      <c r="U129" s="169">
        <v>4.7300000000000004</v>
      </c>
      <c r="V129" s="173">
        <v>0.9</v>
      </c>
      <c r="W129" s="192"/>
      <c r="X129" s="192"/>
      <c r="Y129" s="192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</row>
    <row r="130" spans="1:37" ht="15.75" customHeight="1">
      <c r="A130" s="169">
        <v>125</v>
      </c>
      <c r="B130" s="170" t="s">
        <v>69</v>
      </c>
      <c r="C130" s="170" t="s">
        <v>70</v>
      </c>
      <c r="D130" s="169">
        <v>11</v>
      </c>
      <c r="E130" s="169">
        <v>7</v>
      </c>
      <c r="F130" s="169">
        <v>0</v>
      </c>
      <c r="G130" s="169">
        <v>24</v>
      </c>
      <c r="H130" s="169">
        <v>24</v>
      </c>
      <c r="I130" s="169">
        <v>131.19999999999999</v>
      </c>
      <c r="J130" s="173">
        <v>6.08</v>
      </c>
      <c r="K130" s="169">
        <v>3.42</v>
      </c>
      <c r="L130" s="169">
        <v>1.23</v>
      </c>
      <c r="M130" s="169">
        <v>0.25900000000000001</v>
      </c>
      <c r="N130" s="172">
        <v>0.73399999999999999</v>
      </c>
      <c r="O130" s="172">
        <v>0.433</v>
      </c>
      <c r="P130" s="172">
        <v>0.112</v>
      </c>
      <c r="Q130" s="173">
        <v>90.3</v>
      </c>
      <c r="R130" s="173">
        <v>3.96</v>
      </c>
      <c r="S130" s="169">
        <v>5.3</v>
      </c>
      <c r="T130" s="169">
        <v>4.83</v>
      </c>
      <c r="U130" s="169">
        <v>4.93</v>
      </c>
      <c r="V130" s="173">
        <v>0.8</v>
      </c>
      <c r="W130" s="192"/>
      <c r="X130" s="192"/>
      <c r="Y130" s="192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</row>
    <row r="131" spans="1:37" ht="15.75" customHeight="1">
      <c r="A131" s="169">
        <v>126</v>
      </c>
      <c r="B131" s="170" t="s">
        <v>960</v>
      </c>
      <c r="C131" s="170" t="s">
        <v>64</v>
      </c>
      <c r="D131" s="169">
        <v>1</v>
      </c>
      <c r="E131" s="169">
        <v>3</v>
      </c>
      <c r="F131" s="169">
        <v>0</v>
      </c>
      <c r="G131" s="169">
        <v>9</v>
      </c>
      <c r="H131" s="169">
        <v>9</v>
      </c>
      <c r="I131" s="169">
        <v>53.2</v>
      </c>
      <c r="J131" s="173">
        <v>8.7200000000000006</v>
      </c>
      <c r="K131" s="169">
        <v>0.67</v>
      </c>
      <c r="L131" s="169">
        <v>1.68</v>
      </c>
      <c r="M131" s="169">
        <v>0.252</v>
      </c>
      <c r="N131" s="172">
        <v>0.84599999999999997</v>
      </c>
      <c r="O131" s="172">
        <v>0.44700000000000001</v>
      </c>
      <c r="P131" s="172">
        <v>0.185</v>
      </c>
      <c r="Q131" s="173">
        <v>91.7</v>
      </c>
      <c r="R131" s="173">
        <v>3.35</v>
      </c>
      <c r="S131" s="169">
        <v>3.29</v>
      </c>
      <c r="T131" s="169">
        <v>4.0199999999999996</v>
      </c>
      <c r="U131" s="169">
        <v>3.15</v>
      </c>
      <c r="V131" s="173">
        <v>0.8</v>
      </c>
      <c r="W131" s="192"/>
      <c r="X131" s="192"/>
      <c r="Y131" s="192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</row>
    <row r="132" spans="1:37" ht="15.75" customHeight="1">
      <c r="A132" s="169">
        <v>127</v>
      </c>
      <c r="B132" s="170" t="s">
        <v>146</v>
      </c>
      <c r="C132" s="170" t="s">
        <v>132</v>
      </c>
      <c r="D132" s="169">
        <v>5</v>
      </c>
      <c r="E132" s="169">
        <v>8</v>
      </c>
      <c r="F132" s="169">
        <v>0</v>
      </c>
      <c r="G132" s="169">
        <v>25</v>
      </c>
      <c r="H132" s="169">
        <v>25</v>
      </c>
      <c r="I132" s="169">
        <v>135.1</v>
      </c>
      <c r="J132" s="173">
        <v>7.58</v>
      </c>
      <c r="K132" s="169">
        <v>1.86</v>
      </c>
      <c r="L132" s="169">
        <v>2</v>
      </c>
      <c r="M132" s="169">
        <v>0.29499999999999998</v>
      </c>
      <c r="N132" s="172">
        <v>0.74299999999999999</v>
      </c>
      <c r="O132" s="172">
        <v>0.29799999999999999</v>
      </c>
      <c r="P132" s="172">
        <v>0.13600000000000001</v>
      </c>
      <c r="Q132" s="173">
        <v>90.5</v>
      </c>
      <c r="R132" s="173">
        <v>5.12</v>
      </c>
      <c r="S132" s="169">
        <v>4.5599999999999996</v>
      </c>
      <c r="T132" s="169">
        <v>5.08</v>
      </c>
      <c r="U132" s="169">
        <v>4.7</v>
      </c>
      <c r="V132" s="173">
        <v>0.8</v>
      </c>
      <c r="W132" s="192"/>
      <c r="X132" s="192"/>
      <c r="Y132" s="192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</row>
    <row r="133" spans="1:37" ht="15.75" customHeight="1">
      <c r="A133" s="169">
        <v>128</v>
      </c>
      <c r="B133" s="170" t="s">
        <v>961</v>
      </c>
      <c r="C133" s="178" t="s">
        <v>34</v>
      </c>
      <c r="D133" s="169">
        <v>6</v>
      </c>
      <c r="E133" s="169">
        <v>7</v>
      </c>
      <c r="F133" s="169">
        <v>0</v>
      </c>
      <c r="G133" s="169">
        <v>17</v>
      </c>
      <c r="H133" s="169">
        <v>17</v>
      </c>
      <c r="I133" s="169">
        <v>81.2</v>
      </c>
      <c r="J133" s="173">
        <v>8.6</v>
      </c>
      <c r="K133" s="169">
        <v>3.09</v>
      </c>
      <c r="L133" s="169">
        <v>1.54</v>
      </c>
      <c r="M133" s="169">
        <v>0.33300000000000002</v>
      </c>
      <c r="N133" s="172">
        <v>0.65200000000000002</v>
      </c>
      <c r="O133" s="172">
        <v>0.39100000000000001</v>
      </c>
      <c r="P133" s="172">
        <v>0.13100000000000001</v>
      </c>
      <c r="Q133" s="173">
        <v>94</v>
      </c>
      <c r="R133" s="173">
        <v>6.28</v>
      </c>
      <c r="S133" s="169">
        <v>4.5999999999999996</v>
      </c>
      <c r="T133" s="169">
        <v>4.68</v>
      </c>
      <c r="U133" s="169">
        <v>4.46</v>
      </c>
      <c r="V133" s="173">
        <v>0.8</v>
      </c>
      <c r="W133" s="192"/>
      <c r="X133" s="192"/>
      <c r="Y133" s="192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</row>
    <row r="134" spans="1:37" ht="15.75" customHeight="1">
      <c r="A134" s="169">
        <v>129</v>
      </c>
      <c r="B134" s="170" t="s">
        <v>208</v>
      </c>
      <c r="C134" s="170" t="s">
        <v>100</v>
      </c>
      <c r="D134" s="169">
        <v>2</v>
      </c>
      <c r="E134" s="169">
        <v>1</v>
      </c>
      <c r="F134" s="169">
        <v>0</v>
      </c>
      <c r="G134" s="169">
        <v>3</v>
      </c>
      <c r="H134" s="169">
        <v>3</v>
      </c>
      <c r="I134" s="169">
        <v>15.1</v>
      </c>
      <c r="J134" s="173">
        <v>12.33</v>
      </c>
      <c r="K134" s="169">
        <v>2.35</v>
      </c>
      <c r="L134" s="169">
        <v>0</v>
      </c>
      <c r="M134" s="169">
        <v>0.28599999999999998</v>
      </c>
      <c r="N134" s="172">
        <v>0.5</v>
      </c>
      <c r="O134" s="172">
        <v>0.35299999999999998</v>
      </c>
      <c r="P134" s="172">
        <v>0</v>
      </c>
      <c r="Q134" s="173">
        <v>91.7</v>
      </c>
      <c r="R134" s="173">
        <v>2.35</v>
      </c>
      <c r="S134" s="169">
        <v>2.84</v>
      </c>
      <c r="T134" s="169">
        <v>1.19</v>
      </c>
      <c r="U134" s="169">
        <v>2.69</v>
      </c>
      <c r="V134" s="173">
        <v>0.8</v>
      </c>
      <c r="W134" s="192"/>
      <c r="X134" s="192"/>
      <c r="Y134" s="192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</row>
    <row r="135" spans="1:37" ht="15.75" customHeight="1">
      <c r="A135" s="169">
        <v>130</v>
      </c>
      <c r="B135" s="170" t="s">
        <v>962</v>
      </c>
      <c r="C135" s="170" t="s">
        <v>70</v>
      </c>
      <c r="D135" s="169">
        <v>3</v>
      </c>
      <c r="E135" s="169">
        <v>0</v>
      </c>
      <c r="F135" s="169">
        <v>0</v>
      </c>
      <c r="G135" s="169">
        <v>5</v>
      </c>
      <c r="H135" s="169">
        <v>5</v>
      </c>
      <c r="I135" s="169">
        <v>25.1</v>
      </c>
      <c r="J135" s="173">
        <v>11.72</v>
      </c>
      <c r="K135" s="169">
        <v>2.84</v>
      </c>
      <c r="L135" s="169">
        <v>1.07</v>
      </c>
      <c r="M135" s="169">
        <v>0.255</v>
      </c>
      <c r="N135" s="172">
        <v>0.96199999999999997</v>
      </c>
      <c r="O135" s="172">
        <v>0.22800000000000001</v>
      </c>
      <c r="P135" s="172">
        <v>9.7000000000000003E-2</v>
      </c>
      <c r="Q135" s="173">
        <v>93.1</v>
      </c>
      <c r="R135" s="173">
        <v>1.78</v>
      </c>
      <c r="S135" s="169">
        <v>3.63</v>
      </c>
      <c r="T135" s="169">
        <v>3.03</v>
      </c>
      <c r="U135" s="169">
        <v>3.37</v>
      </c>
      <c r="V135" s="173">
        <v>0.8</v>
      </c>
      <c r="W135" s="192"/>
      <c r="X135" s="192"/>
      <c r="Y135" s="192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</row>
    <row r="136" spans="1:37" ht="15.75" customHeight="1">
      <c r="A136" s="169">
        <v>131</v>
      </c>
      <c r="B136" s="170" t="s">
        <v>127</v>
      </c>
      <c r="C136" s="170" t="s">
        <v>72</v>
      </c>
      <c r="D136" s="169">
        <v>2</v>
      </c>
      <c r="E136" s="169">
        <v>7</v>
      </c>
      <c r="F136" s="169">
        <v>0</v>
      </c>
      <c r="G136" s="169">
        <v>18</v>
      </c>
      <c r="H136" s="169">
        <v>18</v>
      </c>
      <c r="I136" s="169">
        <v>93</v>
      </c>
      <c r="J136" s="173">
        <v>9.19</v>
      </c>
      <c r="K136" s="169">
        <v>3.19</v>
      </c>
      <c r="L136" s="169">
        <v>1.65</v>
      </c>
      <c r="M136" s="169">
        <v>0.32900000000000001</v>
      </c>
      <c r="N136" s="172">
        <v>0.68600000000000005</v>
      </c>
      <c r="O136" s="172">
        <v>0.39400000000000002</v>
      </c>
      <c r="P136" s="172">
        <v>0.152</v>
      </c>
      <c r="Q136" s="173">
        <v>92.2</v>
      </c>
      <c r="R136" s="173">
        <v>5.23</v>
      </c>
      <c r="S136" s="169">
        <v>6</v>
      </c>
      <c r="T136" s="169">
        <v>4.58</v>
      </c>
      <c r="U136" s="169">
        <v>4.05</v>
      </c>
      <c r="V136" s="173">
        <v>0.8</v>
      </c>
      <c r="W136" s="192"/>
      <c r="X136" s="192"/>
      <c r="Y136" s="192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</row>
    <row r="137" spans="1:37" ht="15.75" customHeight="1">
      <c r="A137" s="169">
        <v>132</v>
      </c>
      <c r="B137" s="170" t="s">
        <v>963</v>
      </c>
      <c r="C137" s="170" t="s">
        <v>76</v>
      </c>
      <c r="D137" s="169">
        <v>4</v>
      </c>
      <c r="E137" s="169">
        <v>9</v>
      </c>
      <c r="F137" s="169">
        <v>0</v>
      </c>
      <c r="G137" s="169">
        <v>21</v>
      </c>
      <c r="H137" s="169">
        <v>21</v>
      </c>
      <c r="I137" s="169">
        <v>114</v>
      </c>
      <c r="J137" s="173">
        <v>9.5500000000000007</v>
      </c>
      <c r="K137" s="169">
        <v>4.26</v>
      </c>
      <c r="L137" s="169">
        <v>1.26</v>
      </c>
      <c r="M137" s="169">
        <v>0.28899999999999998</v>
      </c>
      <c r="N137" s="172">
        <v>0.78600000000000003</v>
      </c>
      <c r="O137" s="172">
        <v>0.45200000000000001</v>
      </c>
      <c r="P137" s="172">
        <v>0.14799999999999999</v>
      </c>
      <c r="Q137" s="173">
        <v>94.5</v>
      </c>
      <c r="R137" s="173">
        <v>4.03</v>
      </c>
      <c r="S137" s="169">
        <v>4.4800000000000004</v>
      </c>
      <c r="T137" s="169">
        <v>4.45</v>
      </c>
      <c r="U137" s="169">
        <v>4.08</v>
      </c>
      <c r="V137" s="173">
        <v>0.8</v>
      </c>
      <c r="W137" s="192"/>
      <c r="X137" s="192"/>
      <c r="Y137" s="192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</row>
    <row r="138" spans="1:37" ht="15.75" customHeight="1">
      <c r="A138" s="169">
        <v>133</v>
      </c>
      <c r="B138" s="170" t="s">
        <v>78</v>
      </c>
      <c r="C138" s="170" t="s">
        <v>74</v>
      </c>
      <c r="D138" s="169">
        <v>1</v>
      </c>
      <c r="E138" s="169">
        <v>4</v>
      </c>
      <c r="F138" s="169">
        <v>0</v>
      </c>
      <c r="G138" s="169">
        <v>9</v>
      </c>
      <c r="H138" s="169">
        <v>9</v>
      </c>
      <c r="I138" s="169">
        <v>49</v>
      </c>
      <c r="J138" s="173">
        <v>6.98</v>
      </c>
      <c r="K138" s="169">
        <v>3.31</v>
      </c>
      <c r="L138" s="169">
        <v>0.92</v>
      </c>
      <c r="M138" s="169">
        <v>0.20499999999999999</v>
      </c>
      <c r="N138" s="172">
        <v>0.73299999999999998</v>
      </c>
      <c r="O138" s="172">
        <v>0.375</v>
      </c>
      <c r="P138" s="172">
        <v>7.4999999999999997E-2</v>
      </c>
      <c r="Q138" s="173">
        <v>89.9</v>
      </c>
      <c r="R138" s="173">
        <v>3.31</v>
      </c>
      <c r="S138" s="169">
        <v>5.25</v>
      </c>
      <c r="T138" s="169">
        <v>4.1500000000000004</v>
      </c>
      <c r="U138" s="169">
        <v>4.92</v>
      </c>
      <c r="V138" s="173">
        <v>0.8</v>
      </c>
      <c r="W138" s="192"/>
      <c r="X138" s="192"/>
      <c r="Y138" s="192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</row>
    <row r="139" spans="1:37" ht="15.75" customHeight="1">
      <c r="A139" s="169">
        <v>134</v>
      </c>
      <c r="B139" s="170" t="s">
        <v>964</v>
      </c>
      <c r="C139" s="170" t="s">
        <v>93</v>
      </c>
      <c r="D139" s="169">
        <v>6</v>
      </c>
      <c r="E139" s="169">
        <v>2</v>
      </c>
      <c r="F139" s="169">
        <v>0</v>
      </c>
      <c r="G139" s="169">
        <v>15</v>
      </c>
      <c r="H139" s="169">
        <v>15</v>
      </c>
      <c r="I139" s="169">
        <v>74</v>
      </c>
      <c r="J139" s="173">
        <v>9</v>
      </c>
      <c r="K139" s="169">
        <v>2.19</v>
      </c>
      <c r="L139" s="169">
        <v>1.7</v>
      </c>
      <c r="M139" s="169">
        <v>0.29599999999999999</v>
      </c>
      <c r="N139" s="172">
        <v>0.82</v>
      </c>
      <c r="O139" s="172">
        <v>0.26900000000000002</v>
      </c>
      <c r="P139" s="172">
        <v>0.126</v>
      </c>
      <c r="Q139" s="173">
        <v>91.5</v>
      </c>
      <c r="R139" s="173">
        <v>3.77</v>
      </c>
      <c r="S139" s="169">
        <v>4.34</v>
      </c>
      <c r="T139" s="169">
        <v>4.38</v>
      </c>
      <c r="U139" s="169">
        <v>4.22</v>
      </c>
      <c r="V139" s="173">
        <v>0.8</v>
      </c>
      <c r="W139" s="192"/>
      <c r="X139" s="192"/>
      <c r="Y139" s="192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</row>
    <row r="140" spans="1:37" ht="15.75" customHeight="1">
      <c r="A140" s="169">
        <v>135</v>
      </c>
      <c r="B140" s="170" t="s">
        <v>965</v>
      </c>
      <c r="C140" s="170" t="s">
        <v>66</v>
      </c>
      <c r="D140" s="169">
        <v>3</v>
      </c>
      <c r="E140" s="169">
        <v>2</v>
      </c>
      <c r="F140" s="169">
        <v>0</v>
      </c>
      <c r="G140" s="169">
        <v>11</v>
      </c>
      <c r="H140" s="169">
        <v>11</v>
      </c>
      <c r="I140" s="169">
        <v>64.099999999999994</v>
      </c>
      <c r="J140" s="173">
        <v>8.81</v>
      </c>
      <c r="K140" s="169">
        <v>3.64</v>
      </c>
      <c r="L140" s="169">
        <v>0.98</v>
      </c>
      <c r="M140" s="169">
        <v>0.253</v>
      </c>
      <c r="N140" s="172">
        <v>0.80600000000000005</v>
      </c>
      <c r="O140" s="172">
        <v>0.503</v>
      </c>
      <c r="P140" s="172">
        <v>0.14000000000000001</v>
      </c>
      <c r="Q140" s="173"/>
      <c r="R140" s="173">
        <v>2.66</v>
      </c>
      <c r="S140" s="169">
        <v>3.79</v>
      </c>
      <c r="T140" s="169">
        <v>3.95</v>
      </c>
      <c r="U140" s="169">
        <v>3.73</v>
      </c>
      <c r="V140" s="173">
        <v>0.7</v>
      </c>
      <c r="W140" s="192"/>
      <c r="X140" s="192"/>
      <c r="Y140" s="192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</row>
    <row r="141" spans="1:37" ht="15.75" customHeight="1">
      <c r="A141" s="169">
        <v>136</v>
      </c>
      <c r="B141" s="170" t="s">
        <v>113</v>
      </c>
      <c r="C141" s="170" t="s">
        <v>86</v>
      </c>
      <c r="D141" s="169">
        <v>1</v>
      </c>
      <c r="E141" s="169">
        <v>0</v>
      </c>
      <c r="F141" s="169">
        <v>0</v>
      </c>
      <c r="G141" s="169">
        <v>7</v>
      </c>
      <c r="H141" s="169">
        <v>7</v>
      </c>
      <c r="I141" s="169">
        <v>34.1</v>
      </c>
      <c r="J141" s="173">
        <v>7.34</v>
      </c>
      <c r="K141" s="169">
        <v>3.93</v>
      </c>
      <c r="L141" s="169">
        <v>0.52</v>
      </c>
      <c r="M141" s="169">
        <v>0.24099999999999999</v>
      </c>
      <c r="N141" s="172">
        <v>0.79500000000000004</v>
      </c>
      <c r="O141" s="172">
        <v>0.38200000000000001</v>
      </c>
      <c r="P141" s="172">
        <v>5.6000000000000001E-2</v>
      </c>
      <c r="Q141" s="173">
        <v>94.2</v>
      </c>
      <c r="R141" s="173">
        <v>2.62</v>
      </c>
      <c r="S141" s="169">
        <v>4.54</v>
      </c>
      <c r="T141" s="169">
        <v>3.58</v>
      </c>
      <c r="U141" s="169">
        <v>4.4400000000000004</v>
      </c>
      <c r="V141" s="173">
        <v>0.7</v>
      </c>
      <c r="W141" s="192"/>
      <c r="X141" s="192"/>
      <c r="Y141" s="192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</row>
    <row r="142" spans="1:37" ht="15.75" customHeight="1">
      <c r="A142" s="169">
        <v>137</v>
      </c>
      <c r="B142" s="170" t="s">
        <v>41</v>
      </c>
      <c r="C142" s="170" t="s">
        <v>42</v>
      </c>
      <c r="D142" s="169">
        <v>4</v>
      </c>
      <c r="E142" s="169">
        <v>1</v>
      </c>
      <c r="F142" s="169">
        <v>0</v>
      </c>
      <c r="G142" s="169">
        <v>8</v>
      </c>
      <c r="H142" s="169">
        <v>8</v>
      </c>
      <c r="I142" s="169">
        <v>41.1</v>
      </c>
      <c r="J142" s="173">
        <v>7.4</v>
      </c>
      <c r="K142" s="169">
        <v>5.88</v>
      </c>
      <c r="L142" s="169">
        <v>0.44</v>
      </c>
      <c r="M142" s="169">
        <v>0.254</v>
      </c>
      <c r="N142" s="172">
        <v>0.79700000000000004</v>
      </c>
      <c r="O142" s="172">
        <v>0.27600000000000002</v>
      </c>
      <c r="P142" s="172">
        <v>3.5000000000000003E-2</v>
      </c>
      <c r="Q142" s="173">
        <v>95.4</v>
      </c>
      <c r="R142" s="173">
        <v>2.83</v>
      </c>
      <c r="S142" s="169">
        <v>4.96</v>
      </c>
      <c r="T142" s="169">
        <v>4.09</v>
      </c>
      <c r="U142" s="169">
        <v>5.58</v>
      </c>
      <c r="V142" s="173">
        <v>0.7</v>
      </c>
      <c r="W142" s="192"/>
      <c r="X142" s="192"/>
      <c r="Y142" s="192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</row>
    <row r="143" spans="1:37" ht="15.75" customHeight="1">
      <c r="A143" s="169">
        <v>138</v>
      </c>
      <c r="B143" s="170" t="s">
        <v>57</v>
      </c>
      <c r="C143" s="170" t="s">
        <v>58</v>
      </c>
      <c r="D143" s="169">
        <v>8</v>
      </c>
      <c r="E143" s="169">
        <v>15</v>
      </c>
      <c r="F143" s="169">
        <v>0</v>
      </c>
      <c r="G143" s="169">
        <v>29</v>
      </c>
      <c r="H143" s="169">
        <v>29</v>
      </c>
      <c r="I143" s="169">
        <v>153.1</v>
      </c>
      <c r="J143" s="173">
        <v>5.87</v>
      </c>
      <c r="K143" s="169">
        <v>3.29</v>
      </c>
      <c r="L143" s="169">
        <v>1.41</v>
      </c>
      <c r="M143" s="169">
        <v>0.28499999999999998</v>
      </c>
      <c r="N143" s="172">
        <v>0.60599999999999998</v>
      </c>
      <c r="O143" s="172">
        <v>0.36499999999999999</v>
      </c>
      <c r="P143" s="172">
        <v>0.115</v>
      </c>
      <c r="Q143" s="173">
        <v>93</v>
      </c>
      <c r="R143" s="173">
        <v>5.69</v>
      </c>
      <c r="S143" s="169">
        <v>5.99</v>
      </c>
      <c r="T143" s="169">
        <v>5.05</v>
      </c>
      <c r="U143" s="169">
        <v>5.0999999999999996</v>
      </c>
      <c r="V143" s="173">
        <v>0.7</v>
      </c>
      <c r="W143" s="192"/>
      <c r="X143" s="192"/>
      <c r="Y143" s="192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</row>
    <row r="144" spans="1:37" ht="15.75" customHeight="1">
      <c r="A144" s="169">
        <v>139</v>
      </c>
      <c r="B144" s="170" t="s">
        <v>62</v>
      </c>
      <c r="C144" s="170" t="s">
        <v>53</v>
      </c>
      <c r="D144" s="169">
        <v>6</v>
      </c>
      <c r="E144" s="169">
        <v>14</v>
      </c>
      <c r="F144" s="169">
        <v>0</v>
      </c>
      <c r="G144" s="169">
        <v>29</v>
      </c>
      <c r="H144" s="169">
        <v>29</v>
      </c>
      <c r="I144" s="169">
        <v>155</v>
      </c>
      <c r="J144" s="173">
        <v>6.04</v>
      </c>
      <c r="K144" s="169">
        <v>3.31</v>
      </c>
      <c r="L144" s="169">
        <v>1.1599999999999999</v>
      </c>
      <c r="M144" s="169">
        <v>0.29499999999999998</v>
      </c>
      <c r="N144" s="172">
        <v>0.63800000000000001</v>
      </c>
      <c r="O144" s="172">
        <v>0.60199999999999998</v>
      </c>
      <c r="P144" s="172">
        <v>0.17699999999999999</v>
      </c>
      <c r="Q144" s="173">
        <v>94.5</v>
      </c>
      <c r="R144" s="173">
        <v>5.34</v>
      </c>
      <c r="S144" s="169">
        <v>4.34</v>
      </c>
      <c r="T144" s="169">
        <v>4.68</v>
      </c>
      <c r="U144" s="169">
        <v>4.12</v>
      </c>
      <c r="V144" s="173">
        <v>0.7</v>
      </c>
      <c r="W144" s="192"/>
      <c r="X144" s="192"/>
      <c r="Y144" s="192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</row>
    <row r="145" spans="1:37" ht="15.75" customHeight="1">
      <c r="A145" s="169">
        <v>140</v>
      </c>
      <c r="B145" s="170" t="s">
        <v>966</v>
      </c>
      <c r="C145" s="170" t="s">
        <v>82</v>
      </c>
      <c r="D145" s="169">
        <v>1</v>
      </c>
      <c r="E145" s="169">
        <v>4</v>
      </c>
      <c r="F145" s="169">
        <v>0</v>
      </c>
      <c r="G145" s="169">
        <v>12</v>
      </c>
      <c r="H145" s="169">
        <v>12</v>
      </c>
      <c r="I145" s="169">
        <v>48.2</v>
      </c>
      <c r="J145" s="173">
        <v>6.66</v>
      </c>
      <c r="K145" s="169">
        <v>2.96</v>
      </c>
      <c r="L145" s="169">
        <v>0.92</v>
      </c>
      <c r="M145" s="169">
        <v>0.33800000000000002</v>
      </c>
      <c r="N145" s="172">
        <v>0.69099999999999995</v>
      </c>
      <c r="O145" s="172">
        <v>0.41399999999999998</v>
      </c>
      <c r="P145" s="172">
        <v>0.10199999999999999</v>
      </c>
      <c r="Q145" s="173">
        <v>95.7</v>
      </c>
      <c r="R145" s="173">
        <v>4.99</v>
      </c>
      <c r="S145" s="169">
        <v>5.9</v>
      </c>
      <c r="T145" s="169">
        <v>4.05</v>
      </c>
      <c r="U145" s="169">
        <v>4.26</v>
      </c>
      <c r="V145" s="173">
        <v>0.7</v>
      </c>
      <c r="W145" s="192"/>
      <c r="X145" s="192"/>
      <c r="Y145" s="192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</row>
    <row r="146" spans="1:37" ht="15.75" customHeight="1">
      <c r="A146" s="169">
        <v>141</v>
      </c>
      <c r="B146" s="170" t="s">
        <v>109</v>
      </c>
      <c r="C146" s="178" t="s">
        <v>34</v>
      </c>
      <c r="D146" s="169">
        <v>6</v>
      </c>
      <c r="E146" s="169">
        <v>11</v>
      </c>
      <c r="F146" s="169">
        <v>0</v>
      </c>
      <c r="G146" s="169">
        <v>23</v>
      </c>
      <c r="H146" s="169">
        <v>23</v>
      </c>
      <c r="I146" s="169">
        <v>124.2</v>
      </c>
      <c r="J146" s="173">
        <v>8.52</v>
      </c>
      <c r="K146" s="169">
        <v>3.68</v>
      </c>
      <c r="L146" s="169">
        <v>1.52</v>
      </c>
      <c r="M146" s="169">
        <v>0.29599999999999999</v>
      </c>
      <c r="N146" s="172">
        <v>0.69799999999999995</v>
      </c>
      <c r="O146" s="172">
        <v>0.42699999999999999</v>
      </c>
      <c r="P146" s="172">
        <v>0.15</v>
      </c>
      <c r="Q146" s="173">
        <v>95.5</v>
      </c>
      <c r="R146" s="173">
        <v>5.2</v>
      </c>
      <c r="S146" s="169">
        <v>5.27</v>
      </c>
      <c r="T146" s="169">
        <v>4.96</v>
      </c>
      <c r="U146" s="169">
        <v>4.49</v>
      </c>
      <c r="V146" s="173">
        <v>0.7</v>
      </c>
      <c r="W146" s="192"/>
      <c r="X146" s="192"/>
      <c r="Y146" s="192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</row>
    <row r="147" spans="1:37" ht="15.75" customHeight="1">
      <c r="A147" s="169">
        <v>142</v>
      </c>
      <c r="B147" s="170" t="s">
        <v>164</v>
      </c>
      <c r="C147" s="170" t="s">
        <v>76</v>
      </c>
      <c r="D147" s="169">
        <v>7</v>
      </c>
      <c r="E147" s="169">
        <v>10</v>
      </c>
      <c r="F147" s="169">
        <v>0</v>
      </c>
      <c r="G147" s="169">
        <v>26</v>
      </c>
      <c r="H147" s="169">
        <v>26</v>
      </c>
      <c r="I147" s="169">
        <v>142.1</v>
      </c>
      <c r="J147" s="173">
        <v>7.46</v>
      </c>
      <c r="K147" s="169">
        <v>3.22</v>
      </c>
      <c r="L147" s="169">
        <v>1.33</v>
      </c>
      <c r="M147" s="169">
        <v>0.313</v>
      </c>
      <c r="N147" s="172">
        <v>0.66400000000000003</v>
      </c>
      <c r="O147" s="172">
        <v>0.49199999999999999</v>
      </c>
      <c r="P147" s="172">
        <v>0.157</v>
      </c>
      <c r="Q147" s="173">
        <v>92.7</v>
      </c>
      <c r="R147" s="173">
        <v>5.56</v>
      </c>
      <c r="S147" s="169">
        <v>4.67</v>
      </c>
      <c r="T147" s="169">
        <v>4.6100000000000003</v>
      </c>
      <c r="U147" s="169">
        <v>4.1399999999999997</v>
      </c>
      <c r="V147" s="173">
        <v>0.7</v>
      </c>
      <c r="W147" s="192"/>
      <c r="X147" s="192"/>
      <c r="Y147" s="192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</row>
    <row r="148" spans="1:37" ht="15.75" customHeight="1">
      <c r="A148" s="169">
        <v>143</v>
      </c>
      <c r="B148" s="170" t="s">
        <v>165</v>
      </c>
      <c r="C148" s="170" t="s">
        <v>64</v>
      </c>
      <c r="D148" s="169">
        <v>4</v>
      </c>
      <c r="E148" s="169">
        <v>1</v>
      </c>
      <c r="F148" s="169">
        <v>0</v>
      </c>
      <c r="G148" s="169">
        <v>10</v>
      </c>
      <c r="H148" s="169">
        <v>10</v>
      </c>
      <c r="I148" s="169">
        <v>57.2</v>
      </c>
      <c r="J148" s="173">
        <v>7.49</v>
      </c>
      <c r="K148" s="169">
        <v>2.5</v>
      </c>
      <c r="L148" s="169">
        <v>1.25</v>
      </c>
      <c r="M148" s="169">
        <v>0.25900000000000001</v>
      </c>
      <c r="N148" s="172">
        <v>0.84799999999999998</v>
      </c>
      <c r="O148" s="172">
        <v>0.47599999999999998</v>
      </c>
      <c r="P148" s="172">
        <v>0.14799999999999999</v>
      </c>
      <c r="Q148" s="173">
        <v>91.8</v>
      </c>
      <c r="R148" s="173">
        <v>2.97</v>
      </c>
      <c r="S148" s="169">
        <v>4.1100000000000003</v>
      </c>
      <c r="T148" s="169">
        <v>4.2699999999999996</v>
      </c>
      <c r="U148" s="169">
        <v>3.91</v>
      </c>
      <c r="V148" s="173">
        <v>0.7</v>
      </c>
      <c r="W148" s="192"/>
      <c r="X148" s="192"/>
      <c r="Y148" s="192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</row>
    <row r="149" spans="1:37" ht="15.75" customHeight="1">
      <c r="A149" s="169">
        <v>144</v>
      </c>
      <c r="B149" s="170" t="s">
        <v>967</v>
      </c>
      <c r="C149" s="170" t="s">
        <v>126</v>
      </c>
      <c r="D149" s="169">
        <v>1</v>
      </c>
      <c r="E149" s="169">
        <v>5</v>
      </c>
      <c r="F149" s="169">
        <v>0</v>
      </c>
      <c r="G149" s="169">
        <v>9</v>
      </c>
      <c r="H149" s="169">
        <v>9</v>
      </c>
      <c r="I149" s="169">
        <v>45.1</v>
      </c>
      <c r="J149" s="173">
        <v>8.14</v>
      </c>
      <c r="K149" s="169">
        <v>3.18</v>
      </c>
      <c r="L149" s="169">
        <v>0.6</v>
      </c>
      <c r="M149" s="169">
        <v>0.36199999999999999</v>
      </c>
      <c r="N149" s="172">
        <v>0.56699999999999995</v>
      </c>
      <c r="O149" s="172">
        <v>0.57399999999999995</v>
      </c>
      <c r="P149" s="172">
        <v>9.0999999999999998E-2</v>
      </c>
      <c r="Q149" s="173">
        <v>97</v>
      </c>
      <c r="R149" s="173">
        <v>6.55</v>
      </c>
      <c r="S149" s="169">
        <v>3.9</v>
      </c>
      <c r="T149" s="169">
        <v>3.52</v>
      </c>
      <c r="U149" s="169">
        <v>3.78</v>
      </c>
      <c r="V149" s="173">
        <v>0.7</v>
      </c>
      <c r="W149" s="192"/>
      <c r="X149" s="192"/>
      <c r="Y149" s="192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</row>
    <row r="150" spans="1:37" ht="15.75" customHeight="1">
      <c r="A150" s="169">
        <v>145</v>
      </c>
      <c r="B150" s="170" t="s">
        <v>968</v>
      </c>
      <c r="C150" s="170" t="s">
        <v>51</v>
      </c>
      <c r="D150" s="169">
        <v>0</v>
      </c>
      <c r="E150" s="169">
        <v>3</v>
      </c>
      <c r="F150" s="169">
        <v>0</v>
      </c>
      <c r="G150" s="169">
        <v>5</v>
      </c>
      <c r="H150" s="169">
        <v>5</v>
      </c>
      <c r="I150" s="169">
        <v>22.1</v>
      </c>
      <c r="J150" s="173">
        <v>10.88</v>
      </c>
      <c r="K150" s="169">
        <v>4.43</v>
      </c>
      <c r="L150" s="169">
        <v>0.4</v>
      </c>
      <c r="M150" s="169">
        <v>0.47699999999999998</v>
      </c>
      <c r="N150" s="172">
        <v>0.68100000000000005</v>
      </c>
      <c r="O150" s="172">
        <v>0.42899999999999999</v>
      </c>
      <c r="P150" s="172">
        <v>0.05</v>
      </c>
      <c r="Q150" s="173">
        <v>92.9</v>
      </c>
      <c r="R150" s="173">
        <v>4.43</v>
      </c>
      <c r="S150" s="169">
        <v>3.97</v>
      </c>
      <c r="T150" s="169">
        <v>2.92</v>
      </c>
      <c r="U150" s="169">
        <v>3.72</v>
      </c>
      <c r="V150" s="173">
        <v>0.7</v>
      </c>
      <c r="W150" s="192"/>
      <c r="X150" s="192"/>
      <c r="Y150" s="192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</row>
    <row r="151" spans="1:37" ht="15.75" customHeight="1">
      <c r="A151" s="169">
        <v>146</v>
      </c>
      <c r="B151" s="170" t="s">
        <v>969</v>
      </c>
      <c r="C151" s="170" t="s">
        <v>88</v>
      </c>
      <c r="D151" s="169">
        <v>5</v>
      </c>
      <c r="E151" s="169">
        <v>5</v>
      </c>
      <c r="F151" s="169">
        <v>0</v>
      </c>
      <c r="G151" s="169">
        <v>15</v>
      </c>
      <c r="H151" s="169">
        <v>15</v>
      </c>
      <c r="I151" s="169">
        <v>75.2</v>
      </c>
      <c r="J151" s="173">
        <v>9.6300000000000008</v>
      </c>
      <c r="K151" s="169">
        <v>2.74</v>
      </c>
      <c r="L151" s="169">
        <v>1.67</v>
      </c>
      <c r="M151" s="169">
        <v>0.35599999999999998</v>
      </c>
      <c r="N151" s="172">
        <v>0.66400000000000003</v>
      </c>
      <c r="O151" s="172">
        <v>0.435</v>
      </c>
      <c r="P151" s="172">
        <v>0.161</v>
      </c>
      <c r="Q151" s="173">
        <v>95.9</v>
      </c>
      <c r="R151" s="173">
        <v>6.3</v>
      </c>
      <c r="S151" s="169">
        <v>5.1100000000000003</v>
      </c>
      <c r="T151" s="169">
        <v>4.4800000000000004</v>
      </c>
      <c r="U151" s="169">
        <v>3.84</v>
      </c>
      <c r="V151" s="173">
        <v>0.7</v>
      </c>
      <c r="W151" s="192"/>
      <c r="X151" s="192"/>
      <c r="Y151" s="192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</row>
    <row r="152" spans="1:37" ht="15.75" customHeight="1">
      <c r="A152" s="169">
        <v>147</v>
      </c>
      <c r="B152" s="170" t="s">
        <v>171</v>
      </c>
      <c r="C152" s="170" t="s">
        <v>76</v>
      </c>
      <c r="D152" s="169">
        <v>3</v>
      </c>
      <c r="E152" s="169">
        <v>1</v>
      </c>
      <c r="F152" s="169">
        <v>0</v>
      </c>
      <c r="G152" s="169">
        <v>7</v>
      </c>
      <c r="H152" s="169">
        <v>7</v>
      </c>
      <c r="I152" s="169">
        <v>39.200000000000003</v>
      </c>
      <c r="J152" s="173">
        <v>8.6199999999999992</v>
      </c>
      <c r="K152" s="169">
        <v>3.63</v>
      </c>
      <c r="L152" s="169">
        <v>0.68</v>
      </c>
      <c r="M152" s="169">
        <v>0.28399999999999997</v>
      </c>
      <c r="N152" s="172">
        <v>0.81200000000000006</v>
      </c>
      <c r="O152" s="172">
        <v>0.48099999999999998</v>
      </c>
      <c r="P152" s="172">
        <v>9.0999999999999998E-2</v>
      </c>
      <c r="Q152" s="173">
        <v>95.1</v>
      </c>
      <c r="R152" s="173">
        <v>2.95</v>
      </c>
      <c r="S152" s="169">
        <v>3.93</v>
      </c>
      <c r="T152" s="169">
        <v>3.65</v>
      </c>
      <c r="U152" s="169">
        <v>3.95</v>
      </c>
      <c r="V152" s="173">
        <v>0.7</v>
      </c>
      <c r="W152" s="192"/>
      <c r="X152" s="192"/>
      <c r="Y152" s="192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</row>
    <row r="153" spans="1:37" ht="15.75" customHeight="1">
      <c r="A153" s="169">
        <v>148</v>
      </c>
      <c r="B153" s="170" t="s">
        <v>75</v>
      </c>
      <c r="C153" s="170" t="s">
        <v>76</v>
      </c>
      <c r="D153" s="169">
        <v>5</v>
      </c>
      <c r="E153" s="169">
        <v>13</v>
      </c>
      <c r="F153" s="169">
        <v>0</v>
      </c>
      <c r="G153" s="169">
        <v>20</v>
      </c>
      <c r="H153" s="169">
        <v>20</v>
      </c>
      <c r="I153" s="169">
        <v>107.1</v>
      </c>
      <c r="J153" s="173">
        <v>9.56</v>
      </c>
      <c r="K153" s="169">
        <v>3.69</v>
      </c>
      <c r="L153" s="169">
        <v>1.51</v>
      </c>
      <c r="M153" s="169">
        <v>0.313</v>
      </c>
      <c r="N153" s="172">
        <v>0.74399999999999999</v>
      </c>
      <c r="O153" s="172">
        <v>0.36599999999999999</v>
      </c>
      <c r="P153" s="172">
        <v>0.15</v>
      </c>
      <c r="Q153" s="173">
        <v>95.5</v>
      </c>
      <c r="R153" s="173">
        <v>4.8600000000000003</v>
      </c>
      <c r="S153" s="169">
        <v>4.91</v>
      </c>
      <c r="T153" s="169">
        <v>4.63</v>
      </c>
      <c r="U153" s="169">
        <v>4.16</v>
      </c>
      <c r="V153" s="173">
        <v>0.7</v>
      </c>
      <c r="W153" s="192"/>
      <c r="X153" s="192"/>
      <c r="Y153" s="192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</row>
    <row r="154" spans="1:37" ht="15.75" customHeight="1">
      <c r="A154" s="169">
        <v>149</v>
      </c>
      <c r="B154" s="170" t="s">
        <v>67</v>
      </c>
      <c r="C154" s="170" t="s">
        <v>68</v>
      </c>
      <c r="D154" s="169">
        <v>4</v>
      </c>
      <c r="E154" s="169">
        <v>7</v>
      </c>
      <c r="F154" s="169">
        <v>0</v>
      </c>
      <c r="G154" s="169">
        <v>20</v>
      </c>
      <c r="H154" s="169">
        <v>20</v>
      </c>
      <c r="I154" s="169">
        <v>99.2</v>
      </c>
      <c r="J154" s="173">
        <v>5.69</v>
      </c>
      <c r="K154" s="169">
        <v>2.8</v>
      </c>
      <c r="L154" s="169">
        <v>1.44</v>
      </c>
      <c r="M154" s="169">
        <v>0.30099999999999999</v>
      </c>
      <c r="N154" s="172">
        <v>0.76400000000000001</v>
      </c>
      <c r="O154" s="172">
        <v>0.46100000000000002</v>
      </c>
      <c r="P154" s="172">
        <v>0.13100000000000001</v>
      </c>
      <c r="Q154" s="173">
        <v>92</v>
      </c>
      <c r="R154" s="173">
        <v>4.24</v>
      </c>
      <c r="S154" s="169">
        <v>4.55</v>
      </c>
      <c r="T154" s="169">
        <v>5.0199999999999996</v>
      </c>
      <c r="U154" s="169">
        <v>4.82</v>
      </c>
      <c r="V154" s="173">
        <v>0.6</v>
      </c>
      <c r="W154" s="192"/>
      <c r="X154" s="192"/>
      <c r="Y154" s="192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</row>
    <row r="155" spans="1:37" ht="15.75" customHeight="1">
      <c r="A155" s="169">
        <v>150</v>
      </c>
      <c r="B155" s="170" t="s">
        <v>203</v>
      </c>
      <c r="C155" s="170" t="s">
        <v>132</v>
      </c>
      <c r="D155" s="169">
        <v>6</v>
      </c>
      <c r="E155" s="169">
        <v>3</v>
      </c>
      <c r="F155" s="169">
        <v>0</v>
      </c>
      <c r="G155" s="169">
        <v>19</v>
      </c>
      <c r="H155" s="169">
        <v>19</v>
      </c>
      <c r="I155" s="169">
        <v>90</v>
      </c>
      <c r="J155" s="173">
        <v>8.1</v>
      </c>
      <c r="K155" s="169">
        <v>4</v>
      </c>
      <c r="L155" s="169">
        <v>1.5</v>
      </c>
      <c r="M155" s="169">
        <v>0.27200000000000002</v>
      </c>
      <c r="N155" s="172">
        <v>0.74</v>
      </c>
      <c r="O155" s="172">
        <v>0.318</v>
      </c>
      <c r="P155" s="172">
        <v>0.11</v>
      </c>
      <c r="Q155" s="173">
        <v>93.3</v>
      </c>
      <c r="R155" s="173">
        <v>4.5</v>
      </c>
      <c r="S155" s="169">
        <v>4.04</v>
      </c>
      <c r="T155" s="169">
        <v>4.91</v>
      </c>
      <c r="U155" s="169">
        <v>5.07</v>
      </c>
      <c r="V155" s="173">
        <v>0.6</v>
      </c>
      <c r="W155" s="192"/>
      <c r="X155" s="192"/>
      <c r="Y155" s="192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</row>
    <row r="156" spans="1:37" ht="15.75" customHeight="1">
      <c r="A156" s="169">
        <v>151</v>
      </c>
      <c r="B156" s="170" t="s">
        <v>970</v>
      </c>
      <c r="C156" s="170" t="s">
        <v>44</v>
      </c>
      <c r="D156" s="169">
        <v>4</v>
      </c>
      <c r="E156" s="169">
        <v>3</v>
      </c>
      <c r="F156" s="169">
        <v>0</v>
      </c>
      <c r="G156" s="169">
        <v>10</v>
      </c>
      <c r="H156" s="169">
        <v>10</v>
      </c>
      <c r="I156" s="169">
        <v>50.2</v>
      </c>
      <c r="J156" s="173">
        <v>6.57</v>
      </c>
      <c r="K156" s="169">
        <v>3.02</v>
      </c>
      <c r="L156" s="169">
        <v>0.89</v>
      </c>
      <c r="M156" s="169">
        <v>0.29799999999999999</v>
      </c>
      <c r="N156" s="172">
        <v>0.75800000000000001</v>
      </c>
      <c r="O156" s="172">
        <v>0.41899999999999998</v>
      </c>
      <c r="P156" s="172">
        <v>9.2999999999999999E-2</v>
      </c>
      <c r="Q156" s="173">
        <v>93.8</v>
      </c>
      <c r="R156" s="173">
        <v>3.55</v>
      </c>
      <c r="S156" s="169">
        <v>5.07</v>
      </c>
      <c r="T156" s="169">
        <v>4.09</v>
      </c>
      <c r="U156" s="169">
        <v>4.45</v>
      </c>
      <c r="V156" s="173">
        <v>0.6</v>
      </c>
      <c r="W156" s="192"/>
      <c r="X156" s="192"/>
      <c r="Y156" s="192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</row>
    <row r="157" spans="1:37" ht="15.75" customHeight="1">
      <c r="A157" s="169">
        <v>152</v>
      </c>
      <c r="B157" s="170" t="s">
        <v>971</v>
      </c>
      <c r="C157" s="170" t="s">
        <v>64</v>
      </c>
      <c r="D157" s="169">
        <v>3</v>
      </c>
      <c r="E157" s="169">
        <v>4</v>
      </c>
      <c r="F157" s="169">
        <v>0</v>
      </c>
      <c r="G157" s="169">
        <v>9</v>
      </c>
      <c r="H157" s="169">
        <v>9</v>
      </c>
      <c r="I157" s="169">
        <v>48.1</v>
      </c>
      <c r="J157" s="173">
        <v>8.94</v>
      </c>
      <c r="K157" s="169">
        <v>3.72</v>
      </c>
      <c r="L157" s="169">
        <v>1.3</v>
      </c>
      <c r="M157" s="169">
        <v>0.24199999999999999</v>
      </c>
      <c r="N157" s="172">
        <v>0.74199999999999999</v>
      </c>
      <c r="O157" s="172">
        <v>0.33900000000000002</v>
      </c>
      <c r="P157" s="172">
        <v>0.111</v>
      </c>
      <c r="Q157" s="173">
        <v>93.2</v>
      </c>
      <c r="R157" s="173">
        <v>4.0999999999999996</v>
      </c>
      <c r="S157" s="169">
        <v>3.08</v>
      </c>
      <c r="T157" s="169">
        <v>4.28</v>
      </c>
      <c r="U157" s="169">
        <v>4.4000000000000004</v>
      </c>
      <c r="V157" s="173">
        <v>0.6</v>
      </c>
      <c r="W157" s="192"/>
      <c r="X157" s="192"/>
      <c r="Y157" s="192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</row>
    <row r="158" spans="1:37" ht="15.75" customHeight="1">
      <c r="A158" s="169">
        <v>153</v>
      </c>
      <c r="B158" s="170" t="s">
        <v>180</v>
      </c>
      <c r="C158" s="170" t="s">
        <v>49</v>
      </c>
      <c r="D158" s="169">
        <v>5</v>
      </c>
      <c r="E158" s="169">
        <v>5</v>
      </c>
      <c r="F158" s="169">
        <v>0</v>
      </c>
      <c r="G158" s="169">
        <v>24</v>
      </c>
      <c r="H158" s="169">
        <v>24</v>
      </c>
      <c r="I158" s="169">
        <v>119.2</v>
      </c>
      <c r="J158" s="173">
        <v>5.04</v>
      </c>
      <c r="K158" s="169">
        <v>3.61</v>
      </c>
      <c r="L158" s="169">
        <v>1.1299999999999999</v>
      </c>
      <c r="M158" s="169">
        <v>0.26200000000000001</v>
      </c>
      <c r="N158" s="172">
        <v>0.79700000000000004</v>
      </c>
      <c r="O158" s="172">
        <v>0.38800000000000001</v>
      </c>
      <c r="P158" s="172">
        <v>8.4000000000000005E-2</v>
      </c>
      <c r="Q158" s="173">
        <v>93.2</v>
      </c>
      <c r="R158" s="173">
        <v>3.69</v>
      </c>
      <c r="S158" s="169">
        <v>5.68</v>
      </c>
      <c r="T158" s="169">
        <v>5.04</v>
      </c>
      <c r="U158" s="169">
        <v>5.7</v>
      </c>
      <c r="V158" s="173">
        <v>0.6</v>
      </c>
      <c r="W158" s="192"/>
      <c r="X158" s="192"/>
      <c r="Y158" s="192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</row>
    <row r="159" spans="1:37" ht="15.75" customHeight="1">
      <c r="A159" s="169">
        <v>154</v>
      </c>
      <c r="B159" s="170" t="s">
        <v>159</v>
      </c>
      <c r="C159" s="170" t="s">
        <v>74</v>
      </c>
      <c r="D159" s="169">
        <v>2</v>
      </c>
      <c r="E159" s="169">
        <v>1</v>
      </c>
      <c r="F159" s="169">
        <v>0</v>
      </c>
      <c r="G159" s="169">
        <v>7</v>
      </c>
      <c r="H159" s="169">
        <v>7</v>
      </c>
      <c r="I159" s="169">
        <v>33.200000000000003</v>
      </c>
      <c r="J159" s="173">
        <v>9.6199999999999992</v>
      </c>
      <c r="K159" s="169">
        <v>3.74</v>
      </c>
      <c r="L159" s="169">
        <v>1.07</v>
      </c>
      <c r="M159" s="169">
        <v>0.25</v>
      </c>
      <c r="N159" s="172">
        <v>0.66800000000000004</v>
      </c>
      <c r="O159" s="172">
        <v>0.35199999999999998</v>
      </c>
      <c r="P159" s="172">
        <v>9.2999999999999999E-2</v>
      </c>
      <c r="Q159" s="173">
        <v>94.1</v>
      </c>
      <c r="R159" s="173">
        <v>4.01</v>
      </c>
      <c r="S159" s="169">
        <v>4.01</v>
      </c>
      <c r="T159" s="169">
        <v>4.07</v>
      </c>
      <c r="U159" s="169">
        <v>4.4800000000000004</v>
      </c>
      <c r="V159" s="173">
        <v>0.6</v>
      </c>
      <c r="W159" s="192"/>
      <c r="X159" s="192"/>
      <c r="Y159" s="192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</row>
    <row r="160" spans="1:37" ht="12.75" customHeight="1">
      <c r="A160" s="169">
        <v>155</v>
      </c>
      <c r="B160" s="170" t="s">
        <v>199</v>
      </c>
      <c r="C160" s="170" t="s">
        <v>93</v>
      </c>
      <c r="D160" s="169">
        <v>3</v>
      </c>
      <c r="E160" s="169">
        <v>1</v>
      </c>
      <c r="F160" s="169">
        <v>0</v>
      </c>
      <c r="G160" s="169">
        <v>5</v>
      </c>
      <c r="H160" s="169">
        <v>5</v>
      </c>
      <c r="I160" s="169">
        <v>29</v>
      </c>
      <c r="J160" s="173">
        <v>9.31</v>
      </c>
      <c r="K160" s="169">
        <v>1.24</v>
      </c>
      <c r="L160" s="169">
        <v>1.24</v>
      </c>
      <c r="M160" s="169">
        <v>0.28399999999999997</v>
      </c>
      <c r="N160" s="172">
        <v>0.73799999999999999</v>
      </c>
      <c r="O160" s="172">
        <v>0.5</v>
      </c>
      <c r="P160" s="172">
        <v>0.182</v>
      </c>
      <c r="Q160" s="173">
        <v>92.7</v>
      </c>
      <c r="R160" s="173">
        <v>3.72</v>
      </c>
      <c r="S160" s="169">
        <v>4.53</v>
      </c>
      <c r="T160" s="169">
        <v>3.39</v>
      </c>
      <c r="U160" s="169">
        <v>2.76</v>
      </c>
      <c r="V160" s="173">
        <v>0.6</v>
      </c>
      <c r="W160" s="192"/>
      <c r="X160" s="192"/>
      <c r="Y160" s="192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</row>
    <row r="161" spans="1:37" ht="12.75" customHeight="1">
      <c r="A161" s="169">
        <v>156</v>
      </c>
      <c r="B161" s="170" t="s">
        <v>117</v>
      </c>
      <c r="C161" s="170" t="s">
        <v>88</v>
      </c>
      <c r="D161" s="169">
        <v>9</v>
      </c>
      <c r="E161" s="169">
        <v>6</v>
      </c>
      <c r="F161" s="169">
        <v>0</v>
      </c>
      <c r="G161" s="169">
        <v>20</v>
      </c>
      <c r="H161" s="169">
        <v>20</v>
      </c>
      <c r="I161" s="169">
        <v>110.2</v>
      </c>
      <c r="J161" s="173">
        <v>6.75</v>
      </c>
      <c r="K161" s="169">
        <v>1.87</v>
      </c>
      <c r="L161" s="169">
        <v>1.87</v>
      </c>
      <c r="M161" s="169">
        <v>0.24099999999999999</v>
      </c>
      <c r="N161" s="172">
        <v>0.78200000000000003</v>
      </c>
      <c r="O161" s="172">
        <v>0.32900000000000001</v>
      </c>
      <c r="P161" s="172">
        <v>0.14899999999999999</v>
      </c>
      <c r="Q161" s="173">
        <v>92.4</v>
      </c>
      <c r="R161" s="173">
        <v>4.1500000000000004</v>
      </c>
      <c r="S161" s="169">
        <v>4.21</v>
      </c>
      <c r="T161" s="169">
        <v>4.97</v>
      </c>
      <c r="U161" s="169">
        <v>4.41</v>
      </c>
      <c r="V161" s="173">
        <v>0.6</v>
      </c>
      <c r="W161" s="192"/>
      <c r="X161" s="192"/>
      <c r="Y161" s="192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</row>
    <row r="162" spans="1:37" ht="12.75" customHeight="1">
      <c r="A162" s="169">
        <v>157</v>
      </c>
      <c r="B162" s="170" t="s">
        <v>123</v>
      </c>
      <c r="C162" s="178" t="s">
        <v>34</v>
      </c>
      <c r="D162" s="169">
        <v>9</v>
      </c>
      <c r="E162" s="169">
        <v>9</v>
      </c>
      <c r="F162" s="169">
        <v>0</v>
      </c>
      <c r="G162" s="169">
        <v>25</v>
      </c>
      <c r="H162" s="169">
        <v>25</v>
      </c>
      <c r="I162" s="169">
        <v>123</v>
      </c>
      <c r="J162" s="173">
        <v>9.44</v>
      </c>
      <c r="K162" s="169">
        <v>4.46</v>
      </c>
      <c r="L162" s="169">
        <v>1.39</v>
      </c>
      <c r="M162" s="169">
        <v>0.32800000000000001</v>
      </c>
      <c r="N162" s="172">
        <v>0.70199999999999996</v>
      </c>
      <c r="O162" s="172">
        <v>0.437</v>
      </c>
      <c r="P162" s="172">
        <v>0.153</v>
      </c>
      <c r="Q162" s="173">
        <v>94.2</v>
      </c>
      <c r="R162" s="173">
        <v>5.78</v>
      </c>
      <c r="S162" s="169">
        <v>4.54</v>
      </c>
      <c r="T162" s="169">
        <v>4.8600000000000003</v>
      </c>
      <c r="U162" s="169">
        <v>4.4000000000000004</v>
      </c>
      <c r="V162" s="173">
        <v>0.6</v>
      </c>
      <c r="W162" s="192"/>
      <c r="X162" s="192"/>
      <c r="Y162" s="192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</row>
    <row r="163" spans="1:37" ht="12.75" customHeight="1">
      <c r="A163" s="169">
        <v>158</v>
      </c>
      <c r="B163" s="170" t="s">
        <v>92</v>
      </c>
      <c r="C163" s="170" t="s">
        <v>93</v>
      </c>
      <c r="D163" s="169">
        <v>5</v>
      </c>
      <c r="E163" s="169">
        <v>3</v>
      </c>
      <c r="F163" s="169">
        <v>0</v>
      </c>
      <c r="G163" s="169">
        <v>15</v>
      </c>
      <c r="H163" s="169">
        <v>15</v>
      </c>
      <c r="I163" s="169">
        <v>79.099999999999994</v>
      </c>
      <c r="J163" s="173">
        <v>8.51</v>
      </c>
      <c r="K163" s="169">
        <v>2.5</v>
      </c>
      <c r="L163" s="169">
        <v>1.82</v>
      </c>
      <c r="M163" s="169">
        <v>0.26</v>
      </c>
      <c r="N163" s="172">
        <v>0.78200000000000003</v>
      </c>
      <c r="O163" s="172">
        <v>0.26300000000000001</v>
      </c>
      <c r="P163" s="172">
        <v>0.127</v>
      </c>
      <c r="Q163" s="173">
        <v>93.5</v>
      </c>
      <c r="R163" s="173">
        <v>4.3099999999999996</v>
      </c>
      <c r="S163" s="169">
        <v>4.26</v>
      </c>
      <c r="T163" s="169">
        <v>4.79</v>
      </c>
      <c r="U163" s="169">
        <v>4.5999999999999996</v>
      </c>
      <c r="V163" s="173">
        <v>0.6</v>
      </c>
      <c r="W163" s="192"/>
      <c r="X163" s="192"/>
      <c r="Y163" s="192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</row>
    <row r="164" spans="1:37" ht="12.75" customHeight="1">
      <c r="A164" s="169">
        <v>159</v>
      </c>
      <c r="B164" s="170" t="s">
        <v>37</v>
      </c>
      <c r="C164" s="170" t="s">
        <v>36</v>
      </c>
      <c r="D164" s="169">
        <v>3</v>
      </c>
      <c r="E164" s="169">
        <v>14</v>
      </c>
      <c r="F164" s="169">
        <v>0</v>
      </c>
      <c r="G164" s="169">
        <v>24</v>
      </c>
      <c r="H164" s="169">
        <v>24</v>
      </c>
      <c r="I164" s="169">
        <v>115</v>
      </c>
      <c r="J164" s="173">
        <v>6.03</v>
      </c>
      <c r="K164" s="169">
        <v>3.44</v>
      </c>
      <c r="L164" s="169">
        <v>1.49</v>
      </c>
      <c r="M164" s="169">
        <v>0.34899999999999998</v>
      </c>
      <c r="N164" s="172">
        <v>0.60399999999999998</v>
      </c>
      <c r="O164" s="172">
        <v>0.374</v>
      </c>
      <c r="P164" s="172">
        <v>0.11700000000000001</v>
      </c>
      <c r="Q164" s="173">
        <v>95</v>
      </c>
      <c r="R164" s="173">
        <v>6.65</v>
      </c>
      <c r="S164" s="169">
        <v>5.77</v>
      </c>
      <c r="T164" s="169">
        <v>5.23</v>
      </c>
      <c r="U164" s="169">
        <v>5.25</v>
      </c>
      <c r="V164" s="173">
        <v>0.6</v>
      </c>
      <c r="W164" s="192"/>
      <c r="X164" s="192"/>
      <c r="Y164" s="192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</row>
    <row r="165" spans="1:37" ht="15.75" customHeight="1">
      <c r="A165" s="169">
        <v>160</v>
      </c>
      <c r="B165" s="170" t="s">
        <v>972</v>
      </c>
      <c r="C165" s="170" t="s">
        <v>76</v>
      </c>
      <c r="D165" s="169">
        <v>3</v>
      </c>
      <c r="E165" s="169">
        <v>2</v>
      </c>
      <c r="F165" s="169">
        <v>0</v>
      </c>
      <c r="G165" s="169">
        <v>9</v>
      </c>
      <c r="H165" s="169">
        <v>9</v>
      </c>
      <c r="I165" s="169">
        <v>44.1</v>
      </c>
      <c r="J165" s="173">
        <v>8.5299999999999994</v>
      </c>
      <c r="K165" s="169">
        <v>4.26</v>
      </c>
      <c r="L165" s="169">
        <v>0.81</v>
      </c>
      <c r="M165" s="169">
        <v>0.30599999999999999</v>
      </c>
      <c r="N165" s="172">
        <v>0.753</v>
      </c>
      <c r="O165" s="172">
        <v>0.35399999999999998</v>
      </c>
      <c r="P165" s="172">
        <v>8.5000000000000006E-2</v>
      </c>
      <c r="Q165" s="173">
        <v>95.7</v>
      </c>
      <c r="R165" s="173">
        <v>3.86</v>
      </c>
      <c r="S165" s="169">
        <v>6.4</v>
      </c>
      <c r="T165" s="169">
        <v>3.91</v>
      </c>
      <c r="U165" s="169">
        <v>4.37</v>
      </c>
      <c r="V165" s="173">
        <v>0.6</v>
      </c>
      <c r="W165" s="192"/>
      <c r="X165" s="192"/>
      <c r="Y165" s="192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</row>
    <row r="166" spans="1:37" ht="15.75" customHeight="1">
      <c r="A166" s="169">
        <v>161</v>
      </c>
      <c r="B166" s="170" t="s">
        <v>114</v>
      </c>
      <c r="C166" s="170" t="s">
        <v>72</v>
      </c>
      <c r="D166" s="169">
        <v>10</v>
      </c>
      <c r="E166" s="169">
        <v>8</v>
      </c>
      <c r="F166" s="169">
        <v>0</v>
      </c>
      <c r="G166" s="169">
        <v>28</v>
      </c>
      <c r="H166" s="169">
        <v>28</v>
      </c>
      <c r="I166" s="169">
        <v>149.19999999999999</v>
      </c>
      <c r="J166" s="173">
        <v>6.01</v>
      </c>
      <c r="K166" s="169">
        <v>2.1</v>
      </c>
      <c r="L166" s="169">
        <v>1.68</v>
      </c>
      <c r="M166" s="169">
        <v>0.28499999999999998</v>
      </c>
      <c r="N166" s="172">
        <v>0.77100000000000002</v>
      </c>
      <c r="O166" s="172">
        <v>0.41</v>
      </c>
      <c r="P166" s="172">
        <v>0.14099999999999999</v>
      </c>
      <c r="Q166" s="173">
        <v>92.7</v>
      </c>
      <c r="R166" s="173">
        <v>4.3899999999999997</v>
      </c>
      <c r="S166" s="169">
        <v>5.78</v>
      </c>
      <c r="T166" s="169">
        <v>5.08</v>
      </c>
      <c r="U166" s="169">
        <v>4.68</v>
      </c>
      <c r="V166" s="173">
        <v>0.5</v>
      </c>
      <c r="W166" s="192"/>
      <c r="X166" s="192"/>
      <c r="Y166" s="192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</row>
    <row r="167" spans="1:37" ht="15.75" customHeight="1">
      <c r="A167" s="169">
        <v>162</v>
      </c>
      <c r="B167" s="170" t="s">
        <v>973</v>
      </c>
      <c r="C167" s="170" t="s">
        <v>132</v>
      </c>
      <c r="D167" s="169">
        <v>3</v>
      </c>
      <c r="E167" s="169">
        <v>3</v>
      </c>
      <c r="F167" s="169">
        <v>0</v>
      </c>
      <c r="G167" s="169">
        <v>10</v>
      </c>
      <c r="H167" s="169">
        <v>10</v>
      </c>
      <c r="I167" s="169">
        <v>48.2</v>
      </c>
      <c r="J167" s="173">
        <v>9.25</v>
      </c>
      <c r="K167" s="169">
        <v>2.96</v>
      </c>
      <c r="L167" s="169">
        <v>1.48</v>
      </c>
      <c r="M167" s="169">
        <v>0.23599999999999999</v>
      </c>
      <c r="N167" s="172">
        <v>0.65500000000000003</v>
      </c>
      <c r="O167" s="172">
        <v>0.3</v>
      </c>
      <c r="P167" s="172">
        <v>0.123</v>
      </c>
      <c r="Q167" s="173">
        <v>94.1</v>
      </c>
      <c r="R167" s="173">
        <v>4.4400000000000004</v>
      </c>
      <c r="S167" s="169">
        <v>5.0999999999999996</v>
      </c>
      <c r="T167" s="169">
        <v>4.46</v>
      </c>
      <c r="U167" s="169">
        <v>4.38</v>
      </c>
      <c r="V167" s="173">
        <v>0.5</v>
      </c>
      <c r="W167" s="192"/>
      <c r="X167" s="192"/>
      <c r="Y167" s="192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</row>
    <row r="168" spans="1:37" ht="15.75" customHeight="1">
      <c r="A168" s="169">
        <v>163</v>
      </c>
      <c r="B168" s="170" t="s">
        <v>103</v>
      </c>
      <c r="C168" s="178" t="s">
        <v>34</v>
      </c>
      <c r="D168" s="169">
        <v>8</v>
      </c>
      <c r="E168" s="169">
        <v>11</v>
      </c>
      <c r="F168" s="169">
        <v>0</v>
      </c>
      <c r="G168" s="169">
        <v>26</v>
      </c>
      <c r="H168" s="169">
        <v>26</v>
      </c>
      <c r="I168" s="169">
        <v>130</v>
      </c>
      <c r="J168" s="173">
        <v>7.82</v>
      </c>
      <c r="K168" s="169">
        <v>2.2799999999999998</v>
      </c>
      <c r="L168" s="169">
        <v>2.0099999999999998</v>
      </c>
      <c r="M168" s="169">
        <v>0.28499999999999998</v>
      </c>
      <c r="N168" s="172">
        <v>0.72899999999999998</v>
      </c>
      <c r="O168" s="172">
        <v>0.28399999999999997</v>
      </c>
      <c r="P168" s="172">
        <v>0.14099999999999999</v>
      </c>
      <c r="Q168" s="173">
        <v>92.3</v>
      </c>
      <c r="R168" s="173">
        <v>5.12</v>
      </c>
      <c r="S168" s="169">
        <v>4.3</v>
      </c>
      <c r="T168" s="169">
        <v>5.21</v>
      </c>
      <c r="U168" s="169">
        <v>4.74</v>
      </c>
      <c r="V168" s="173">
        <v>0.5</v>
      </c>
      <c r="W168" s="192"/>
      <c r="X168" s="192"/>
      <c r="Y168" s="192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</row>
    <row r="169" spans="1:37" ht="15.75" customHeight="1">
      <c r="A169" s="169">
        <v>164</v>
      </c>
      <c r="B169" s="170" t="s">
        <v>227</v>
      </c>
      <c r="C169" s="170" t="s">
        <v>72</v>
      </c>
      <c r="D169" s="169">
        <v>0</v>
      </c>
      <c r="E169" s="169">
        <v>1</v>
      </c>
      <c r="F169" s="169">
        <v>0</v>
      </c>
      <c r="G169" s="169">
        <v>3</v>
      </c>
      <c r="H169" s="169">
        <v>3</v>
      </c>
      <c r="I169" s="169">
        <v>17</v>
      </c>
      <c r="J169" s="173">
        <v>11.12</v>
      </c>
      <c r="K169" s="169">
        <v>2.12</v>
      </c>
      <c r="L169" s="169">
        <v>1.06</v>
      </c>
      <c r="M169" s="169">
        <v>0.26300000000000001</v>
      </c>
      <c r="N169" s="172">
        <v>0.83299999999999996</v>
      </c>
      <c r="O169" s="172">
        <v>0.35</v>
      </c>
      <c r="P169" s="172">
        <v>0.105</v>
      </c>
      <c r="Q169" s="173"/>
      <c r="R169" s="173">
        <v>2.65</v>
      </c>
      <c r="S169" s="169">
        <v>2.66</v>
      </c>
      <c r="T169" s="169">
        <v>2.91</v>
      </c>
      <c r="U169" s="169">
        <v>3.1</v>
      </c>
      <c r="V169" s="173">
        <v>0.5</v>
      </c>
      <c r="W169" s="192"/>
      <c r="X169" s="192"/>
      <c r="Y169" s="192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</row>
    <row r="170" spans="1:37" ht="15.75" customHeight="1">
      <c r="A170" s="169">
        <v>165</v>
      </c>
      <c r="B170" s="170" t="s">
        <v>974</v>
      </c>
      <c r="C170" s="170" t="s">
        <v>56</v>
      </c>
      <c r="D170" s="169">
        <v>3</v>
      </c>
      <c r="E170" s="169">
        <v>5</v>
      </c>
      <c r="F170" s="169">
        <v>0</v>
      </c>
      <c r="G170" s="169">
        <v>12</v>
      </c>
      <c r="H170" s="169">
        <v>12</v>
      </c>
      <c r="I170" s="169">
        <v>64.2</v>
      </c>
      <c r="J170" s="173">
        <v>9.4600000000000009</v>
      </c>
      <c r="K170" s="169">
        <v>2.78</v>
      </c>
      <c r="L170" s="169">
        <v>1.67</v>
      </c>
      <c r="M170" s="169">
        <v>0.32800000000000001</v>
      </c>
      <c r="N170" s="172">
        <v>0.71199999999999997</v>
      </c>
      <c r="O170" s="172">
        <v>0.49199999999999999</v>
      </c>
      <c r="P170" s="172">
        <v>0.19700000000000001</v>
      </c>
      <c r="Q170" s="173">
        <v>95.1</v>
      </c>
      <c r="R170" s="173">
        <v>4.7300000000000004</v>
      </c>
      <c r="S170" s="169">
        <v>4.88</v>
      </c>
      <c r="T170" s="169">
        <v>4.4800000000000004</v>
      </c>
      <c r="U170" s="169">
        <v>3.51</v>
      </c>
      <c r="V170" s="173">
        <v>0.5</v>
      </c>
      <c r="W170" s="192"/>
      <c r="X170" s="192"/>
      <c r="Y170" s="192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</row>
    <row r="171" spans="1:37" ht="15.75" customHeight="1">
      <c r="A171" s="169">
        <v>166</v>
      </c>
      <c r="B171" s="170" t="s">
        <v>81</v>
      </c>
      <c r="C171" s="170" t="s">
        <v>82</v>
      </c>
      <c r="D171" s="169">
        <v>2</v>
      </c>
      <c r="E171" s="169">
        <v>0</v>
      </c>
      <c r="F171" s="169">
        <v>0</v>
      </c>
      <c r="G171" s="169">
        <v>6</v>
      </c>
      <c r="H171" s="169">
        <v>6</v>
      </c>
      <c r="I171" s="169">
        <v>25.2</v>
      </c>
      <c r="J171" s="173">
        <v>10.17</v>
      </c>
      <c r="K171" s="169">
        <v>4.91</v>
      </c>
      <c r="L171" s="169">
        <v>0.7</v>
      </c>
      <c r="M171" s="169">
        <v>0.23</v>
      </c>
      <c r="N171" s="172">
        <v>0.78800000000000003</v>
      </c>
      <c r="O171" s="172">
        <v>0.30199999999999999</v>
      </c>
      <c r="P171" s="172">
        <v>6.7000000000000004E-2</v>
      </c>
      <c r="Q171" s="173">
        <v>95.2</v>
      </c>
      <c r="R171" s="173">
        <v>2.81</v>
      </c>
      <c r="S171" s="169">
        <v>2.99</v>
      </c>
      <c r="T171" s="169">
        <v>3.77</v>
      </c>
      <c r="U171" s="169">
        <v>4.55</v>
      </c>
      <c r="V171" s="173">
        <v>0.5</v>
      </c>
      <c r="W171" s="192"/>
      <c r="X171" s="192"/>
      <c r="Y171" s="192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</row>
    <row r="172" spans="1:37" ht="15.75" customHeight="1">
      <c r="A172" s="169">
        <v>167</v>
      </c>
      <c r="B172" s="170" t="s">
        <v>182</v>
      </c>
      <c r="C172" s="170" t="s">
        <v>68</v>
      </c>
      <c r="D172" s="169">
        <v>4</v>
      </c>
      <c r="E172" s="169">
        <v>9</v>
      </c>
      <c r="F172" s="169">
        <v>0</v>
      </c>
      <c r="G172" s="169">
        <v>15</v>
      </c>
      <c r="H172" s="169">
        <v>15</v>
      </c>
      <c r="I172" s="169">
        <v>81</v>
      </c>
      <c r="J172" s="173">
        <v>9.33</v>
      </c>
      <c r="K172" s="169">
        <v>2.89</v>
      </c>
      <c r="L172" s="169">
        <v>1.89</v>
      </c>
      <c r="M172" s="169">
        <v>0.32700000000000001</v>
      </c>
      <c r="N172" s="172">
        <v>0.624</v>
      </c>
      <c r="O172" s="172">
        <v>0.40799999999999997</v>
      </c>
      <c r="P172" s="172">
        <v>0.193</v>
      </c>
      <c r="Q172" s="173">
        <v>91.7</v>
      </c>
      <c r="R172" s="173">
        <v>6.44</v>
      </c>
      <c r="S172" s="169">
        <v>4.6900000000000004</v>
      </c>
      <c r="T172" s="169">
        <v>4.91</v>
      </c>
      <c r="U172" s="169">
        <v>3.85</v>
      </c>
      <c r="V172" s="173">
        <v>0.5</v>
      </c>
      <c r="W172" s="192"/>
      <c r="X172" s="192"/>
      <c r="Y172" s="192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</row>
    <row r="173" spans="1:37" ht="15.75" customHeight="1">
      <c r="A173" s="169">
        <v>168</v>
      </c>
      <c r="B173" s="170" t="s">
        <v>45</v>
      </c>
      <c r="C173" s="170" t="s">
        <v>46</v>
      </c>
      <c r="D173" s="169">
        <v>8</v>
      </c>
      <c r="E173" s="169">
        <v>7</v>
      </c>
      <c r="F173" s="169">
        <v>0</v>
      </c>
      <c r="G173" s="169">
        <v>26</v>
      </c>
      <c r="H173" s="169">
        <v>26</v>
      </c>
      <c r="I173" s="169">
        <v>145.1</v>
      </c>
      <c r="J173" s="173">
        <v>7.74</v>
      </c>
      <c r="K173" s="169">
        <v>3.41</v>
      </c>
      <c r="L173" s="169">
        <v>1.67</v>
      </c>
      <c r="M173" s="169">
        <v>0.26600000000000001</v>
      </c>
      <c r="N173" s="172">
        <v>0.79400000000000004</v>
      </c>
      <c r="O173" s="172">
        <v>0.39</v>
      </c>
      <c r="P173" s="172">
        <v>0.154</v>
      </c>
      <c r="Q173" s="173">
        <v>92</v>
      </c>
      <c r="R173" s="173">
        <v>4.1500000000000004</v>
      </c>
      <c r="S173" s="169">
        <v>5.32</v>
      </c>
      <c r="T173" s="169">
        <v>5.0999999999999996</v>
      </c>
      <c r="U173" s="169">
        <v>4.53</v>
      </c>
      <c r="V173" s="173">
        <v>0.5</v>
      </c>
      <c r="W173" s="192"/>
      <c r="X173" s="192"/>
      <c r="Y173" s="192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</row>
    <row r="174" spans="1:37" ht="15.75" customHeight="1">
      <c r="A174" s="169">
        <v>169</v>
      </c>
      <c r="B174" s="170" t="s">
        <v>975</v>
      </c>
      <c r="C174" s="170" t="s">
        <v>44</v>
      </c>
      <c r="D174" s="169">
        <v>2</v>
      </c>
      <c r="E174" s="169">
        <v>1</v>
      </c>
      <c r="F174" s="169">
        <v>0</v>
      </c>
      <c r="G174" s="169">
        <v>3</v>
      </c>
      <c r="H174" s="169">
        <v>3</v>
      </c>
      <c r="I174" s="169">
        <v>17</v>
      </c>
      <c r="J174" s="173">
        <v>9.5299999999999994</v>
      </c>
      <c r="K174" s="169">
        <v>1.06</v>
      </c>
      <c r="L174" s="169">
        <v>1.06</v>
      </c>
      <c r="M174" s="169">
        <v>0.26200000000000001</v>
      </c>
      <c r="N174" s="172">
        <v>0.73799999999999999</v>
      </c>
      <c r="O174" s="172">
        <v>0.47699999999999998</v>
      </c>
      <c r="P174" s="172">
        <v>0.105</v>
      </c>
      <c r="Q174" s="173">
        <v>96.8</v>
      </c>
      <c r="R174" s="173">
        <v>3.18</v>
      </c>
      <c r="S174" s="169">
        <v>3.02</v>
      </c>
      <c r="T174" s="169">
        <v>2.91</v>
      </c>
      <c r="U174" s="169">
        <v>3.1</v>
      </c>
      <c r="V174" s="173">
        <v>0.5</v>
      </c>
      <c r="W174" s="192"/>
      <c r="X174" s="192"/>
      <c r="Y174" s="192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</row>
    <row r="175" spans="1:37" ht="15.75" customHeight="1">
      <c r="A175" s="169">
        <v>170</v>
      </c>
      <c r="B175" s="170" t="s">
        <v>52</v>
      </c>
      <c r="C175" s="170" t="s">
        <v>53</v>
      </c>
      <c r="D175" s="169">
        <v>8</v>
      </c>
      <c r="E175" s="169">
        <v>10</v>
      </c>
      <c r="F175" s="169">
        <v>0</v>
      </c>
      <c r="G175" s="169">
        <v>29</v>
      </c>
      <c r="H175" s="169">
        <v>29</v>
      </c>
      <c r="I175" s="169">
        <v>146.1</v>
      </c>
      <c r="J175" s="173">
        <v>5.72</v>
      </c>
      <c r="K175" s="169">
        <v>2.09</v>
      </c>
      <c r="L175" s="169">
        <v>1.6</v>
      </c>
      <c r="M175" s="169">
        <v>0.28100000000000003</v>
      </c>
      <c r="N175" s="172">
        <v>0.71899999999999997</v>
      </c>
      <c r="O175" s="172">
        <v>0.39700000000000002</v>
      </c>
      <c r="P175" s="172">
        <v>0.123</v>
      </c>
      <c r="Q175" s="173">
        <v>92.9</v>
      </c>
      <c r="R175" s="173">
        <v>4.8</v>
      </c>
      <c r="S175" s="169">
        <v>5.37</v>
      </c>
      <c r="T175" s="169">
        <v>4.9400000000000004</v>
      </c>
      <c r="U175" s="169">
        <v>4.8600000000000003</v>
      </c>
      <c r="V175" s="173">
        <v>0.5</v>
      </c>
      <c r="W175" s="192"/>
      <c r="X175" s="192"/>
      <c r="Y175" s="192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</row>
    <row r="176" spans="1:37" ht="15.75" customHeight="1">
      <c r="A176" s="169">
        <v>171</v>
      </c>
      <c r="B176" s="170" t="s">
        <v>976</v>
      </c>
      <c r="C176" s="178" t="s">
        <v>34</v>
      </c>
      <c r="D176" s="169">
        <v>7</v>
      </c>
      <c r="E176" s="169">
        <v>6</v>
      </c>
      <c r="F176" s="169">
        <v>0</v>
      </c>
      <c r="G176" s="169">
        <v>24</v>
      </c>
      <c r="H176" s="169">
        <v>24</v>
      </c>
      <c r="I176" s="169">
        <v>121.1</v>
      </c>
      <c r="J176" s="173">
        <v>5.71</v>
      </c>
      <c r="K176" s="169">
        <v>3.26</v>
      </c>
      <c r="L176" s="169">
        <v>1.41</v>
      </c>
      <c r="M176" s="169">
        <v>0.245</v>
      </c>
      <c r="N176" s="172">
        <v>0.71499999999999997</v>
      </c>
      <c r="O176" s="172">
        <v>0.35899999999999999</v>
      </c>
      <c r="P176" s="172">
        <v>0.11700000000000001</v>
      </c>
      <c r="Q176" s="173">
        <v>92.3</v>
      </c>
      <c r="R176" s="173">
        <v>4.1500000000000004</v>
      </c>
      <c r="S176" s="169">
        <v>4.91</v>
      </c>
      <c r="T176" s="169">
        <v>5.03</v>
      </c>
      <c r="U176" s="169">
        <v>5.04</v>
      </c>
      <c r="V176" s="173">
        <v>0.4</v>
      </c>
      <c r="W176" s="192"/>
      <c r="X176" s="192"/>
      <c r="Y176" s="192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</row>
    <row r="177" spans="1:37" ht="15.75" customHeight="1">
      <c r="A177" s="169">
        <v>172</v>
      </c>
      <c r="B177" s="170" t="s">
        <v>158</v>
      </c>
      <c r="C177" s="170" t="s">
        <v>80</v>
      </c>
      <c r="D177" s="169">
        <v>6</v>
      </c>
      <c r="E177" s="169">
        <v>6</v>
      </c>
      <c r="F177" s="169">
        <v>0</v>
      </c>
      <c r="G177" s="169">
        <v>21</v>
      </c>
      <c r="H177" s="169">
        <v>21</v>
      </c>
      <c r="I177" s="169">
        <v>121</v>
      </c>
      <c r="J177" s="173">
        <v>7.29</v>
      </c>
      <c r="K177" s="169">
        <v>2.23</v>
      </c>
      <c r="L177" s="169">
        <v>1.71</v>
      </c>
      <c r="M177" s="169">
        <v>0.27100000000000002</v>
      </c>
      <c r="N177" s="172">
        <v>0.749</v>
      </c>
      <c r="O177" s="172">
        <v>0.41199999999999998</v>
      </c>
      <c r="P177" s="172">
        <v>0.16</v>
      </c>
      <c r="Q177" s="173">
        <v>94.3</v>
      </c>
      <c r="R177" s="173">
        <v>4.3899999999999997</v>
      </c>
      <c r="S177" s="169">
        <v>5.66</v>
      </c>
      <c r="T177" s="169">
        <v>4.82</v>
      </c>
      <c r="U177" s="169">
        <v>4.17</v>
      </c>
      <c r="V177" s="173">
        <v>0.4</v>
      </c>
      <c r="W177" s="192"/>
      <c r="X177" s="192"/>
      <c r="Y177" s="192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</row>
    <row r="178" spans="1:37" ht="15.75" customHeight="1">
      <c r="A178" s="169">
        <v>173</v>
      </c>
      <c r="B178" s="170" t="s">
        <v>144</v>
      </c>
      <c r="C178" s="170" t="s">
        <v>91</v>
      </c>
      <c r="D178" s="169">
        <v>0</v>
      </c>
      <c r="E178" s="169">
        <v>1</v>
      </c>
      <c r="F178" s="169">
        <v>0</v>
      </c>
      <c r="G178" s="169">
        <v>2</v>
      </c>
      <c r="H178" s="169">
        <v>2</v>
      </c>
      <c r="I178" s="169">
        <v>12</v>
      </c>
      <c r="J178" s="173">
        <v>7.5</v>
      </c>
      <c r="K178" s="169">
        <v>3</v>
      </c>
      <c r="L178" s="169">
        <v>0</v>
      </c>
      <c r="M178" s="169">
        <v>0.27300000000000002</v>
      </c>
      <c r="N178" s="172">
        <v>0.76900000000000002</v>
      </c>
      <c r="O178" s="172">
        <v>0.42399999999999999</v>
      </c>
      <c r="P178" s="172">
        <v>0</v>
      </c>
      <c r="Q178" s="173">
        <v>95.9</v>
      </c>
      <c r="R178" s="173">
        <v>2.25</v>
      </c>
      <c r="S178" s="169">
        <v>3.31</v>
      </c>
      <c r="T178" s="169">
        <v>2.48</v>
      </c>
      <c r="U178" s="169">
        <v>3.5</v>
      </c>
      <c r="V178" s="173">
        <v>0.4</v>
      </c>
      <c r="W178" s="192"/>
      <c r="X178" s="192"/>
      <c r="Y178" s="192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</row>
    <row r="179" spans="1:37" ht="15.75" customHeight="1">
      <c r="A179" s="169">
        <v>174</v>
      </c>
      <c r="B179" s="170" t="s">
        <v>94</v>
      </c>
      <c r="C179" s="170" t="s">
        <v>64</v>
      </c>
      <c r="D179" s="169">
        <v>1</v>
      </c>
      <c r="E179" s="169">
        <v>3</v>
      </c>
      <c r="F179" s="169">
        <v>0</v>
      </c>
      <c r="G179" s="169">
        <v>6</v>
      </c>
      <c r="H179" s="169">
        <v>6</v>
      </c>
      <c r="I179" s="169">
        <v>26.1</v>
      </c>
      <c r="J179" s="173">
        <v>8.89</v>
      </c>
      <c r="K179" s="169">
        <v>4.4400000000000004</v>
      </c>
      <c r="L179" s="169">
        <v>1.03</v>
      </c>
      <c r="M179" s="169">
        <v>0.25700000000000001</v>
      </c>
      <c r="N179" s="172">
        <v>0.61699999999999999</v>
      </c>
      <c r="O179" s="172">
        <v>0.28799999999999998</v>
      </c>
      <c r="P179" s="172">
        <v>7.6999999999999999E-2</v>
      </c>
      <c r="Q179" s="173">
        <v>92.8</v>
      </c>
      <c r="R179" s="173">
        <v>4.78</v>
      </c>
      <c r="S179" s="169">
        <v>3.36</v>
      </c>
      <c r="T179" s="169">
        <v>4.25</v>
      </c>
      <c r="U179" s="169">
        <v>5.04</v>
      </c>
      <c r="V179" s="173">
        <v>0.4</v>
      </c>
      <c r="W179" s="192"/>
      <c r="X179" s="192"/>
      <c r="Y179" s="192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</row>
    <row r="180" spans="1:37" ht="15.75" customHeight="1">
      <c r="A180" s="169">
        <v>175</v>
      </c>
      <c r="B180" s="170" t="s">
        <v>977</v>
      </c>
      <c r="C180" s="170" t="s">
        <v>36</v>
      </c>
      <c r="D180" s="169">
        <v>0</v>
      </c>
      <c r="E180" s="169">
        <v>2</v>
      </c>
      <c r="F180" s="169">
        <v>0</v>
      </c>
      <c r="G180" s="169">
        <v>6</v>
      </c>
      <c r="H180" s="169">
        <v>6</v>
      </c>
      <c r="I180" s="169">
        <v>30.1</v>
      </c>
      <c r="J180" s="173">
        <v>7.42</v>
      </c>
      <c r="K180" s="169">
        <v>3.56</v>
      </c>
      <c r="L180" s="169">
        <v>1.19</v>
      </c>
      <c r="M180" s="169">
        <v>0.309</v>
      </c>
      <c r="N180" s="172">
        <v>0.71099999999999997</v>
      </c>
      <c r="O180" s="172">
        <v>0.48499999999999999</v>
      </c>
      <c r="P180" s="172">
        <v>0.111</v>
      </c>
      <c r="Q180" s="173">
        <v>94.1</v>
      </c>
      <c r="R180" s="173">
        <v>4.75</v>
      </c>
      <c r="S180" s="169">
        <v>3.26</v>
      </c>
      <c r="T180" s="169">
        <v>4.4000000000000004</v>
      </c>
      <c r="U180" s="169">
        <v>4.51</v>
      </c>
      <c r="V180" s="173">
        <v>0.4</v>
      </c>
      <c r="W180" s="192"/>
      <c r="X180" s="192"/>
      <c r="Y180" s="192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</row>
    <row r="181" spans="1:37" ht="15.75" customHeight="1">
      <c r="A181" s="169">
        <v>176</v>
      </c>
      <c r="B181" s="170" t="s">
        <v>128</v>
      </c>
      <c r="C181" s="170" t="s">
        <v>60</v>
      </c>
      <c r="D181" s="169">
        <v>4</v>
      </c>
      <c r="E181" s="169">
        <v>1</v>
      </c>
      <c r="F181" s="169">
        <v>0</v>
      </c>
      <c r="G181" s="169">
        <v>7</v>
      </c>
      <c r="H181" s="169">
        <v>7</v>
      </c>
      <c r="I181" s="169">
        <v>36</v>
      </c>
      <c r="J181" s="173">
        <v>8.5</v>
      </c>
      <c r="K181" s="169">
        <v>3.25</v>
      </c>
      <c r="L181" s="169">
        <v>1.5</v>
      </c>
      <c r="M181" s="169">
        <v>0.20899999999999999</v>
      </c>
      <c r="N181" s="172">
        <v>0.88200000000000001</v>
      </c>
      <c r="O181" s="172">
        <v>0.34</v>
      </c>
      <c r="P181" s="172">
        <v>0.14599999999999999</v>
      </c>
      <c r="Q181" s="173">
        <v>97.3</v>
      </c>
      <c r="R181" s="173">
        <v>3</v>
      </c>
      <c r="S181" s="169">
        <v>4.3600000000000003</v>
      </c>
      <c r="T181" s="169">
        <v>4.59</v>
      </c>
      <c r="U181" s="169">
        <v>4.17</v>
      </c>
      <c r="V181" s="173">
        <v>0.4</v>
      </c>
      <c r="W181" s="192"/>
      <c r="X181" s="192"/>
      <c r="Y181" s="192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</row>
    <row r="182" spans="1:37" ht="15.75" customHeight="1">
      <c r="A182" s="169">
        <v>177</v>
      </c>
      <c r="B182" s="170" t="s">
        <v>978</v>
      </c>
      <c r="C182" s="170" t="s">
        <v>80</v>
      </c>
      <c r="D182" s="169">
        <v>2</v>
      </c>
      <c r="E182" s="169">
        <v>2</v>
      </c>
      <c r="F182" s="169">
        <v>0</v>
      </c>
      <c r="G182" s="169">
        <v>9</v>
      </c>
      <c r="H182" s="169">
        <v>9</v>
      </c>
      <c r="I182" s="169">
        <v>44.2</v>
      </c>
      <c r="J182" s="173">
        <v>5.84</v>
      </c>
      <c r="K182" s="169">
        <v>3.02</v>
      </c>
      <c r="L182" s="169">
        <v>1.21</v>
      </c>
      <c r="M182" s="169">
        <v>0.25</v>
      </c>
      <c r="N182" s="172">
        <v>0.83</v>
      </c>
      <c r="O182" s="172">
        <v>0.29099999999999998</v>
      </c>
      <c r="P182" s="172">
        <v>8.5999999999999993E-2</v>
      </c>
      <c r="Q182" s="173">
        <v>90.2</v>
      </c>
      <c r="R182" s="173">
        <v>3.22</v>
      </c>
      <c r="S182" s="169">
        <v>4.62</v>
      </c>
      <c r="T182" s="169">
        <v>4.5999999999999996</v>
      </c>
      <c r="U182" s="169">
        <v>5.26</v>
      </c>
      <c r="V182" s="173">
        <v>0.4</v>
      </c>
      <c r="W182" s="192"/>
      <c r="X182" s="192"/>
      <c r="Y182" s="192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</row>
    <row r="183" spans="1:37" ht="15.75" customHeight="1">
      <c r="A183" s="169">
        <v>178</v>
      </c>
      <c r="B183" s="170" t="s">
        <v>33</v>
      </c>
      <c r="C183" s="178" t="s">
        <v>34</v>
      </c>
      <c r="D183" s="169">
        <v>4</v>
      </c>
      <c r="E183" s="169">
        <v>12</v>
      </c>
      <c r="F183" s="169">
        <v>0</v>
      </c>
      <c r="G183" s="169">
        <v>26</v>
      </c>
      <c r="H183" s="169">
        <v>26</v>
      </c>
      <c r="I183" s="169">
        <v>117.2</v>
      </c>
      <c r="J183" s="173">
        <v>6.5</v>
      </c>
      <c r="K183" s="169">
        <v>2.68</v>
      </c>
      <c r="L183" s="169">
        <v>1.68</v>
      </c>
      <c r="M183" s="169">
        <v>0.311</v>
      </c>
      <c r="N183" s="172">
        <v>0.65400000000000003</v>
      </c>
      <c r="O183" s="172">
        <v>0.33900000000000002</v>
      </c>
      <c r="P183" s="172">
        <v>0.13300000000000001</v>
      </c>
      <c r="Q183" s="173">
        <v>93.6</v>
      </c>
      <c r="R183" s="173">
        <v>6.04</v>
      </c>
      <c r="S183" s="169">
        <v>5.97</v>
      </c>
      <c r="T183" s="169">
        <v>5.15</v>
      </c>
      <c r="U183" s="169">
        <v>4.8899999999999997</v>
      </c>
      <c r="V183" s="173">
        <v>0.4</v>
      </c>
      <c r="W183" s="192"/>
      <c r="X183" s="192"/>
      <c r="Y183" s="192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</row>
    <row r="184" spans="1:37" ht="15.75" customHeight="1">
      <c r="A184" s="169">
        <v>179</v>
      </c>
      <c r="B184" s="170" t="s">
        <v>110</v>
      </c>
      <c r="C184" s="170" t="s">
        <v>66</v>
      </c>
      <c r="D184" s="169">
        <v>2</v>
      </c>
      <c r="E184" s="169">
        <v>0</v>
      </c>
      <c r="F184" s="169">
        <v>0</v>
      </c>
      <c r="G184" s="169">
        <v>5</v>
      </c>
      <c r="H184" s="169">
        <v>5</v>
      </c>
      <c r="I184" s="169">
        <v>26</v>
      </c>
      <c r="J184" s="173">
        <v>5.88</v>
      </c>
      <c r="K184" s="169">
        <v>1.38</v>
      </c>
      <c r="L184" s="169">
        <v>1.04</v>
      </c>
      <c r="M184" s="169">
        <v>0.28599999999999998</v>
      </c>
      <c r="N184" s="172">
        <v>0.68300000000000005</v>
      </c>
      <c r="O184" s="172">
        <v>0.40500000000000003</v>
      </c>
      <c r="P184" s="172">
        <v>0.1</v>
      </c>
      <c r="Q184" s="173">
        <v>89</v>
      </c>
      <c r="R184" s="173">
        <v>3.12</v>
      </c>
      <c r="S184" s="169">
        <v>3.99</v>
      </c>
      <c r="T184" s="169">
        <v>3.92</v>
      </c>
      <c r="U184" s="169">
        <v>4.1900000000000004</v>
      </c>
      <c r="V184" s="173">
        <v>0.4</v>
      </c>
      <c r="W184" s="192"/>
      <c r="X184" s="192"/>
      <c r="Y184" s="192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</row>
    <row r="185" spans="1:37" ht="15.75" customHeight="1">
      <c r="A185" s="169">
        <v>180</v>
      </c>
      <c r="B185" s="170" t="s">
        <v>979</v>
      </c>
      <c r="C185" s="170" t="s">
        <v>56</v>
      </c>
      <c r="D185" s="169">
        <v>2</v>
      </c>
      <c r="E185" s="169">
        <v>1</v>
      </c>
      <c r="F185" s="169">
        <v>0</v>
      </c>
      <c r="G185" s="169">
        <v>6</v>
      </c>
      <c r="H185" s="169">
        <v>6</v>
      </c>
      <c r="I185" s="169">
        <v>29.2</v>
      </c>
      <c r="J185" s="173">
        <v>8.19</v>
      </c>
      <c r="K185" s="169">
        <v>2.4300000000000002</v>
      </c>
      <c r="L185" s="169">
        <v>1.21</v>
      </c>
      <c r="M185" s="169">
        <v>0.23499999999999999</v>
      </c>
      <c r="N185" s="172">
        <v>0.75800000000000001</v>
      </c>
      <c r="O185" s="172">
        <v>0.45200000000000001</v>
      </c>
      <c r="P185" s="172">
        <v>0.121</v>
      </c>
      <c r="Q185" s="173">
        <v>97</v>
      </c>
      <c r="R185" s="173">
        <v>2.73</v>
      </c>
      <c r="S185" s="169">
        <v>3.04</v>
      </c>
      <c r="T185" s="169">
        <v>3.99</v>
      </c>
      <c r="U185" s="169">
        <v>3.94</v>
      </c>
      <c r="V185" s="173">
        <v>0.3</v>
      </c>
      <c r="W185" s="192"/>
      <c r="X185" s="192"/>
      <c r="Y185" s="192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</row>
    <row r="186" spans="1:37" ht="15.75" customHeight="1">
      <c r="A186" s="169">
        <v>181</v>
      </c>
      <c r="B186" s="170" t="s">
        <v>211</v>
      </c>
      <c r="C186" s="170" t="s">
        <v>91</v>
      </c>
      <c r="D186" s="169">
        <v>1</v>
      </c>
      <c r="E186" s="169">
        <v>2</v>
      </c>
      <c r="F186" s="169">
        <v>0</v>
      </c>
      <c r="G186" s="169">
        <v>10</v>
      </c>
      <c r="H186" s="169">
        <v>10</v>
      </c>
      <c r="I186" s="169">
        <v>46.2</v>
      </c>
      <c r="J186" s="173">
        <v>10.99</v>
      </c>
      <c r="K186" s="169">
        <v>1.93</v>
      </c>
      <c r="L186" s="169">
        <v>1.93</v>
      </c>
      <c r="M186" s="169">
        <v>0.308</v>
      </c>
      <c r="N186" s="172">
        <v>0.66</v>
      </c>
      <c r="O186" s="172">
        <v>0.37</v>
      </c>
      <c r="P186" s="172">
        <v>0.192</v>
      </c>
      <c r="Q186" s="173">
        <v>91.5</v>
      </c>
      <c r="R186" s="173">
        <v>5.98</v>
      </c>
      <c r="S186" s="169">
        <v>4.54</v>
      </c>
      <c r="T186" s="169">
        <v>4.58</v>
      </c>
      <c r="U186" s="169">
        <v>3.51</v>
      </c>
      <c r="V186" s="173">
        <v>0.3</v>
      </c>
      <c r="W186" s="192"/>
      <c r="X186" s="192"/>
      <c r="Y186" s="192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</row>
    <row r="187" spans="1:37" ht="15.75" customHeight="1">
      <c r="A187" s="169">
        <v>182</v>
      </c>
      <c r="B187" s="170" t="s">
        <v>163</v>
      </c>
      <c r="C187" s="170" t="s">
        <v>60</v>
      </c>
      <c r="D187" s="169">
        <v>3</v>
      </c>
      <c r="E187" s="169">
        <v>6</v>
      </c>
      <c r="F187" s="169">
        <v>0</v>
      </c>
      <c r="G187" s="169">
        <v>14</v>
      </c>
      <c r="H187" s="169">
        <v>14</v>
      </c>
      <c r="I187" s="169">
        <v>65.099999999999994</v>
      </c>
      <c r="J187" s="173">
        <v>10.06</v>
      </c>
      <c r="K187" s="169">
        <v>3.31</v>
      </c>
      <c r="L187" s="169">
        <v>1.93</v>
      </c>
      <c r="M187" s="169">
        <v>0.316</v>
      </c>
      <c r="N187" s="172">
        <v>0.78800000000000003</v>
      </c>
      <c r="O187" s="172">
        <v>0.54600000000000004</v>
      </c>
      <c r="P187" s="172">
        <v>0.28000000000000003</v>
      </c>
      <c r="Q187" s="173"/>
      <c r="R187" s="173">
        <v>4.82</v>
      </c>
      <c r="S187" s="169">
        <v>4.55</v>
      </c>
      <c r="T187" s="169">
        <v>5.03</v>
      </c>
      <c r="U187" s="169">
        <v>3.42</v>
      </c>
      <c r="V187" s="173">
        <v>0.3</v>
      </c>
      <c r="W187" s="192"/>
      <c r="X187" s="192"/>
      <c r="Y187" s="192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</row>
    <row r="188" spans="1:37" ht="15.75" customHeight="1">
      <c r="A188" s="169">
        <v>183</v>
      </c>
      <c r="B188" s="170" t="s">
        <v>831</v>
      </c>
      <c r="C188" s="170" t="s">
        <v>42</v>
      </c>
      <c r="D188" s="169">
        <v>3</v>
      </c>
      <c r="E188" s="169">
        <v>1</v>
      </c>
      <c r="F188" s="169">
        <v>0</v>
      </c>
      <c r="G188" s="169">
        <v>8</v>
      </c>
      <c r="H188" s="169">
        <v>8</v>
      </c>
      <c r="I188" s="169">
        <v>40</v>
      </c>
      <c r="J188" s="173">
        <v>7.43</v>
      </c>
      <c r="K188" s="169">
        <v>2.48</v>
      </c>
      <c r="L188" s="169">
        <v>1.58</v>
      </c>
      <c r="M188" s="169">
        <v>0.248</v>
      </c>
      <c r="N188" s="172">
        <v>0.80100000000000005</v>
      </c>
      <c r="O188" s="172">
        <v>0.39100000000000001</v>
      </c>
      <c r="P188" s="172">
        <v>0.13500000000000001</v>
      </c>
      <c r="Q188" s="173">
        <v>88.2</v>
      </c>
      <c r="R188" s="173">
        <v>3.83</v>
      </c>
      <c r="S188" s="169">
        <v>3.78</v>
      </c>
      <c r="T188" s="169">
        <v>4.67</v>
      </c>
      <c r="U188" s="169">
        <v>4.3899999999999997</v>
      </c>
      <c r="V188" s="173">
        <v>0.3</v>
      </c>
      <c r="W188" s="192"/>
      <c r="X188" s="192"/>
      <c r="Y188" s="192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</row>
    <row r="189" spans="1:37" ht="15.75" customHeight="1">
      <c r="A189" s="169">
        <v>184</v>
      </c>
      <c r="B189" s="170" t="s">
        <v>119</v>
      </c>
      <c r="C189" s="170" t="s">
        <v>58</v>
      </c>
      <c r="D189" s="169">
        <v>1</v>
      </c>
      <c r="E189" s="169">
        <v>0</v>
      </c>
      <c r="F189" s="169">
        <v>0</v>
      </c>
      <c r="G189" s="169">
        <v>3</v>
      </c>
      <c r="H189" s="169">
        <v>3</v>
      </c>
      <c r="I189" s="169">
        <v>15.2</v>
      </c>
      <c r="J189" s="173">
        <v>6.32</v>
      </c>
      <c r="K189" s="169">
        <v>3.45</v>
      </c>
      <c r="L189" s="169">
        <v>0.56999999999999995</v>
      </c>
      <c r="M189" s="169">
        <v>0.13600000000000001</v>
      </c>
      <c r="N189" s="172">
        <v>0.94799999999999995</v>
      </c>
      <c r="O189" s="172">
        <v>0.56799999999999995</v>
      </c>
      <c r="P189" s="172">
        <v>6.3E-2</v>
      </c>
      <c r="Q189" s="173">
        <v>91.1</v>
      </c>
      <c r="R189" s="173">
        <v>1.1499999999999999</v>
      </c>
      <c r="S189" s="169">
        <v>2.4700000000000002</v>
      </c>
      <c r="T189" s="169">
        <v>3.72</v>
      </c>
      <c r="U189" s="169">
        <v>4.46</v>
      </c>
      <c r="V189" s="173">
        <v>0.3</v>
      </c>
      <c r="W189" s="192"/>
      <c r="X189" s="192"/>
      <c r="Y189" s="192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</row>
    <row r="190" spans="1:37" ht="15.75" customHeight="1">
      <c r="A190" s="169">
        <v>185</v>
      </c>
      <c r="B190" s="170" t="s">
        <v>197</v>
      </c>
      <c r="C190" s="170" t="s">
        <v>49</v>
      </c>
      <c r="D190" s="169">
        <v>4</v>
      </c>
      <c r="E190" s="169">
        <v>5</v>
      </c>
      <c r="F190" s="169">
        <v>0</v>
      </c>
      <c r="G190" s="169">
        <v>13</v>
      </c>
      <c r="H190" s="169">
        <v>13</v>
      </c>
      <c r="I190" s="169">
        <v>62.1</v>
      </c>
      <c r="J190" s="173">
        <v>8.66</v>
      </c>
      <c r="K190" s="169">
        <v>2.4500000000000002</v>
      </c>
      <c r="L190" s="169">
        <v>1.73</v>
      </c>
      <c r="M190" s="169">
        <v>0.25900000000000001</v>
      </c>
      <c r="N190" s="172">
        <v>0.61499999999999999</v>
      </c>
      <c r="O190" s="172">
        <v>0.41599999999999998</v>
      </c>
      <c r="P190" s="172">
        <v>0.16400000000000001</v>
      </c>
      <c r="Q190" s="173">
        <v>93.8</v>
      </c>
      <c r="R190" s="173">
        <v>5.63</v>
      </c>
      <c r="S190" s="169">
        <v>3.3</v>
      </c>
      <c r="T190" s="169">
        <v>4.83</v>
      </c>
      <c r="U190" s="169">
        <v>4.13</v>
      </c>
      <c r="V190" s="173">
        <v>0.3</v>
      </c>
      <c r="W190" s="192"/>
      <c r="X190" s="192"/>
      <c r="Y190" s="192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</row>
    <row r="191" spans="1:37" ht="15.75" customHeight="1">
      <c r="A191" s="169">
        <v>186</v>
      </c>
      <c r="B191" s="170" t="s">
        <v>980</v>
      </c>
      <c r="C191" s="178" t="s">
        <v>34</v>
      </c>
      <c r="D191" s="169">
        <v>1</v>
      </c>
      <c r="E191" s="169">
        <v>2</v>
      </c>
      <c r="F191" s="169">
        <v>0</v>
      </c>
      <c r="G191" s="169">
        <v>5</v>
      </c>
      <c r="H191" s="169">
        <v>5</v>
      </c>
      <c r="I191" s="169">
        <v>17.100000000000001</v>
      </c>
      <c r="J191" s="173">
        <v>7.79</v>
      </c>
      <c r="K191" s="169">
        <v>4.67</v>
      </c>
      <c r="L191" s="169">
        <v>0.52</v>
      </c>
      <c r="M191" s="169">
        <v>0.30399999999999999</v>
      </c>
      <c r="N191" s="172">
        <v>0.52600000000000002</v>
      </c>
      <c r="O191" s="172">
        <v>0.25900000000000001</v>
      </c>
      <c r="P191" s="172">
        <v>4.2999999999999997E-2</v>
      </c>
      <c r="Q191" s="173">
        <v>90.3</v>
      </c>
      <c r="R191" s="173">
        <v>5.19</v>
      </c>
      <c r="S191" s="169">
        <v>5.28</v>
      </c>
      <c r="T191" s="169">
        <v>3.9</v>
      </c>
      <c r="U191" s="169">
        <v>5.18</v>
      </c>
      <c r="V191" s="173">
        <v>0.3</v>
      </c>
      <c r="W191" s="192"/>
      <c r="X191" s="192"/>
      <c r="Y191" s="192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</row>
    <row r="192" spans="1:37" ht="15.75" customHeight="1">
      <c r="A192" s="169">
        <v>187</v>
      </c>
      <c r="B192" s="170" t="s">
        <v>981</v>
      </c>
      <c r="C192" s="170" t="s">
        <v>86</v>
      </c>
      <c r="D192" s="169">
        <v>4</v>
      </c>
      <c r="E192" s="169">
        <v>5</v>
      </c>
      <c r="F192" s="169">
        <v>0</v>
      </c>
      <c r="G192" s="169">
        <v>14</v>
      </c>
      <c r="H192" s="169">
        <v>14</v>
      </c>
      <c r="I192" s="169">
        <v>64.099999999999994</v>
      </c>
      <c r="J192" s="173">
        <v>7.83</v>
      </c>
      <c r="K192" s="169">
        <v>3.22</v>
      </c>
      <c r="L192" s="169">
        <v>1.54</v>
      </c>
      <c r="M192" s="169">
        <v>0.311</v>
      </c>
      <c r="N192" s="172">
        <v>0.67800000000000005</v>
      </c>
      <c r="O192" s="172">
        <v>0.48299999999999998</v>
      </c>
      <c r="P192" s="172">
        <v>0.17699999999999999</v>
      </c>
      <c r="Q192" s="173">
        <v>95.9</v>
      </c>
      <c r="R192" s="173">
        <v>5.74</v>
      </c>
      <c r="S192" s="169">
        <v>5.79</v>
      </c>
      <c r="T192" s="169">
        <v>4.8899999999999997</v>
      </c>
      <c r="U192" s="169">
        <v>4.1399999999999997</v>
      </c>
      <c r="V192" s="173">
        <v>0.3</v>
      </c>
      <c r="W192" s="192"/>
      <c r="X192" s="192"/>
      <c r="Y192" s="192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</row>
    <row r="193" spans="1:37" ht="15.75" customHeight="1">
      <c r="A193" s="169">
        <v>188</v>
      </c>
      <c r="B193" s="170" t="s">
        <v>982</v>
      </c>
      <c r="C193" s="170" t="s">
        <v>56</v>
      </c>
      <c r="D193" s="169">
        <v>0</v>
      </c>
      <c r="E193" s="169">
        <v>3</v>
      </c>
      <c r="F193" s="169">
        <v>0</v>
      </c>
      <c r="G193" s="169">
        <v>6</v>
      </c>
      <c r="H193" s="169">
        <v>6</v>
      </c>
      <c r="I193" s="169">
        <v>25</v>
      </c>
      <c r="J193" s="173">
        <v>6.48</v>
      </c>
      <c r="K193" s="169">
        <v>3.96</v>
      </c>
      <c r="L193" s="169">
        <v>1.08</v>
      </c>
      <c r="M193" s="169">
        <v>0.26400000000000001</v>
      </c>
      <c r="N193" s="172">
        <v>0.77900000000000003</v>
      </c>
      <c r="O193" s="172">
        <v>0.28399999999999997</v>
      </c>
      <c r="P193" s="172">
        <v>7.4999999999999997E-2</v>
      </c>
      <c r="Q193" s="173">
        <v>90.9</v>
      </c>
      <c r="R193" s="173">
        <v>3.6</v>
      </c>
      <c r="S193" s="169">
        <v>4.68</v>
      </c>
      <c r="T193" s="169">
        <v>4.83</v>
      </c>
      <c r="U193" s="169">
        <v>5.72</v>
      </c>
      <c r="V193" s="173">
        <v>0.3</v>
      </c>
      <c r="W193" s="192"/>
      <c r="X193" s="192"/>
      <c r="Y193" s="192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</row>
    <row r="194" spans="1:37" ht="15.75" customHeight="1">
      <c r="A194" s="169">
        <v>189</v>
      </c>
      <c r="B194" s="170" t="s">
        <v>59</v>
      </c>
      <c r="C194" s="170" t="s">
        <v>60</v>
      </c>
      <c r="D194" s="169">
        <v>1</v>
      </c>
      <c r="E194" s="169">
        <v>1</v>
      </c>
      <c r="F194" s="169">
        <v>0</v>
      </c>
      <c r="G194" s="169">
        <v>3</v>
      </c>
      <c r="H194" s="169">
        <v>3</v>
      </c>
      <c r="I194" s="169">
        <v>12.2</v>
      </c>
      <c r="J194" s="173">
        <v>9.24</v>
      </c>
      <c r="K194" s="169">
        <v>4.26</v>
      </c>
      <c r="L194" s="169">
        <v>0.71</v>
      </c>
      <c r="M194" s="169">
        <v>0.40500000000000003</v>
      </c>
      <c r="N194" s="172">
        <v>0.55100000000000005</v>
      </c>
      <c r="O194" s="172">
        <v>0.32600000000000001</v>
      </c>
      <c r="P194" s="172">
        <v>0.05</v>
      </c>
      <c r="Q194" s="173">
        <v>94.7</v>
      </c>
      <c r="R194" s="173">
        <v>8.5299999999999994</v>
      </c>
      <c r="S194" s="169">
        <v>3.43</v>
      </c>
      <c r="T194" s="169">
        <v>3.78</v>
      </c>
      <c r="U194" s="169">
        <v>5.18</v>
      </c>
      <c r="V194" s="173">
        <v>0.3</v>
      </c>
      <c r="W194" s="192"/>
      <c r="X194" s="192"/>
      <c r="Y194" s="192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</row>
    <row r="195" spans="1:37" ht="15.75" customHeight="1">
      <c r="A195" s="169">
        <v>190</v>
      </c>
      <c r="B195" s="170" t="s">
        <v>152</v>
      </c>
      <c r="C195" s="170" t="s">
        <v>58</v>
      </c>
      <c r="D195" s="169">
        <v>3</v>
      </c>
      <c r="E195" s="169">
        <v>1</v>
      </c>
      <c r="F195" s="169">
        <v>0</v>
      </c>
      <c r="G195" s="169">
        <v>8</v>
      </c>
      <c r="H195" s="169">
        <v>8</v>
      </c>
      <c r="I195" s="169">
        <v>39.200000000000003</v>
      </c>
      <c r="J195" s="173">
        <v>7.03</v>
      </c>
      <c r="K195" s="169">
        <v>2.95</v>
      </c>
      <c r="L195" s="169">
        <v>1.36</v>
      </c>
      <c r="M195" s="169">
        <v>0.317</v>
      </c>
      <c r="N195" s="172">
        <v>0.746</v>
      </c>
      <c r="O195" s="172">
        <v>0.53100000000000003</v>
      </c>
      <c r="P195" s="172">
        <v>0.17100000000000001</v>
      </c>
      <c r="Q195" s="173">
        <v>96.9</v>
      </c>
      <c r="R195" s="173">
        <v>4.76</v>
      </c>
      <c r="S195" s="169">
        <v>4.29</v>
      </c>
      <c r="T195" s="169">
        <v>4.84</v>
      </c>
      <c r="U195" s="169">
        <v>4.22</v>
      </c>
      <c r="V195" s="173">
        <v>0.2</v>
      </c>
      <c r="W195" s="192"/>
      <c r="X195" s="192"/>
      <c r="Y195" s="192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</row>
    <row r="196" spans="1:37" ht="15.75" customHeight="1">
      <c r="A196" s="169">
        <v>191</v>
      </c>
      <c r="B196" s="170" t="s">
        <v>983</v>
      </c>
      <c r="C196" s="170" t="s">
        <v>64</v>
      </c>
      <c r="D196" s="169">
        <v>4</v>
      </c>
      <c r="E196" s="169">
        <v>4</v>
      </c>
      <c r="F196" s="169">
        <v>0</v>
      </c>
      <c r="G196" s="169">
        <v>14</v>
      </c>
      <c r="H196" s="169">
        <v>14</v>
      </c>
      <c r="I196" s="169">
        <v>70</v>
      </c>
      <c r="J196" s="173">
        <v>7.84</v>
      </c>
      <c r="K196" s="169">
        <v>1.67</v>
      </c>
      <c r="L196" s="169">
        <v>2.19</v>
      </c>
      <c r="M196" s="169">
        <v>0.33</v>
      </c>
      <c r="N196" s="172">
        <v>0.748</v>
      </c>
      <c r="O196" s="172">
        <v>0.30499999999999999</v>
      </c>
      <c r="P196" s="172">
        <v>0.17</v>
      </c>
      <c r="Q196" s="173">
        <v>91</v>
      </c>
      <c r="R196" s="173">
        <v>5.4</v>
      </c>
      <c r="S196" s="169">
        <v>4.41</v>
      </c>
      <c r="T196" s="169">
        <v>5.2</v>
      </c>
      <c r="U196" s="169">
        <v>4.24</v>
      </c>
      <c r="V196" s="173">
        <v>0.2</v>
      </c>
      <c r="W196" s="192"/>
      <c r="X196" s="192"/>
      <c r="Y196" s="192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</row>
    <row r="197" spans="1:37" ht="15.75" customHeight="1">
      <c r="A197" s="169">
        <v>192</v>
      </c>
      <c r="B197" s="170" t="s">
        <v>984</v>
      </c>
      <c r="C197" s="170" t="s">
        <v>60</v>
      </c>
      <c r="D197" s="169">
        <v>3</v>
      </c>
      <c r="E197" s="169">
        <v>1</v>
      </c>
      <c r="F197" s="169">
        <v>0</v>
      </c>
      <c r="G197" s="169">
        <v>4</v>
      </c>
      <c r="H197" s="169">
        <v>4</v>
      </c>
      <c r="I197" s="169">
        <v>19</v>
      </c>
      <c r="J197" s="173">
        <v>8.5299999999999994</v>
      </c>
      <c r="K197" s="169">
        <v>5.21</v>
      </c>
      <c r="L197" s="169">
        <v>0.95</v>
      </c>
      <c r="M197" s="169">
        <v>0.26900000000000002</v>
      </c>
      <c r="N197" s="172">
        <v>0.63500000000000001</v>
      </c>
      <c r="O197" s="172">
        <v>0.315</v>
      </c>
      <c r="P197" s="172">
        <v>7.0999999999999994E-2</v>
      </c>
      <c r="Q197" s="173">
        <v>95.6</v>
      </c>
      <c r="R197" s="173">
        <v>5.68</v>
      </c>
      <c r="S197" s="169">
        <v>4.7</v>
      </c>
      <c r="T197" s="169">
        <v>4.5199999999999996</v>
      </c>
      <c r="U197" s="169">
        <v>5.41</v>
      </c>
      <c r="V197" s="173">
        <v>0.2</v>
      </c>
      <c r="W197" s="192"/>
      <c r="X197" s="192"/>
      <c r="Y197" s="192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</row>
    <row r="198" spans="1:37" ht="15.75" customHeight="1">
      <c r="A198" s="169">
        <v>193</v>
      </c>
      <c r="B198" s="170" t="s">
        <v>149</v>
      </c>
      <c r="C198" s="170" t="s">
        <v>126</v>
      </c>
      <c r="D198" s="169">
        <v>1</v>
      </c>
      <c r="E198" s="169">
        <v>4</v>
      </c>
      <c r="F198" s="169">
        <v>0</v>
      </c>
      <c r="G198" s="169">
        <v>5</v>
      </c>
      <c r="H198" s="169">
        <v>5</v>
      </c>
      <c r="I198" s="169">
        <v>17.2</v>
      </c>
      <c r="J198" s="173">
        <v>12.23</v>
      </c>
      <c r="K198" s="169">
        <v>6.62</v>
      </c>
      <c r="L198" s="169">
        <v>0.51</v>
      </c>
      <c r="M198" s="169">
        <v>0.44900000000000001</v>
      </c>
      <c r="N198" s="172">
        <v>0.47899999999999998</v>
      </c>
      <c r="O198" s="172">
        <v>0.32700000000000001</v>
      </c>
      <c r="P198" s="172">
        <v>5.6000000000000001E-2</v>
      </c>
      <c r="Q198" s="173">
        <v>93.2</v>
      </c>
      <c r="R198" s="173">
        <v>9.68</v>
      </c>
      <c r="S198" s="169">
        <v>4.3899999999999997</v>
      </c>
      <c r="T198" s="169">
        <v>3.88</v>
      </c>
      <c r="U198" s="169">
        <v>4.71</v>
      </c>
      <c r="V198" s="173">
        <v>0.2</v>
      </c>
      <c r="W198" s="192"/>
      <c r="X198" s="192"/>
      <c r="Y198" s="192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</row>
    <row r="199" spans="1:37" ht="15.75" customHeight="1">
      <c r="A199" s="169">
        <v>194</v>
      </c>
      <c r="B199" s="170" t="s">
        <v>170</v>
      </c>
      <c r="C199" s="170" t="s">
        <v>74</v>
      </c>
      <c r="D199" s="169">
        <v>4</v>
      </c>
      <c r="E199" s="169">
        <v>8</v>
      </c>
      <c r="F199" s="169">
        <v>0</v>
      </c>
      <c r="G199" s="169">
        <v>21</v>
      </c>
      <c r="H199" s="169">
        <v>21</v>
      </c>
      <c r="I199" s="169">
        <v>100</v>
      </c>
      <c r="J199" s="173">
        <v>8.19</v>
      </c>
      <c r="K199" s="169">
        <v>4.7699999999999996</v>
      </c>
      <c r="L199" s="169">
        <v>1.71</v>
      </c>
      <c r="M199" s="169">
        <v>0.28699999999999998</v>
      </c>
      <c r="N199" s="172">
        <v>0.73599999999999999</v>
      </c>
      <c r="O199" s="172">
        <v>0.35499999999999998</v>
      </c>
      <c r="P199" s="172">
        <v>0.14099999999999999</v>
      </c>
      <c r="Q199" s="173">
        <v>94.4</v>
      </c>
      <c r="R199" s="173">
        <v>4.59</v>
      </c>
      <c r="S199" s="169">
        <v>5.68</v>
      </c>
      <c r="T199" s="169">
        <v>5.51</v>
      </c>
      <c r="U199" s="169">
        <v>5.1100000000000003</v>
      </c>
      <c r="V199" s="173">
        <v>0.2</v>
      </c>
      <c r="W199" s="192"/>
      <c r="X199" s="192"/>
      <c r="Y199" s="192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</row>
    <row r="200" spans="1:37" ht="15.75" customHeight="1">
      <c r="A200" s="169">
        <v>195</v>
      </c>
      <c r="B200" s="170" t="s">
        <v>168</v>
      </c>
      <c r="C200" s="170" t="s">
        <v>72</v>
      </c>
      <c r="D200" s="169">
        <v>1</v>
      </c>
      <c r="E200" s="169">
        <v>0</v>
      </c>
      <c r="F200" s="169">
        <v>0</v>
      </c>
      <c r="G200" s="169">
        <v>2</v>
      </c>
      <c r="H200" s="169">
        <v>2</v>
      </c>
      <c r="I200" s="169">
        <v>11.2</v>
      </c>
      <c r="J200" s="173">
        <v>7.71</v>
      </c>
      <c r="K200" s="169">
        <v>0.77</v>
      </c>
      <c r="L200" s="169">
        <v>1.54</v>
      </c>
      <c r="M200" s="169">
        <v>0.13800000000000001</v>
      </c>
      <c r="N200" s="172">
        <v>0.95199999999999996</v>
      </c>
      <c r="O200" s="172">
        <v>0.41899999999999998</v>
      </c>
      <c r="P200" s="172">
        <v>0.11799999999999999</v>
      </c>
      <c r="Q200" s="173">
        <v>92.7</v>
      </c>
      <c r="R200" s="173">
        <v>2.31</v>
      </c>
      <c r="S200" s="169">
        <v>2.31</v>
      </c>
      <c r="T200" s="169">
        <v>3.92</v>
      </c>
      <c r="U200" s="169">
        <v>3.93</v>
      </c>
      <c r="V200" s="173">
        <v>0.2</v>
      </c>
      <c r="W200" s="192"/>
      <c r="X200" s="192"/>
      <c r="Y200" s="192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</row>
    <row r="201" spans="1:37" ht="15.75" customHeight="1">
      <c r="A201" s="169">
        <v>196</v>
      </c>
      <c r="B201" s="170" t="s">
        <v>985</v>
      </c>
      <c r="C201" s="170" t="s">
        <v>64</v>
      </c>
      <c r="D201" s="169">
        <v>1</v>
      </c>
      <c r="E201" s="169">
        <v>3</v>
      </c>
      <c r="F201" s="169">
        <v>0</v>
      </c>
      <c r="G201" s="169">
        <v>6</v>
      </c>
      <c r="H201" s="169">
        <v>6</v>
      </c>
      <c r="I201" s="169">
        <v>32</v>
      </c>
      <c r="J201" s="173">
        <v>8.16</v>
      </c>
      <c r="K201" s="169">
        <v>1.69</v>
      </c>
      <c r="L201" s="169">
        <v>1.97</v>
      </c>
      <c r="M201" s="169">
        <v>0.25</v>
      </c>
      <c r="N201" s="172">
        <v>0.76300000000000001</v>
      </c>
      <c r="O201" s="172">
        <v>0.38</v>
      </c>
      <c r="P201" s="172">
        <v>0.184</v>
      </c>
      <c r="Q201" s="173">
        <v>94</v>
      </c>
      <c r="R201" s="173">
        <v>4.5</v>
      </c>
      <c r="S201" s="169">
        <v>4.47</v>
      </c>
      <c r="T201" s="169">
        <v>4.83</v>
      </c>
      <c r="U201" s="169">
        <v>3.81</v>
      </c>
      <c r="V201" s="173">
        <v>0.2</v>
      </c>
      <c r="W201" s="192"/>
      <c r="X201" s="192"/>
      <c r="Y201" s="192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</row>
    <row r="202" spans="1:37" ht="15.75" customHeight="1">
      <c r="A202" s="169">
        <v>197</v>
      </c>
      <c r="B202" s="170" t="s">
        <v>986</v>
      </c>
      <c r="C202" s="170" t="s">
        <v>126</v>
      </c>
      <c r="D202" s="169">
        <v>1</v>
      </c>
      <c r="E202" s="169">
        <v>1</v>
      </c>
      <c r="F202" s="169">
        <v>0</v>
      </c>
      <c r="G202" s="169">
        <v>4</v>
      </c>
      <c r="H202" s="169">
        <v>4</v>
      </c>
      <c r="I202" s="169">
        <v>18.100000000000001</v>
      </c>
      <c r="J202" s="173">
        <v>8.84</v>
      </c>
      <c r="K202" s="169">
        <v>2.95</v>
      </c>
      <c r="L202" s="169">
        <v>1.47</v>
      </c>
      <c r="M202" s="169">
        <v>0.308</v>
      </c>
      <c r="N202" s="172">
        <v>0.72099999999999997</v>
      </c>
      <c r="O202" s="172">
        <v>0.377</v>
      </c>
      <c r="P202" s="172">
        <v>0.14299999999999999</v>
      </c>
      <c r="Q202" s="173">
        <v>94.9</v>
      </c>
      <c r="R202" s="173">
        <v>4.91</v>
      </c>
      <c r="S202" s="169">
        <v>5.17</v>
      </c>
      <c r="T202" s="169">
        <v>4.29</v>
      </c>
      <c r="U202" s="169">
        <v>3.92</v>
      </c>
      <c r="V202" s="173">
        <v>0.1</v>
      </c>
      <c r="W202" s="192"/>
      <c r="X202" s="192"/>
      <c r="Y202" s="192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</row>
    <row r="203" spans="1:37" ht="15.75" customHeight="1">
      <c r="A203" s="169">
        <v>198</v>
      </c>
      <c r="B203" s="170" t="s">
        <v>39</v>
      </c>
      <c r="C203" s="170" t="s">
        <v>40</v>
      </c>
      <c r="D203" s="169">
        <v>2</v>
      </c>
      <c r="E203" s="169">
        <v>8</v>
      </c>
      <c r="F203" s="169">
        <v>0</v>
      </c>
      <c r="G203" s="169">
        <v>26</v>
      </c>
      <c r="H203" s="169">
        <v>26</v>
      </c>
      <c r="I203" s="169">
        <v>136.1</v>
      </c>
      <c r="J203" s="173">
        <v>6.87</v>
      </c>
      <c r="K203" s="169">
        <v>3.76</v>
      </c>
      <c r="L203" s="169">
        <v>1.85</v>
      </c>
      <c r="M203" s="169">
        <v>0.26300000000000001</v>
      </c>
      <c r="N203" s="172">
        <v>0.78300000000000003</v>
      </c>
      <c r="O203" s="172">
        <v>0.29299999999999998</v>
      </c>
      <c r="P203" s="172">
        <v>0.128</v>
      </c>
      <c r="Q203" s="173">
        <v>89.4</v>
      </c>
      <c r="R203" s="173">
        <v>4.5599999999999996</v>
      </c>
      <c r="S203" s="169">
        <v>5.14</v>
      </c>
      <c r="T203" s="169">
        <v>5.61</v>
      </c>
      <c r="U203" s="169">
        <v>5.41</v>
      </c>
      <c r="V203" s="173">
        <v>0.1</v>
      </c>
      <c r="W203" s="192"/>
      <c r="X203" s="192"/>
      <c r="Y203" s="192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</row>
    <row r="204" spans="1:37" ht="15.75" customHeight="1">
      <c r="A204" s="169">
        <v>199</v>
      </c>
      <c r="B204" s="170" t="s">
        <v>987</v>
      </c>
      <c r="C204" s="170" t="s">
        <v>82</v>
      </c>
      <c r="D204" s="169">
        <v>5</v>
      </c>
      <c r="E204" s="169">
        <v>10</v>
      </c>
      <c r="F204" s="169">
        <v>0</v>
      </c>
      <c r="G204" s="169">
        <v>23</v>
      </c>
      <c r="H204" s="169">
        <v>23</v>
      </c>
      <c r="I204" s="169">
        <v>117</v>
      </c>
      <c r="J204" s="173">
        <v>6.38</v>
      </c>
      <c r="K204" s="169">
        <v>2.85</v>
      </c>
      <c r="L204" s="169">
        <v>1.62</v>
      </c>
      <c r="M204" s="169">
        <v>0.26800000000000002</v>
      </c>
      <c r="N204" s="172">
        <v>0.73199999999999998</v>
      </c>
      <c r="O204" s="172">
        <v>0.36599999999999999</v>
      </c>
      <c r="P204" s="172">
        <v>0.13900000000000001</v>
      </c>
      <c r="Q204" s="173">
        <v>90.2</v>
      </c>
      <c r="R204" s="173">
        <v>4.8499999999999996</v>
      </c>
      <c r="S204" s="169">
        <v>5.38</v>
      </c>
      <c r="T204" s="169">
        <v>5.24</v>
      </c>
      <c r="U204" s="169">
        <v>4.8899999999999997</v>
      </c>
      <c r="V204" s="173">
        <v>0.1</v>
      </c>
      <c r="W204" s="192"/>
      <c r="X204" s="192"/>
      <c r="Y204" s="192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</row>
    <row r="205" spans="1:37" ht="15.75" customHeight="1">
      <c r="A205" s="169">
        <v>200</v>
      </c>
      <c r="B205" s="170" t="s">
        <v>862</v>
      </c>
      <c r="C205" s="170" t="s">
        <v>126</v>
      </c>
      <c r="D205" s="169">
        <v>3</v>
      </c>
      <c r="E205" s="169">
        <v>4</v>
      </c>
      <c r="F205" s="169">
        <v>0</v>
      </c>
      <c r="G205" s="169">
        <v>10</v>
      </c>
      <c r="H205" s="169">
        <v>10</v>
      </c>
      <c r="I205" s="169">
        <v>42.1</v>
      </c>
      <c r="J205" s="173">
        <v>9.14</v>
      </c>
      <c r="K205" s="169">
        <v>5.74</v>
      </c>
      <c r="L205" s="169">
        <v>1.28</v>
      </c>
      <c r="M205" s="169">
        <v>0.29699999999999999</v>
      </c>
      <c r="N205" s="172">
        <v>0.623</v>
      </c>
      <c r="O205" s="172">
        <v>0.35499999999999998</v>
      </c>
      <c r="P205" s="172">
        <v>0.105</v>
      </c>
      <c r="Q205" s="173">
        <v>95.3</v>
      </c>
      <c r="R205" s="173">
        <v>6.17</v>
      </c>
      <c r="S205" s="169">
        <v>4.82</v>
      </c>
      <c r="T205" s="169">
        <v>5.08</v>
      </c>
      <c r="U205" s="169">
        <v>5.31</v>
      </c>
      <c r="V205" s="173">
        <v>0.1</v>
      </c>
      <c r="W205" s="192"/>
      <c r="X205" s="192"/>
      <c r="Y205" s="192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</row>
    <row r="206" spans="1:37" ht="15.75" customHeight="1">
      <c r="A206" s="169">
        <v>201</v>
      </c>
      <c r="B206" s="170" t="s">
        <v>136</v>
      </c>
      <c r="C206" s="170" t="s">
        <v>137</v>
      </c>
      <c r="D206" s="169">
        <v>4</v>
      </c>
      <c r="E206" s="169">
        <v>5</v>
      </c>
      <c r="F206" s="169">
        <v>0</v>
      </c>
      <c r="G206" s="169">
        <v>15</v>
      </c>
      <c r="H206" s="169">
        <v>15</v>
      </c>
      <c r="I206" s="169">
        <v>75.2</v>
      </c>
      <c r="J206" s="173">
        <v>7.61</v>
      </c>
      <c r="K206" s="169">
        <v>3.45</v>
      </c>
      <c r="L206" s="169">
        <v>1.67</v>
      </c>
      <c r="M206" s="169">
        <v>0.28100000000000003</v>
      </c>
      <c r="N206" s="172">
        <v>0.68600000000000005</v>
      </c>
      <c r="O206" s="172">
        <v>0.36</v>
      </c>
      <c r="P206" s="172">
        <v>0.14899999999999999</v>
      </c>
      <c r="Q206" s="173">
        <v>95</v>
      </c>
      <c r="R206" s="173">
        <v>5.59</v>
      </c>
      <c r="S206" s="169">
        <v>5.37</v>
      </c>
      <c r="T206" s="169">
        <v>5.13</v>
      </c>
      <c r="U206" s="169">
        <v>4.63</v>
      </c>
      <c r="V206" s="173">
        <v>0.1</v>
      </c>
      <c r="W206" s="192"/>
      <c r="X206" s="192"/>
      <c r="Y206" s="192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</row>
    <row r="207" spans="1:37" ht="15.75" customHeight="1">
      <c r="A207" s="169">
        <v>202</v>
      </c>
      <c r="B207" s="170" t="s">
        <v>988</v>
      </c>
      <c r="C207" s="170" t="s">
        <v>91</v>
      </c>
      <c r="D207" s="169">
        <v>0</v>
      </c>
      <c r="E207" s="169">
        <v>3</v>
      </c>
      <c r="F207" s="169">
        <v>0</v>
      </c>
      <c r="G207" s="169">
        <v>4</v>
      </c>
      <c r="H207" s="169">
        <v>4</v>
      </c>
      <c r="I207" s="169">
        <v>14.1</v>
      </c>
      <c r="J207" s="173">
        <v>7.53</v>
      </c>
      <c r="K207" s="169">
        <v>3.77</v>
      </c>
      <c r="L207" s="169">
        <v>1.26</v>
      </c>
      <c r="M207" s="169">
        <v>0.35399999999999998</v>
      </c>
      <c r="N207" s="172">
        <v>0.69</v>
      </c>
      <c r="O207" s="172">
        <v>0.42</v>
      </c>
      <c r="P207" s="172">
        <v>0.1</v>
      </c>
      <c r="Q207" s="173">
        <v>92.5</v>
      </c>
      <c r="R207" s="173">
        <v>5.65</v>
      </c>
      <c r="S207" s="169">
        <v>5.29</v>
      </c>
      <c r="T207" s="169">
        <v>4.75</v>
      </c>
      <c r="U207" s="169">
        <v>5.08</v>
      </c>
      <c r="V207" s="173">
        <v>0.1</v>
      </c>
      <c r="W207" s="192"/>
      <c r="X207" s="192"/>
      <c r="Y207" s="192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</row>
    <row r="208" spans="1:37" ht="15.75" customHeight="1">
      <c r="A208" s="169">
        <v>203</v>
      </c>
      <c r="B208" s="170" t="s">
        <v>989</v>
      </c>
      <c r="C208" s="170" t="s">
        <v>74</v>
      </c>
      <c r="D208" s="169">
        <v>3</v>
      </c>
      <c r="E208" s="169">
        <v>9</v>
      </c>
      <c r="F208" s="169">
        <v>0</v>
      </c>
      <c r="G208" s="169">
        <v>17</v>
      </c>
      <c r="H208" s="169">
        <v>17</v>
      </c>
      <c r="I208" s="169">
        <v>82.1</v>
      </c>
      <c r="J208" s="173">
        <v>7.11</v>
      </c>
      <c r="K208" s="169">
        <v>3.61</v>
      </c>
      <c r="L208" s="169">
        <v>1.86</v>
      </c>
      <c r="M208" s="169">
        <v>0.30499999999999999</v>
      </c>
      <c r="N208" s="172">
        <v>0.70499999999999996</v>
      </c>
      <c r="O208" s="172">
        <v>0.373</v>
      </c>
      <c r="P208" s="172">
        <v>0.14799999999999999</v>
      </c>
      <c r="Q208" s="173">
        <v>93.9</v>
      </c>
      <c r="R208" s="173">
        <v>5.9</v>
      </c>
      <c r="S208" s="169">
        <v>6</v>
      </c>
      <c r="T208" s="169">
        <v>5.64</v>
      </c>
      <c r="U208" s="169">
        <v>5.0999999999999996</v>
      </c>
      <c r="V208" s="173">
        <v>0.1</v>
      </c>
      <c r="W208" s="192"/>
      <c r="X208" s="192"/>
      <c r="Y208" s="192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</row>
    <row r="209" spans="1:37" ht="15.75" customHeight="1">
      <c r="A209" s="169">
        <v>204</v>
      </c>
      <c r="B209" s="170" t="s">
        <v>95</v>
      </c>
      <c r="C209" s="170" t="s">
        <v>36</v>
      </c>
      <c r="D209" s="169">
        <v>2</v>
      </c>
      <c r="E209" s="169">
        <v>12</v>
      </c>
      <c r="F209" s="169">
        <v>0</v>
      </c>
      <c r="G209" s="169">
        <v>21</v>
      </c>
      <c r="H209" s="169">
        <v>21</v>
      </c>
      <c r="I209" s="169">
        <v>98</v>
      </c>
      <c r="J209" s="173">
        <v>7.53</v>
      </c>
      <c r="K209" s="169">
        <v>4.5</v>
      </c>
      <c r="L209" s="169">
        <v>1.65</v>
      </c>
      <c r="M209" s="169">
        <v>0.29699999999999999</v>
      </c>
      <c r="N209" s="172">
        <v>0.61699999999999999</v>
      </c>
      <c r="O209" s="172">
        <v>0.42699999999999999</v>
      </c>
      <c r="P209" s="172">
        <v>0.155</v>
      </c>
      <c r="Q209" s="173">
        <v>98</v>
      </c>
      <c r="R209" s="173">
        <v>6.52</v>
      </c>
      <c r="S209" s="169">
        <v>5.22</v>
      </c>
      <c r="T209" s="169">
        <v>5.54</v>
      </c>
      <c r="U209" s="169">
        <v>4.97</v>
      </c>
      <c r="V209" s="173">
        <v>0.1</v>
      </c>
      <c r="W209" s="192"/>
      <c r="X209" s="192"/>
      <c r="Y209" s="192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</row>
    <row r="210" spans="1:37" ht="15.75" customHeight="1">
      <c r="A210" s="169">
        <v>205</v>
      </c>
      <c r="B210" s="170" t="s">
        <v>990</v>
      </c>
      <c r="C210" s="170" t="s">
        <v>91</v>
      </c>
      <c r="D210" s="169">
        <v>3</v>
      </c>
      <c r="E210" s="169">
        <v>2</v>
      </c>
      <c r="F210" s="169">
        <v>0</v>
      </c>
      <c r="G210" s="169">
        <v>7</v>
      </c>
      <c r="H210" s="169">
        <v>7</v>
      </c>
      <c r="I210" s="169">
        <v>33.200000000000003</v>
      </c>
      <c r="J210" s="173">
        <v>7.75</v>
      </c>
      <c r="K210" s="169">
        <v>2.67</v>
      </c>
      <c r="L210" s="169">
        <v>1.87</v>
      </c>
      <c r="M210" s="169">
        <v>0.33300000000000002</v>
      </c>
      <c r="N210" s="172">
        <v>0.64800000000000002</v>
      </c>
      <c r="O210" s="172">
        <v>0.42299999999999999</v>
      </c>
      <c r="P210" s="172">
        <v>0.159</v>
      </c>
      <c r="Q210" s="173">
        <v>95.5</v>
      </c>
      <c r="R210" s="173">
        <v>6.68</v>
      </c>
      <c r="S210" s="169">
        <v>5.14</v>
      </c>
      <c r="T210" s="169">
        <v>5.1100000000000003</v>
      </c>
      <c r="U210" s="169">
        <v>4.41</v>
      </c>
      <c r="V210" s="173">
        <v>0.1</v>
      </c>
      <c r="W210" s="192"/>
      <c r="X210" s="192"/>
      <c r="Y210" s="192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</row>
    <row r="211" spans="1:37" ht="15.75" customHeight="1">
      <c r="A211" s="169">
        <v>206</v>
      </c>
      <c r="B211" s="170" t="s">
        <v>991</v>
      </c>
      <c r="C211" s="170" t="s">
        <v>42</v>
      </c>
      <c r="D211" s="169">
        <v>3</v>
      </c>
      <c r="E211" s="169">
        <v>2</v>
      </c>
      <c r="F211" s="169">
        <v>0</v>
      </c>
      <c r="G211" s="169">
        <v>9</v>
      </c>
      <c r="H211" s="169">
        <v>9</v>
      </c>
      <c r="I211" s="169">
        <v>39</v>
      </c>
      <c r="J211" s="173">
        <v>6</v>
      </c>
      <c r="K211" s="169">
        <v>3.69</v>
      </c>
      <c r="L211" s="169">
        <v>1.38</v>
      </c>
      <c r="M211" s="169">
        <v>0.30399999999999999</v>
      </c>
      <c r="N211" s="172">
        <v>0.65300000000000002</v>
      </c>
      <c r="O211" s="172">
        <v>0.46500000000000002</v>
      </c>
      <c r="P211" s="172">
        <v>0.13</v>
      </c>
      <c r="Q211" s="173">
        <v>89.6</v>
      </c>
      <c r="R211" s="173">
        <v>6.23</v>
      </c>
      <c r="S211" s="169">
        <v>5.88</v>
      </c>
      <c r="T211" s="169">
        <v>5.2</v>
      </c>
      <c r="U211" s="169">
        <v>5.01</v>
      </c>
      <c r="V211" s="173">
        <v>0.1</v>
      </c>
      <c r="W211" s="158"/>
      <c r="X211" s="158"/>
      <c r="Y211" s="192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</row>
    <row r="212" spans="1:37" ht="15.75" customHeight="1">
      <c r="A212" s="169">
        <v>207</v>
      </c>
      <c r="B212" s="170" t="s">
        <v>992</v>
      </c>
      <c r="C212" s="170" t="s">
        <v>44</v>
      </c>
      <c r="D212" s="169">
        <v>4</v>
      </c>
      <c r="E212" s="169">
        <v>1</v>
      </c>
      <c r="F212" s="169">
        <v>0</v>
      </c>
      <c r="G212" s="169">
        <v>10</v>
      </c>
      <c r="H212" s="169">
        <v>10</v>
      </c>
      <c r="I212" s="169">
        <v>49</v>
      </c>
      <c r="J212" s="173">
        <v>7.16</v>
      </c>
      <c r="K212" s="169">
        <v>4.96</v>
      </c>
      <c r="L212" s="169">
        <v>1.29</v>
      </c>
      <c r="M212" s="169">
        <v>0.27300000000000002</v>
      </c>
      <c r="N212" s="172">
        <v>0.78200000000000003</v>
      </c>
      <c r="O212" s="172">
        <v>0.432</v>
      </c>
      <c r="P212" s="172">
        <v>0.121</v>
      </c>
      <c r="Q212" s="173">
        <v>96.7</v>
      </c>
      <c r="R212" s="173">
        <v>4.22</v>
      </c>
      <c r="S212" s="169">
        <v>4.87</v>
      </c>
      <c r="T212" s="169">
        <v>5.19</v>
      </c>
      <c r="U212" s="169">
        <v>5.15</v>
      </c>
      <c r="V212" s="173">
        <v>0.1</v>
      </c>
      <c r="W212" s="158"/>
      <c r="X212" s="158"/>
      <c r="Y212" s="192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</row>
    <row r="213" spans="1:37" ht="15.75" customHeight="1">
      <c r="A213" s="169">
        <v>208</v>
      </c>
      <c r="B213" s="170" t="s">
        <v>87</v>
      </c>
      <c r="C213" s="170" t="s">
        <v>88</v>
      </c>
      <c r="D213" s="169">
        <v>2</v>
      </c>
      <c r="E213" s="169">
        <v>1</v>
      </c>
      <c r="F213" s="169">
        <v>0</v>
      </c>
      <c r="G213" s="169">
        <v>5</v>
      </c>
      <c r="H213" s="169">
        <v>5</v>
      </c>
      <c r="I213" s="169">
        <v>25.1</v>
      </c>
      <c r="J213" s="173">
        <v>4.97</v>
      </c>
      <c r="K213" s="169">
        <v>2.4900000000000002</v>
      </c>
      <c r="L213" s="169">
        <v>1.07</v>
      </c>
      <c r="M213" s="169">
        <v>0.28199999999999997</v>
      </c>
      <c r="N213" s="172">
        <v>0.72299999999999998</v>
      </c>
      <c r="O213" s="172">
        <v>0.49399999999999999</v>
      </c>
      <c r="P213" s="172">
        <v>0.115</v>
      </c>
      <c r="Q213" s="173">
        <v>91.8</v>
      </c>
      <c r="R213" s="173">
        <v>4.62</v>
      </c>
      <c r="S213" s="169">
        <v>5.17</v>
      </c>
      <c r="T213" s="169">
        <v>4.88</v>
      </c>
      <c r="U213" s="169">
        <v>4.92</v>
      </c>
      <c r="V213" s="173">
        <v>0.1</v>
      </c>
      <c r="W213" s="158"/>
      <c r="X213" s="158"/>
      <c r="Y213" s="192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</row>
    <row r="214" spans="1:37" ht="15.75" customHeight="1">
      <c r="A214" s="169">
        <v>209</v>
      </c>
      <c r="B214" s="170" t="s">
        <v>993</v>
      </c>
      <c r="C214" s="170" t="s">
        <v>88</v>
      </c>
      <c r="D214" s="169">
        <v>3</v>
      </c>
      <c r="E214" s="169">
        <v>1</v>
      </c>
      <c r="F214" s="169">
        <v>0</v>
      </c>
      <c r="G214" s="169">
        <v>4</v>
      </c>
      <c r="H214" s="169">
        <v>4</v>
      </c>
      <c r="I214" s="169">
        <v>22.2</v>
      </c>
      <c r="J214" s="173">
        <v>8.34</v>
      </c>
      <c r="K214" s="169">
        <v>1.99</v>
      </c>
      <c r="L214" s="169">
        <v>1.99</v>
      </c>
      <c r="M214" s="169">
        <v>0.26700000000000002</v>
      </c>
      <c r="N214" s="172">
        <v>0.75</v>
      </c>
      <c r="O214" s="172">
        <v>0.41499999999999998</v>
      </c>
      <c r="P214" s="172">
        <v>0.217</v>
      </c>
      <c r="Q214" s="173"/>
      <c r="R214" s="173">
        <v>4.76</v>
      </c>
      <c r="S214" s="169">
        <v>4.8899999999999997</v>
      </c>
      <c r="T214" s="169">
        <v>4.96</v>
      </c>
      <c r="U214" s="169">
        <v>3.65</v>
      </c>
      <c r="V214" s="173">
        <v>0</v>
      </c>
      <c r="W214" s="158"/>
      <c r="X214" s="158"/>
      <c r="Y214" s="192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</row>
    <row r="215" spans="1:37" ht="15.75" customHeight="1">
      <c r="A215" s="169">
        <v>210</v>
      </c>
      <c r="B215" s="170" t="s">
        <v>55</v>
      </c>
      <c r="C215" s="170" t="s">
        <v>56</v>
      </c>
      <c r="D215" s="169">
        <v>0</v>
      </c>
      <c r="E215" s="169">
        <v>4</v>
      </c>
      <c r="F215" s="169">
        <v>0</v>
      </c>
      <c r="G215" s="169">
        <v>5</v>
      </c>
      <c r="H215" s="169">
        <v>5</v>
      </c>
      <c r="I215" s="169">
        <v>26</v>
      </c>
      <c r="J215" s="173">
        <v>5.88</v>
      </c>
      <c r="K215" s="169">
        <v>3.46</v>
      </c>
      <c r="L215" s="169">
        <v>1.38</v>
      </c>
      <c r="M215" s="169">
        <v>0.27</v>
      </c>
      <c r="N215" s="172">
        <v>0.59899999999999998</v>
      </c>
      <c r="O215" s="172">
        <v>0.45200000000000001</v>
      </c>
      <c r="P215" s="172">
        <v>0.114</v>
      </c>
      <c r="Q215" s="173">
        <v>94.8</v>
      </c>
      <c r="R215" s="173">
        <v>4.8499999999999996</v>
      </c>
      <c r="S215" s="169">
        <v>6.13</v>
      </c>
      <c r="T215" s="169">
        <v>5.1100000000000003</v>
      </c>
      <c r="U215" s="169">
        <v>5.18</v>
      </c>
      <c r="V215" s="173">
        <v>0</v>
      </c>
      <c r="W215" s="158"/>
      <c r="X215" s="158"/>
      <c r="Y215" s="192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</row>
    <row r="216" spans="1:37" ht="15.75" customHeight="1">
      <c r="A216" s="169">
        <v>211</v>
      </c>
      <c r="B216" s="170" t="s">
        <v>994</v>
      </c>
      <c r="C216" s="178" t="s">
        <v>34</v>
      </c>
      <c r="D216" s="169">
        <v>4</v>
      </c>
      <c r="E216" s="169">
        <v>12</v>
      </c>
      <c r="F216" s="169">
        <v>0</v>
      </c>
      <c r="G216" s="169">
        <v>24</v>
      </c>
      <c r="H216" s="169">
        <v>24</v>
      </c>
      <c r="I216" s="169">
        <v>120.2</v>
      </c>
      <c r="J216" s="173">
        <v>5.59</v>
      </c>
      <c r="K216" s="169">
        <v>4.33</v>
      </c>
      <c r="L216" s="169">
        <v>1.19</v>
      </c>
      <c r="M216" s="169">
        <v>0.28699999999999998</v>
      </c>
      <c r="N216" s="172">
        <v>0.66600000000000004</v>
      </c>
      <c r="O216" s="172">
        <v>0.40300000000000002</v>
      </c>
      <c r="P216" s="172">
        <v>0.10299999999999999</v>
      </c>
      <c r="Q216" s="173">
        <v>93.3</v>
      </c>
      <c r="R216" s="173">
        <v>5.52</v>
      </c>
      <c r="S216" s="169">
        <v>5.52</v>
      </c>
      <c r="T216" s="169">
        <v>5.14</v>
      </c>
      <c r="U216" s="169">
        <v>5.39</v>
      </c>
      <c r="V216" s="173">
        <v>0</v>
      </c>
      <c r="W216" s="158"/>
      <c r="X216" s="158"/>
      <c r="Y216" s="192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</row>
    <row r="217" spans="1:37" ht="15.75" customHeight="1">
      <c r="A217" s="169">
        <v>212</v>
      </c>
      <c r="B217" s="170" t="s">
        <v>995</v>
      </c>
      <c r="C217" s="178" t="s">
        <v>34</v>
      </c>
      <c r="D217" s="169">
        <v>1</v>
      </c>
      <c r="E217" s="169">
        <v>1</v>
      </c>
      <c r="F217" s="169">
        <v>0</v>
      </c>
      <c r="G217" s="169">
        <v>3</v>
      </c>
      <c r="H217" s="169">
        <v>3</v>
      </c>
      <c r="I217" s="169">
        <v>11.2</v>
      </c>
      <c r="J217" s="173">
        <v>7.71</v>
      </c>
      <c r="K217" s="169">
        <v>3.09</v>
      </c>
      <c r="L217" s="169">
        <v>2.31</v>
      </c>
      <c r="M217" s="169">
        <v>0.25</v>
      </c>
      <c r="N217" s="172">
        <v>0.55600000000000005</v>
      </c>
      <c r="O217" s="172">
        <v>0.48599999999999999</v>
      </c>
      <c r="P217" s="172">
        <v>0.25</v>
      </c>
      <c r="Q217" s="173">
        <v>93.3</v>
      </c>
      <c r="R217" s="173">
        <v>6.17</v>
      </c>
      <c r="S217" s="169">
        <v>3.89</v>
      </c>
      <c r="T217" s="169">
        <v>5.8</v>
      </c>
      <c r="U217" s="169">
        <v>4.04</v>
      </c>
      <c r="V217" s="173">
        <v>0</v>
      </c>
      <c r="W217" s="158"/>
      <c r="X217" s="158"/>
      <c r="Y217" s="192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</row>
    <row r="218" spans="1:37" ht="15.75" customHeight="1">
      <c r="A218" s="169">
        <v>213</v>
      </c>
      <c r="B218" s="170" t="s">
        <v>996</v>
      </c>
      <c r="C218" s="170" t="s">
        <v>44</v>
      </c>
      <c r="D218" s="169">
        <v>0</v>
      </c>
      <c r="E218" s="169">
        <v>2</v>
      </c>
      <c r="F218" s="169">
        <v>0</v>
      </c>
      <c r="G218" s="169">
        <v>3</v>
      </c>
      <c r="H218" s="169">
        <v>3</v>
      </c>
      <c r="I218" s="169">
        <v>13</v>
      </c>
      <c r="J218" s="173">
        <v>7.62</v>
      </c>
      <c r="K218" s="169">
        <v>3.46</v>
      </c>
      <c r="L218" s="169">
        <v>2.08</v>
      </c>
      <c r="M218" s="169">
        <v>0.28899999999999998</v>
      </c>
      <c r="N218" s="172">
        <v>0.47299999999999998</v>
      </c>
      <c r="O218" s="172">
        <v>0.317</v>
      </c>
      <c r="P218" s="172">
        <v>0.188</v>
      </c>
      <c r="Q218" s="173">
        <v>92.8</v>
      </c>
      <c r="R218" s="173">
        <v>8.31</v>
      </c>
      <c r="S218" s="169">
        <v>7.35</v>
      </c>
      <c r="T218" s="169">
        <v>5.61</v>
      </c>
      <c r="U218" s="169">
        <v>4.5</v>
      </c>
      <c r="V218" s="173">
        <v>0</v>
      </c>
      <c r="W218" s="158"/>
      <c r="X218" s="158"/>
      <c r="Y218" s="192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</row>
    <row r="219" spans="1:37" ht="15.75" customHeight="1">
      <c r="A219" s="169">
        <v>214</v>
      </c>
      <c r="B219" s="170" t="s">
        <v>997</v>
      </c>
      <c r="C219" s="170" t="s">
        <v>36</v>
      </c>
      <c r="D219" s="169">
        <v>4</v>
      </c>
      <c r="E219" s="169">
        <v>15</v>
      </c>
      <c r="F219" s="169">
        <v>0</v>
      </c>
      <c r="G219" s="169">
        <v>23</v>
      </c>
      <c r="H219" s="169">
        <v>23</v>
      </c>
      <c r="I219" s="169">
        <v>108</v>
      </c>
      <c r="J219" s="173">
        <v>4.92</v>
      </c>
      <c r="K219" s="169">
        <v>3.17</v>
      </c>
      <c r="L219" s="169">
        <v>1.58</v>
      </c>
      <c r="M219" s="169">
        <v>0.376</v>
      </c>
      <c r="N219" s="172">
        <v>0.628</v>
      </c>
      <c r="O219" s="172">
        <v>0.47099999999999997</v>
      </c>
      <c r="P219" s="172">
        <v>0.14499999999999999</v>
      </c>
      <c r="Q219" s="173">
        <v>95</v>
      </c>
      <c r="R219" s="173">
        <v>7.42</v>
      </c>
      <c r="S219" s="169">
        <v>7.31</v>
      </c>
      <c r="T219" s="169">
        <v>5.59</v>
      </c>
      <c r="U219" s="169">
        <v>5.17</v>
      </c>
      <c r="V219" s="173">
        <v>0</v>
      </c>
      <c r="W219" s="158"/>
      <c r="X219" s="158"/>
      <c r="Y219" s="192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</row>
    <row r="220" spans="1:37" ht="15.75" customHeight="1">
      <c r="A220" s="169">
        <v>215</v>
      </c>
      <c r="B220" s="170" t="s">
        <v>84</v>
      </c>
      <c r="C220" s="170" t="s">
        <v>40</v>
      </c>
      <c r="D220" s="169">
        <v>1</v>
      </c>
      <c r="E220" s="169">
        <v>1</v>
      </c>
      <c r="F220" s="169">
        <v>0</v>
      </c>
      <c r="G220" s="169">
        <v>3</v>
      </c>
      <c r="H220" s="169">
        <v>3</v>
      </c>
      <c r="I220" s="169">
        <v>15</v>
      </c>
      <c r="J220" s="173">
        <v>8.4</v>
      </c>
      <c r="K220" s="169">
        <v>4.2</v>
      </c>
      <c r="L220" s="169">
        <v>1.8</v>
      </c>
      <c r="M220" s="169">
        <v>0.21099999999999999</v>
      </c>
      <c r="N220" s="172">
        <v>0.74299999999999999</v>
      </c>
      <c r="O220" s="172">
        <v>0.27500000000000002</v>
      </c>
      <c r="P220" s="172">
        <v>0.15</v>
      </c>
      <c r="Q220" s="173">
        <v>90.5</v>
      </c>
      <c r="R220" s="173">
        <v>4.8</v>
      </c>
      <c r="S220" s="169">
        <v>3.96</v>
      </c>
      <c r="T220" s="169">
        <v>5.48</v>
      </c>
      <c r="U220" s="169">
        <v>4.93</v>
      </c>
      <c r="V220" s="173">
        <v>0</v>
      </c>
      <c r="W220" s="158"/>
      <c r="X220" s="158"/>
      <c r="Y220" s="192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</row>
    <row r="221" spans="1:37" ht="15.75" customHeight="1">
      <c r="A221" s="169">
        <v>216</v>
      </c>
      <c r="B221" s="170" t="s">
        <v>998</v>
      </c>
      <c r="C221" s="170" t="s">
        <v>137</v>
      </c>
      <c r="D221" s="169">
        <v>6</v>
      </c>
      <c r="E221" s="169">
        <v>5</v>
      </c>
      <c r="F221" s="169">
        <v>0</v>
      </c>
      <c r="G221" s="169">
        <v>15</v>
      </c>
      <c r="H221" s="169">
        <v>15</v>
      </c>
      <c r="I221" s="169">
        <v>78.099999999999994</v>
      </c>
      <c r="J221" s="173">
        <v>6.66</v>
      </c>
      <c r="K221" s="169">
        <v>3.45</v>
      </c>
      <c r="L221" s="169">
        <v>1.49</v>
      </c>
      <c r="M221" s="169">
        <v>0.28799999999999998</v>
      </c>
      <c r="N221" s="172">
        <v>0.73099999999999998</v>
      </c>
      <c r="O221" s="172">
        <v>0.39600000000000002</v>
      </c>
      <c r="P221" s="172">
        <v>0.13500000000000001</v>
      </c>
      <c r="Q221" s="173">
        <v>92.9</v>
      </c>
      <c r="R221" s="173">
        <v>4.37</v>
      </c>
      <c r="S221" s="169">
        <v>5.38</v>
      </c>
      <c r="T221" s="169">
        <v>5.13</v>
      </c>
      <c r="U221" s="169">
        <v>4.8499999999999996</v>
      </c>
      <c r="V221" s="173">
        <v>0</v>
      </c>
      <c r="W221" s="192"/>
      <c r="X221" s="192"/>
      <c r="Y221" s="192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</row>
    <row r="222" spans="1:37" ht="15.75" customHeight="1">
      <c r="A222" s="169">
        <v>217</v>
      </c>
      <c r="B222" s="170" t="s">
        <v>999</v>
      </c>
      <c r="C222" s="170" t="s">
        <v>70</v>
      </c>
      <c r="D222" s="169">
        <v>1</v>
      </c>
      <c r="E222" s="169">
        <v>1</v>
      </c>
      <c r="F222" s="169">
        <v>0</v>
      </c>
      <c r="G222" s="169">
        <v>6</v>
      </c>
      <c r="H222" s="169">
        <v>6</v>
      </c>
      <c r="I222" s="169">
        <v>22.1</v>
      </c>
      <c r="J222" s="173">
        <v>7.25</v>
      </c>
      <c r="K222" s="169">
        <v>4.84</v>
      </c>
      <c r="L222" s="169">
        <v>1.61</v>
      </c>
      <c r="M222" s="169">
        <v>0.36</v>
      </c>
      <c r="N222" s="172">
        <v>0.78100000000000003</v>
      </c>
      <c r="O222" s="172">
        <v>0.35099999999999998</v>
      </c>
      <c r="P222" s="172">
        <v>0.13300000000000001</v>
      </c>
      <c r="Q222" s="173">
        <v>92.9</v>
      </c>
      <c r="R222" s="173">
        <v>5.64</v>
      </c>
      <c r="S222" s="169">
        <v>5.45</v>
      </c>
      <c r="T222" s="169">
        <v>5.61</v>
      </c>
      <c r="U222" s="169">
        <v>5.34</v>
      </c>
      <c r="V222" s="173">
        <v>0</v>
      </c>
      <c r="W222" s="192"/>
      <c r="X222" s="192"/>
      <c r="Y222" s="192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</row>
    <row r="223" spans="1:37" ht="15.75" customHeight="1">
      <c r="A223" s="169">
        <v>218</v>
      </c>
      <c r="B223" s="170" t="s">
        <v>1000</v>
      </c>
      <c r="C223" s="170" t="s">
        <v>56</v>
      </c>
      <c r="D223" s="169">
        <v>0</v>
      </c>
      <c r="E223" s="169">
        <v>3</v>
      </c>
      <c r="F223" s="169">
        <v>0</v>
      </c>
      <c r="G223" s="169">
        <v>6</v>
      </c>
      <c r="H223" s="169">
        <v>6</v>
      </c>
      <c r="I223" s="169">
        <v>26</v>
      </c>
      <c r="J223" s="173">
        <v>7.96</v>
      </c>
      <c r="K223" s="169">
        <v>3.81</v>
      </c>
      <c r="L223" s="169">
        <v>2.08</v>
      </c>
      <c r="M223" s="169">
        <v>0.317</v>
      </c>
      <c r="N223" s="172">
        <v>0.50600000000000001</v>
      </c>
      <c r="O223" s="172">
        <v>0.372</v>
      </c>
      <c r="P223" s="172">
        <v>0.154</v>
      </c>
      <c r="Q223" s="173">
        <v>91.5</v>
      </c>
      <c r="R223" s="173">
        <v>8.65</v>
      </c>
      <c r="S223" s="169">
        <v>5.45</v>
      </c>
      <c r="T223" s="169">
        <v>5.76</v>
      </c>
      <c r="U223" s="169">
        <v>5.07</v>
      </c>
      <c r="V223" s="173">
        <v>0</v>
      </c>
      <c r="W223" s="192"/>
      <c r="X223" s="192"/>
      <c r="Y223" s="192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</row>
    <row r="224" spans="1:37" ht="15.75" customHeight="1">
      <c r="A224" s="169">
        <v>219</v>
      </c>
      <c r="B224" s="170" t="s">
        <v>71</v>
      </c>
      <c r="C224" s="170" t="s">
        <v>72</v>
      </c>
      <c r="D224" s="169">
        <v>1</v>
      </c>
      <c r="E224" s="169">
        <v>7</v>
      </c>
      <c r="F224" s="169">
        <v>0</v>
      </c>
      <c r="G224" s="169">
        <v>12</v>
      </c>
      <c r="H224" s="169">
        <v>12</v>
      </c>
      <c r="I224" s="169">
        <v>57.2</v>
      </c>
      <c r="J224" s="173">
        <v>7.34</v>
      </c>
      <c r="K224" s="169">
        <v>3.43</v>
      </c>
      <c r="L224" s="169">
        <v>1.87</v>
      </c>
      <c r="M224" s="169">
        <v>0.314</v>
      </c>
      <c r="N224" s="172">
        <v>0.65100000000000002</v>
      </c>
      <c r="O224" s="172">
        <v>0.44</v>
      </c>
      <c r="P224" s="172">
        <v>0.17100000000000001</v>
      </c>
      <c r="Q224" s="173">
        <v>93.7</v>
      </c>
      <c r="R224" s="173">
        <v>6.24</v>
      </c>
      <c r="S224" s="169">
        <v>4.43</v>
      </c>
      <c r="T224" s="169">
        <v>5.37</v>
      </c>
      <c r="U224" s="169">
        <v>4.5199999999999996</v>
      </c>
      <c r="V224" s="173">
        <v>0</v>
      </c>
      <c r="W224" s="192"/>
      <c r="X224" s="192"/>
      <c r="Y224" s="192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</row>
    <row r="225" spans="1:37" ht="15.75" customHeight="1">
      <c r="A225" s="169">
        <v>220</v>
      </c>
      <c r="B225" s="170" t="s">
        <v>1001</v>
      </c>
      <c r="C225" s="170" t="s">
        <v>108</v>
      </c>
      <c r="D225" s="169">
        <v>1</v>
      </c>
      <c r="E225" s="169">
        <v>0</v>
      </c>
      <c r="F225" s="169">
        <v>0</v>
      </c>
      <c r="G225" s="169">
        <v>2</v>
      </c>
      <c r="H225" s="169">
        <v>2</v>
      </c>
      <c r="I225" s="169">
        <v>10</v>
      </c>
      <c r="J225" s="173">
        <v>6.3</v>
      </c>
      <c r="K225" s="169">
        <v>5.4</v>
      </c>
      <c r="L225" s="169">
        <v>1.8</v>
      </c>
      <c r="M225" s="169">
        <v>0.26900000000000002</v>
      </c>
      <c r="N225" s="172">
        <v>0.83299999999999996</v>
      </c>
      <c r="O225" s="172">
        <v>0.39300000000000002</v>
      </c>
      <c r="P225" s="172">
        <v>0.16700000000000001</v>
      </c>
      <c r="Q225" s="173">
        <v>92.2</v>
      </c>
      <c r="R225" s="173">
        <v>4.5</v>
      </c>
      <c r="S225" s="169">
        <v>8.6300000000000008</v>
      </c>
      <c r="T225" s="169">
        <v>6.45</v>
      </c>
      <c r="U225" s="169">
        <v>5.69</v>
      </c>
      <c r="V225" s="173">
        <v>-0.1</v>
      </c>
      <c r="W225" s="192"/>
      <c r="X225" s="192"/>
      <c r="Y225" s="192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</row>
    <row r="226" spans="1:37" ht="15.75" customHeight="1">
      <c r="A226" s="169">
        <v>221</v>
      </c>
      <c r="B226" s="170" t="s">
        <v>1002</v>
      </c>
      <c r="C226" s="170" t="s">
        <v>91</v>
      </c>
      <c r="D226" s="169">
        <v>1</v>
      </c>
      <c r="E226" s="169">
        <v>2</v>
      </c>
      <c r="F226" s="169">
        <v>0</v>
      </c>
      <c r="G226" s="169">
        <v>3</v>
      </c>
      <c r="H226" s="169">
        <v>3</v>
      </c>
      <c r="I226" s="169">
        <v>11.2</v>
      </c>
      <c r="J226" s="173">
        <v>10.029999999999999</v>
      </c>
      <c r="K226" s="169">
        <v>5.4</v>
      </c>
      <c r="L226" s="169">
        <v>2.31</v>
      </c>
      <c r="M226" s="169">
        <v>0.313</v>
      </c>
      <c r="N226" s="172">
        <v>0.38</v>
      </c>
      <c r="O226" s="172">
        <v>0.34300000000000003</v>
      </c>
      <c r="P226" s="172">
        <v>0.214</v>
      </c>
      <c r="Q226" s="173">
        <v>95.6</v>
      </c>
      <c r="R226" s="173">
        <v>8.49</v>
      </c>
      <c r="S226" s="169">
        <v>5.4</v>
      </c>
      <c r="T226" s="169">
        <v>6.06</v>
      </c>
      <c r="U226" s="169">
        <v>4.5599999999999996</v>
      </c>
      <c r="V226" s="173">
        <v>-0.1</v>
      </c>
      <c r="W226" s="192"/>
      <c r="X226" s="192"/>
      <c r="Y226" s="192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</row>
    <row r="227" spans="1:37" ht="15.75" customHeight="1">
      <c r="A227" s="169">
        <v>222</v>
      </c>
      <c r="B227" s="170" t="s">
        <v>63</v>
      </c>
      <c r="C227" s="170" t="s">
        <v>64</v>
      </c>
      <c r="D227" s="169">
        <v>1</v>
      </c>
      <c r="E227" s="169">
        <v>5</v>
      </c>
      <c r="F227" s="169">
        <v>0</v>
      </c>
      <c r="G227" s="169">
        <v>7</v>
      </c>
      <c r="H227" s="169">
        <v>7</v>
      </c>
      <c r="I227" s="169">
        <v>35.1</v>
      </c>
      <c r="J227" s="173">
        <v>7.9</v>
      </c>
      <c r="K227" s="169">
        <v>5.09</v>
      </c>
      <c r="L227" s="169">
        <v>1.53</v>
      </c>
      <c r="M227" s="169">
        <v>0.25</v>
      </c>
      <c r="N227" s="172">
        <v>0.71699999999999997</v>
      </c>
      <c r="O227" s="172">
        <v>0.38600000000000001</v>
      </c>
      <c r="P227" s="172">
        <v>0.154</v>
      </c>
      <c r="Q227" s="173">
        <v>93.2</v>
      </c>
      <c r="R227" s="173">
        <v>5.35</v>
      </c>
      <c r="S227" s="169">
        <v>5.33</v>
      </c>
      <c r="T227" s="169">
        <v>5.55</v>
      </c>
      <c r="U227" s="169">
        <v>5.04</v>
      </c>
      <c r="V227" s="173">
        <v>-0.1</v>
      </c>
      <c r="W227" s="192"/>
      <c r="X227" s="192"/>
      <c r="Y227" s="192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</row>
    <row r="228" spans="1:37" ht="15.75" customHeight="1">
      <c r="A228" s="169">
        <v>223</v>
      </c>
      <c r="B228" s="170" t="s">
        <v>1003</v>
      </c>
      <c r="C228" s="170" t="s">
        <v>143</v>
      </c>
      <c r="D228" s="169">
        <v>0</v>
      </c>
      <c r="E228" s="169">
        <v>2</v>
      </c>
      <c r="F228" s="169">
        <v>0</v>
      </c>
      <c r="G228" s="169">
        <v>2</v>
      </c>
      <c r="H228" s="169">
        <v>2</v>
      </c>
      <c r="I228" s="169">
        <v>11</v>
      </c>
      <c r="J228" s="173">
        <v>7.36</v>
      </c>
      <c r="K228" s="169">
        <v>4.91</v>
      </c>
      <c r="L228" s="169">
        <v>2.4500000000000002</v>
      </c>
      <c r="M228" s="169">
        <v>0.32400000000000001</v>
      </c>
      <c r="N228" s="172">
        <v>0.50600000000000001</v>
      </c>
      <c r="O228" s="172">
        <v>0.4</v>
      </c>
      <c r="P228" s="172">
        <v>0.2</v>
      </c>
      <c r="Q228" s="173">
        <v>94.3</v>
      </c>
      <c r="R228" s="173">
        <v>9.82</v>
      </c>
      <c r="S228" s="169">
        <v>7.17</v>
      </c>
      <c r="T228" s="169">
        <v>6.69</v>
      </c>
      <c r="U228" s="169">
        <v>5.24</v>
      </c>
      <c r="V228" s="173">
        <v>-0.1</v>
      </c>
      <c r="W228" s="192"/>
      <c r="X228" s="192"/>
      <c r="Y228" s="192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</row>
    <row r="229" spans="1:37" ht="15.75" customHeight="1">
      <c r="A229" s="169">
        <v>224</v>
      </c>
      <c r="B229" s="170" t="s">
        <v>1004</v>
      </c>
      <c r="C229" s="170" t="s">
        <v>74</v>
      </c>
      <c r="D229" s="169">
        <v>0</v>
      </c>
      <c r="E229" s="169">
        <v>1</v>
      </c>
      <c r="F229" s="169">
        <v>0</v>
      </c>
      <c r="G229" s="169">
        <v>5</v>
      </c>
      <c r="H229" s="169">
        <v>5</v>
      </c>
      <c r="I229" s="169">
        <v>21.2</v>
      </c>
      <c r="J229" s="173">
        <v>5.82</v>
      </c>
      <c r="K229" s="169">
        <v>4.1500000000000004</v>
      </c>
      <c r="L229" s="169">
        <v>1.66</v>
      </c>
      <c r="M229" s="169">
        <v>0.35399999999999998</v>
      </c>
      <c r="N229" s="172">
        <v>0.70299999999999996</v>
      </c>
      <c r="O229" s="172">
        <v>0.34599999999999997</v>
      </c>
      <c r="P229" s="172">
        <v>0.129</v>
      </c>
      <c r="Q229" s="173">
        <v>93.2</v>
      </c>
      <c r="R229" s="173">
        <v>6.23</v>
      </c>
      <c r="S229" s="169">
        <v>9.16</v>
      </c>
      <c r="T229" s="169">
        <v>5.92</v>
      </c>
      <c r="U229" s="169">
        <v>5.71</v>
      </c>
      <c r="V229" s="173">
        <v>-0.1</v>
      </c>
      <c r="W229" s="192"/>
      <c r="X229" s="192"/>
      <c r="Y229" s="192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</row>
    <row r="230" spans="1:37" ht="15.75" customHeight="1">
      <c r="A230" s="169">
        <v>225</v>
      </c>
      <c r="B230" s="170" t="s">
        <v>1005</v>
      </c>
      <c r="C230" s="170" t="s">
        <v>66</v>
      </c>
      <c r="D230" s="169">
        <v>0</v>
      </c>
      <c r="E230" s="169">
        <v>2</v>
      </c>
      <c r="F230" s="169">
        <v>0</v>
      </c>
      <c r="G230" s="169">
        <v>4</v>
      </c>
      <c r="H230" s="169">
        <v>4</v>
      </c>
      <c r="I230" s="169">
        <v>13.2</v>
      </c>
      <c r="J230" s="173">
        <v>8.56</v>
      </c>
      <c r="K230" s="169">
        <v>3.29</v>
      </c>
      <c r="L230" s="169">
        <v>1.98</v>
      </c>
      <c r="M230" s="169">
        <v>0.3</v>
      </c>
      <c r="N230" s="172">
        <v>0.69099999999999995</v>
      </c>
      <c r="O230" s="172">
        <v>0.372</v>
      </c>
      <c r="P230" s="172">
        <v>0.158</v>
      </c>
      <c r="Q230" s="173">
        <v>93.4</v>
      </c>
      <c r="R230" s="173">
        <v>6.59</v>
      </c>
      <c r="S230" s="169">
        <v>4.74</v>
      </c>
      <c r="T230" s="169">
        <v>5.85</v>
      </c>
      <c r="U230" s="169">
        <v>5.13</v>
      </c>
      <c r="V230" s="173">
        <v>-0.1</v>
      </c>
      <c r="W230" s="192"/>
      <c r="X230" s="192"/>
      <c r="Y230" s="192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</row>
    <row r="231" spans="1:37" ht="15.75" customHeight="1">
      <c r="A231" s="169">
        <v>226</v>
      </c>
      <c r="B231" s="170" t="s">
        <v>1006</v>
      </c>
      <c r="C231" s="170" t="s">
        <v>93</v>
      </c>
      <c r="D231" s="169">
        <v>2</v>
      </c>
      <c r="E231" s="169">
        <v>3</v>
      </c>
      <c r="F231" s="169">
        <v>0</v>
      </c>
      <c r="G231" s="169">
        <v>5</v>
      </c>
      <c r="H231" s="169">
        <v>5</v>
      </c>
      <c r="I231" s="169">
        <v>19.2</v>
      </c>
      <c r="J231" s="173">
        <v>9.15</v>
      </c>
      <c r="K231" s="169">
        <v>5.03</v>
      </c>
      <c r="L231" s="169">
        <v>2.29</v>
      </c>
      <c r="M231" s="169">
        <v>0.29599999999999999</v>
      </c>
      <c r="N231" s="172">
        <v>0.56000000000000005</v>
      </c>
      <c r="O231" s="172">
        <v>0.28799999999999998</v>
      </c>
      <c r="P231" s="172">
        <v>0.17899999999999999</v>
      </c>
      <c r="Q231" s="173">
        <v>93.8</v>
      </c>
      <c r="R231" s="173">
        <v>8.24</v>
      </c>
      <c r="S231" s="169">
        <v>6.31</v>
      </c>
      <c r="T231" s="169">
        <v>6.1</v>
      </c>
      <c r="U231" s="169">
        <v>4.9800000000000004</v>
      </c>
      <c r="V231" s="173">
        <v>-0.1</v>
      </c>
      <c r="W231" s="192"/>
      <c r="X231" s="192"/>
      <c r="Y231" s="192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</row>
    <row r="232" spans="1:37" ht="15.75" customHeight="1">
      <c r="A232" s="169">
        <v>227</v>
      </c>
      <c r="B232" s="170" t="s">
        <v>1007</v>
      </c>
      <c r="C232" s="170" t="s">
        <v>143</v>
      </c>
      <c r="D232" s="169">
        <v>3</v>
      </c>
      <c r="E232" s="169">
        <v>2</v>
      </c>
      <c r="F232" s="169">
        <v>0</v>
      </c>
      <c r="G232" s="169">
        <v>7</v>
      </c>
      <c r="H232" s="169">
        <v>7</v>
      </c>
      <c r="I232" s="169">
        <v>36</v>
      </c>
      <c r="J232" s="173">
        <v>9.5</v>
      </c>
      <c r="K232" s="169">
        <v>4.5</v>
      </c>
      <c r="L232" s="169">
        <v>2.25</v>
      </c>
      <c r="M232" s="169">
        <v>0.27</v>
      </c>
      <c r="N232" s="172">
        <v>0.79700000000000004</v>
      </c>
      <c r="O232" s="172">
        <v>0.40600000000000003</v>
      </c>
      <c r="P232" s="172">
        <v>0.214</v>
      </c>
      <c r="Q232" s="173">
        <v>93.5</v>
      </c>
      <c r="R232" s="173">
        <v>5</v>
      </c>
      <c r="S232" s="169">
        <v>5.52</v>
      </c>
      <c r="T232" s="169">
        <v>6.04</v>
      </c>
      <c r="U232" s="169">
        <v>4.58</v>
      </c>
      <c r="V232" s="173">
        <v>-0.1</v>
      </c>
      <c r="W232" s="192"/>
      <c r="X232" s="192"/>
      <c r="Y232" s="192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</row>
    <row r="233" spans="1:37" ht="15.75" customHeight="1">
      <c r="A233" s="169">
        <v>228</v>
      </c>
      <c r="B233" s="170" t="s">
        <v>1008</v>
      </c>
      <c r="C233" s="178" t="s">
        <v>34</v>
      </c>
      <c r="D233" s="169">
        <v>2</v>
      </c>
      <c r="E233" s="169">
        <v>2</v>
      </c>
      <c r="F233" s="169">
        <v>0</v>
      </c>
      <c r="G233" s="169">
        <v>9</v>
      </c>
      <c r="H233" s="169">
        <v>9</v>
      </c>
      <c r="I233" s="169">
        <v>40.200000000000003</v>
      </c>
      <c r="J233" s="173">
        <v>6.42</v>
      </c>
      <c r="K233" s="169">
        <v>3.54</v>
      </c>
      <c r="L233" s="169">
        <v>1.99</v>
      </c>
      <c r="M233" s="169">
        <v>0.318</v>
      </c>
      <c r="N233" s="172">
        <v>0.66200000000000003</v>
      </c>
      <c r="O233" s="172">
        <v>0.35</v>
      </c>
      <c r="P233" s="172">
        <v>0.155</v>
      </c>
      <c r="Q233" s="173">
        <v>91.6</v>
      </c>
      <c r="R233" s="173">
        <v>6.86</v>
      </c>
      <c r="S233" s="169">
        <v>5.99</v>
      </c>
      <c r="T233" s="169">
        <v>5.78</v>
      </c>
      <c r="U233" s="169">
        <v>5.09</v>
      </c>
      <c r="V233" s="173">
        <v>-0.2</v>
      </c>
      <c r="W233" s="192"/>
      <c r="X233" s="192"/>
      <c r="Y233" s="192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</row>
    <row r="234" spans="1:37" ht="15.75" customHeight="1">
      <c r="A234" s="169">
        <v>229</v>
      </c>
      <c r="B234" s="170" t="s">
        <v>1009</v>
      </c>
      <c r="C234" s="170" t="s">
        <v>64</v>
      </c>
      <c r="D234" s="169">
        <v>2</v>
      </c>
      <c r="E234" s="169">
        <v>4</v>
      </c>
      <c r="F234" s="169">
        <v>0</v>
      </c>
      <c r="G234" s="169">
        <v>12</v>
      </c>
      <c r="H234" s="169">
        <v>12</v>
      </c>
      <c r="I234" s="169">
        <v>48.1</v>
      </c>
      <c r="J234" s="173">
        <v>10.06</v>
      </c>
      <c r="K234" s="169">
        <v>6.33</v>
      </c>
      <c r="L234" s="169">
        <v>1.68</v>
      </c>
      <c r="M234" s="169">
        <v>0.32800000000000001</v>
      </c>
      <c r="N234" s="172">
        <v>0.67200000000000004</v>
      </c>
      <c r="O234" s="172">
        <v>0.45100000000000001</v>
      </c>
      <c r="P234" s="172">
        <v>0.17</v>
      </c>
      <c r="Q234" s="173">
        <v>91.8</v>
      </c>
      <c r="R234" s="173">
        <v>6.89</v>
      </c>
      <c r="S234" s="169">
        <v>5.28</v>
      </c>
      <c r="T234" s="169">
        <v>5.82</v>
      </c>
      <c r="U234" s="169">
        <v>5.08</v>
      </c>
      <c r="V234" s="173">
        <v>-0.2</v>
      </c>
      <c r="W234" s="192"/>
      <c r="X234" s="192"/>
      <c r="Y234" s="192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</row>
    <row r="235" spans="1:37" ht="15.75" customHeight="1">
      <c r="A235" s="169">
        <v>230</v>
      </c>
      <c r="B235" s="170" t="s">
        <v>797</v>
      </c>
      <c r="C235" s="170" t="s">
        <v>74</v>
      </c>
      <c r="D235" s="169">
        <v>0</v>
      </c>
      <c r="E235" s="169">
        <v>0</v>
      </c>
      <c r="F235" s="169">
        <v>0</v>
      </c>
      <c r="G235" s="169">
        <v>3</v>
      </c>
      <c r="H235" s="169">
        <v>3</v>
      </c>
      <c r="I235" s="169">
        <v>11</v>
      </c>
      <c r="J235" s="173">
        <v>9</v>
      </c>
      <c r="K235" s="169">
        <v>4.91</v>
      </c>
      <c r="L235" s="169">
        <v>2.4500000000000002</v>
      </c>
      <c r="M235" s="169">
        <v>0.36699999999999999</v>
      </c>
      <c r="N235" s="172">
        <v>0.78700000000000003</v>
      </c>
      <c r="O235" s="172">
        <v>0.42399999999999999</v>
      </c>
      <c r="P235" s="172">
        <v>0.3</v>
      </c>
      <c r="Q235" s="173">
        <v>94.8</v>
      </c>
      <c r="R235" s="173">
        <v>6.55</v>
      </c>
      <c r="S235" s="169">
        <v>4.1100000000000003</v>
      </c>
      <c r="T235" s="169">
        <v>6.87</v>
      </c>
      <c r="U235" s="169">
        <v>4.72</v>
      </c>
      <c r="V235" s="173">
        <v>-0.2</v>
      </c>
      <c r="W235" s="192"/>
      <c r="X235" s="192"/>
      <c r="Y235" s="192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</row>
    <row r="236" spans="1:37" ht="15.75" customHeight="1">
      <c r="A236" s="169">
        <v>231</v>
      </c>
      <c r="B236" s="170" t="s">
        <v>99</v>
      </c>
      <c r="C236" s="170" t="s">
        <v>100</v>
      </c>
      <c r="D236" s="169">
        <v>1</v>
      </c>
      <c r="E236" s="169">
        <v>3</v>
      </c>
      <c r="F236" s="169">
        <v>0</v>
      </c>
      <c r="G236" s="169">
        <v>6</v>
      </c>
      <c r="H236" s="169">
        <v>6</v>
      </c>
      <c r="I236" s="169">
        <v>22.2</v>
      </c>
      <c r="J236" s="173">
        <v>11.12</v>
      </c>
      <c r="K236" s="169">
        <v>6.75</v>
      </c>
      <c r="L236" s="169">
        <v>1.99</v>
      </c>
      <c r="M236" s="169">
        <v>0.32200000000000001</v>
      </c>
      <c r="N236" s="172">
        <v>0.54100000000000004</v>
      </c>
      <c r="O236" s="172">
        <v>0.375</v>
      </c>
      <c r="P236" s="172">
        <v>0.156</v>
      </c>
      <c r="Q236" s="173">
        <v>98.7</v>
      </c>
      <c r="R236" s="173">
        <v>7.54</v>
      </c>
      <c r="S236" s="169">
        <v>5.63</v>
      </c>
      <c r="T236" s="169">
        <v>6.19</v>
      </c>
      <c r="U236" s="169">
        <v>5.49</v>
      </c>
      <c r="V236" s="173">
        <v>-0.2</v>
      </c>
      <c r="W236" s="192"/>
      <c r="X236" s="192"/>
      <c r="Y236" s="192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</row>
    <row r="237" spans="1:37" ht="15.75" customHeight="1">
      <c r="A237" s="169">
        <v>232</v>
      </c>
      <c r="B237" s="170" t="s">
        <v>1010</v>
      </c>
      <c r="C237" s="178" t="s">
        <v>905</v>
      </c>
      <c r="D237" s="169">
        <v>0</v>
      </c>
      <c r="E237" s="169">
        <v>1</v>
      </c>
      <c r="F237" s="169">
        <v>0</v>
      </c>
      <c r="G237" s="169">
        <v>6</v>
      </c>
      <c r="H237" s="169">
        <v>6</v>
      </c>
      <c r="I237" s="169">
        <v>22.1</v>
      </c>
      <c r="J237" s="173">
        <v>4.84</v>
      </c>
      <c r="K237" s="169">
        <v>5.24</v>
      </c>
      <c r="L237" s="169">
        <v>1.61</v>
      </c>
      <c r="M237" s="169">
        <v>0.28399999999999997</v>
      </c>
      <c r="N237" s="172">
        <v>0.79100000000000004</v>
      </c>
      <c r="O237" s="172">
        <v>0.26</v>
      </c>
      <c r="P237" s="172">
        <v>0.114</v>
      </c>
      <c r="Q237" s="173">
        <v>96.1</v>
      </c>
      <c r="R237" s="173">
        <v>5.24</v>
      </c>
      <c r="S237" s="169">
        <v>10.81</v>
      </c>
      <c r="T237" s="169">
        <v>6.55</v>
      </c>
      <c r="U237" s="169">
        <v>6.63</v>
      </c>
      <c r="V237" s="173">
        <v>-0.2</v>
      </c>
      <c r="W237" s="192"/>
      <c r="X237" s="192"/>
      <c r="Y237" s="192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</row>
    <row r="238" spans="1:37" ht="15.75" customHeight="1">
      <c r="A238" s="169">
        <v>233</v>
      </c>
      <c r="B238" s="170" t="s">
        <v>1011</v>
      </c>
      <c r="C238" s="170" t="s">
        <v>60</v>
      </c>
      <c r="D238" s="169">
        <v>2</v>
      </c>
      <c r="E238" s="169">
        <v>4</v>
      </c>
      <c r="F238" s="169">
        <v>0</v>
      </c>
      <c r="G238" s="169">
        <v>10</v>
      </c>
      <c r="H238" s="169">
        <v>10</v>
      </c>
      <c r="I238" s="169">
        <v>46.1</v>
      </c>
      <c r="J238" s="173">
        <v>6.6</v>
      </c>
      <c r="K238" s="169">
        <v>3.88</v>
      </c>
      <c r="L238" s="169">
        <v>2.14</v>
      </c>
      <c r="M238" s="169">
        <v>0.30299999999999999</v>
      </c>
      <c r="N238" s="172">
        <v>0.69799999999999995</v>
      </c>
      <c r="O238" s="172">
        <v>0.29499999999999998</v>
      </c>
      <c r="P238" s="172">
        <v>0.13900000000000001</v>
      </c>
      <c r="Q238" s="173">
        <v>94.7</v>
      </c>
      <c r="R238" s="173">
        <v>6.22</v>
      </c>
      <c r="S238" s="169">
        <v>5.37</v>
      </c>
      <c r="T238" s="169">
        <v>6.19</v>
      </c>
      <c r="U238" s="169">
        <v>5.72</v>
      </c>
      <c r="V238" s="173">
        <v>-0.2</v>
      </c>
      <c r="W238" s="192"/>
      <c r="X238" s="192"/>
      <c r="Y238" s="192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</row>
    <row r="239" spans="1:37" ht="15.75" customHeight="1">
      <c r="A239" s="169">
        <v>234</v>
      </c>
      <c r="B239" s="170" t="s">
        <v>1012</v>
      </c>
      <c r="C239" s="170" t="s">
        <v>51</v>
      </c>
      <c r="D239" s="169">
        <v>1</v>
      </c>
      <c r="E239" s="169">
        <v>4</v>
      </c>
      <c r="F239" s="169">
        <v>0</v>
      </c>
      <c r="G239" s="169">
        <v>10</v>
      </c>
      <c r="H239" s="169">
        <v>10</v>
      </c>
      <c r="I239" s="169">
        <v>41</v>
      </c>
      <c r="J239" s="173">
        <v>7.46</v>
      </c>
      <c r="K239" s="169">
        <v>2.85</v>
      </c>
      <c r="L239" s="169">
        <v>2.2000000000000002</v>
      </c>
      <c r="M239" s="169">
        <v>0.26300000000000001</v>
      </c>
      <c r="N239" s="172">
        <v>0.76200000000000001</v>
      </c>
      <c r="O239" s="172">
        <v>0.44</v>
      </c>
      <c r="P239" s="172">
        <v>0.222</v>
      </c>
      <c r="Q239" s="173">
        <v>95.9</v>
      </c>
      <c r="R239" s="173">
        <v>4.83</v>
      </c>
      <c r="S239" s="169">
        <v>5.61</v>
      </c>
      <c r="T239" s="169">
        <v>5.76</v>
      </c>
      <c r="U239" s="169">
        <v>4.2699999999999996</v>
      </c>
      <c r="V239" s="173">
        <v>-0.2</v>
      </c>
      <c r="W239" s="192"/>
      <c r="X239" s="192"/>
      <c r="Y239" s="192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</row>
    <row r="240" spans="1:37" ht="15.75" customHeight="1">
      <c r="A240" s="169">
        <v>235</v>
      </c>
      <c r="B240" s="170" t="s">
        <v>1013</v>
      </c>
      <c r="C240" s="170" t="s">
        <v>143</v>
      </c>
      <c r="D240" s="169">
        <v>1</v>
      </c>
      <c r="E240" s="169">
        <v>1</v>
      </c>
      <c r="F240" s="169">
        <v>0</v>
      </c>
      <c r="G240" s="169">
        <v>8</v>
      </c>
      <c r="H240" s="169">
        <v>8</v>
      </c>
      <c r="I240" s="169">
        <v>34.1</v>
      </c>
      <c r="J240" s="173">
        <v>6.29</v>
      </c>
      <c r="K240" s="169">
        <v>5.77</v>
      </c>
      <c r="L240" s="169">
        <v>1.57</v>
      </c>
      <c r="M240" s="169">
        <v>0.23200000000000001</v>
      </c>
      <c r="N240" s="172">
        <v>0.78900000000000003</v>
      </c>
      <c r="O240" s="172">
        <v>0.38100000000000001</v>
      </c>
      <c r="P240" s="172">
        <v>0.14000000000000001</v>
      </c>
      <c r="Q240" s="173">
        <v>96.3</v>
      </c>
      <c r="R240" s="173">
        <v>4.72</v>
      </c>
      <c r="S240" s="169">
        <v>6.39</v>
      </c>
      <c r="T240" s="169">
        <v>6.2</v>
      </c>
      <c r="U240" s="169">
        <v>5.86</v>
      </c>
      <c r="V240" s="173">
        <v>-0.2</v>
      </c>
      <c r="W240" s="192"/>
      <c r="X240" s="192"/>
      <c r="Y240" s="192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</row>
    <row r="241" spans="1:37" ht="15.75" customHeight="1">
      <c r="A241" s="169">
        <v>236</v>
      </c>
      <c r="B241" s="170" t="s">
        <v>1014</v>
      </c>
      <c r="C241" s="170" t="s">
        <v>51</v>
      </c>
      <c r="D241" s="169">
        <v>0</v>
      </c>
      <c r="E241" s="169">
        <v>1</v>
      </c>
      <c r="F241" s="169">
        <v>0</v>
      </c>
      <c r="G241" s="169">
        <v>3</v>
      </c>
      <c r="H241" s="169">
        <v>3</v>
      </c>
      <c r="I241" s="169">
        <v>10.1</v>
      </c>
      <c r="J241" s="173">
        <v>10.45</v>
      </c>
      <c r="K241" s="169">
        <v>5.23</v>
      </c>
      <c r="L241" s="169">
        <v>3.48</v>
      </c>
      <c r="M241" s="169">
        <v>0.28000000000000003</v>
      </c>
      <c r="N241" s="172">
        <v>0.70199999999999996</v>
      </c>
      <c r="O241" s="172">
        <v>0.24099999999999999</v>
      </c>
      <c r="P241" s="172">
        <v>0.28599999999999998</v>
      </c>
      <c r="Q241" s="173">
        <v>95.9</v>
      </c>
      <c r="R241" s="173">
        <v>7.84</v>
      </c>
      <c r="S241" s="169">
        <v>5.37</v>
      </c>
      <c r="T241" s="169">
        <v>7.6</v>
      </c>
      <c r="U241" s="169">
        <v>4.6500000000000004</v>
      </c>
      <c r="V241" s="173">
        <v>-0.2</v>
      </c>
      <c r="W241" s="192"/>
      <c r="X241" s="192"/>
      <c r="Y241" s="192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</row>
    <row r="242" spans="1:37" ht="15.75" customHeight="1">
      <c r="A242" s="169">
        <v>237</v>
      </c>
      <c r="B242" s="170" t="s">
        <v>1015</v>
      </c>
      <c r="C242" s="170" t="s">
        <v>72</v>
      </c>
      <c r="D242" s="169">
        <v>6</v>
      </c>
      <c r="E242" s="169">
        <v>5</v>
      </c>
      <c r="F242" s="169">
        <v>0</v>
      </c>
      <c r="G242" s="169">
        <v>14</v>
      </c>
      <c r="H242" s="169">
        <v>14</v>
      </c>
      <c r="I242" s="169">
        <v>71.099999999999994</v>
      </c>
      <c r="J242" s="173">
        <v>6.31</v>
      </c>
      <c r="K242" s="169">
        <v>1.64</v>
      </c>
      <c r="L242" s="169">
        <v>2.27</v>
      </c>
      <c r="M242" s="169">
        <v>0.31</v>
      </c>
      <c r="N242" s="172">
        <v>0.70699999999999996</v>
      </c>
      <c r="O242" s="172">
        <v>0.40200000000000002</v>
      </c>
      <c r="P242" s="172">
        <v>0.19400000000000001</v>
      </c>
      <c r="Q242" s="173">
        <v>92</v>
      </c>
      <c r="R242" s="173">
        <v>5.93</v>
      </c>
      <c r="S242" s="169">
        <v>4.54</v>
      </c>
      <c r="T242" s="169">
        <v>5.66</v>
      </c>
      <c r="U242" s="169">
        <v>4.38</v>
      </c>
      <c r="V242" s="173">
        <v>-0.2</v>
      </c>
      <c r="W242" s="192"/>
      <c r="X242" s="192"/>
      <c r="Y242" s="192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</row>
    <row r="243" spans="1:37" ht="15.75" customHeight="1">
      <c r="A243" s="169">
        <v>238</v>
      </c>
      <c r="B243" s="170" t="s">
        <v>47</v>
      </c>
      <c r="C243" s="170" t="s">
        <v>36</v>
      </c>
      <c r="D243" s="169">
        <v>0</v>
      </c>
      <c r="E243" s="169">
        <v>4</v>
      </c>
      <c r="F243" s="169">
        <v>0</v>
      </c>
      <c r="G243" s="169">
        <v>4</v>
      </c>
      <c r="H243" s="169">
        <v>4</v>
      </c>
      <c r="I243" s="169">
        <v>13.2</v>
      </c>
      <c r="J243" s="173">
        <v>6.59</v>
      </c>
      <c r="K243" s="169">
        <v>5.93</v>
      </c>
      <c r="L243" s="169">
        <v>1.98</v>
      </c>
      <c r="M243" s="169">
        <v>0.36199999999999999</v>
      </c>
      <c r="N243" s="172">
        <v>0.625</v>
      </c>
      <c r="O243" s="172">
        <v>0.38</v>
      </c>
      <c r="P243" s="172">
        <v>0.15</v>
      </c>
      <c r="Q243" s="173">
        <v>94</v>
      </c>
      <c r="R243" s="173">
        <v>9.8800000000000008</v>
      </c>
      <c r="S243" s="169">
        <v>7.06</v>
      </c>
      <c r="T243" s="169">
        <v>7.39</v>
      </c>
      <c r="U243" s="169">
        <v>6.78</v>
      </c>
      <c r="V243" s="173">
        <v>-0.2</v>
      </c>
      <c r="W243" s="192"/>
      <c r="X243" s="192"/>
      <c r="Y243" s="192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</row>
    <row r="244" spans="1:37" ht="15.75" customHeight="1">
      <c r="A244" s="169">
        <v>239</v>
      </c>
      <c r="B244" s="170" t="s">
        <v>1016</v>
      </c>
      <c r="C244" s="170" t="s">
        <v>143</v>
      </c>
      <c r="D244" s="169">
        <v>2</v>
      </c>
      <c r="E244" s="169">
        <v>2</v>
      </c>
      <c r="F244" s="169">
        <v>0</v>
      </c>
      <c r="G244" s="169">
        <v>7</v>
      </c>
      <c r="H244" s="169">
        <v>7</v>
      </c>
      <c r="I244" s="169">
        <v>31.2</v>
      </c>
      <c r="J244" s="173">
        <v>8.24</v>
      </c>
      <c r="K244" s="169">
        <v>4.55</v>
      </c>
      <c r="L244" s="169">
        <v>2.27</v>
      </c>
      <c r="M244" s="169">
        <v>0.27600000000000002</v>
      </c>
      <c r="N244" s="172">
        <v>0.77300000000000002</v>
      </c>
      <c r="O244" s="172">
        <v>0.28399999999999997</v>
      </c>
      <c r="P244" s="172">
        <v>0.186</v>
      </c>
      <c r="Q244" s="173">
        <v>93.1</v>
      </c>
      <c r="R244" s="173">
        <v>5.12</v>
      </c>
      <c r="S244" s="169">
        <v>6.87</v>
      </c>
      <c r="T244" s="169">
        <v>6.3</v>
      </c>
      <c r="U244" s="169">
        <v>5.1100000000000003</v>
      </c>
      <c r="V244" s="173">
        <v>-0.3</v>
      </c>
      <c r="W244" s="192"/>
      <c r="X244" s="192"/>
      <c r="Y244" s="192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</row>
    <row r="245" spans="1:37" ht="15.75" customHeight="1">
      <c r="A245" s="169">
        <v>240</v>
      </c>
      <c r="B245" s="170" t="s">
        <v>1017</v>
      </c>
      <c r="C245" s="170" t="s">
        <v>40</v>
      </c>
      <c r="D245" s="169">
        <v>0</v>
      </c>
      <c r="E245" s="169">
        <v>2</v>
      </c>
      <c r="F245" s="169">
        <v>0</v>
      </c>
      <c r="G245" s="169">
        <v>3</v>
      </c>
      <c r="H245" s="169">
        <v>3</v>
      </c>
      <c r="I245" s="169">
        <v>13</v>
      </c>
      <c r="J245" s="173">
        <v>6.92</v>
      </c>
      <c r="K245" s="169">
        <v>5.54</v>
      </c>
      <c r="L245" s="169">
        <v>2.77</v>
      </c>
      <c r="M245" s="169">
        <v>0.308</v>
      </c>
      <c r="N245" s="172">
        <v>0.68600000000000005</v>
      </c>
      <c r="O245" s="172">
        <v>0.25600000000000001</v>
      </c>
      <c r="P245" s="172">
        <v>0.17399999999999999</v>
      </c>
      <c r="Q245" s="173"/>
      <c r="R245" s="173">
        <v>8.31</v>
      </c>
      <c r="S245" s="169">
        <v>5.87</v>
      </c>
      <c r="T245" s="169">
        <v>7.92</v>
      </c>
      <c r="U245" s="169">
        <v>6.63</v>
      </c>
      <c r="V245" s="173">
        <v>-0.3</v>
      </c>
      <c r="W245" s="192"/>
      <c r="X245" s="192"/>
      <c r="Y245" s="192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</row>
    <row r="246" spans="1:37" ht="15.75" customHeight="1">
      <c r="A246" s="169">
        <v>241</v>
      </c>
      <c r="B246" s="170" t="s">
        <v>61</v>
      </c>
      <c r="C246" s="170" t="s">
        <v>58</v>
      </c>
      <c r="D246" s="169">
        <v>8</v>
      </c>
      <c r="E246" s="169">
        <v>12</v>
      </c>
      <c r="F246" s="169">
        <v>0</v>
      </c>
      <c r="G246" s="169">
        <v>30</v>
      </c>
      <c r="H246" s="169">
        <v>30</v>
      </c>
      <c r="I246" s="169">
        <v>162.19999999999999</v>
      </c>
      <c r="J246" s="173">
        <v>5.98</v>
      </c>
      <c r="K246" s="169">
        <v>3.15</v>
      </c>
      <c r="L246" s="169">
        <v>1.83</v>
      </c>
      <c r="M246" s="169">
        <v>0.27800000000000002</v>
      </c>
      <c r="N246" s="172">
        <v>0.67300000000000004</v>
      </c>
      <c r="O246" s="172">
        <v>0.434</v>
      </c>
      <c r="P246" s="172">
        <v>0.16200000000000001</v>
      </c>
      <c r="Q246" s="173">
        <v>92.4</v>
      </c>
      <c r="R246" s="173">
        <v>5.7</v>
      </c>
      <c r="S246" s="169">
        <v>5.65</v>
      </c>
      <c r="T246" s="169">
        <v>5.62</v>
      </c>
      <c r="U246" s="169">
        <v>4.91</v>
      </c>
      <c r="V246" s="173">
        <v>-0.3</v>
      </c>
      <c r="W246" s="192"/>
      <c r="X246" s="192"/>
      <c r="Y246" s="192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</row>
    <row r="247" spans="1:37" ht="15.75" customHeight="1">
      <c r="A247" s="169">
        <v>242</v>
      </c>
      <c r="B247" s="170" t="s">
        <v>813</v>
      </c>
      <c r="C247" s="170" t="s">
        <v>60</v>
      </c>
      <c r="D247" s="169">
        <v>1</v>
      </c>
      <c r="E247" s="169">
        <v>4</v>
      </c>
      <c r="F247" s="169">
        <v>0</v>
      </c>
      <c r="G247" s="169">
        <v>7</v>
      </c>
      <c r="H247" s="169">
        <v>7</v>
      </c>
      <c r="I247" s="169">
        <v>35.200000000000003</v>
      </c>
      <c r="J247" s="173">
        <v>6.56</v>
      </c>
      <c r="K247" s="169">
        <v>2.02</v>
      </c>
      <c r="L247" s="169">
        <v>2.78</v>
      </c>
      <c r="M247" s="169">
        <v>0.27400000000000002</v>
      </c>
      <c r="N247" s="172">
        <v>0.83299999999999996</v>
      </c>
      <c r="O247" s="172">
        <v>0.40899999999999997</v>
      </c>
      <c r="P247" s="172">
        <v>0.25600000000000001</v>
      </c>
      <c r="Q247" s="173"/>
      <c r="R247" s="173">
        <v>5.05</v>
      </c>
      <c r="S247" s="169">
        <v>6.52</v>
      </c>
      <c r="T247" s="169">
        <v>6.46</v>
      </c>
      <c r="U247" s="169">
        <v>4.3</v>
      </c>
      <c r="V247" s="173">
        <v>-0.3</v>
      </c>
      <c r="W247" s="192"/>
      <c r="X247" s="192"/>
      <c r="Y247" s="192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</row>
    <row r="248" spans="1:37" ht="15.75" customHeight="1">
      <c r="A248" s="169">
        <v>243</v>
      </c>
      <c r="B248" s="170" t="s">
        <v>1018</v>
      </c>
      <c r="C248" s="178" t="s">
        <v>34</v>
      </c>
      <c r="D248" s="169">
        <v>2</v>
      </c>
      <c r="E248" s="169">
        <v>3</v>
      </c>
      <c r="F248" s="169">
        <v>0</v>
      </c>
      <c r="G248" s="169">
        <v>7</v>
      </c>
      <c r="H248" s="169">
        <v>7</v>
      </c>
      <c r="I248" s="169">
        <v>28</v>
      </c>
      <c r="J248" s="173">
        <v>7.39</v>
      </c>
      <c r="K248" s="169">
        <v>3.54</v>
      </c>
      <c r="L248" s="169">
        <v>2.57</v>
      </c>
      <c r="M248" s="169">
        <v>0.29299999999999998</v>
      </c>
      <c r="N248" s="172">
        <v>0.73199999999999998</v>
      </c>
      <c r="O248" s="172">
        <v>0.3</v>
      </c>
      <c r="P248" s="172">
        <v>0.2</v>
      </c>
      <c r="Q248" s="173">
        <v>96</v>
      </c>
      <c r="R248" s="173">
        <v>6.43</v>
      </c>
      <c r="S248" s="169">
        <v>6.68</v>
      </c>
      <c r="T248" s="169">
        <v>6.5</v>
      </c>
      <c r="U248" s="169">
        <v>4.9800000000000004</v>
      </c>
      <c r="V248" s="173">
        <v>-0.3</v>
      </c>
      <c r="W248" s="192"/>
      <c r="X248" s="192"/>
      <c r="Y248" s="192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</row>
    <row r="249" spans="1:37" ht="15.75" customHeight="1">
      <c r="A249" s="169">
        <v>244</v>
      </c>
      <c r="B249" s="170" t="s">
        <v>1019</v>
      </c>
      <c r="C249" s="170" t="s">
        <v>51</v>
      </c>
      <c r="D249" s="169">
        <v>0</v>
      </c>
      <c r="E249" s="169">
        <v>3</v>
      </c>
      <c r="F249" s="169">
        <v>0</v>
      </c>
      <c r="G249" s="169">
        <v>9</v>
      </c>
      <c r="H249" s="169">
        <v>9</v>
      </c>
      <c r="I249" s="169">
        <v>43.2</v>
      </c>
      <c r="J249" s="173">
        <v>6.6</v>
      </c>
      <c r="K249" s="169">
        <v>3.5</v>
      </c>
      <c r="L249" s="169">
        <v>2.06</v>
      </c>
      <c r="M249" s="169">
        <v>0.33800000000000002</v>
      </c>
      <c r="N249" s="172">
        <v>0.58499999999999996</v>
      </c>
      <c r="O249" s="172">
        <v>0.48299999999999998</v>
      </c>
      <c r="P249" s="172">
        <v>0.22700000000000001</v>
      </c>
      <c r="Q249" s="173">
        <v>95.2</v>
      </c>
      <c r="R249" s="173">
        <v>8.0399999999999991</v>
      </c>
      <c r="S249" s="169">
        <v>6.05</v>
      </c>
      <c r="T249" s="169">
        <v>6.17</v>
      </c>
      <c r="U249" s="169">
        <v>4.74</v>
      </c>
      <c r="V249" s="173">
        <v>-0.3</v>
      </c>
      <c r="W249" s="192"/>
      <c r="X249" s="192"/>
      <c r="Y249" s="192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</row>
    <row r="250" spans="1:37" ht="15.75" customHeight="1">
      <c r="A250" s="169">
        <v>245</v>
      </c>
      <c r="B250" s="170" t="s">
        <v>1020</v>
      </c>
      <c r="C250" s="170" t="s">
        <v>49</v>
      </c>
      <c r="D250" s="169">
        <v>2</v>
      </c>
      <c r="E250" s="169">
        <v>2</v>
      </c>
      <c r="F250" s="169">
        <v>0</v>
      </c>
      <c r="G250" s="169">
        <v>6</v>
      </c>
      <c r="H250" s="169">
        <v>6</v>
      </c>
      <c r="I250" s="169">
        <v>25.2</v>
      </c>
      <c r="J250" s="173">
        <v>5.96</v>
      </c>
      <c r="K250" s="169">
        <v>2.1</v>
      </c>
      <c r="L250" s="169">
        <v>2.81</v>
      </c>
      <c r="M250" s="169">
        <v>0.26600000000000001</v>
      </c>
      <c r="N250" s="172">
        <v>0.67200000000000004</v>
      </c>
      <c r="O250" s="172">
        <v>0.28199999999999997</v>
      </c>
      <c r="P250" s="172">
        <v>0.16</v>
      </c>
      <c r="Q250" s="173">
        <v>91.1</v>
      </c>
      <c r="R250" s="173">
        <v>6.66</v>
      </c>
      <c r="S250" s="169">
        <v>4.83</v>
      </c>
      <c r="T250" s="169">
        <v>6.58</v>
      </c>
      <c r="U250" s="169">
        <v>5.51</v>
      </c>
      <c r="V250" s="173">
        <v>-0.3</v>
      </c>
      <c r="W250" s="192"/>
      <c r="X250" s="192"/>
      <c r="Y250" s="192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</row>
    <row r="251" spans="1:37" ht="15.75" customHeight="1">
      <c r="A251" s="169">
        <v>246</v>
      </c>
      <c r="B251" s="170" t="s">
        <v>1021</v>
      </c>
      <c r="C251" s="170" t="s">
        <v>36</v>
      </c>
      <c r="D251" s="169">
        <v>0</v>
      </c>
      <c r="E251" s="169">
        <v>7</v>
      </c>
      <c r="F251" s="169">
        <v>0</v>
      </c>
      <c r="G251" s="169">
        <v>12</v>
      </c>
      <c r="H251" s="169">
        <v>12</v>
      </c>
      <c r="I251" s="169">
        <v>57.2</v>
      </c>
      <c r="J251" s="173">
        <v>5.31</v>
      </c>
      <c r="K251" s="169">
        <v>2.65</v>
      </c>
      <c r="L251" s="169">
        <v>2.5</v>
      </c>
      <c r="M251" s="169">
        <v>0.32400000000000001</v>
      </c>
      <c r="N251" s="172">
        <v>0.63100000000000001</v>
      </c>
      <c r="O251" s="172">
        <v>0.33200000000000002</v>
      </c>
      <c r="P251" s="172">
        <v>0.154</v>
      </c>
      <c r="Q251" s="173">
        <v>89.4</v>
      </c>
      <c r="R251" s="173">
        <v>7.49</v>
      </c>
      <c r="S251" s="169">
        <v>6.11</v>
      </c>
      <c r="T251" s="169">
        <v>6.51</v>
      </c>
      <c r="U251" s="169">
        <v>5.67</v>
      </c>
      <c r="V251" s="173">
        <v>-0.4</v>
      </c>
      <c r="W251" s="192"/>
      <c r="X251" s="192"/>
      <c r="Y251" s="192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</row>
    <row r="252" spans="1:37" ht="15.75" customHeight="1">
      <c r="A252" s="169">
        <v>247</v>
      </c>
      <c r="B252" s="170" t="s">
        <v>1022</v>
      </c>
      <c r="C252" s="170" t="s">
        <v>137</v>
      </c>
      <c r="D252" s="169">
        <v>3</v>
      </c>
      <c r="E252" s="169">
        <v>5</v>
      </c>
      <c r="F252" s="169">
        <v>0</v>
      </c>
      <c r="G252" s="169">
        <v>15</v>
      </c>
      <c r="H252" s="169">
        <v>15</v>
      </c>
      <c r="I252" s="169">
        <v>77.099999999999994</v>
      </c>
      <c r="J252" s="173">
        <v>6.17</v>
      </c>
      <c r="K252" s="169">
        <v>3.49</v>
      </c>
      <c r="L252" s="169">
        <v>1.75</v>
      </c>
      <c r="M252" s="169">
        <v>0.28399999999999997</v>
      </c>
      <c r="N252" s="172">
        <v>0.72599999999999998</v>
      </c>
      <c r="O252" s="172">
        <v>0.43099999999999999</v>
      </c>
      <c r="P252" s="172">
        <v>0.16900000000000001</v>
      </c>
      <c r="Q252" s="173">
        <v>94.8</v>
      </c>
      <c r="R252" s="173">
        <v>5.47</v>
      </c>
      <c r="S252" s="169">
        <v>5.7</v>
      </c>
      <c r="T252" s="169">
        <v>5.66</v>
      </c>
      <c r="U252" s="169">
        <v>4.9000000000000004</v>
      </c>
      <c r="V252" s="173">
        <v>-0.4</v>
      </c>
      <c r="W252" s="192"/>
      <c r="X252" s="192"/>
      <c r="Y252" s="192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</row>
    <row r="253" spans="1:37" ht="15.75" customHeight="1">
      <c r="A253" s="169">
        <v>248</v>
      </c>
      <c r="B253" s="170" t="s">
        <v>38</v>
      </c>
      <c r="C253" s="178" t="s">
        <v>34</v>
      </c>
      <c r="D253" s="169">
        <v>8</v>
      </c>
      <c r="E253" s="169">
        <v>7</v>
      </c>
      <c r="F253" s="169">
        <v>0</v>
      </c>
      <c r="G253" s="169">
        <v>23</v>
      </c>
      <c r="H253" s="169">
        <v>23</v>
      </c>
      <c r="I253" s="169">
        <v>115</v>
      </c>
      <c r="J253" s="173">
        <v>6.65</v>
      </c>
      <c r="K253" s="169">
        <v>4.3</v>
      </c>
      <c r="L253" s="169">
        <v>1.64</v>
      </c>
      <c r="M253" s="169">
        <v>0.29199999999999998</v>
      </c>
      <c r="N253" s="172">
        <v>0.73799999999999999</v>
      </c>
      <c r="O253" s="172">
        <v>0.441</v>
      </c>
      <c r="P253" s="172">
        <v>0.16900000000000001</v>
      </c>
      <c r="Q253" s="173">
        <v>94.1</v>
      </c>
      <c r="R253" s="173">
        <v>5.24</v>
      </c>
      <c r="S253" s="169">
        <v>5.53</v>
      </c>
      <c r="T253" s="169">
        <v>5.74</v>
      </c>
      <c r="U253" s="169">
        <v>5.0199999999999996</v>
      </c>
      <c r="V253" s="173">
        <v>-0.4</v>
      </c>
      <c r="W253" s="192"/>
      <c r="X253" s="192"/>
      <c r="Y253" s="192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</row>
    <row r="254" spans="1:37" ht="15.75" customHeight="1">
      <c r="A254" s="169">
        <v>249</v>
      </c>
      <c r="B254" s="170" t="s">
        <v>1023</v>
      </c>
      <c r="C254" s="170" t="s">
        <v>36</v>
      </c>
      <c r="D254" s="169">
        <v>0</v>
      </c>
      <c r="E254" s="169">
        <v>4</v>
      </c>
      <c r="F254" s="169">
        <v>0</v>
      </c>
      <c r="G254" s="169">
        <v>7</v>
      </c>
      <c r="H254" s="169">
        <v>7</v>
      </c>
      <c r="I254" s="169">
        <v>30.2</v>
      </c>
      <c r="J254" s="173">
        <v>6.46</v>
      </c>
      <c r="K254" s="169">
        <v>5.28</v>
      </c>
      <c r="L254" s="169">
        <v>2.35</v>
      </c>
      <c r="M254" s="169">
        <v>0.28100000000000003</v>
      </c>
      <c r="N254" s="172">
        <v>0.64700000000000002</v>
      </c>
      <c r="O254" s="172">
        <v>0.28699999999999998</v>
      </c>
      <c r="P254" s="172">
        <v>0.154</v>
      </c>
      <c r="Q254" s="173">
        <v>90.2</v>
      </c>
      <c r="R254" s="173">
        <v>7.63</v>
      </c>
      <c r="S254" s="169">
        <v>6.66</v>
      </c>
      <c r="T254" s="169">
        <v>7.16</v>
      </c>
      <c r="U254" s="169">
        <v>6.37</v>
      </c>
      <c r="V254" s="173">
        <v>-0.4</v>
      </c>
      <c r="W254" s="192"/>
      <c r="X254" s="192"/>
      <c r="Y254" s="192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</row>
    <row r="255" spans="1:37" ht="15.75" customHeight="1">
      <c r="A255" s="169">
        <v>250</v>
      </c>
      <c r="B255" s="170" t="s">
        <v>1024</v>
      </c>
      <c r="C255" s="170" t="s">
        <v>60</v>
      </c>
      <c r="D255" s="169">
        <v>1</v>
      </c>
      <c r="E255" s="169">
        <v>3</v>
      </c>
      <c r="F255" s="169">
        <v>0</v>
      </c>
      <c r="G255" s="169">
        <v>6</v>
      </c>
      <c r="H255" s="169">
        <v>6</v>
      </c>
      <c r="I255" s="169">
        <v>32.1</v>
      </c>
      <c r="J255" s="173">
        <v>6.4</v>
      </c>
      <c r="K255" s="169">
        <v>3.06</v>
      </c>
      <c r="L255" s="169">
        <v>2.78</v>
      </c>
      <c r="M255" s="169">
        <v>0.29499999999999998</v>
      </c>
      <c r="N255" s="172">
        <v>0.74299999999999999</v>
      </c>
      <c r="O255" s="172">
        <v>0.41</v>
      </c>
      <c r="P255" s="172">
        <v>0.23300000000000001</v>
      </c>
      <c r="Q255" s="173">
        <v>93.5</v>
      </c>
      <c r="R255" s="173">
        <v>6.4</v>
      </c>
      <c r="S255" s="169">
        <v>7.81</v>
      </c>
      <c r="T255" s="169">
        <v>6.77</v>
      </c>
      <c r="U255" s="169">
        <v>4.79</v>
      </c>
      <c r="V255" s="173">
        <v>-0.4</v>
      </c>
      <c r="W255" s="192"/>
      <c r="X255" s="192"/>
      <c r="Y255" s="192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</row>
    <row r="256" spans="1:37" ht="15.75" customHeight="1">
      <c r="A256" s="169">
        <v>251</v>
      </c>
      <c r="B256" s="170" t="s">
        <v>1025</v>
      </c>
      <c r="C256" s="170" t="s">
        <v>126</v>
      </c>
      <c r="D256" s="169">
        <v>2</v>
      </c>
      <c r="E256" s="169">
        <v>1</v>
      </c>
      <c r="F256" s="169">
        <v>0</v>
      </c>
      <c r="G256" s="169">
        <v>5</v>
      </c>
      <c r="H256" s="169">
        <v>5</v>
      </c>
      <c r="I256" s="169">
        <v>23.1</v>
      </c>
      <c r="J256" s="173">
        <v>6.17</v>
      </c>
      <c r="K256" s="169">
        <v>4.63</v>
      </c>
      <c r="L256" s="169">
        <v>2.31</v>
      </c>
      <c r="M256" s="169">
        <v>0.24199999999999999</v>
      </c>
      <c r="N256" s="172">
        <v>0.79700000000000004</v>
      </c>
      <c r="O256" s="172">
        <v>0.437</v>
      </c>
      <c r="P256" s="172">
        <v>0.20699999999999999</v>
      </c>
      <c r="Q256" s="173">
        <v>92.5</v>
      </c>
      <c r="R256" s="173">
        <v>5.01</v>
      </c>
      <c r="S256" s="169">
        <v>6.89</v>
      </c>
      <c r="T256" s="169">
        <v>6.92</v>
      </c>
      <c r="U256" s="169">
        <v>5.48</v>
      </c>
      <c r="V256" s="173">
        <v>-0.4</v>
      </c>
      <c r="W256" s="192"/>
      <c r="X256" s="192"/>
      <c r="Y256" s="192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</row>
    <row r="257" spans="1:37" ht="15.75" customHeight="1">
      <c r="A257" s="169">
        <v>252</v>
      </c>
      <c r="B257" s="170" t="s">
        <v>1026</v>
      </c>
      <c r="C257" s="170" t="s">
        <v>76</v>
      </c>
      <c r="D257" s="169">
        <v>0</v>
      </c>
      <c r="E257" s="169">
        <v>3</v>
      </c>
      <c r="F257" s="169">
        <v>0</v>
      </c>
      <c r="G257" s="169">
        <v>4</v>
      </c>
      <c r="H257" s="169">
        <v>4</v>
      </c>
      <c r="I257" s="169">
        <v>13</v>
      </c>
      <c r="J257" s="173">
        <v>8.31</v>
      </c>
      <c r="K257" s="169">
        <v>4.1500000000000004</v>
      </c>
      <c r="L257" s="169">
        <v>4.1500000000000004</v>
      </c>
      <c r="M257" s="169">
        <v>0.39500000000000002</v>
      </c>
      <c r="N257" s="172">
        <v>0.48699999999999999</v>
      </c>
      <c r="O257" s="172">
        <v>0.26500000000000001</v>
      </c>
      <c r="P257" s="172">
        <v>0.27300000000000002</v>
      </c>
      <c r="Q257" s="173">
        <v>95.8</v>
      </c>
      <c r="R257" s="173">
        <v>13.85</v>
      </c>
      <c r="S257" s="169">
        <v>7.53</v>
      </c>
      <c r="T257" s="169">
        <v>9.15</v>
      </c>
      <c r="U257" s="169">
        <v>5.75</v>
      </c>
      <c r="V257" s="173">
        <v>-0.5</v>
      </c>
      <c r="W257" s="192"/>
      <c r="X257" s="192"/>
      <c r="Y257" s="192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</row>
    <row r="258" spans="1:37" ht="15.75" customHeight="1">
      <c r="A258" s="169">
        <v>253</v>
      </c>
      <c r="B258" s="170" t="s">
        <v>1027</v>
      </c>
      <c r="C258" s="170" t="s">
        <v>40</v>
      </c>
      <c r="D258" s="169">
        <v>3</v>
      </c>
      <c r="E258" s="169">
        <v>11</v>
      </c>
      <c r="F258" s="169">
        <v>0</v>
      </c>
      <c r="G258" s="169">
        <v>23</v>
      </c>
      <c r="H258" s="169">
        <v>23</v>
      </c>
      <c r="I258" s="169">
        <v>111</v>
      </c>
      <c r="J258" s="173">
        <v>5.84</v>
      </c>
      <c r="K258" s="169">
        <v>4.7</v>
      </c>
      <c r="L258" s="169">
        <v>1.7</v>
      </c>
      <c r="M258" s="169">
        <v>0.32500000000000001</v>
      </c>
      <c r="N258" s="172">
        <v>0.65300000000000002</v>
      </c>
      <c r="O258" s="172">
        <v>0.51900000000000002</v>
      </c>
      <c r="P258" s="172">
        <v>0.184</v>
      </c>
      <c r="Q258" s="173">
        <v>95.7</v>
      </c>
      <c r="R258" s="173">
        <v>6.81</v>
      </c>
      <c r="S258" s="169">
        <v>5.85</v>
      </c>
      <c r="T258" s="169">
        <v>6.07</v>
      </c>
      <c r="U258" s="169">
        <v>5.18</v>
      </c>
      <c r="V258" s="173">
        <v>-0.6</v>
      </c>
      <c r="W258" s="192"/>
      <c r="X258" s="192"/>
      <c r="Y258" s="192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</row>
    <row r="259" spans="1:37" ht="15.75" customHeight="1">
      <c r="A259" s="169">
        <v>254</v>
      </c>
      <c r="B259" s="170" t="s">
        <v>1028</v>
      </c>
      <c r="C259" s="170" t="s">
        <v>72</v>
      </c>
      <c r="D259" s="169">
        <v>0</v>
      </c>
      <c r="E259" s="169">
        <v>3</v>
      </c>
      <c r="F259" s="169">
        <v>0</v>
      </c>
      <c r="G259" s="169">
        <v>4</v>
      </c>
      <c r="H259" s="169">
        <v>4</v>
      </c>
      <c r="I259" s="169">
        <v>12.1</v>
      </c>
      <c r="J259" s="173">
        <v>7.3</v>
      </c>
      <c r="K259" s="169">
        <v>5.1100000000000003</v>
      </c>
      <c r="L259" s="169">
        <v>5.1100000000000003</v>
      </c>
      <c r="M259" s="169">
        <v>0.44900000000000001</v>
      </c>
      <c r="N259" s="172">
        <v>0.496</v>
      </c>
      <c r="O259" s="172">
        <v>0.46400000000000002</v>
      </c>
      <c r="P259" s="172">
        <v>0.35</v>
      </c>
      <c r="Q259" s="173">
        <v>91.6</v>
      </c>
      <c r="R259" s="173">
        <v>16.78</v>
      </c>
      <c r="S259" s="169">
        <v>8.8800000000000008</v>
      </c>
      <c r="T259" s="169">
        <v>10.61</v>
      </c>
      <c r="U259" s="169">
        <v>5.72</v>
      </c>
      <c r="V259" s="173">
        <v>-0.6</v>
      </c>
      <c r="W259" s="192"/>
      <c r="X259" s="192"/>
      <c r="Y259" s="192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</row>
    <row r="260" spans="1:37" ht="15.75" customHeight="1">
      <c r="A260" s="169">
        <v>255</v>
      </c>
      <c r="B260" s="170" t="s">
        <v>35</v>
      </c>
      <c r="C260" s="170" t="s">
        <v>36</v>
      </c>
      <c r="D260" s="169">
        <v>1</v>
      </c>
      <c r="E260" s="169">
        <v>5</v>
      </c>
      <c r="F260" s="169">
        <v>0</v>
      </c>
      <c r="G260" s="169">
        <v>10</v>
      </c>
      <c r="H260" s="169">
        <v>10</v>
      </c>
      <c r="I260" s="169">
        <v>47</v>
      </c>
      <c r="J260" s="173">
        <v>3.83</v>
      </c>
      <c r="K260" s="169">
        <v>3.83</v>
      </c>
      <c r="L260" s="169">
        <v>2.2999999999999998</v>
      </c>
      <c r="M260" s="169">
        <v>0.32500000000000001</v>
      </c>
      <c r="N260" s="172">
        <v>0.56200000000000006</v>
      </c>
      <c r="O260" s="172">
        <v>0.38800000000000001</v>
      </c>
      <c r="P260" s="172">
        <v>0.17899999999999999</v>
      </c>
      <c r="Q260" s="173">
        <v>94.6</v>
      </c>
      <c r="R260" s="173">
        <v>9.19</v>
      </c>
      <c r="S260" s="169">
        <v>6.92</v>
      </c>
      <c r="T260" s="169">
        <v>7.02</v>
      </c>
      <c r="U260" s="169">
        <v>5.89</v>
      </c>
      <c r="V260" s="173">
        <v>-0.7</v>
      </c>
      <c r="W260" s="192"/>
      <c r="X260" s="192"/>
      <c r="Y260" s="192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</row>
    <row r="261" spans="1:37" ht="15.75" customHeight="1">
      <c r="A261" s="169">
        <v>256</v>
      </c>
      <c r="B261" s="170" t="s">
        <v>1029</v>
      </c>
      <c r="C261" s="170" t="s">
        <v>93</v>
      </c>
      <c r="D261" s="169">
        <v>2</v>
      </c>
      <c r="E261" s="169">
        <v>8</v>
      </c>
      <c r="F261" s="169">
        <v>0</v>
      </c>
      <c r="G261" s="169">
        <v>14</v>
      </c>
      <c r="H261" s="169">
        <v>14</v>
      </c>
      <c r="I261" s="169">
        <v>64</v>
      </c>
      <c r="J261" s="173">
        <v>7.59</v>
      </c>
      <c r="K261" s="169">
        <v>3.8</v>
      </c>
      <c r="L261" s="169">
        <v>2.67</v>
      </c>
      <c r="M261" s="169">
        <v>0.28599999999999998</v>
      </c>
      <c r="N261" s="172">
        <v>0.749</v>
      </c>
      <c r="O261" s="172">
        <v>0.34</v>
      </c>
      <c r="P261" s="172">
        <v>0.20699999999999999</v>
      </c>
      <c r="Q261" s="173">
        <v>92.6</v>
      </c>
      <c r="R261" s="173">
        <v>6.05</v>
      </c>
      <c r="S261" s="169">
        <v>6.14</v>
      </c>
      <c r="T261" s="169">
        <v>6.87</v>
      </c>
      <c r="U261" s="169">
        <v>5.21</v>
      </c>
      <c r="V261" s="173">
        <v>-0.8</v>
      </c>
      <c r="W261" s="192"/>
      <c r="X261" s="192"/>
      <c r="Y261" s="192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</row>
    <row r="262" spans="1:37" ht="15.75" customHeight="1">
      <c r="A262" s="169">
        <v>257</v>
      </c>
      <c r="B262" s="170" t="s">
        <v>54</v>
      </c>
      <c r="C262" s="178" t="s">
        <v>34</v>
      </c>
      <c r="D262" s="169">
        <v>2</v>
      </c>
      <c r="E262" s="169">
        <v>4</v>
      </c>
      <c r="F262" s="169">
        <v>0</v>
      </c>
      <c r="G262" s="169">
        <v>8</v>
      </c>
      <c r="H262" s="169">
        <v>8</v>
      </c>
      <c r="I262" s="169">
        <v>34.1</v>
      </c>
      <c r="J262" s="173">
        <v>7.6</v>
      </c>
      <c r="K262" s="169">
        <v>5.24</v>
      </c>
      <c r="L262" s="169">
        <v>3.41</v>
      </c>
      <c r="M262" s="169">
        <v>0.247</v>
      </c>
      <c r="N262" s="172">
        <v>0.85399999999999998</v>
      </c>
      <c r="O262" s="172">
        <v>0.32400000000000001</v>
      </c>
      <c r="P262" s="172">
        <v>0.245</v>
      </c>
      <c r="Q262" s="173">
        <v>90.2</v>
      </c>
      <c r="R262" s="173">
        <v>6.29</v>
      </c>
      <c r="S262" s="169">
        <v>6.94</v>
      </c>
      <c r="T262" s="169">
        <v>8.3000000000000007</v>
      </c>
      <c r="U262" s="169">
        <v>5.75</v>
      </c>
      <c r="V262" s="173">
        <v>-0.9</v>
      </c>
      <c r="W262" s="192"/>
      <c r="X262" s="192"/>
      <c r="Y262" s="192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</row>
  </sheetData>
  <hyperlinks>
    <hyperlink ref="A4" r:id="rId1" xr:uid="{00000000-0004-0000-2900-000000000000}"/>
    <hyperlink ref="B6" r:id="rId2" xr:uid="{00000000-0004-0000-2900-000001000000}"/>
    <hyperlink ref="C6" r:id="rId3" xr:uid="{00000000-0004-0000-2900-000002000000}"/>
    <hyperlink ref="B7" r:id="rId4" xr:uid="{00000000-0004-0000-2900-000003000000}"/>
    <hyperlink ref="C7" r:id="rId5" xr:uid="{00000000-0004-0000-2900-000004000000}"/>
    <hyperlink ref="B8" r:id="rId6" xr:uid="{00000000-0004-0000-2900-000005000000}"/>
    <hyperlink ref="C8" r:id="rId7" xr:uid="{00000000-0004-0000-2900-000006000000}"/>
    <hyperlink ref="B9" r:id="rId8" xr:uid="{00000000-0004-0000-2900-000007000000}"/>
    <hyperlink ref="C9" r:id="rId9" xr:uid="{00000000-0004-0000-2900-000008000000}"/>
    <hyperlink ref="B10" r:id="rId10" xr:uid="{00000000-0004-0000-2900-000009000000}"/>
    <hyperlink ref="C10" r:id="rId11" xr:uid="{00000000-0004-0000-2900-00000A000000}"/>
    <hyperlink ref="B11" r:id="rId12" xr:uid="{00000000-0004-0000-2900-00000B000000}"/>
    <hyperlink ref="C11" r:id="rId13" xr:uid="{00000000-0004-0000-2900-00000C000000}"/>
    <hyperlink ref="B12" r:id="rId14" xr:uid="{00000000-0004-0000-2900-00000D000000}"/>
    <hyperlink ref="C12" r:id="rId15" xr:uid="{00000000-0004-0000-2900-00000E000000}"/>
    <hyperlink ref="B13" r:id="rId16" xr:uid="{00000000-0004-0000-2900-00000F000000}"/>
    <hyperlink ref="C13" r:id="rId17" xr:uid="{00000000-0004-0000-2900-000010000000}"/>
    <hyperlink ref="B14" r:id="rId18" xr:uid="{00000000-0004-0000-2900-000011000000}"/>
    <hyperlink ref="C14" r:id="rId19" xr:uid="{00000000-0004-0000-2900-000012000000}"/>
    <hyperlink ref="B15" r:id="rId20" xr:uid="{00000000-0004-0000-2900-000013000000}"/>
    <hyperlink ref="C15" r:id="rId21" xr:uid="{00000000-0004-0000-2900-000014000000}"/>
    <hyperlink ref="B16" r:id="rId22" xr:uid="{00000000-0004-0000-2900-000015000000}"/>
    <hyperlink ref="C16" r:id="rId23" xr:uid="{00000000-0004-0000-2900-000016000000}"/>
    <hyperlink ref="B17" r:id="rId24" xr:uid="{00000000-0004-0000-2900-000017000000}"/>
    <hyperlink ref="C17" r:id="rId25" xr:uid="{00000000-0004-0000-2900-000018000000}"/>
    <hyperlink ref="B18" r:id="rId26" xr:uid="{00000000-0004-0000-2900-000019000000}"/>
    <hyperlink ref="C18" r:id="rId27" xr:uid="{00000000-0004-0000-2900-00001A000000}"/>
    <hyperlink ref="B19" r:id="rId28" xr:uid="{00000000-0004-0000-2900-00001B000000}"/>
    <hyperlink ref="C19" r:id="rId29" xr:uid="{00000000-0004-0000-2900-00001C000000}"/>
    <hyperlink ref="B20" r:id="rId30" xr:uid="{00000000-0004-0000-2900-00001D000000}"/>
    <hyperlink ref="C20" r:id="rId31" xr:uid="{00000000-0004-0000-2900-00001E000000}"/>
    <hyperlink ref="B21" r:id="rId32" xr:uid="{00000000-0004-0000-2900-00001F000000}"/>
    <hyperlink ref="C21" r:id="rId33" xr:uid="{00000000-0004-0000-2900-000020000000}"/>
    <hyperlink ref="B22" r:id="rId34" xr:uid="{00000000-0004-0000-2900-000021000000}"/>
    <hyperlink ref="C22" r:id="rId35" xr:uid="{00000000-0004-0000-2900-000022000000}"/>
    <hyperlink ref="B23" r:id="rId36" xr:uid="{00000000-0004-0000-2900-000023000000}"/>
    <hyperlink ref="C23" r:id="rId37" xr:uid="{00000000-0004-0000-2900-000024000000}"/>
    <hyperlink ref="B24" r:id="rId38" xr:uid="{00000000-0004-0000-2900-000025000000}"/>
    <hyperlink ref="C24" r:id="rId39" xr:uid="{00000000-0004-0000-2900-000026000000}"/>
    <hyperlink ref="B25" r:id="rId40" xr:uid="{00000000-0004-0000-2900-000027000000}"/>
    <hyperlink ref="C25" r:id="rId41" xr:uid="{00000000-0004-0000-2900-000028000000}"/>
    <hyperlink ref="B26" r:id="rId42" xr:uid="{00000000-0004-0000-2900-000029000000}"/>
    <hyperlink ref="C26" r:id="rId43" xr:uid="{00000000-0004-0000-2900-00002A000000}"/>
    <hyperlink ref="B27" r:id="rId44" xr:uid="{00000000-0004-0000-2900-00002B000000}"/>
    <hyperlink ref="C27" r:id="rId45" xr:uid="{00000000-0004-0000-2900-00002C000000}"/>
    <hyperlink ref="B28" r:id="rId46" xr:uid="{00000000-0004-0000-2900-00002D000000}"/>
    <hyperlink ref="C28" r:id="rId47" xr:uid="{00000000-0004-0000-2900-00002E000000}"/>
    <hyperlink ref="B29" r:id="rId48" xr:uid="{00000000-0004-0000-2900-00002F000000}"/>
    <hyperlink ref="C29" r:id="rId49" xr:uid="{00000000-0004-0000-2900-000030000000}"/>
    <hyperlink ref="B30" r:id="rId50" xr:uid="{00000000-0004-0000-2900-000031000000}"/>
    <hyperlink ref="C30" r:id="rId51" xr:uid="{00000000-0004-0000-2900-000032000000}"/>
    <hyperlink ref="B31" r:id="rId52" xr:uid="{00000000-0004-0000-2900-000033000000}"/>
    <hyperlink ref="C31" r:id="rId53" xr:uid="{00000000-0004-0000-2900-000034000000}"/>
    <hyperlink ref="B32" r:id="rId54" xr:uid="{00000000-0004-0000-2900-000035000000}"/>
    <hyperlink ref="C32" r:id="rId55" xr:uid="{00000000-0004-0000-2900-000036000000}"/>
    <hyperlink ref="B33" r:id="rId56" xr:uid="{00000000-0004-0000-2900-000037000000}"/>
    <hyperlink ref="C33" r:id="rId57" xr:uid="{00000000-0004-0000-2900-000038000000}"/>
    <hyperlink ref="B34" r:id="rId58" xr:uid="{00000000-0004-0000-2900-000039000000}"/>
    <hyperlink ref="C34" r:id="rId59" xr:uid="{00000000-0004-0000-2900-00003A000000}"/>
    <hyperlink ref="B35" r:id="rId60" xr:uid="{00000000-0004-0000-2900-00003B000000}"/>
    <hyperlink ref="C35" r:id="rId61" xr:uid="{00000000-0004-0000-2900-00003C000000}"/>
    <hyperlink ref="B36" r:id="rId62" xr:uid="{00000000-0004-0000-2900-00003D000000}"/>
    <hyperlink ref="B37" r:id="rId63" xr:uid="{00000000-0004-0000-2900-00003E000000}"/>
    <hyperlink ref="C37" r:id="rId64" xr:uid="{00000000-0004-0000-2900-00003F000000}"/>
    <hyperlink ref="B38" r:id="rId65" xr:uid="{00000000-0004-0000-2900-000040000000}"/>
    <hyperlink ref="C38" r:id="rId66" xr:uid="{00000000-0004-0000-2900-000041000000}"/>
    <hyperlink ref="B39" r:id="rId67" xr:uid="{00000000-0004-0000-2900-000042000000}"/>
    <hyperlink ref="C39" r:id="rId68" xr:uid="{00000000-0004-0000-2900-000043000000}"/>
    <hyperlink ref="B40" r:id="rId69" xr:uid="{00000000-0004-0000-2900-000044000000}"/>
    <hyperlink ref="C40" r:id="rId70" xr:uid="{00000000-0004-0000-2900-000045000000}"/>
    <hyperlink ref="B41" r:id="rId71" xr:uid="{00000000-0004-0000-2900-000046000000}"/>
    <hyperlink ref="C41" r:id="rId72" xr:uid="{00000000-0004-0000-2900-000047000000}"/>
    <hyperlink ref="B42" r:id="rId73" xr:uid="{00000000-0004-0000-2900-000048000000}"/>
    <hyperlink ref="C42" r:id="rId74" xr:uid="{00000000-0004-0000-2900-000049000000}"/>
    <hyperlink ref="B43" r:id="rId75" xr:uid="{00000000-0004-0000-2900-00004A000000}"/>
    <hyperlink ref="C43" r:id="rId76" xr:uid="{00000000-0004-0000-2900-00004B000000}"/>
    <hyperlink ref="B44" r:id="rId77" xr:uid="{00000000-0004-0000-2900-00004C000000}"/>
    <hyperlink ref="C44" r:id="rId78" xr:uid="{00000000-0004-0000-2900-00004D000000}"/>
    <hyperlink ref="B45" r:id="rId79" xr:uid="{00000000-0004-0000-2900-00004E000000}"/>
    <hyperlink ref="C45" r:id="rId80" xr:uid="{00000000-0004-0000-2900-00004F000000}"/>
    <hyperlink ref="B46" r:id="rId81" xr:uid="{00000000-0004-0000-2900-000050000000}"/>
    <hyperlink ref="C46" r:id="rId82" xr:uid="{00000000-0004-0000-2900-000051000000}"/>
    <hyperlink ref="B47" r:id="rId83" xr:uid="{00000000-0004-0000-2900-000052000000}"/>
    <hyperlink ref="C47" r:id="rId84" xr:uid="{00000000-0004-0000-2900-000053000000}"/>
    <hyperlink ref="B48" r:id="rId85" xr:uid="{00000000-0004-0000-2900-000054000000}"/>
    <hyperlink ref="C48" r:id="rId86" xr:uid="{00000000-0004-0000-2900-000055000000}"/>
    <hyperlink ref="B49" r:id="rId87" xr:uid="{00000000-0004-0000-2900-000056000000}"/>
    <hyperlink ref="B50" r:id="rId88" xr:uid="{00000000-0004-0000-2900-000057000000}"/>
    <hyperlink ref="C50" r:id="rId89" xr:uid="{00000000-0004-0000-2900-000058000000}"/>
    <hyperlink ref="B51" r:id="rId90" xr:uid="{00000000-0004-0000-2900-000059000000}"/>
    <hyperlink ref="C51" r:id="rId91" xr:uid="{00000000-0004-0000-2900-00005A000000}"/>
    <hyperlink ref="B52" r:id="rId92" xr:uid="{00000000-0004-0000-2900-00005B000000}"/>
    <hyperlink ref="C52" r:id="rId93" xr:uid="{00000000-0004-0000-2900-00005C000000}"/>
    <hyperlink ref="B53" r:id="rId94" xr:uid="{00000000-0004-0000-2900-00005D000000}"/>
    <hyperlink ref="C53" r:id="rId95" xr:uid="{00000000-0004-0000-2900-00005E000000}"/>
    <hyperlink ref="B54" r:id="rId96" xr:uid="{00000000-0004-0000-2900-00005F000000}"/>
    <hyperlink ref="C54" r:id="rId97" xr:uid="{00000000-0004-0000-2900-000060000000}"/>
    <hyperlink ref="B55" r:id="rId98" xr:uid="{00000000-0004-0000-2900-000061000000}"/>
    <hyperlink ref="C55" r:id="rId99" xr:uid="{00000000-0004-0000-2900-000062000000}"/>
    <hyperlink ref="B56" r:id="rId100" xr:uid="{00000000-0004-0000-2900-000063000000}"/>
    <hyperlink ref="C56" r:id="rId101" xr:uid="{00000000-0004-0000-2900-000064000000}"/>
    <hyperlink ref="B57" r:id="rId102" xr:uid="{00000000-0004-0000-2900-000065000000}"/>
    <hyperlink ref="C57" r:id="rId103" xr:uid="{00000000-0004-0000-2900-000066000000}"/>
    <hyperlink ref="B58" r:id="rId104" xr:uid="{00000000-0004-0000-2900-000067000000}"/>
    <hyperlink ref="C58" r:id="rId105" xr:uid="{00000000-0004-0000-2900-000068000000}"/>
    <hyperlink ref="B59" r:id="rId106" xr:uid="{00000000-0004-0000-2900-000069000000}"/>
    <hyperlink ref="C59" r:id="rId107" xr:uid="{00000000-0004-0000-2900-00006A000000}"/>
    <hyperlink ref="B60" r:id="rId108" xr:uid="{00000000-0004-0000-2900-00006B000000}"/>
    <hyperlink ref="C60" r:id="rId109" xr:uid="{00000000-0004-0000-2900-00006C000000}"/>
    <hyperlink ref="B61" r:id="rId110" xr:uid="{00000000-0004-0000-2900-00006D000000}"/>
    <hyperlink ref="C61" r:id="rId111" xr:uid="{00000000-0004-0000-2900-00006E000000}"/>
    <hyperlink ref="B62" r:id="rId112" xr:uid="{00000000-0004-0000-2900-00006F000000}"/>
    <hyperlink ref="C62" r:id="rId113" xr:uid="{00000000-0004-0000-2900-000070000000}"/>
    <hyperlink ref="B63" r:id="rId114" xr:uid="{00000000-0004-0000-2900-000071000000}"/>
    <hyperlink ref="C63" r:id="rId115" xr:uid="{00000000-0004-0000-2900-000072000000}"/>
    <hyperlink ref="B64" r:id="rId116" xr:uid="{00000000-0004-0000-2900-000073000000}"/>
    <hyperlink ref="C64" r:id="rId117" xr:uid="{00000000-0004-0000-2900-000074000000}"/>
    <hyperlink ref="B65" r:id="rId118" xr:uid="{00000000-0004-0000-2900-000075000000}"/>
    <hyperlink ref="C65" r:id="rId119" xr:uid="{00000000-0004-0000-2900-000076000000}"/>
    <hyperlink ref="B66" r:id="rId120" xr:uid="{00000000-0004-0000-2900-000077000000}"/>
    <hyperlink ref="C66" r:id="rId121" xr:uid="{00000000-0004-0000-2900-000078000000}"/>
    <hyperlink ref="B67" r:id="rId122" xr:uid="{00000000-0004-0000-2900-000079000000}"/>
    <hyperlink ref="C67" r:id="rId123" xr:uid="{00000000-0004-0000-2900-00007A000000}"/>
    <hyperlink ref="B68" r:id="rId124" xr:uid="{00000000-0004-0000-2900-00007B000000}"/>
    <hyperlink ref="C68" r:id="rId125" xr:uid="{00000000-0004-0000-2900-00007C000000}"/>
    <hyperlink ref="B69" r:id="rId126" xr:uid="{00000000-0004-0000-2900-00007D000000}"/>
    <hyperlink ref="B70" r:id="rId127" xr:uid="{00000000-0004-0000-2900-00007E000000}"/>
    <hyperlink ref="C70" r:id="rId128" xr:uid="{00000000-0004-0000-2900-00007F000000}"/>
    <hyperlink ref="B71" r:id="rId129" xr:uid="{00000000-0004-0000-2900-000080000000}"/>
    <hyperlink ref="C71" r:id="rId130" xr:uid="{00000000-0004-0000-2900-000081000000}"/>
    <hyperlink ref="B72" r:id="rId131" xr:uid="{00000000-0004-0000-2900-000082000000}"/>
    <hyperlink ref="C72" r:id="rId132" xr:uid="{00000000-0004-0000-2900-000083000000}"/>
    <hyperlink ref="B73" r:id="rId133" xr:uid="{00000000-0004-0000-2900-000084000000}"/>
    <hyperlink ref="C73" r:id="rId134" xr:uid="{00000000-0004-0000-2900-000085000000}"/>
    <hyperlink ref="B74" r:id="rId135" xr:uid="{00000000-0004-0000-2900-000086000000}"/>
    <hyperlink ref="C74" r:id="rId136" xr:uid="{00000000-0004-0000-2900-000087000000}"/>
    <hyperlink ref="B75" r:id="rId137" xr:uid="{00000000-0004-0000-2900-000088000000}"/>
    <hyperlink ref="C75" r:id="rId138" xr:uid="{00000000-0004-0000-2900-000089000000}"/>
    <hyperlink ref="B76" r:id="rId139" xr:uid="{00000000-0004-0000-2900-00008A000000}"/>
    <hyperlink ref="C76" r:id="rId140" xr:uid="{00000000-0004-0000-2900-00008B000000}"/>
    <hyperlink ref="B77" r:id="rId141" xr:uid="{00000000-0004-0000-2900-00008C000000}"/>
    <hyperlink ref="C77" r:id="rId142" xr:uid="{00000000-0004-0000-2900-00008D000000}"/>
    <hyperlink ref="B78" r:id="rId143" xr:uid="{00000000-0004-0000-2900-00008E000000}"/>
    <hyperlink ref="C78" r:id="rId144" xr:uid="{00000000-0004-0000-2900-00008F000000}"/>
    <hyperlink ref="B79" r:id="rId145" xr:uid="{00000000-0004-0000-2900-000090000000}"/>
    <hyperlink ref="C79" r:id="rId146" xr:uid="{00000000-0004-0000-2900-000091000000}"/>
    <hyperlink ref="B80" r:id="rId147" xr:uid="{00000000-0004-0000-2900-000092000000}"/>
    <hyperlink ref="C80" r:id="rId148" xr:uid="{00000000-0004-0000-2900-000093000000}"/>
    <hyperlink ref="B81" r:id="rId149" xr:uid="{00000000-0004-0000-2900-000094000000}"/>
    <hyperlink ref="C81" r:id="rId150" xr:uid="{00000000-0004-0000-2900-000095000000}"/>
    <hyperlink ref="B82" r:id="rId151" xr:uid="{00000000-0004-0000-2900-000096000000}"/>
    <hyperlink ref="C82" r:id="rId152" xr:uid="{00000000-0004-0000-2900-000097000000}"/>
    <hyperlink ref="B83" r:id="rId153" xr:uid="{00000000-0004-0000-2900-000098000000}"/>
    <hyperlink ref="C83" r:id="rId154" xr:uid="{00000000-0004-0000-2900-000099000000}"/>
    <hyperlink ref="B84" r:id="rId155" xr:uid="{00000000-0004-0000-2900-00009A000000}"/>
    <hyperlink ref="B85" r:id="rId156" xr:uid="{00000000-0004-0000-2900-00009B000000}"/>
    <hyperlink ref="C85" r:id="rId157" xr:uid="{00000000-0004-0000-2900-00009C000000}"/>
    <hyperlink ref="B86" r:id="rId158" xr:uid="{00000000-0004-0000-2900-00009D000000}"/>
    <hyperlink ref="C86" r:id="rId159" xr:uid="{00000000-0004-0000-2900-00009E000000}"/>
    <hyperlink ref="B87" r:id="rId160" xr:uid="{00000000-0004-0000-2900-00009F000000}"/>
    <hyperlink ref="C87" r:id="rId161" xr:uid="{00000000-0004-0000-2900-0000A0000000}"/>
    <hyperlink ref="B88" r:id="rId162" xr:uid="{00000000-0004-0000-2900-0000A1000000}"/>
    <hyperlink ref="C88" r:id="rId163" xr:uid="{00000000-0004-0000-2900-0000A2000000}"/>
    <hyperlink ref="B89" r:id="rId164" xr:uid="{00000000-0004-0000-2900-0000A3000000}"/>
    <hyperlink ref="C89" r:id="rId165" xr:uid="{00000000-0004-0000-2900-0000A4000000}"/>
    <hyperlink ref="B90" r:id="rId166" xr:uid="{00000000-0004-0000-2900-0000A5000000}"/>
    <hyperlink ref="C90" r:id="rId167" xr:uid="{00000000-0004-0000-2900-0000A6000000}"/>
    <hyperlink ref="B91" r:id="rId168" xr:uid="{00000000-0004-0000-2900-0000A7000000}"/>
    <hyperlink ref="C91" r:id="rId169" xr:uid="{00000000-0004-0000-2900-0000A8000000}"/>
    <hyperlink ref="B92" r:id="rId170" xr:uid="{00000000-0004-0000-2900-0000A9000000}"/>
    <hyperlink ref="C92" r:id="rId171" xr:uid="{00000000-0004-0000-2900-0000AA000000}"/>
    <hyperlink ref="B93" r:id="rId172" xr:uid="{00000000-0004-0000-2900-0000AB000000}"/>
    <hyperlink ref="C93" r:id="rId173" xr:uid="{00000000-0004-0000-2900-0000AC000000}"/>
    <hyperlink ref="B94" r:id="rId174" xr:uid="{00000000-0004-0000-2900-0000AD000000}"/>
    <hyperlink ref="C94" r:id="rId175" xr:uid="{00000000-0004-0000-2900-0000AE000000}"/>
    <hyperlink ref="B95" r:id="rId176" xr:uid="{00000000-0004-0000-2900-0000AF000000}"/>
    <hyperlink ref="B96" r:id="rId177" xr:uid="{00000000-0004-0000-2900-0000B0000000}"/>
    <hyperlink ref="C96" r:id="rId178" xr:uid="{00000000-0004-0000-2900-0000B1000000}"/>
    <hyperlink ref="B97" r:id="rId179" xr:uid="{00000000-0004-0000-2900-0000B2000000}"/>
    <hyperlink ref="C97" r:id="rId180" xr:uid="{00000000-0004-0000-2900-0000B3000000}"/>
    <hyperlink ref="B98" r:id="rId181" xr:uid="{00000000-0004-0000-2900-0000B4000000}"/>
    <hyperlink ref="C98" r:id="rId182" xr:uid="{00000000-0004-0000-2900-0000B5000000}"/>
    <hyperlink ref="B99" r:id="rId183" xr:uid="{00000000-0004-0000-2900-0000B6000000}"/>
    <hyperlink ref="C99" r:id="rId184" xr:uid="{00000000-0004-0000-2900-0000B7000000}"/>
    <hyperlink ref="B100" r:id="rId185" xr:uid="{00000000-0004-0000-2900-0000B8000000}"/>
    <hyperlink ref="C100" r:id="rId186" xr:uid="{00000000-0004-0000-2900-0000B9000000}"/>
    <hyperlink ref="B101" r:id="rId187" xr:uid="{00000000-0004-0000-2900-0000BA000000}"/>
    <hyperlink ref="C101" r:id="rId188" xr:uid="{00000000-0004-0000-2900-0000BB000000}"/>
    <hyperlink ref="B102" r:id="rId189" xr:uid="{00000000-0004-0000-2900-0000BC000000}"/>
    <hyperlink ref="C102" r:id="rId190" xr:uid="{00000000-0004-0000-2900-0000BD000000}"/>
    <hyperlink ref="B103" r:id="rId191" xr:uid="{00000000-0004-0000-2900-0000BE000000}"/>
    <hyperlink ref="C103" r:id="rId192" xr:uid="{00000000-0004-0000-2900-0000BF000000}"/>
    <hyperlink ref="B104" r:id="rId193" xr:uid="{00000000-0004-0000-2900-0000C0000000}"/>
    <hyperlink ref="C104" r:id="rId194" xr:uid="{00000000-0004-0000-2900-0000C1000000}"/>
    <hyperlink ref="B105" r:id="rId195" xr:uid="{00000000-0004-0000-2900-0000C2000000}"/>
    <hyperlink ref="C105" r:id="rId196" xr:uid="{00000000-0004-0000-2900-0000C3000000}"/>
    <hyperlink ref="B106" r:id="rId197" xr:uid="{00000000-0004-0000-2900-0000C4000000}"/>
    <hyperlink ref="C106" r:id="rId198" xr:uid="{00000000-0004-0000-2900-0000C5000000}"/>
    <hyperlink ref="B107" r:id="rId199" xr:uid="{00000000-0004-0000-2900-0000C6000000}"/>
    <hyperlink ref="C107" r:id="rId200" xr:uid="{00000000-0004-0000-2900-0000C7000000}"/>
    <hyperlink ref="B108" r:id="rId201" xr:uid="{00000000-0004-0000-2900-0000C8000000}"/>
    <hyperlink ref="C108" r:id="rId202" xr:uid="{00000000-0004-0000-2900-0000C9000000}"/>
    <hyperlink ref="B109" r:id="rId203" xr:uid="{00000000-0004-0000-2900-0000CA000000}"/>
    <hyperlink ref="C109" r:id="rId204" xr:uid="{00000000-0004-0000-2900-0000CB000000}"/>
    <hyperlink ref="B110" r:id="rId205" xr:uid="{00000000-0004-0000-2900-0000CC000000}"/>
    <hyperlink ref="C110" r:id="rId206" xr:uid="{00000000-0004-0000-2900-0000CD000000}"/>
    <hyperlink ref="B111" r:id="rId207" xr:uid="{00000000-0004-0000-2900-0000CE000000}"/>
    <hyperlink ref="C111" r:id="rId208" xr:uid="{00000000-0004-0000-2900-0000CF000000}"/>
    <hyperlink ref="B112" r:id="rId209" xr:uid="{00000000-0004-0000-2900-0000D0000000}"/>
    <hyperlink ref="C112" r:id="rId210" xr:uid="{00000000-0004-0000-2900-0000D1000000}"/>
    <hyperlink ref="B113" r:id="rId211" xr:uid="{00000000-0004-0000-2900-0000D2000000}"/>
    <hyperlink ref="C113" r:id="rId212" xr:uid="{00000000-0004-0000-2900-0000D3000000}"/>
    <hyperlink ref="B114" r:id="rId213" xr:uid="{00000000-0004-0000-2900-0000D4000000}"/>
    <hyperlink ref="B115" r:id="rId214" xr:uid="{00000000-0004-0000-2900-0000D5000000}"/>
    <hyperlink ref="C115" r:id="rId215" xr:uid="{00000000-0004-0000-2900-0000D6000000}"/>
    <hyperlink ref="B116" r:id="rId216" xr:uid="{00000000-0004-0000-2900-0000D7000000}"/>
    <hyperlink ref="B117" r:id="rId217" xr:uid="{00000000-0004-0000-2900-0000D8000000}"/>
    <hyperlink ref="C117" r:id="rId218" xr:uid="{00000000-0004-0000-2900-0000D9000000}"/>
    <hyperlink ref="B118" r:id="rId219" xr:uid="{00000000-0004-0000-2900-0000DA000000}"/>
    <hyperlink ref="C118" r:id="rId220" xr:uid="{00000000-0004-0000-2900-0000DB000000}"/>
    <hyperlink ref="B119" r:id="rId221" xr:uid="{00000000-0004-0000-2900-0000DC000000}"/>
    <hyperlink ref="B120" r:id="rId222" xr:uid="{00000000-0004-0000-2900-0000DD000000}"/>
    <hyperlink ref="C120" r:id="rId223" xr:uid="{00000000-0004-0000-2900-0000DE000000}"/>
    <hyperlink ref="B121" r:id="rId224" xr:uid="{00000000-0004-0000-2900-0000DF000000}"/>
    <hyperlink ref="C121" r:id="rId225" xr:uid="{00000000-0004-0000-2900-0000E0000000}"/>
    <hyperlink ref="B122" r:id="rId226" xr:uid="{00000000-0004-0000-2900-0000E1000000}"/>
    <hyperlink ref="B123" r:id="rId227" xr:uid="{00000000-0004-0000-2900-0000E2000000}"/>
    <hyperlink ref="C123" r:id="rId228" xr:uid="{00000000-0004-0000-2900-0000E3000000}"/>
    <hyperlink ref="B124" r:id="rId229" xr:uid="{00000000-0004-0000-2900-0000E4000000}"/>
    <hyperlink ref="C124" r:id="rId230" xr:uid="{00000000-0004-0000-2900-0000E5000000}"/>
    <hyperlink ref="B125" r:id="rId231" xr:uid="{00000000-0004-0000-2900-0000E6000000}"/>
    <hyperlink ref="C125" r:id="rId232" xr:uid="{00000000-0004-0000-2900-0000E7000000}"/>
    <hyperlink ref="B126" r:id="rId233" xr:uid="{00000000-0004-0000-2900-0000E8000000}"/>
    <hyperlink ref="C126" r:id="rId234" xr:uid="{00000000-0004-0000-2900-0000E9000000}"/>
    <hyperlink ref="B127" r:id="rId235" xr:uid="{00000000-0004-0000-2900-0000EA000000}"/>
    <hyperlink ref="C127" r:id="rId236" xr:uid="{00000000-0004-0000-2900-0000EB000000}"/>
    <hyperlink ref="B128" r:id="rId237" xr:uid="{00000000-0004-0000-2900-0000EC000000}"/>
    <hyperlink ref="C128" r:id="rId238" xr:uid="{00000000-0004-0000-2900-0000ED000000}"/>
    <hyperlink ref="B129" r:id="rId239" xr:uid="{00000000-0004-0000-2900-0000EE000000}"/>
    <hyperlink ref="C129" r:id="rId240" xr:uid="{00000000-0004-0000-2900-0000EF000000}"/>
    <hyperlink ref="B130" r:id="rId241" xr:uid="{00000000-0004-0000-2900-0000F0000000}"/>
    <hyperlink ref="C130" r:id="rId242" xr:uid="{00000000-0004-0000-2900-0000F1000000}"/>
    <hyperlink ref="B131" r:id="rId243" xr:uid="{00000000-0004-0000-2900-0000F2000000}"/>
    <hyperlink ref="C131" r:id="rId244" xr:uid="{00000000-0004-0000-2900-0000F3000000}"/>
    <hyperlink ref="B132" r:id="rId245" xr:uid="{00000000-0004-0000-2900-0000F4000000}"/>
    <hyperlink ref="C132" r:id="rId246" xr:uid="{00000000-0004-0000-2900-0000F5000000}"/>
    <hyperlink ref="B133" r:id="rId247" xr:uid="{00000000-0004-0000-2900-0000F6000000}"/>
    <hyperlink ref="B134" r:id="rId248" xr:uid="{00000000-0004-0000-2900-0000F7000000}"/>
    <hyperlink ref="C134" r:id="rId249" xr:uid="{00000000-0004-0000-2900-0000F8000000}"/>
    <hyperlink ref="B135" r:id="rId250" xr:uid="{00000000-0004-0000-2900-0000F9000000}"/>
    <hyperlink ref="C135" r:id="rId251" xr:uid="{00000000-0004-0000-2900-0000FA000000}"/>
    <hyperlink ref="B136" r:id="rId252" xr:uid="{00000000-0004-0000-2900-0000FB000000}"/>
    <hyperlink ref="C136" r:id="rId253" xr:uid="{00000000-0004-0000-2900-0000FC000000}"/>
    <hyperlink ref="B137" r:id="rId254" xr:uid="{00000000-0004-0000-2900-0000FD000000}"/>
    <hyperlink ref="C137" r:id="rId255" xr:uid="{00000000-0004-0000-2900-0000FE000000}"/>
    <hyperlink ref="B138" r:id="rId256" xr:uid="{00000000-0004-0000-2900-0000FF000000}"/>
    <hyperlink ref="C138" r:id="rId257" xr:uid="{00000000-0004-0000-2900-000000010000}"/>
    <hyperlink ref="B139" r:id="rId258" xr:uid="{00000000-0004-0000-2900-000001010000}"/>
    <hyperlink ref="C139" r:id="rId259" xr:uid="{00000000-0004-0000-2900-000002010000}"/>
    <hyperlink ref="B140" r:id="rId260" xr:uid="{00000000-0004-0000-2900-000003010000}"/>
    <hyperlink ref="C140" r:id="rId261" xr:uid="{00000000-0004-0000-2900-000004010000}"/>
    <hyperlink ref="B141" r:id="rId262" xr:uid="{00000000-0004-0000-2900-000005010000}"/>
    <hyperlink ref="C141" r:id="rId263" xr:uid="{00000000-0004-0000-2900-000006010000}"/>
    <hyperlink ref="B142" r:id="rId264" xr:uid="{00000000-0004-0000-2900-000007010000}"/>
    <hyperlink ref="C142" r:id="rId265" xr:uid="{00000000-0004-0000-2900-000008010000}"/>
    <hyperlink ref="B143" r:id="rId266" xr:uid="{00000000-0004-0000-2900-000009010000}"/>
    <hyperlink ref="C143" r:id="rId267" xr:uid="{00000000-0004-0000-2900-00000A010000}"/>
    <hyperlink ref="B144" r:id="rId268" xr:uid="{00000000-0004-0000-2900-00000B010000}"/>
    <hyperlink ref="C144" r:id="rId269" xr:uid="{00000000-0004-0000-2900-00000C010000}"/>
    <hyperlink ref="B145" r:id="rId270" xr:uid="{00000000-0004-0000-2900-00000D010000}"/>
    <hyperlink ref="C145" r:id="rId271" xr:uid="{00000000-0004-0000-2900-00000E010000}"/>
    <hyperlink ref="B146" r:id="rId272" xr:uid="{00000000-0004-0000-2900-00000F010000}"/>
    <hyperlink ref="B147" r:id="rId273" xr:uid="{00000000-0004-0000-2900-000010010000}"/>
    <hyperlink ref="C147" r:id="rId274" xr:uid="{00000000-0004-0000-2900-000011010000}"/>
    <hyperlink ref="B148" r:id="rId275" xr:uid="{00000000-0004-0000-2900-000012010000}"/>
    <hyperlink ref="C148" r:id="rId276" xr:uid="{00000000-0004-0000-2900-000013010000}"/>
    <hyperlink ref="B149" r:id="rId277" xr:uid="{00000000-0004-0000-2900-000014010000}"/>
    <hyperlink ref="C149" r:id="rId278" xr:uid="{00000000-0004-0000-2900-000015010000}"/>
    <hyperlink ref="B150" r:id="rId279" xr:uid="{00000000-0004-0000-2900-000016010000}"/>
    <hyperlink ref="C150" r:id="rId280" xr:uid="{00000000-0004-0000-2900-000017010000}"/>
    <hyperlink ref="B151" r:id="rId281" xr:uid="{00000000-0004-0000-2900-000018010000}"/>
    <hyperlink ref="C151" r:id="rId282" xr:uid="{00000000-0004-0000-2900-000019010000}"/>
    <hyperlink ref="B152" r:id="rId283" xr:uid="{00000000-0004-0000-2900-00001A010000}"/>
    <hyperlink ref="C152" r:id="rId284" xr:uid="{00000000-0004-0000-2900-00001B010000}"/>
    <hyperlink ref="B153" r:id="rId285" xr:uid="{00000000-0004-0000-2900-00001C010000}"/>
    <hyperlink ref="C153" r:id="rId286" xr:uid="{00000000-0004-0000-2900-00001D010000}"/>
    <hyperlink ref="B154" r:id="rId287" xr:uid="{00000000-0004-0000-2900-00001E010000}"/>
    <hyperlink ref="C154" r:id="rId288" xr:uid="{00000000-0004-0000-2900-00001F010000}"/>
    <hyperlink ref="B155" r:id="rId289" xr:uid="{00000000-0004-0000-2900-000020010000}"/>
    <hyperlink ref="C155" r:id="rId290" xr:uid="{00000000-0004-0000-2900-000021010000}"/>
    <hyperlink ref="B156" r:id="rId291" xr:uid="{00000000-0004-0000-2900-000022010000}"/>
    <hyperlink ref="C156" r:id="rId292" xr:uid="{00000000-0004-0000-2900-000023010000}"/>
    <hyperlink ref="B157" r:id="rId293" xr:uid="{00000000-0004-0000-2900-000024010000}"/>
    <hyperlink ref="C157" r:id="rId294" xr:uid="{00000000-0004-0000-2900-000025010000}"/>
    <hyperlink ref="B158" r:id="rId295" xr:uid="{00000000-0004-0000-2900-000026010000}"/>
    <hyperlink ref="C158" r:id="rId296" xr:uid="{00000000-0004-0000-2900-000027010000}"/>
    <hyperlink ref="B159" r:id="rId297" xr:uid="{00000000-0004-0000-2900-000028010000}"/>
    <hyperlink ref="C159" r:id="rId298" xr:uid="{00000000-0004-0000-2900-000029010000}"/>
    <hyperlink ref="B160" r:id="rId299" xr:uid="{00000000-0004-0000-2900-00002A010000}"/>
    <hyperlink ref="C160" r:id="rId300" xr:uid="{00000000-0004-0000-2900-00002B010000}"/>
    <hyperlink ref="B161" r:id="rId301" xr:uid="{00000000-0004-0000-2900-00002C010000}"/>
    <hyperlink ref="C161" r:id="rId302" xr:uid="{00000000-0004-0000-2900-00002D010000}"/>
    <hyperlink ref="B162" r:id="rId303" xr:uid="{00000000-0004-0000-2900-00002E010000}"/>
    <hyperlink ref="B163" r:id="rId304" xr:uid="{00000000-0004-0000-2900-00002F010000}"/>
    <hyperlink ref="C163" r:id="rId305" xr:uid="{00000000-0004-0000-2900-000030010000}"/>
    <hyperlink ref="B164" r:id="rId306" xr:uid="{00000000-0004-0000-2900-000031010000}"/>
    <hyperlink ref="C164" r:id="rId307" xr:uid="{00000000-0004-0000-2900-000032010000}"/>
    <hyperlink ref="B165" r:id="rId308" xr:uid="{00000000-0004-0000-2900-000033010000}"/>
    <hyperlink ref="C165" r:id="rId309" xr:uid="{00000000-0004-0000-2900-000034010000}"/>
    <hyperlink ref="B166" r:id="rId310" xr:uid="{00000000-0004-0000-2900-000035010000}"/>
    <hyperlink ref="C166" r:id="rId311" xr:uid="{00000000-0004-0000-2900-000036010000}"/>
    <hyperlink ref="B167" r:id="rId312" xr:uid="{00000000-0004-0000-2900-000037010000}"/>
    <hyperlink ref="C167" r:id="rId313" xr:uid="{00000000-0004-0000-2900-000038010000}"/>
    <hyperlink ref="B168" r:id="rId314" xr:uid="{00000000-0004-0000-2900-000039010000}"/>
    <hyperlink ref="B169" r:id="rId315" xr:uid="{00000000-0004-0000-2900-00003A010000}"/>
    <hyperlink ref="C169" r:id="rId316" xr:uid="{00000000-0004-0000-2900-00003B010000}"/>
    <hyperlink ref="B170" r:id="rId317" xr:uid="{00000000-0004-0000-2900-00003C010000}"/>
    <hyperlink ref="C170" r:id="rId318" xr:uid="{00000000-0004-0000-2900-00003D010000}"/>
    <hyperlink ref="B171" r:id="rId319" xr:uid="{00000000-0004-0000-2900-00003E010000}"/>
    <hyperlink ref="C171" r:id="rId320" xr:uid="{00000000-0004-0000-2900-00003F010000}"/>
    <hyperlink ref="B172" r:id="rId321" xr:uid="{00000000-0004-0000-2900-000040010000}"/>
    <hyperlink ref="C172" r:id="rId322" xr:uid="{00000000-0004-0000-2900-000041010000}"/>
    <hyperlink ref="B173" r:id="rId323" xr:uid="{00000000-0004-0000-2900-000042010000}"/>
    <hyperlink ref="C173" r:id="rId324" xr:uid="{00000000-0004-0000-2900-000043010000}"/>
    <hyperlink ref="B174" r:id="rId325" xr:uid="{00000000-0004-0000-2900-000044010000}"/>
    <hyperlink ref="C174" r:id="rId326" xr:uid="{00000000-0004-0000-2900-000045010000}"/>
    <hyperlink ref="B175" r:id="rId327" xr:uid="{00000000-0004-0000-2900-000046010000}"/>
    <hyperlink ref="C175" r:id="rId328" xr:uid="{00000000-0004-0000-2900-000047010000}"/>
    <hyperlink ref="B176" r:id="rId329" xr:uid="{00000000-0004-0000-2900-000048010000}"/>
    <hyperlink ref="B177" r:id="rId330" xr:uid="{00000000-0004-0000-2900-000049010000}"/>
    <hyperlink ref="C177" r:id="rId331" xr:uid="{00000000-0004-0000-2900-00004A010000}"/>
    <hyperlink ref="B178" r:id="rId332" xr:uid="{00000000-0004-0000-2900-00004B010000}"/>
    <hyperlink ref="C178" r:id="rId333" xr:uid="{00000000-0004-0000-2900-00004C010000}"/>
    <hyperlink ref="B179" r:id="rId334" xr:uid="{00000000-0004-0000-2900-00004D010000}"/>
    <hyperlink ref="C179" r:id="rId335" xr:uid="{00000000-0004-0000-2900-00004E010000}"/>
    <hyperlink ref="B180" r:id="rId336" xr:uid="{00000000-0004-0000-2900-00004F010000}"/>
    <hyperlink ref="C180" r:id="rId337" xr:uid="{00000000-0004-0000-2900-000050010000}"/>
    <hyperlink ref="B181" r:id="rId338" xr:uid="{00000000-0004-0000-2900-000051010000}"/>
    <hyperlink ref="C181" r:id="rId339" xr:uid="{00000000-0004-0000-2900-000052010000}"/>
    <hyperlink ref="B182" r:id="rId340" xr:uid="{00000000-0004-0000-2900-000053010000}"/>
    <hyperlink ref="C182" r:id="rId341" xr:uid="{00000000-0004-0000-2900-000054010000}"/>
    <hyperlink ref="B183" r:id="rId342" xr:uid="{00000000-0004-0000-2900-000055010000}"/>
    <hyperlink ref="B184" r:id="rId343" xr:uid="{00000000-0004-0000-2900-000056010000}"/>
    <hyperlink ref="C184" r:id="rId344" xr:uid="{00000000-0004-0000-2900-000057010000}"/>
    <hyperlink ref="B185" r:id="rId345" xr:uid="{00000000-0004-0000-2900-000058010000}"/>
    <hyperlink ref="C185" r:id="rId346" xr:uid="{00000000-0004-0000-2900-000059010000}"/>
    <hyperlink ref="B186" r:id="rId347" xr:uid="{00000000-0004-0000-2900-00005A010000}"/>
    <hyperlink ref="C186" r:id="rId348" xr:uid="{00000000-0004-0000-2900-00005B010000}"/>
    <hyperlink ref="B187" r:id="rId349" xr:uid="{00000000-0004-0000-2900-00005C010000}"/>
    <hyperlink ref="C187" r:id="rId350" xr:uid="{00000000-0004-0000-2900-00005D010000}"/>
    <hyperlink ref="B188" r:id="rId351" xr:uid="{00000000-0004-0000-2900-00005E010000}"/>
    <hyperlink ref="C188" r:id="rId352" xr:uid="{00000000-0004-0000-2900-00005F010000}"/>
    <hyperlink ref="B189" r:id="rId353" xr:uid="{00000000-0004-0000-2900-000060010000}"/>
    <hyperlink ref="C189" r:id="rId354" xr:uid="{00000000-0004-0000-2900-000061010000}"/>
    <hyperlink ref="B190" r:id="rId355" xr:uid="{00000000-0004-0000-2900-000062010000}"/>
    <hyperlink ref="C190" r:id="rId356" xr:uid="{00000000-0004-0000-2900-000063010000}"/>
    <hyperlink ref="B191" r:id="rId357" xr:uid="{00000000-0004-0000-2900-000064010000}"/>
    <hyperlink ref="B192" r:id="rId358" xr:uid="{00000000-0004-0000-2900-000065010000}"/>
    <hyperlink ref="C192" r:id="rId359" xr:uid="{00000000-0004-0000-2900-000066010000}"/>
    <hyperlink ref="B193" r:id="rId360" xr:uid="{00000000-0004-0000-2900-000067010000}"/>
    <hyperlink ref="C193" r:id="rId361" xr:uid="{00000000-0004-0000-2900-000068010000}"/>
    <hyperlink ref="B194" r:id="rId362" xr:uid="{00000000-0004-0000-2900-000069010000}"/>
    <hyperlink ref="C194" r:id="rId363" xr:uid="{00000000-0004-0000-2900-00006A010000}"/>
    <hyperlink ref="B195" r:id="rId364" xr:uid="{00000000-0004-0000-2900-00006B010000}"/>
    <hyperlink ref="C195" r:id="rId365" xr:uid="{00000000-0004-0000-2900-00006C010000}"/>
    <hyperlink ref="B196" r:id="rId366" xr:uid="{00000000-0004-0000-2900-00006D010000}"/>
    <hyperlink ref="C196" r:id="rId367" xr:uid="{00000000-0004-0000-2900-00006E010000}"/>
    <hyperlink ref="B197" r:id="rId368" xr:uid="{00000000-0004-0000-2900-00006F010000}"/>
    <hyperlink ref="C197" r:id="rId369" xr:uid="{00000000-0004-0000-2900-000070010000}"/>
    <hyperlink ref="B198" r:id="rId370" xr:uid="{00000000-0004-0000-2900-000071010000}"/>
    <hyperlink ref="C198" r:id="rId371" xr:uid="{00000000-0004-0000-2900-000072010000}"/>
    <hyperlink ref="B199" r:id="rId372" xr:uid="{00000000-0004-0000-2900-000073010000}"/>
    <hyperlink ref="C199" r:id="rId373" xr:uid="{00000000-0004-0000-2900-000074010000}"/>
    <hyperlink ref="B200" r:id="rId374" xr:uid="{00000000-0004-0000-2900-000075010000}"/>
    <hyperlink ref="C200" r:id="rId375" xr:uid="{00000000-0004-0000-2900-000076010000}"/>
    <hyperlink ref="B201" r:id="rId376" xr:uid="{00000000-0004-0000-2900-000077010000}"/>
    <hyperlink ref="C201" r:id="rId377" xr:uid="{00000000-0004-0000-2900-000078010000}"/>
    <hyperlink ref="B202" r:id="rId378" xr:uid="{00000000-0004-0000-2900-000079010000}"/>
    <hyperlink ref="C202" r:id="rId379" xr:uid="{00000000-0004-0000-2900-00007A010000}"/>
    <hyperlink ref="B203" r:id="rId380" xr:uid="{00000000-0004-0000-2900-00007B010000}"/>
    <hyperlink ref="C203" r:id="rId381" xr:uid="{00000000-0004-0000-2900-00007C010000}"/>
    <hyperlink ref="B204" r:id="rId382" xr:uid="{00000000-0004-0000-2900-00007D010000}"/>
    <hyperlink ref="C204" r:id="rId383" xr:uid="{00000000-0004-0000-2900-00007E010000}"/>
    <hyperlink ref="B205" r:id="rId384" xr:uid="{00000000-0004-0000-2900-00007F010000}"/>
    <hyperlink ref="C205" r:id="rId385" xr:uid="{00000000-0004-0000-2900-000080010000}"/>
    <hyperlink ref="B206" r:id="rId386" xr:uid="{00000000-0004-0000-2900-000081010000}"/>
    <hyperlink ref="C206" r:id="rId387" xr:uid="{00000000-0004-0000-2900-000082010000}"/>
    <hyperlink ref="B207" r:id="rId388" xr:uid="{00000000-0004-0000-2900-000083010000}"/>
    <hyperlink ref="C207" r:id="rId389" xr:uid="{00000000-0004-0000-2900-000084010000}"/>
    <hyperlink ref="B208" r:id="rId390" xr:uid="{00000000-0004-0000-2900-000085010000}"/>
    <hyperlink ref="C208" r:id="rId391" xr:uid="{00000000-0004-0000-2900-000086010000}"/>
    <hyperlink ref="B209" r:id="rId392" xr:uid="{00000000-0004-0000-2900-000087010000}"/>
    <hyperlink ref="C209" r:id="rId393" xr:uid="{00000000-0004-0000-2900-000088010000}"/>
    <hyperlink ref="B210" r:id="rId394" xr:uid="{00000000-0004-0000-2900-000089010000}"/>
    <hyperlink ref="C210" r:id="rId395" xr:uid="{00000000-0004-0000-2900-00008A010000}"/>
    <hyperlink ref="B211" r:id="rId396" xr:uid="{00000000-0004-0000-2900-00008B010000}"/>
    <hyperlink ref="C211" r:id="rId397" xr:uid="{00000000-0004-0000-2900-00008C010000}"/>
    <hyperlink ref="B212" r:id="rId398" xr:uid="{00000000-0004-0000-2900-00008D010000}"/>
    <hyperlink ref="C212" r:id="rId399" xr:uid="{00000000-0004-0000-2900-00008E010000}"/>
    <hyperlink ref="B213" r:id="rId400" xr:uid="{00000000-0004-0000-2900-00008F010000}"/>
    <hyperlink ref="C213" r:id="rId401" xr:uid="{00000000-0004-0000-2900-000090010000}"/>
    <hyperlink ref="B214" r:id="rId402" xr:uid="{00000000-0004-0000-2900-000091010000}"/>
    <hyperlink ref="C214" r:id="rId403" xr:uid="{00000000-0004-0000-2900-000092010000}"/>
    <hyperlink ref="B215" r:id="rId404" xr:uid="{00000000-0004-0000-2900-000093010000}"/>
    <hyperlink ref="C215" r:id="rId405" xr:uid="{00000000-0004-0000-2900-000094010000}"/>
    <hyperlink ref="B216" r:id="rId406" xr:uid="{00000000-0004-0000-2900-000095010000}"/>
    <hyperlink ref="B217" r:id="rId407" xr:uid="{00000000-0004-0000-2900-000096010000}"/>
    <hyperlink ref="B218" r:id="rId408" xr:uid="{00000000-0004-0000-2900-000097010000}"/>
    <hyperlink ref="C218" r:id="rId409" xr:uid="{00000000-0004-0000-2900-000098010000}"/>
    <hyperlink ref="B219" r:id="rId410" xr:uid="{00000000-0004-0000-2900-000099010000}"/>
    <hyperlink ref="C219" r:id="rId411" xr:uid="{00000000-0004-0000-2900-00009A010000}"/>
    <hyperlink ref="B220" r:id="rId412" xr:uid="{00000000-0004-0000-2900-00009B010000}"/>
    <hyperlink ref="C220" r:id="rId413" xr:uid="{00000000-0004-0000-2900-00009C010000}"/>
    <hyperlink ref="B221" r:id="rId414" xr:uid="{00000000-0004-0000-2900-00009D010000}"/>
    <hyperlink ref="C221" r:id="rId415" xr:uid="{00000000-0004-0000-2900-00009E010000}"/>
    <hyperlink ref="B222" r:id="rId416" xr:uid="{00000000-0004-0000-2900-00009F010000}"/>
    <hyperlink ref="C222" r:id="rId417" xr:uid="{00000000-0004-0000-2900-0000A0010000}"/>
    <hyperlink ref="B223" r:id="rId418" xr:uid="{00000000-0004-0000-2900-0000A1010000}"/>
    <hyperlink ref="C223" r:id="rId419" xr:uid="{00000000-0004-0000-2900-0000A2010000}"/>
    <hyperlink ref="B224" r:id="rId420" xr:uid="{00000000-0004-0000-2900-0000A3010000}"/>
    <hyperlink ref="C224" r:id="rId421" xr:uid="{00000000-0004-0000-2900-0000A4010000}"/>
    <hyperlink ref="B225" r:id="rId422" xr:uid="{00000000-0004-0000-2900-0000A5010000}"/>
    <hyperlink ref="C225" r:id="rId423" xr:uid="{00000000-0004-0000-2900-0000A6010000}"/>
    <hyperlink ref="B226" r:id="rId424" xr:uid="{00000000-0004-0000-2900-0000A7010000}"/>
    <hyperlink ref="C226" r:id="rId425" xr:uid="{00000000-0004-0000-2900-0000A8010000}"/>
    <hyperlink ref="B227" r:id="rId426" xr:uid="{00000000-0004-0000-2900-0000A9010000}"/>
    <hyperlink ref="C227" r:id="rId427" xr:uid="{00000000-0004-0000-2900-0000AA010000}"/>
    <hyperlink ref="B228" r:id="rId428" xr:uid="{00000000-0004-0000-2900-0000AB010000}"/>
    <hyperlink ref="C228" r:id="rId429" xr:uid="{00000000-0004-0000-2900-0000AC010000}"/>
    <hyperlink ref="B229" r:id="rId430" xr:uid="{00000000-0004-0000-2900-0000AD010000}"/>
    <hyperlink ref="C229" r:id="rId431" xr:uid="{00000000-0004-0000-2900-0000AE010000}"/>
    <hyperlink ref="B230" r:id="rId432" xr:uid="{00000000-0004-0000-2900-0000AF010000}"/>
    <hyperlink ref="C230" r:id="rId433" xr:uid="{00000000-0004-0000-2900-0000B0010000}"/>
    <hyperlink ref="B231" r:id="rId434" xr:uid="{00000000-0004-0000-2900-0000B1010000}"/>
    <hyperlink ref="C231" r:id="rId435" xr:uid="{00000000-0004-0000-2900-0000B2010000}"/>
    <hyperlink ref="B232" r:id="rId436" xr:uid="{00000000-0004-0000-2900-0000B3010000}"/>
    <hyperlink ref="C232" r:id="rId437" xr:uid="{00000000-0004-0000-2900-0000B4010000}"/>
    <hyperlink ref="B233" r:id="rId438" xr:uid="{00000000-0004-0000-2900-0000B5010000}"/>
    <hyperlink ref="B234" r:id="rId439" xr:uid="{00000000-0004-0000-2900-0000B6010000}"/>
    <hyperlink ref="C234" r:id="rId440" xr:uid="{00000000-0004-0000-2900-0000B7010000}"/>
    <hyperlink ref="B235" r:id="rId441" xr:uid="{00000000-0004-0000-2900-0000B8010000}"/>
    <hyperlink ref="C235" r:id="rId442" xr:uid="{00000000-0004-0000-2900-0000B9010000}"/>
    <hyperlink ref="B236" r:id="rId443" xr:uid="{00000000-0004-0000-2900-0000BA010000}"/>
    <hyperlink ref="C236" r:id="rId444" xr:uid="{00000000-0004-0000-2900-0000BB010000}"/>
    <hyperlink ref="B237" r:id="rId445" xr:uid="{00000000-0004-0000-2900-0000BC010000}"/>
    <hyperlink ref="B238" r:id="rId446" xr:uid="{00000000-0004-0000-2900-0000BD010000}"/>
    <hyperlink ref="C238" r:id="rId447" xr:uid="{00000000-0004-0000-2900-0000BE010000}"/>
    <hyperlink ref="B239" r:id="rId448" xr:uid="{00000000-0004-0000-2900-0000BF010000}"/>
    <hyperlink ref="C239" r:id="rId449" xr:uid="{00000000-0004-0000-2900-0000C0010000}"/>
    <hyperlink ref="B240" r:id="rId450" xr:uid="{00000000-0004-0000-2900-0000C1010000}"/>
    <hyperlink ref="C240" r:id="rId451" xr:uid="{00000000-0004-0000-2900-0000C2010000}"/>
    <hyperlink ref="B241" r:id="rId452" xr:uid="{00000000-0004-0000-2900-0000C3010000}"/>
    <hyperlink ref="C241" r:id="rId453" xr:uid="{00000000-0004-0000-2900-0000C4010000}"/>
    <hyperlink ref="B242" r:id="rId454" xr:uid="{00000000-0004-0000-2900-0000C5010000}"/>
    <hyperlink ref="C242" r:id="rId455" xr:uid="{00000000-0004-0000-2900-0000C6010000}"/>
    <hyperlink ref="B243" r:id="rId456" xr:uid="{00000000-0004-0000-2900-0000C7010000}"/>
    <hyperlink ref="C243" r:id="rId457" xr:uid="{00000000-0004-0000-2900-0000C8010000}"/>
    <hyperlink ref="B244" r:id="rId458" xr:uid="{00000000-0004-0000-2900-0000C9010000}"/>
    <hyperlink ref="C244" r:id="rId459" xr:uid="{00000000-0004-0000-2900-0000CA010000}"/>
    <hyperlink ref="B245" r:id="rId460" xr:uid="{00000000-0004-0000-2900-0000CB010000}"/>
    <hyperlink ref="C245" r:id="rId461" xr:uid="{00000000-0004-0000-2900-0000CC010000}"/>
    <hyperlink ref="B246" r:id="rId462" xr:uid="{00000000-0004-0000-2900-0000CD010000}"/>
    <hyperlink ref="C246" r:id="rId463" xr:uid="{00000000-0004-0000-2900-0000CE010000}"/>
    <hyperlink ref="B247" r:id="rId464" xr:uid="{00000000-0004-0000-2900-0000CF010000}"/>
    <hyperlink ref="C247" r:id="rId465" xr:uid="{00000000-0004-0000-2900-0000D0010000}"/>
    <hyperlink ref="B248" r:id="rId466" xr:uid="{00000000-0004-0000-2900-0000D1010000}"/>
    <hyperlink ref="B249" r:id="rId467" xr:uid="{00000000-0004-0000-2900-0000D2010000}"/>
    <hyperlink ref="C249" r:id="rId468" xr:uid="{00000000-0004-0000-2900-0000D3010000}"/>
    <hyperlink ref="B250" r:id="rId469" xr:uid="{00000000-0004-0000-2900-0000D4010000}"/>
    <hyperlink ref="C250" r:id="rId470" xr:uid="{00000000-0004-0000-2900-0000D5010000}"/>
    <hyperlink ref="B251" r:id="rId471" xr:uid="{00000000-0004-0000-2900-0000D6010000}"/>
    <hyperlink ref="C251" r:id="rId472" xr:uid="{00000000-0004-0000-2900-0000D7010000}"/>
    <hyperlink ref="B252" r:id="rId473" xr:uid="{00000000-0004-0000-2900-0000D8010000}"/>
    <hyperlink ref="C252" r:id="rId474" xr:uid="{00000000-0004-0000-2900-0000D9010000}"/>
    <hyperlink ref="B253" r:id="rId475" xr:uid="{00000000-0004-0000-2900-0000DA010000}"/>
    <hyperlink ref="B254" r:id="rId476" xr:uid="{00000000-0004-0000-2900-0000DB010000}"/>
    <hyperlink ref="C254" r:id="rId477" xr:uid="{00000000-0004-0000-2900-0000DC010000}"/>
    <hyperlink ref="B255" r:id="rId478" xr:uid="{00000000-0004-0000-2900-0000DD010000}"/>
    <hyperlink ref="C255" r:id="rId479" xr:uid="{00000000-0004-0000-2900-0000DE010000}"/>
    <hyperlink ref="B256" r:id="rId480" xr:uid="{00000000-0004-0000-2900-0000DF010000}"/>
    <hyperlink ref="C256" r:id="rId481" xr:uid="{00000000-0004-0000-2900-0000E0010000}"/>
    <hyperlink ref="B257" r:id="rId482" xr:uid="{00000000-0004-0000-2900-0000E1010000}"/>
    <hyperlink ref="C257" r:id="rId483" xr:uid="{00000000-0004-0000-2900-0000E2010000}"/>
    <hyperlink ref="B258" r:id="rId484" xr:uid="{00000000-0004-0000-2900-0000E3010000}"/>
    <hyperlink ref="C258" r:id="rId485" xr:uid="{00000000-0004-0000-2900-0000E4010000}"/>
    <hyperlink ref="B259" r:id="rId486" xr:uid="{00000000-0004-0000-2900-0000E5010000}"/>
    <hyperlink ref="C259" r:id="rId487" xr:uid="{00000000-0004-0000-2900-0000E6010000}"/>
    <hyperlink ref="B260" r:id="rId488" xr:uid="{00000000-0004-0000-2900-0000E7010000}"/>
    <hyperlink ref="C260" r:id="rId489" xr:uid="{00000000-0004-0000-2900-0000E8010000}"/>
    <hyperlink ref="B261" r:id="rId490" xr:uid="{00000000-0004-0000-2900-0000E9010000}"/>
    <hyperlink ref="C261" r:id="rId491" xr:uid="{00000000-0004-0000-2900-0000EA010000}"/>
    <hyperlink ref="B262" r:id="rId492" xr:uid="{00000000-0004-0000-2900-0000EB01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FF00"/>
    <outlinePr summaryBelow="0" summaryRight="0"/>
  </sheetPr>
  <dimension ref="A1:X1036"/>
  <sheetViews>
    <sheetView workbookViewId="0">
      <selection activeCell="K25" sqref="K25"/>
    </sheetView>
  </sheetViews>
  <sheetFormatPr defaultColWidth="12.5703125" defaultRowHeight="15" customHeight="1"/>
  <cols>
    <col min="1" max="1" width="5.42578125" bestFit="1" customWidth="1"/>
    <col min="2" max="2" width="8.140625" bestFit="1" customWidth="1"/>
    <col min="3" max="3" width="5.140625" bestFit="1" customWidth="1"/>
    <col min="4" max="4" width="13.7109375" bestFit="1" customWidth="1"/>
    <col min="5" max="5" width="7" bestFit="1" customWidth="1"/>
    <col min="6" max="6" width="13.7109375" bestFit="1" customWidth="1"/>
    <col min="7" max="7" width="4.85546875" bestFit="1" customWidth="1"/>
    <col min="8" max="8" width="4.42578125" bestFit="1" customWidth="1"/>
    <col min="9" max="9" width="4.5703125" bestFit="1" customWidth="1"/>
    <col min="10" max="10" width="4.42578125" bestFit="1" customWidth="1"/>
    <col min="11" max="11" width="4.5703125" bestFit="1" customWidth="1"/>
    <col min="12" max="12" width="4.42578125" bestFit="1" customWidth="1"/>
    <col min="13" max="13" width="6" bestFit="1" customWidth="1"/>
    <col min="14" max="14" width="6.42578125" bestFit="1" customWidth="1"/>
    <col min="15" max="15" width="6" bestFit="1" customWidth="1"/>
    <col min="16" max="16" width="12" bestFit="1" customWidth="1"/>
    <col min="17" max="17" width="10.85546875" bestFit="1" customWidth="1"/>
    <col min="18" max="18" width="10.85546875" style="419" customWidth="1"/>
    <col min="19" max="19" width="12.5703125" bestFit="1" customWidth="1"/>
    <col min="20" max="20" width="31.85546875" bestFit="1" customWidth="1"/>
    <col min="21" max="21" width="29.85546875" bestFit="1" customWidth="1"/>
    <col min="22" max="22" width="10.7109375" bestFit="1" customWidth="1"/>
    <col min="23" max="23" width="9.42578125" bestFit="1" customWidth="1"/>
    <col min="24" max="24" width="12.28515625" bestFit="1" customWidth="1"/>
  </cols>
  <sheetData>
    <row r="1" spans="1:24" ht="15.75" customHeight="1">
      <c r="P1" s="161" t="s">
        <v>1030</v>
      </c>
      <c r="S1" s="1" t="s">
        <v>3</v>
      </c>
    </row>
    <row r="2" spans="1:24" ht="15.75" customHeight="1">
      <c r="A2" s="193"/>
      <c r="B2" s="193" t="s">
        <v>1031</v>
      </c>
      <c r="C2" s="193" t="s">
        <v>1032</v>
      </c>
      <c r="D2" s="193" t="s">
        <v>1033</v>
      </c>
      <c r="E2" s="193"/>
      <c r="F2" s="186"/>
      <c r="G2" s="161"/>
      <c r="H2" s="194"/>
      <c r="I2" s="194"/>
      <c r="J2" s="194"/>
      <c r="K2" s="194"/>
      <c r="L2" s="194"/>
      <c r="M2" s="194"/>
      <c r="N2" s="194"/>
      <c r="O2" s="194"/>
      <c r="P2" s="187">
        <v>3148.8396748725791</v>
      </c>
      <c r="Q2" s="161"/>
      <c r="R2" s="420"/>
      <c r="S2" s="1">
        <v>-460.08728943305317</v>
      </c>
      <c r="T2" s="195" t="s">
        <v>1034</v>
      </c>
      <c r="X2" s="1" t="s">
        <v>1035</v>
      </c>
    </row>
    <row r="3" spans="1:24" ht="15.75" customHeight="1">
      <c r="A3" s="193"/>
      <c r="B3" s="193">
        <v>1</v>
      </c>
      <c r="C3" s="193">
        <f>1-$B$3</f>
        <v>0</v>
      </c>
      <c r="D3" s="193">
        <v>117.8544457</v>
      </c>
      <c r="E3" s="193"/>
      <c r="F3" s="186" t="s">
        <v>4</v>
      </c>
      <c r="G3" s="163"/>
      <c r="H3" s="194"/>
      <c r="I3" s="194"/>
      <c r="J3" s="194"/>
      <c r="K3" s="194"/>
      <c r="L3" s="194"/>
      <c r="M3" s="194"/>
      <c r="N3" s="194"/>
      <c r="O3" s="194"/>
      <c r="P3" s="187">
        <f>$P$2/$D$3</f>
        <v>26.718038985885954</v>
      </c>
      <c r="Q3" s="163"/>
      <c r="R3" s="421"/>
      <c r="S3" s="196">
        <f>$S$2/$D$3</f>
        <v>-3.9038602803683049</v>
      </c>
      <c r="T3" s="1" t="s">
        <v>1036</v>
      </c>
      <c r="U3" s="197" t="s">
        <v>1034</v>
      </c>
      <c r="X3" s="196">
        <f>$S$3-($S$36-'RunsGame Calculations'!$G$34)</f>
        <v>-3.9808259991799342</v>
      </c>
    </row>
    <row r="4" spans="1:24" ht="15.75" customHeight="1">
      <c r="A4" s="198"/>
      <c r="B4" s="199"/>
      <c r="C4" s="19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422"/>
      <c r="S4" s="203">
        <f>AVERAGE(S6:S35)</f>
        <v>4.5247904183791841</v>
      </c>
      <c r="T4" s="1"/>
      <c r="U4" s="1"/>
      <c r="V4" s="195"/>
      <c r="W4" s="1"/>
      <c r="X4" s="1"/>
    </row>
    <row r="5" spans="1:24" ht="15.75" customHeight="1">
      <c r="A5" s="164" t="s">
        <v>7</v>
      </c>
      <c r="B5" s="165" t="s">
        <v>1031</v>
      </c>
      <c r="C5" s="165" t="s">
        <v>1037</v>
      </c>
      <c r="D5" s="166" t="s">
        <v>1038</v>
      </c>
      <c r="E5" s="166" t="s">
        <v>15</v>
      </c>
      <c r="F5" s="166" t="s">
        <v>14</v>
      </c>
      <c r="G5" s="166" t="s">
        <v>1039</v>
      </c>
      <c r="H5" s="166" t="s">
        <v>16</v>
      </c>
      <c r="I5" s="166" t="s">
        <v>1040</v>
      </c>
      <c r="J5" s="166" t="s">
        <v>1041</v>
      </c>
      <c r="K5" s="166" t="s">
        <v>1042</v>
      </c>
      <c r="L5" s="166" t="s">
        <v>1043</v>
      </c>
      <c r="M5" s="166" t="s">
        <v>17</v>
      </c>
      <c r="N5" s="166" t="s">
        <v>1044</v>
      </c>
      <c r="O5" s="166" t="s">
        <v>1045</v>
      </c>
      <c r="P5" s="166" t="s">
        <v>1030</v>
      </c>
      <c r="Q5" s="166" t="s">
        <v>1046</v>
      </c>
      <c r="R5" s="423"/>
      <c r="S5" s="194" t="s">
        <v>1047</v>
      </c>
      <c r="T5" s="1" t="s">
        <v>1048</v>
      </c>
      <c r="U5" s="1" t="s">
        <v>1049</v>
      </c>
      <c r="V5" s="195" t="s">
        <v>1050</v>
      </c>
      <c r="W5" s="1" t="s">
        <v>1051</v>
      </c>
      <c r="X5" s="1"/>
    </row>
    <row r="6" spans="1:24" ht="15.75" customHeight="1">
      <c r="A6" s="201">
        <v>1</v>
      </c>
      <c r="B6" s="202">
        <v>2025</v>
      </c>
      <c r="C6" s="202" t="s">
        <v>40</v>
      </c>
      <c r="D6" s="201">
        <v>4855</v>
      </c>
      <c r="E6" s="172">
        <v>8.2000000000000003E-2</v>
      </c>
      <c r="F6" s="172">
        <v>0.27100000000000002</v>
      </c>
      <c r="G6" s="201">
        <v>0.3</v>
      </c>
      <c r="H6" s="201">
        <v>0.224</v>
      </c>
      <c r="I6" s="201">
        <v>0.29899999999999999</v>
      </c>
      <c r="J6" s="201">
        <v>0.39400000000000002</v>
      </c>
      <c r="K6" s="201">
        <v>0.69299999999999995</v>
      </c>
      <c r="L6" s="201">
        <v>0.17</v>
      </c>
      <c r="M6" s="201">
        <v>0.27600000000000002</v>
      </c>
      <c r="N6" s="201">
        <v>532</v>
      </c>
      <c r="O6" s="201">
        <v>-42</v>
      </c>
      <c r="P6" s="201">
        <v>0.30199999999999999</v>
      </c>
      <c r="Q6" s="201">
        <v>92</v>
      </c>
      <c r="R6" s="424">
        <f>S6/$S$4</f>
        <v>0.92048185844178498</v>
      </c>
      <c r="S6" s="203">
        <f>($S$3+(P6*$P$3))</f>
        <v>4.164987493369253</v>
      </c>
      <c r="T6" s="204">
        <f t="shared" ref="T6:T35" si="0">RANK(S6,$S$6:$S$35,0)</f>
        <v>26</v>
      </c>
      <c r="U6" s="204">
        <f t="shared" ref="U6:U35" si="1">S6*$B$3</f>
        <v>4.164987493369253</v>
      </c>
      <c r="V6" s="88">
        <f>U6 + _xlfn.XLOOKUP(C6,'Team Batting vs R - L7'!$C$6:$C$35,'Team Batting vs R - L7'!$T$6:$T$35)</f>
        <v>4.164987493369253</v>
      </c>
      <c r="W6" s="204">
        <f t="shared" ref="W6:W35" si="2">RANK(V6,$V$6:$V$35,0)</f>
        <v>26</v>
      </c>
      <c r="X6" s="204"/>
    </row>
    <row r="7" spans="1:24" ht="15.75" customHeight="1">
      <c r="A7" s="201">
        <v>2</v>
      </c>
      <c r="B7" s="202">
        <v>2025</v>
      </c>
      <c r="C7" s="202" t="s">
        <v>72</v>
      </c>
      <c r="D7" s="201">
        <v>4322</v>
      </c>
      <c r="E7" s="172">
        <v>8.3000000000000004E-2</v>
      </c>
      <c r="F7" s="172">
        <v>0.24</v>
      </c>
      <c r="G7" s="201">
        <v>0.3</v>
      </c>
      <c r="H7" s="201">
        <v>0.23699999999999999</v>
      </c>
      <c r="I7" s="201">
        <v>0.307</v>
      </c>
      <c r="J7" s="201">
        <v>0.40600000000000003</v>
      </c>
      <c r="K7" s="201">
        <v>0.71399999999999997</v>
      </c>
      <c r="L7" s="201">
        <v>0.16900000000000001</v>
      </c>
      <c r="M7" s="201">
        <v>0.28299999999999997</v>
      </c>
      <c r="N7" s="201">
        <v>500</v>
      </c>
      <c r="O7" s="201">
        <v>-10.199999999999999</v>
      </c>
      <c r="P7" s="201">
        <v>0.31</v>
      </c>
      <c r="Q7" s="201">
        <v>100</v>
      </c>
      <c r="R7" s="424">
        <f t="shared" ref="R7:R35" si="3">S7/$S$4</f>
        <v>0.96772035837735848</v>
      </c>
      <c r="S7" s="203">
        <f t="shared" ref="S7:S35" si="4">($S$3+(P7*$P$3))</f>
        <v>4.3787318052563418</v>
      </c>
      <c r="T7" s="204">
        <f t="shared" si="0"/>
        <v>21</v>
      </c>
      <c r="U7" s="204">
        <f t="shared" si="1"/>
        <v>4.3787318052563418</v>
      </c>
      <c r="V7" s="88">
        <f>U7 + _xlfn.XLOOKUP(C7,'Team Batting vs R - L7'!$C$6:$C$35,'Team Batting vs R - L7'!$T$6:$T$35)</f>
        <v>4.3787318052563418</v>
      </c>
      <c r="W7" s="204">
        <f t="shared" si="2"/>
        <v>21</v>
      </c>
      <c r="X7" s="204"/>
    </row>
    <row r="8" spans="1:24" ht="15.75" customHeight="1">
      <c r="A8" s="201">
        <v>3</v>
      </c>
      <c r="B8" s="202">
        <v>2025</v>
      </c>
      <c r="C8" s="202" t="s">
        <v>51</v>
      </c>
      <c r="D8" s="201">
        <v>4429</v>
      </c>
      <c r="E8" s="172">
        <v>8.4000000000000005E-2</v>
      </c>
      <c r="F8" s="172">
        <v>0.22800000000000001</v>
      </c>
      <c r="G8" s="201">
        <v>0.4</v>
      </c>
      <c r="H8" s="201">
        <v>0.253</v>
      </c>
      <c r="I8" s="201">
        <v>0.32200000000000001</v>
      </c>
      <c r="J8" s="201">
        <v>0.42299999999999999</v>
      </c>
      <c r="K8" s="201">
        <v>0.746</v>
      </c>
      <c r="L8" s="201">
        <v>0.17100000000000001</v>
      </c>
      <c r="M8" s="201">
        <v>0.30399999999999999</v>
      </c>
      <c r="N8" s="201">
        <v>560</v>
      </c>
      <c r="O8" s="201">
        <v>36.700000000000003</v>
      </c>
      <c r="P8" s="201">
        <v>0.32300000000000001</v>
      </c>
      <c r="Q8" s="201">
        <v>103</v>
      </c>
      <c r="R8" s="424">
        <f t="shared" si="3"/>
        <v>1.0444829207726651</v>
      </c>
      <c r="S8" s="203">
        <f t="shared" si="4"/>
        <v>4.7260663120728594</v>
      </c>
      <c r="T8" s="204">
        <f t="shared" si="0"/>
        <v>10</v>
      </c>
      <c r="U8" s="204">
        <f t="shared" si="1"/>
        <v>4.7260663120728594</v>
      </c>
      <c r="V8" s="88">
        <f>U8 + _xlfn.XLOOKUP(C8,'Team Batting vs R - L7'!$C$6:$C$35,'Team Batting vs R - L7'!$T$6:$T$35)</f>
        <v>4.7260663120728594</v>
      </c>
      <c r="W8" s="204">
        <f t="shared" si="2"/>
        <v>10</v>
      </c>
      <c r="X8" s="204"/>
    </row>
    <row r="9" spans="1:24" ht="15.75" customHeight="1">
      <c r="A9" s="201">
        <v>4</v>
      </c>
      <c r="B9" s="202">
        <v>2025</v>
      </c>
      <c r="C9" s="202" t="s">
        <v>74</v>
      </c>
      <c r="D9" s="201">
        <v>4431</v>
      </c>
      <c r="E9" s="172">
        <v>8.7999999999999995E-2</v>
      </c>
      <c r="F9" s="172">
        <v>0.22700000000000001</v>
      </c>
      <c r="G9" s="201">
        <v>0.4</v>
      </c>
      <c r="H9" s="201">
        <v>0.22800000000000001</v>
      </c>
      <c r="I9" s="201">
        <v>0.30199999999999999</v>
      </c>
      <c r="J9" s="201">
        <v>0.36399999999999999</v>
      </c>
      <c r="K9" s="201">
        <v>0.66600000000000004</v>
      </c>
      <c r="L9" s="201">
        <v>0.13600000000000001</v>
      </c>
      <c r="M9" s="201">
        <v>0.27300000000000002</v>
      </c>
      <c r="N9" s="201">
        <v>456</v>
      </c>
      <c r="O9" s="201">
        <v>-67.900000000000006</v>
      </c>
      <c r="P9" s="201">
        <v>0.29399999999999998</v>
      </c>
      <c r="Q9" s="201">
        <v>87</v>
      </c>
      <c r="R9" s="424">
        <f t="shared" si="3"/>
        <v>0.87324335850621171</v>
      </c>
      <c r="S9" s="203">
        <f t="shared" si="4"/>
        <v>3.9512431814821656</v>
      </c>
      <c r="T9" s="204">
        <f t="shared" si="0"/>
        <v>29</v>
      </c>
      <c r="U9" s="204">
        <f t="shared" si="1"/>
        <v>3.9512431814821656</v>
      </c>
      <c r="V9" s="88">
        <f>U9 + _xlfn.XLOOKUP(C9,'Team Batting vs R - L7'!$C$6:$C$35,'Team Batting vs R - L7'!$T$6:$T$35)</f>
        <v>3.9512431814821656</v>
      </c>
      <c r="W9" s="204">
        <f t="shared" si="2"/>
        <v>29</v>
      </c>
      <c r="X9" s="204"/>
    </row>
    <row r="10" spans="1:24" ht="15.75" customHeight="1">
      <c r="A10" s="201">
        <v>5</v>
      </c>
      <c r="B10" s="202">
        <v>2025</v>
      </c>
      <c r="C10" s="202" t="s">
        <v>80</v>
      </c>
      <c r="D10" s="201">
        <v>4159</v>
      </c>
      <c r="E10" s="172">
        <v>8.5999999999999993E-2</v>
      </c>
      <c r="F10" s="172">
        <v>0.221</v>
      </c>
      <c r="G10" s="201">
        <v>0.4</v>
      </c>
      <c r="H10" s="201">
        <v>0.22700000000000001</v>
      </c>
      <c r="I10" s="201">
        <v>0.29899999999999999</v>
      </c>
      <c r="J10" s="201">
        <v>0.38</v>
      </c>
      <c r="K10" s="201">
        <v>0.67900000000000005</v>
      </c>
      <c r="L10" s="201">
        <v>0.154</v>
      </c>
      <c r="M10" s="201">
        <v>0.26600000000000001</v>
      </c>
      <c r="N10" s="201">
        <v>434</v>
      </c>
      <c r="O10" s="201">
        <v>-57.1</v>
      </c>
      <c r="P10" s="201">
        <v>0.29599999999999999</v>
      </c>
      <c r="Q10" s="201">
        <v>90</v>
      </c>
      <c r="R10" s="424">
        <f t="shared" si="3"/>
        <v>0.88505298349010486</v>
      </c>
      <c r="S10" s="203">
        <f t="shared" si="4"/>
        <v>4.0046792594539369</v>
      </c>
      <c r="T10" s="204">
        <f t="shared" si="0"/>
        <v>27</v>
      </c>
      <c r="U10" s="204">
        <f t="shared" si="1"/>
        <v>4.0046792594539369</v>
      </c>
      <c r="V10" s="88">
        <f>U10 + _xlfn.XLOOKUP(C10,'Team Batting vs R - L7'!$C$6:$C$35,'Team Batting vs R - L7'!$T$6:$T$35)</f>
        <v>4.0046792594539369</v>
      </c>
      <c r="W10" s="204">
        <f t="shared" si="2"/>
        <v>27</v>
      </c>
      <c r="X10" s="204"/>
    </row>
    <row r="11" spans="1:24" ht="15.75" customHeight="1">
      <c r="A11" s="201">
        <v>6</v>
      </c>
      <c r="B11" s="202">
        <v>2025</v>
      </c>
      <c r="C11" s="202" t="s">
        <v>44</v>
      </c>
      <c r="D11" s="201">
        <v>4391</v>
      </c>
      <c r="E11" s="172">
        <v>0.08</v>
      </c>
      <c r="F11" s="172">
        <v>0.245</v>
      </c>
      <c r="G11" s="201">
        <v>0.3</v>
      </c>
      <c r="H11" s="201">
        <v>0.24</v>
      </c>
      <c r="I11" s="201">
        <v>0.308</v>
      </c>
      <c r="J11" s="201">
        <v>0.40400000000000003</v>
      </c>
      <c r="K11" s="201">
        <v>0.71199999999999997</v>
      </c>
      <c r="L11" s="201">
        <v>0.16400000000000001</v>
      </c>
      <c r="M11" s="201">
        <v>0.28999999999999998</v>
      </c>
      <c r="N11" s="201">
        <v>510</v>
      </c>
      <c r="O11" s="201">
        <v>-8.6999999999999993</v>
      </c>
      <c r="P11" s="201">
        <v>0.311</v>
      </c>
      <c r="Q11" s="201">
        <v>98</v>
      </c>
      <c r="R11" s="424">
        <f t="shared" si="3"/>
        <v>0.973625170869305</v>
      </c>
      <c r="S11" s="203">
        <f t="shared" si="4"/>
        <v>4.4054498442422272</v>
      </c>
      <c r="T11" s="204">
        <f t="shared" si="0"/>
        <v>19</v>
      </c>
      <c r="U11" s="204">
        <f t="shared" si="1"/>
        <v>4.4054498442422272</v>
      </c>
      <c r="V11" s="88">
        <f>U11 + _xlfn.XLOOKUP(C11,'Team Batting vs R - L7'!$C$6:$C$35,'Team Batting vs R - L7'!$T$6:$T$35)</f>
        <v>4.4054498442422272</v>
      </c>
      <c r="W11" s="204">
        <f t="shared" si="2"/>
        <v>19</v>
      </c>
      <c r="X11" s="204"/>
    </row>
    <row r="12" spans="1:24" ht="15.75" customHeight="1">
      <c r="A12" s="201">
        <v>7</v>
      </c>
      <c r="B12" s="202">
        <v>2025</v>
      </c>
      <c r="C12" s="202" t="s">
        <v>46</v>
      </c>
      <c r="D12" s="201">
        <v>4573</v>
      </c>
      <c r="E12" s="172">
        <v>7.1999999999999995E-2</v>
      </c>
      <c r="F12" s="172">
        <v>0.17399999999999999</v>
      </c>
      <c r="G12" s="201">
        <v>0.4</v>
      </c>
      <c r="H12" s="201">
        <v>0.251</v>
      </c>
      <c r="I12" s="201">
        <v>0.311</v>
      </c>
      <c r="J12" s="201">
        <v>0.41</v>
      </c>
      <c r="K12" s="201">
        <v>0.72</v>
      </c>
      <c r="L12" s="201">
        <v>0.159</v>
      </c>
      <c r="M12" s="201">
        <v>0.27900000000000003</v>
      </c>
      <c r="N12" s="201">
        <v>539</v>
      </c>
      <c r="O12" s="201">
        <v>-1.5</v>
      </c>
      <c r="P12" s="201">
        <v>0.313</v>
      </c>
      <c r="Q12" s="201">
        <v>97</v>
      </c>
      <c r="R12" s="424">
        <f t="shared" si="3"/>
        <v>0.98543479585319849</v>
      </c>
      <c r="S12" s="203">
        <f t="shared" si="4"/>
        <v>4.4588859222139998</v>
      </c>
      <c r="T12" s="204">
        <f t="shared" si="0"/>
        <v>18</v>
      </c>
      <c r="U12" s="204">
        <f t="shared" si="1"/>
        <v>4.4588859222139998</v>
      </c>
      <c r="V12" s="88">
        <f>U12 + _xlfn.XLOOKUP(C12,'Team Batting vs R - L7'!$C$6:$C$35,'Team Batting vs R - L7'!$T$6:$T$35)</f>
        <v>4.4588859222139998</v>
      </c>
      <c r="W12" s="204">
        <f t="shared" si="2"/>
        <v>18</v>
      </c>
      <c r="X12" s="204"/>
    </row>
    <row r="13" spans="1:24" ht="15.75" customHeight="1">
      <c r="A13" s="201">
        <v>8</v>
      </c>
      <c r="B13" s="202">
        <v>2025</v>
      </c>
      <c r="C13" s="202" t="s">
        <v>132</v>
      </c>
      <c r="D13" s="201">
        <v>4363</v>
      </c>
      <c r="E13" s="172">
        <v>0.08</v>
      </c>
      <c r="F13" s="172">
        <v>0.22500000000000001</v>
      </c>
      <c r="G13" s="201">
        <v>0.4</v>
      </c>
      <c r="H13" s="201">
        <v>0.23699999999999999</v>
      </c>
      <c r="I13" s="201">
        <v>0.308</v>
      </c>
      <c r="J13" s="201">
        <v>0.4</v>
      </c>
      <c r="K13" s="201">
        <v>0.70899999999999996</v>
      </c>
      <c r="L13" s="201">
        <v>0.16300000000000001</v>
      </c>
      <c r="M13" s="201">
        <v>0.27900000000000003</v>
      </c>
      <c r="N13" s="201">
        <v>503</v>
      </c>
      <c r="O13" s="201">
        <v>-12.7</v>
      </c>
      <c r="P13" s="201">
        <v>0.309</v>
      </c>
      <c r="Q13" s="201">
        <v>97</v>
      </c>
      <c r="R13" s="424">
        <f t="shared" si="3"/>
        <v>0.96181554588541152</v>
      </c>
      <c r="S13" s="203">
        <f t="shared" si="4"/>
        <v>4.3520137662704546</v>
      </c>
      <c r="T13" s="204">
        <f t="shared" si="0"/>
        <v>22</v>
      </c>
      <c r="U13" s="204">
        <f t="shared" si="1"/>
        <v>4.3520137662704546</v>
      </c>
      <c r="V13" s="88">
        <f>U13 + _xlfn.XLOOKUP(C13,'Team Batting vs R - L7'!$C$6:$C$35,'Team Batting vs R - L7'!$T$6:$T$35)</f>
        <v>4.3520137662704546</v>
      </c>
      <c r="W13" s="204">
        <f t="shared" si="2"/>
        <v>22</v>
      </c>
      <c r="X13" s="204"/>
    </row>
    <row r="14" spans="1:24" ht="15.75" customHeight="1">
      <c r="A14" s="201">
        <v>9</v>
      </c>
      <c r="B14" s="202">
        <v>2025</v>
      </c>
      <c r="C14" s="202" t="s">
        <v>42</v>
      </c>
      <c r="D14" s="201">
        <v>4538</v>
      </c>
      <c r="E14" s="172">
        <v>0.10100000000000001</v>
      </c>
      <c r="F14" s="172">
        <v>0.23400000000000001</v>
      </c>
      <c r="G14" s="201">
        <v>0.4</v>
      </c>
      <c r="H14" s="201">
        <v>0.248</v>
      </c>
      <c r="I14" s="201">
        <v>0.32900000000000001</v>
      </c>
      <c r="J14" s="201">
        <v>0.45400000000000001</v>
      </c>
      <c r="K14" s="201">
        <v>0.78300000000000003</v>
      </c>
      <c r="L14" s="201">
        <v>0.20599999999999999</v>
      </c>
      <c r="M14" s="201">
        <v>0.28499999999999998</v>
      </c>
      <c r="N14" s="201">
        <v>626</v>
      </c>
      <c r="O14" s="201">
        <v>89.7</v>
      </c>
      <c r="P14" s="201">
        <v>0.33700000000000002</v>
      </c>
      <c r="Q14" s="201">
        <v>118</v>
      </c>
      <c r="R14" s="424">
        <f t="shared" si="3"/>
        <v>1.1271502956599182</v>
      </c>
      <c r="S14" s="203">
        <f t="shared" si="4"/>
        <v>5.1001188578752625</v>
      </c>
      <c r="T14" s="204">
        <f t="shared" si="0"/>
        <v>1</v>
      </c>
      <c r="U14" s="204">
        <f t="shared" si="1"/>
        <v>5.1001188578752625</v>
      </c>
      <c r="V14" s="88">
        <f>U14 + _xlfn.XLOOKUP(C14,'Team Batting vs R - L7'!$C$6:$C$35,'Team Batting vs R - L7'!$T$6:$T$35)</f>
        <v>5.1001188578752625</v>
      </c>
      <c r="W14" s="204">
        <f t="shared" si="2"/>
        <v>1</v>
      </c>
      <c r="X14" s="204"/>
    </row>
    <row r="15" spans="1:24" ht="15.75" customHeight="1">
      <c r="A15" s="201">
        <v>10</v>
      </c>
      <c r="B15" s="202">
        <v>2025</v>
      </c>
      <c r="C15" s="202" t="s">
        <v>60</v>
      </c>
      <c r="D15" s="201">
        <v>4672</v>
      </c>
      <c r="E15" s="172">
        <v>8.4000000000000005E-2</v>
      </c>
      <c r="F15" s="172">
        <v>0.222</v>
      </c>
      <c r="G15" s="201">
        <v>0.4</v>
      </c>
      <c r="H15" s="201">
        <v>0.252</v>
      </c>
      <c r="I15" s="201">
        <v>0.32</v>
      </c>
      <c r="J15" s="201">
        <v>0.432</v>
      </c>
      <c r="K15" s="201">
        <v>0.751</v>
      </c>
      <c r="L15" s="201">
        <v>0.18</v>
      </c>
      <c r="M15" s="201">
        <v>0.29599999999999999</v>
      </c>
      <c r="N15" s="201">
        <v>599</v>
      </c>
      <c r="O15" s="201">
        <v>46.6</v>
      </c>
      <c r="P15" s="201">
        <v>0.32500000000000001</v>
      </c>
      <c r="Q15" s="201">
        <v>106</v>
      </c>
      <c r="R15" s="424">
        <f t="shared" si="3"/>
        <v>1.0562925457565582</v>
      </c>
      <c r="S15" s="203">
        <f t="shared" si="4"/>
        <v>4.7795023900446303</v>
      </c>
      <c r="T15" s="204">
        <f t="shared" si="0"/>
        <v>7</v>
      </c>
      <c r="U15" s="204">
        <f t="shared" si="1"/>
        <v>4.7795023900446303</v>
      </c>
      <c r="V15" s="88">
        <f>U15 + _xlfn.XLOOKUP(C15,'Team Batting vs R - L7'!$C$6:$C$35,'Team Batting vs R - L7'!$T$6:$T$35)</f>
        <v>4.7795023900446303</v>
      </c>
      <c r="W15" s="204">
        <f t="shared" si="2"/>
        <v>7</v>
      </c>
      <c r="X15" s="204"/>
    </row>
    <row r="16" spans="1:24" ht="15.75" customHeight="1">
      <c r="A16" s="201">
        <v>11</v>
      </c>
      <c r="B16" s="202">
        <v>2025</v>
      </c>
      <c r="C16" s="202" t="s">
        <v>137</v>
      </c>
      <c r="D16" s="201">
        <v>4348</v>
      </c>
      <c r="E16" s="172">
        <v>8.8999999999999996E-2</v>
      </c>
      <c r="F16" s="172">
        <v>0.22700000000000001</v>
      </c>
      <c r="G16" s="201">
        <v>0.4</v>
      </c>
      <c r="H16" s="201">
        <v>0.246</v>
      </c>
      <c r="I16" s="201">
        <v>0.32500000000000001</v>
      </c>
      <c r="J16" s="201">
        <v>0.42199999999999999</v>
      </c>
      <c r="K16" s="201">
        <v>0.746</v>
      </c>
      <c r="L16" s="201">
        <v>0.17599999999999999</v>
      </c>
      <c r="M16" s="201">
        <v>0.28599999999999998</v>
      </c>
      <c r="N16" s="201">
        <v>553</v>
      </c>
      <c r="O16" s="201">
        <v>39.700000000000003</v>
      </c>
      <c r="P16" s="201">
        <v>0.32400000000000001</v>
      </c>
      <c r="Q16" s="201">
        <v>114</v>
      </c>
      <c r="R16" s="424">
        <f t="shared" si="3"/>
        <v>1.0503877332646117</v>
      </c>
      <c r="S16" s="203">
        <f t="shared" si="4"/>
        <v>4.7527843510587449</v>
      </c>
      <c r="T16" s="204">
        <f t="shared" si="0"/>
        <v>9</v>
      </c>
      <c r="U16" s="204">
        <f t="shared" si="1"/>
        <v>4.7527843510587449</v>
      </c>
      <c r="V16" s="88">
        <f>U16 + _xlfn.XLOOKUP(C16,'Team Batting vs R - L7'!$C$6:$C$35,'Team Batting vs R - L7'!$T$6:$T$35)</f>
        <v>4.7527843510587449</v>
      </c>
      <c r="W16" s="204">
        <f t="shared" si="2"/>
        <v>9</v>
      </c>
      <c r="X16" s="204"/>
    </row>
    <row r="17" spans="1:24" ht="15.75" customHeight="1">
      <c r="A17" s="201">
        <v>12</v>
      </c>
      <c r="B17" s="202">
        <v>2025</v>
      </c>
      <c r="C17" s="202" t="s">
        <v>100</v>
      </c>
      <c r="D17" s="201">
        <v>4185</v>
      </c>
      <c r="E17" s="172">
        <v>7.9000000000000001E-2</v>
      </c>
      <c r="F17" s="172">
        <v>0.22500000000000001</v>
      </c>
      <c r="G17" s="201">
        <v>0.4</v>
      </c>
      <c r="H17" s="201">
        <v>0.25900000000000001</v>
      </c>
      <c r="I17" s="201">
        <v>0.32100000000000001</v>
      </c>
      <c r="J17" s="201">
        <v>0.41399999999999998</v>
      </c>
      <c r="K17" s="201">
        <v>0.73499999999999999</v>
      </c>
      <c r="L17" s="201">
        <v>0.155</v>
      </c>
      <c r="M17" s="201">
        <v>0.31</v>
      </c>
      <c r="N17" s="201">
        <v>517</v>
      </c>
      <c r="O17" s="201">
        <v>22.9</v>
      </c>
      <c r="P17" s="201">
        <v>0.32</v>
      </c>
      <c r="Q17" s="201">
        <v>104</v>
      </c>
      <c r="R17" s="424">
        <f t="shared" si="3"/>
        <v>1.0267684832968251</v>
      </c>
      <c r="S17" s="203">
        <f t="shared" si="4"/>
        <v>4.6459121951152014</v>
      </c>
      <c r="T17" s="204">
        <f t="shared" si="0"/>
        <v>12</v>
      </c>
      <c r="U17" s="204">
        <f t="shared" si="1"/>
        <v>4.6459121951152014</v>
      </c>
      <c r="V17" s="88">
        <f>U17 + _xlfn.XLOOKUP(C17,'Team Batting vs R - L7'!$C$6:$C$35,'Team Batting vs R - L7'!$T$6:$T$35)</f>
        <v>4.6459121951152014</v>
      </c>
      <c r="W17" s="204">
        <f t="shared" si="2"/>
        <v>12</v>
      </c>
      <c r="X17" s="204"/>
    </row>
    <row r="18" spans="1:24" ht="15.75" customHeight="1">
      <c r="A18" s="201">
        <v>13</v>
      </c>
      <c r="B18" s="202">
        <v>2025</v>
      </c>
      <c r="C18" s="202" t="s">
        <v>86</v>
      </c>
      <c r="D18" s="201">
        <v>4374</v>
      </c>
      <c r="E18" s="172">
        <v>8.2000000000000003E-2</v>
      </c>
      <c r="F18" s="172">
        <v>0.21299999999999999</v>
      </c>
      <c r="G18" s="201">
        <v>0.4</v>
      </c>
      <c r="H18" s="201">
        <v>0.23799999999999999</v>
      </c>
      <c r="I18" s="201">
        <v>0.307</v>
      </c>
      <c r="J18" s="201">
        <v>0.38800000000000001</v>
      </c>
      <c r="K18" s="201">
        <v>0.69499999999999995</v>
      </c>
      <c r="L18" s="201">
        <v>0.151</v>
      </c>
      <c r="M18" s="201">
        <v>0.27800000000000002</v>
      </c>
      <c r="N18" s="201">
        <v>484</v>
      </c>
      <c r="O18" s="201">
        <v>-32.799999999999997</v>
      </c>
      <c r="P18" s="201">
        <v>0.30399999999999999</v>
      </c>
      <c r="Q18" s="201">
        <v>95</v>
      </c>
      <c r="R18" s="424">
        <f t="shared" si="3"/>
        <v>0.93229148342567847</v>
      </c>
      <c r="S18" s="203">
        <f t="shared" si="4"/>
        <v>4.2184235713410256</v>
      </c>
      <c r="T18" s="204">
        <f t="shared" si="0"/>
        <v>24</v>
      </c>
      <c r="U18" s="204">
        <f t="shared" si="1"/>
        <v>4.2184235713410256</v>
      </c>
      <c r="V18" s="88">
        <f>U18 + _xlfn.XLOOKUP(C18,'Team Batting vs R - L7'!$C$6:$C$35,'Team Batting vs R - L7'!$T$6:$T$35)</f>
        <v>4.2184235713410256</v>
      </c>
      <c r="W18" s="204">
        <f t="shared" si="2"/>
        <v>24</v>
      </c>
      <c r="X18" s="204"/>
    </row>
    <row r="19" spans="1:24" ht="15.75" customHeight="1">
      <c r="A19" s="201">
        <v>14</v>
      </c>
      <c r="B19" s="202">
        <v>2025</v>
      </c>
      <c r="C19" s="202" t="s">
        <v>93</v>
      </c>
      <c r="D19" s="201">
        <v>4560</v>
      </c>
      <c r="E19" s="172">
        <v>8.2000000000000003E-2</v>
      </c>
      <c r="F19" s="172">
        <v>0.17499999999999999</v>
      </c>
      <c r="G19" s="201">
        <v>0.5</v>
      </c>
      <c r="H19" s="201">
        <v>0.26600000000000001</v>
      </c>
      <c r="I19" s="201">
        <v>0.33200000000000002</v>
      </c>
      <c r="J19" s="201">
        <v>0.43099999999999999</v>
      </c>
      <c r="K19" s="201">
        <v>0.76300000000000001</v>
      </c>
      <c r="L19" s="201">
        <v>0.16500000000000001</v>
      </c>
      <c r="M19" s="201">
        <v>0.29599999999999999</v>
      </c>
      <c r="N19" s="201">
        <v>604</v>
      </c>
      <c r="O19" s="201">
        <v>65.099999999999994</v>
      </c>
      <c r="P19" s="201">
        <v>0.33100000000000002</v>
      </c>
      <c r="Q19" s="201">
        <v>113</v>
      </c>
      <c r="R19" s="424">
        <f t="shared" si="3"/>
        <v>1.0917214207082382</v>
      </c>
      <c r="S19" s="203">
        <f t="shared" si="4"/>
        <v>4.9398106239599464</v>
      </c>
      <c r="T19" s="204">
        <f t="shared" si="0"/>
        <v>4</v>
      </c>
      <c r="U19" s="204">
        <f t="shared" si="1"/>
        <v>4.9398106239599464</v>
      </c>
      <c r="V19" s="88">
        <f>U19 + _xlfn.XLOOKUP(C19,'Team Batting vs R - L7'!$C$6:$C$35,'Team Batting vs R - L7'!$T$6:$T$35)</f>
        <v>4.9398106239599464</v>
      </c>
      <c r="W19" s="204">
        <f t="shared" si="2"/>
        <v>4</v>
      </c>
      <c r="X19" s="204"/>
    </row>
    <row r="20" spans="1:24" ht="15.75" customHeight="1">
      <c r="A20" s="201">
        <v>15</v>
      </c>
      <c r="B20" s="202">
        <v>2025</v>
      </c>
      <c r="C20" s="202" t="s">
        <v>66</v>
      </c>
      <c r="D20" s="201">
        <v>4374</v>
      </c>
      <c r="E20" s="172">
        <v>8.7999999999999995E-2</v>
      </c>
      <c r="F20" s="172">
        <v>0.221</v>
      </c>
      <c r="G20" s="201">
        <v>0.4</v>
      </c>
      <c r="H20" s="201">
        <v>0.251</v>
      </c>
      <c r="I20" s="201">
        <v>0.32500000000000001</v>
      </c>
      <c r="J20" s="201">
        <v>0.439</v>
      </c>
      <c r="K20" s="201">
        <v>0.76400000000000001</v>
      </c>
      <c r="L20" s="201">
        <v>0.188</v>
      </c>
      <c r="M20" s="201">
        <v>0.29099999999999998</v>
      </c>
      <c r="N20" s="201">
        <v>575</v>
      </c>
      <c r="O20" s="201">
        <v>58</v>
      </c>
      <c r="P20" s="201">
        <v>0.33</v>
      </c>
      <c r="Q20" s="201">
        <v>110</v>
      </c>
      <c r="R20" s="424">
        <f t="shared" si="3"/>
        <v>1.0858166082162917</v>
      </c>
      <c r="S20" s="203">
        <f t="shared" si="4"/>
        <v>4.913092584974061</v>
      </c>
      <c r="T20" s="204">
        <f t="shared" si="0"/>
        <v>5</v>
      </c>
      <c r="U20" s="204">
        <f t="shared" si="1"/>
        <v>4.913092584974061</v>
      </c>
      <c r="V20" s="88">
        <f>U20 + _xlfn.XLOOKUP(C20,'Team Batting vs R - L7'!$C$6:$C$35,'Team Batting vs R - L7'!$T$6:$T$35)</f>
        <v>4.913092584974061</v>
      </c>
      <c r="W20" s="204">
        <f t="shared" si="2"/>
        <v>5</v>
      </c>
      <c r="X20" s="204"/>
    </row>
    <row r="21" spans="1:24" ht="15.75" customHeight="1">
      <c r="A21" s="201">
        <v>16</v>
      </c>
      <c r="B21" s="202">
        <v>2025</v>
      </c>
      <c r="C21" s="202" t="s">
        <v>76</v>
      </c>
      <c r="D21" s="201">
        <v>4508</v>
      </c>
      <c r="E21" s="172">
        <v>9.2999999999999999E-2</v>
      </c>
      <c r="F21" s="172">
        <v>0.222</v>
      </c>
      <c r="G21" s="201">
        <v>0.4</v>
      </c>
      <c r="H21" s="201">
        <v>0.24399999999999999</v>
      </c>
      <c r="I21" s="201">
        <v>0.32</v>
      </c>
      <c r="J21" s="201">
        <v>0.40100000000000002</v>
      </c>
      <c r="K21" s="201">
        <v>0.72099999999999997</v>
      </c>
      <c r="L21" s="201">
        <v>0.158</v>
      </c>
      <c r="M21" s="201">
        <v>0.28799999999999998</v>
      </c>
      <c r="N21" s="201">
        <v>542</v>
      </c>
      <c r="O21" s="201">
        <v>9.4</v>
      </c>
      <c r="P21" s="201">
        <v>0.316</v>
      </c>
      <c r="Q21" s="201">
        <v>101</v>
      </c>
      <c r="R21" s="424">
        <f t="shared" si="3"/>
        <v>1.0031492333290386</v>
      </c>
      <c r="S21" s="203">
        <f t="shared" si="4"/>
        <v>4.5390400391716579</v>
      </c>
      <c r="T21" s="204">
        <f t="shared" si="0"/>
        <v>14</v>
      </c>
      <c r="U21" s="204">
        <f t="shared" si="1"/>
        <v>4.5390400391716579</v>
      </c>
      <c r="V21" s="88">
        <f>U21 + _xlfn.XLOOKUP(C21,'Team Batting vs R - L7'!$C$6:$C$35,'Team Batting vs R - L7'!$T$6:$T$35)</f>
        <v>4.5390400391716579</v>
      </c>
      <c r="W21" s="204">
        <f t="shared" si="2"/>
        <v>14</v>
      </c>
      <c r="X21" s="204"/>
    </row>
    <row r="22" spans="1:24" ht="15.75" customHeight="1">
      <c r="A22" s="201">
        <v>17</v>
      </c>
      <c r="B22" s="202">
        <v>2025</v>
      </c>
      <c r="C22" s="202" t="s">
        <v>88</v>
      </c>
      <c r="D22" s="201">
        <v>4574</v>
      </c>
      <c r="E22" s="172">
        <v>9.0999999999999998E-2</v>
      </c>
      <c r="F22" s="172">
        <v>0.20499999999999999</v>
      </c>
      <c r="G22" s="201">
        <v>0.4</v>
      </c>
      <c r="H22" s="201">
        <v>0.249</v>
      </c>
      <c r="I22" s="201">
        <v>0.32200000000000001</v>
      </c>
      <c r="J22" s="201">
        <v>0.42899999999999999</v>
      </c>
      <c r="K22" s="201">
        <v>0.751</v>
      </c>
      <c r="L22" s="201">
        <v>0.18</v>
      </c>
      <c r="M22" s="201">
        <v>0.28299999999999997</v>
      </c>
      <c r="N22" s="201">
        <v>584</v>
      </c>
      <c r="O22" s="201">
        <v>43.8</v>
      </c>
      <c r="P22" s="201">
        <v>0.32500000000000001</v>
      </c>
      <c r="Q22" s="201">
        <v>110</v>
      </c>
      <c r="R22" s="424">
        <f t="shared" si="3"/>
        <v>1.0562925457565582</v>
      </c>
      <c r="S22" s="203">
        <f t="shared" si="4"/>
        <v>4.7795023900446303</v>
      </c>
      <c r="T22" s="204">
        <f t="shared" si="0"/>
        <v>7</v>
      </c>
      <c r="U22" s="204">
        <f t="shared" si="1"/>
        <v>4.7795023900446303</v>
      </c>
      <c r="V22" s="88">
        <f>U22 + _xlfn.XLOOKUP(C22,'Team Batting vs R - L7'!$C$6:$C$35,'Team Batting vs R - L7'!$T$6:$T$35)</f>
        <v>4.7795023900446303</v>
      </c>
      <c r="W22" s="204">
        <f t="shared" si="2"/>
        <v>7</v>
      </c>
      <c r="X22" s="204"/>
    </row>
    <row r="23" spans="1:24" ht="15.75" customHeight="1">
      <c r="A23" s="201">
        <v>18</v>
      </c>
      <c r="B23" s="202">
        <v>2025</v>
      </c>
      <c r="C23" s="202" t="s">
        <v>108</v>
      </c>
      <c r="D23" s="201">
        <v>4580</v>
      </c>
      <c r="E23" s="172">
        <v>8.6999999999999994E-2</v>
      </c>
      <c r="F23" s="172">
        <v>0.23400000000000001</v>
      </c>
      <c r="G23" s="201">
        <v>0.4</v>
      </c>
      <c r="H23" s="201">
        <v>0.25</v>
      </c>
      <c r="I23" s="201">
        <v>0.32</v>
      </c>
      <c r="J23" s="201">
        <v>0.40300000000000002</v>
      </c>
      <c r="K23" s="201">
        <v>0.72299999999999998</v>
      </c>
      <c r="L23" s="201">
        <v>0.153</v>
      </c>
      <c r="M23" s="201">
        <v>0.30399999999999999</v>
      </c>
      <c r="N23" s="201">
        <v>549</v>
      </c>
      <c r="O23" s="201">
        <v>8</v>
      </c>
      <c r="P23" s="201">
        <v>0.315</v>
      </c>
      <c r="Q23" s="201">
        <v>97</v>
      </c>
      <c r="R23" s="424">
        <f t="shared" si="3"/>
        <v>0.99724442083709153</v>
      </c>
      <c r="S23" s="203">
        <f t="shared" si="4"/>
        <v>4.5123220001857707</v>
      </c>
      <c r="T23" s="204">
        <f t="shared" si="0"/>
        <v>16</v>
      </c>
      <c r="U23" s="204">
        <f t="shared" si="1"/>
        <v>4.5123220001857707</v>
      </c>
      <c r="V23" s="88">
        <f>U23 + _xlfn.XLOOKUP(C23,'Team Batting vs R - L7'!$C$6:$C$35,'Team Batting vs R - L7'!$T$6:$T$35)</f>
        <v>4.5123220001857707</v>
      </c>
      <c r="W23" s="204">
        <f t="shared" si="2"/>
        <v>16</v>
      </c>
      <c r="X23" s="204"/>
    </row>
    <row r="24" spans="1:24" ht="15.75" customHeight="1">
      <c r="A24" s="201">
        <v>19</v>
      </c>
      <c r="B24" s="202">
        <v>2025</v>
      </c>
      <c r="C24" s="202" t="s">
        <v>36</v>
      </c>
      <c r="D24" s="201">
        <v>4465</v>
      </c>
      <c r="E24" s="172">
        <v>6.6000000000000003E-2</v>
      </c>
      <c r="F24" s="172">
        <v>0.26400000000000001</v>
      </c>
      <c r="G24" s="201">
        <v>0.2</v>
      </c>
      <c r="H24" s="201">
        <v>0.23599999999999999</v>
      </c>
      <c r="I24" s="201">
        <v>0.29199999999999998</v>
      </c>
      <c r="J24" s="201">
        <v>0.38700000000000001</v>
      </c>
      <c r="K24" s="201">
        <v>0.67900000000000005</v>
      </c>
      <c r="L24" s="201">
        <v>0.152</v>
      </c>
      <c r="M24" s="201">
        <v>0.29899999999999999</v>
      </c>
      <c r="N24" s="201">
        <v>464</v>
      </c>
      <c r="O24" s="201">
        <v>-64.099999999999994</v>
      </c>
      <c r="P24" s="201">
        <v>0.29499999999999998</v>
      </c>
      <c r="Q24" s="201">
        <v>74</v>
      </c>
      <c r="R24" s="424">
        <f t="shared" si="3"/>
        <v>0.87914817099815823</v>
      </c>
      <c r="S24" s="203">
        <f t="shared" si="4"/>
        <v>3.977961220468051</v>
      </c>
      <c r="T24" s="204">
        <f t="shared" si="0"/>
        <v>28</v>
      </c>
      <c r="U24" s="204">
        <f t="shared" si="1"/>
        <v>3.977961220468051</v>
      </c>
      <c r="V24" s="88">
        <f>U24 + _xlfn.XLOOKUP(C24,'Team Batting vs R - L7'!$C$6:$C$35,'Team Batting vs R - L7'!$T$6:$T$35)</f>
        <v>3.977961220468051</v>
      </c>
      <c r="W24" s="204">
        <f t="shared" si="2"/>
        <v>28</v>
      </c>
      <c r="X24" s="204"/>
    </row>
    <row r="25" spans="1:24" ht="15.75" customHeight="1">
      <c r="A25" s="201">
        <v>20</v>
      </c>
      <c r="B25" s="202">
        <v>2025</v>
      </c>
      <c r="C25" s="202" t="s">
        <v>56</v>
      </c>
      <c r="D25" s="201">
        <v>4309</v>
      </c>
      <c r="E25" s="172">
        <v>7.8E-2</v>
      </c>
      <c r="F25" s="172">
        <v>0.20100000000000001</v>
      </c>
      <c r="G25" s="201">
        <v>0.4</v>
      </c>
      <c r="H25" s="201">
        <v>0.25800000000000001</v>
      </c>
      <c r="I25" s="201">
        <v>0.32</v>
      </c>
      <c r="J25" s="201">
        <v>0.40899999999999997</v>
      </c>
      <c r="K25" s="201">
        <v>0.72899999999999998</v>
      </c>
      <c r="L25" s="201">
        <v>0.151</v>
      </c>
      <c r="M25" s="201">
        <v>0.30099999999999999</v>
      </c>
      <c r="N25" s="201">
        <v>524</v>
      </c>
      <c r="O25" s="201">
        <v>14.7</v>
      </c>
      <c r="P25" s="201">
        <v>0.317</v>
      </c>
      <c r="Q25" s="201">
        <v>102</v>
      </c>
      <c r="R25" s="424">
        <f t="shared" si="3"/>
        <v>1.0090540458209851</v>
      </c>
      <c r="S25" s="203">
        <f t="shared" si="4"/>
        <v>4.5657580781575433</v>
      </c>
      <c r="T25" s="204">
        <f t="shared" si="0"/>
        <v>13</v>
      </c>
      <c r="U25" s="204">
        <f t="shared" si="1"/>
        <v>4.5657580781575433</v>
      </c>
      <c r="V25" s="88">
        <f>U25 + _xlfn.XLOOKUP(C25,'Team Batting vs R - L7'!$C$6:$C$35,'Team Batting vs R - L7'!$T$6:$T$35)</f>
        <v>4.5657580781575433</v>
      </c>
      <c r="W25" s="204">
        <f t="shared" si="2"/>
        <v>13</v>
      </c>
      <c r="X25" s="204"/>
    </row>
    <row r="26" spans="1:24" ht="15.75" customHeight="1">
      <c r="A26" s="201">
        <v>21</v>
      </c>
      <c r="B26" s="202">
        <v>2025</v>
      </c>
      <c r="C26" s="202" t="s">
        <v>64</v>
      </c>
      <c r="D26" s="201">
        <v>4777</v>
      </c>
      <c r="E26" s="172">
        <v>7.4999999999999997E-2</v>
      </c>
      <c r="F26" s="172">
        <v>0.21199999999999999</v>
      </c>
      <c r="G26" s="201">
        <v>0.4</v>
      </c>
      <c r="H26" s="201">
        <v>0.249</v>
      </c>
      <c r="I26" s="201">
        <v>0.312</v>
      </c>
      <c r="J26" s="201">
        <v>0.39400000000000002</v>
      </c>
      <c r="K26" s="201">
        <v>0.70699999999999996</v>
      </c>
      <c r="L26" s="201">
        <v>0.14499999999999999</v>
      </c>
      <c r="M26" s="201">
        <v>0.29399999999999998</v>
      </c>
      <c r="N26" s="201">
        <v>547</v>
      </c>
      <c r="O26" s="201">
        <v>-17.2</v>
      </c>
      <c r="P26" s="201">
        <v>0.309</v>
      </c>
      <c r="Q26" s="201">
        <v>98</v>
      </c>
      <c r="R26" s="424">
        <f t="shared" si="3"/>
        <v>0.96181554588541152</v>
      </c>
      <c r="S26" s="203">
        <f t="shared" si="4"/>
        <v>4.3520137662704546</v>
      </c>
      <c r="T26" s="204">
        <f t="shared" si="0"/>
        <v>22</v>
      </c>
      <c r="U26" s="204">
        <f t="shared" si="1"/>
        <v>4.3520137662704546</v>
      </c>
      <c r="V26" s="88">
        <f>U26 + _xlfn.XLOOKUP(C26,'Team Batting vs R - L7'!$C$6:$C$35,'Team Batting vs R - L7'!$T$6:$T$35)</f>
        <v>4.3520137662704546</v>
      </c>
      <c r="W26" s="204">
        <f t="shared" si="2"/>
        <v>22</v>
      </c>
      <c r="X26" s="204"/>
    </row>
    <row r="27" spans="1:24" ht="15.75" customHeight="1">
      <c r="A27" s="201">
        <v>22</v>
      </c>
      <c r="B27" s="202">
        <v>2025</v>
      </c>
      <c r="C27" s="202" t="s">
        <v>143</v>
      </c>
      <c r="D27" s="201">
        <v>4478</v>
      </c>
      <c r="E27" s="172">
        <v>9.9000000000000005E-2</v>
      </c>
      <c r="F27" s="172">
        <v>0.218</v>
      </c>
      <c r="G27" s="201">
        <v>0.5</v>
      </c>
      <c r="H27" s="201">
        <v>0.252</v>
      </c>
      <c r="I27" s="201">
        <v>0.33100000000000002</v>
      </c>
      <c r="J27" s="201">
        <v>0.439</v>
      </c>
      <c r="K27" s="201">
        <v>0.76900000000000002</v>
      </c>
      <c r="L27" s="201">
        <v>0.187</v>
      </c>
      <c r="M27" s="201">
        <v>0.28899999999999998</v>
      </c>
      <c r="N27" s="201">
        <v>598</v>
      </c>
      <c r="O27" s="201">
        <v>69.3</v>
      </c>
      <c r="P27" s="201">
        <v>0.33200000000000002</v>
      </c>
      <c r="Q27" s="201">
        <v>114</v>
      </c>
      <c r="R27" s="424">
        <f t="shared" si="3"/>
        <v>1.0976262332001852</v>
      </c>
      <c r="S27" s="203">
        <f t="shared" si="4"/>
        <v>4.9665286629458336</v>
      </c>
      <c r="T27" s="204">
        <f t="shared" si="0"/>
        <v>3</v>
      </c>
      <c r="U27" s="204">
        <f t="shared" si="1"/>
        <v>4.9665286629458336</v>
      </c>
      <c r="V27" s="88">
        <f>U27 + _xlfn.XLOOKUP(C27,'Team Batting vs R - L7'!$C$6:$C$35,'Team Batting vs R - L7'!$T$6:$T$35)</f>
        <v>4.9665286629458336</v>
      </c>
      <c r="W27" s="204">
        <f t="shared" si="2"/>
        <v>3</v>
      </c>
      <c r="X27" s="204"/>
    </row>
    <row r="28" spans="1:24" ht="15.75" customHeight="1">
      <c r="A28" s="201">
        <v>23</v>
      </c>
      <c r="B28" s="202">
        <v>2025</v>
      </c>
      <c r="C28" s="202" t="s">
        <v>70</v>
      </c>
      <c r="D28" s="201">
        <v>4406</v>
      </c>
      <c r="E28" s="172">
        <v>9.2999999999999999E-2</v>
      </c>
      <c r="F28" s="172">
        <v>0.20699999999999999</v>
      </c>
      <c r="G28" s="201">
        <v>0.5</v>
      </c>
      <c r="H28" s="201">
        <v>0.254</v>
      </c>
      <c r="I28" s="201">
        <v>0.33</v>
      </c>
      <c r="J28" s="201">
        <v>0.40699999999999997</v>
      </c>
      <c r="K28" s="201">
        <v>0.73699999999999999</v>
      </c>
      <c r="L28" s="201">
        <v>0.153</v>
      </c>
      <c r="M28" s="201">
        <v>0.29799999999999999</v>
      </c>
      <c r="N28" s="201">
        <v>552</v>
      </c>
      <c r="O28" s="201">
        <v>31.4</v>
      </c>
      <c r="P28" s="201">
        <v>0.32200000000000001</v>
      </c>
      <c r="Q28" s="201">
        <v>107</v>
      </c>
      <c r="R28" s="424">
        <f t="shared" si="3"/>
        <v>1.0385781082807182</v>
      </c>
      <c r="S28" s="203">
        <f t="shared" si="4"/>
        <v>4.6993482730869722</v>
      </c>
      <c r="T28" s="204">
        <f t="shared" si="0"/>
        <v>11</v>
      </c>
      <c r="U28" s="204">
        <f t="shared" si="1"/>
        <v>4.6993482730869722</v>
      </c>
      <c r="V28" s="88">
        <f>U28 + _xlfn.XLOOKUP(C28,'Team Batting vs R - L7'!$C$6:$C$35,'Team Batting vs R - L7'!$T$6:$T$35)</f>
        <v>4.6993482730869722</v>
      </c>
      <c r="W28" s="204">
        <f t="shared" si="2"/>
        <v>11</v>
      </c>
      <c r="X28" s="204"/>
    </row>
    <row r="29" spans="1:24" ht="15.75" customHeight="1">
      <c r="A29" s="201">
        <v>24</v>
      </c>
      <c r="B29" s="202">
        <v>2025</v>
      </c>
      <c r="C29" s="202" t="s">
        <v>58</v>
      </c>
      <c r="D29" s="201">
        <v>4279</v>
      </c>
      <c r="E29" s="172">
        <v>7.6999999999999999E-2</v>
      </c>
      <c r="F29" s="172">
        <v>0.215</v>
      </c>
      <c r="G29" s="201">
        <v>0.4</v>
      </c>
      <c r="H29" s="201">
        <v>0.248</v>
      </c>
      <c r="I29" s="201">
        <v>0.311</v>
      </c>
      <c r="J29" s="201">
        <v>0.40400000000000003</v>
      </c>
      <c r="K29" s="201">
        <v>0.71499999999999997</v>
      </c>
      <c r="L29" s="201">
        <v>0.156</v>
      </c>
      <c r="M29" s="201">
        <v>0.29399999999999998</v>
      </c>
      <c r="N29" s="201">
        <v>499</v>
      </c>
      <c r="O29" s="201">
        <v>-7</v>
      </c>
      <c r="P29" s="201">
        <v>0.311</v>
      </c>
      <c r="Q29" s="201">
        <v>99</v>
      </c>
      <c r="R29" s="424">
        <f t="shared" si="3"/>
        <v>0.973625170869305</v>
      </c>
      <c r="S29" s="203">
        <f t="shared" si="4"/>
        <v>4.4054498442422272</v>
      </c>
      <c r="T29" s="204">
        <f t="shared" si="0"/>
        <v>19</v>
      </c>
      <c r="U29" s="204">
        <f t="shared" si="1"/>
        <v>4.4054498442422272</v>
      </c>
      <c r="V29" s="88">
        <f>U29 + _xlfn.XLOOKUP(C29,'Team Batting vs R - L7'!$C$6:$C$35,'Team Batting vs R - L7'!$T$6:$T$35)</f>
        <v>4.4054498442422272</v>
      </c>
      <c r="W29" s="204">
        <f t="shared" si="2"/>
        <v>19</v>
      </c>
      <c r="X29" s="204"/>
    </row>
    <row r="30" spans="1:24" ht="15.75" customHeight="1">
      <c r="A30" s="201">
        <v>25</v>
      </c>
      <c r="B30" s="202">
        <v>2025</v>
      </c>
      <c r="C30" s="202" t="s">
        <v>91</v>
      </c>
      <c r="D30" s="201">
        <v>4397</v>
      </c>
      <c r="E30" s="172">
        <v>9.2999999999999999E-2</v>
      </c>
      <c r="F30" s="172">
        <v>0.21</v>
      </c>
      <c r="G30" s="201">
        <v>0.4</v>
      </c>
      <c r="H30" s="201">
        <v>0.254</v>
      </c>
      <c r="I30" s="201">
        <v>0.33200000000000002</v>
      </c>
      <c r="J30" s="201">
        <v>0.44500000000000001</v>
      </c>
      <c r="K30" s="201">
        <v>0.77600000000000002</v>
      </c>
      <c r="L30" s="201">
        <v>0.19</v>
      </c>
      <c r="M30" s="201">
        <v>0.28799999999999998</v>
      </c>
      <c r="N30" s="201">
        <v>598</v>
      </c>
      <c r="O30" s="201">
        <v>78.099999999999994</v>
      </c>
      <c r="P30" s="201">
        <v>0.33500000000000002</v>
      </c>
      <c r="Q30" s="201">
        <v>118</v>
      </c>
      <c r="R30" s="424">
        <f t="shared" si="3"/>
        <v>1.1153406706760247</v>
      </c>
      <c r="S30" s="203">
        <f t="shared" si="4"/>
        <v>5.0466827799034899</v>
      </c>
      <c r="T30" s="204">
        <f t="shared" si="0"/>
        <v>2</v>
      </c>
      <c r="U30" s="204">
        <f t="shared" si="1"/>
        <v>5.0466827799034899</v>
      </c>
      <c r="V30" s="88">
        <f>U30 + _xlfn.XLOOKUP(C30,'Team Batting vs R - L7'!$C$6:$C$35,'Team Batting vs R - L7'!$T$6:$T$35)</f>
        <v>5.0466827799034899</v>
      </c>
      <c r="W30" s="204">
        <f t="shared" si="2"/>
        <v>2</v>
      </c>
      <c r="X30" s="204"/>
    </row>
    <row r="31" spans="1:24" ht="15.75" customHeight="1">
      <c r="A31" s="201">
        <v>26</v>
      </c>
      <c r="B31" s="202">
        <v>2025</v>
      </c>
      <c r="C31" s="202" t="s">
        <v>68</v>
      </c>
      <c r="D31" s="201">
        <v>4220</v>
      </c>
      <c r="E31" s="172">
        <v>8.6999999999999994E-2</v>
      </c>
      <c r="F31" s="172">
        <v>0.20699999999999999</v>
      </c>
      <c r="G31" s="201">
        <v>0.4</v>
      </c>
      <c r="H31" s="201">
        <v>0.26100000000000001</v>
      </c>
      <c r="I31" s="201">
        <v>0.33</v>
      </c>
      <c r="J31" s="201">
        <v>0.434</v>
      </c>
      <c r="K31" s="201">
        <v>0.76400000000000001</v>
      </c>
      <c r="L31" s="201">
        <v>0.17299999999999999</v>
      </c>
      <c r="M31" s="201">
        <v>0.30199999999999999</v>
      </c>
      <c r="N31" s="201">
        <v>558</v>
      </c>
      <c r="O31" s="201">
        <v>59.6</v>
      </c>
      <c r="P31" s="201">
        <v>0.33</v>
      </c>
      <c r="Q31" s="201">
        <v>110</v>
      </c>
      <c r="R31" s="424">
        <f t="shared" si="3"/>
        <v>1.0858166082162917</v>
      </c>
      <c r="S31" s="203">
        <f t="shared" si="4"/>
        <v>4.913092584974061</v>
      </c>
      <c r="T31" s="204">
        <f t="shared" si="0"/>
        <v>5</v>
      </c>
      <c r="U31" s="204">
        <f t="shared" si="1"/>
        <v>4.913092584974061</v>
      </c>
      <c r="V31" s="88">
        <f>U31 + _xlfn.XLOOKUP(C31,'Team Batting vs R - L7'!$C$6:$C$35,'Team Batting vs R - L7'!$T$6:$T$35)</f>
        <v>4.913092584974061</v>
      </c>
      <c r="W31" s="204">
        <f t="shared" si="2"/>
        <v>5</v>
      </c>
      <c r="X31" s="204"/>
    </row>
    <row r="32" spans="1:24" ht="15.75" customHeight="1">
      <c r="A32" s="201">
        <v>27</v>
      </c>
      <c r="B32" s="202">
        <v>2025</v>
      </c>
      <c r="C32" s="202" t="s">
        <v>82</v>
      </c>
      <c r="D32" s="201">
        <v>4539</v>
      </c>
      <c r="E32" s="172">
        <v>8.6999999999999994E-2</v>
      </c>
      <c r="F32" s="172">
        <v>0.23</v>
      </c>
      <c r="G32" s="201">
        <v>0.4</v>
      </c>
      <c r="H32" s="201">
        <v>0.23499999999999999</v>
      </c>
      <c r="I32" s="201">
        <v>0.308</v>
      </c>
      <c r="J32" s="201">
        <v>0.35399999999999998</v>
      </c>
      <c r="K32" s="201">
        <v>0.66200000000000003</v>
      </c>
      <c r="L32" s="201">
        <v>0.11799999999999999</v>
      </c>
      <c r="M32" s="201">
        <v>0.29499999999999998</v>
      </c>
      <c r="N32" s="201">
        <v>461</v>
      </c>
      <c r="O32" s="201">
        <v>-75</v>
      </c>
      <c r="P32" s="201">
        <v>0.29299999999999998</v>
      </c>
      <c r="Q32" s="201">
        <v>84</v>
      </c>
      <c r="R32" s="424">
        <f t="shared" si="3"/>
        <v>0.86733854601426497</v>
      </c>
      <c r="S32" s="203">
        <f t="shared" si="4"/>
        <v>3.9245251424962793</v>
      </c>
      <c r="T32" s="204">
        <f t="shared" si="0"/>
        <v>30</v>
      </c>
      <c r="U32" s="204">
        <f t="shared" si="1"/>
        <v>3.9245251424962793</v>
      </c>
      <c r="V32" s="88">
        <f>U32 + _xlfn.XLOOKUP(C32,'Team Batting vs R - L7'!$C$6:$C$35,'Team Batting vs R - L7'!$T$6:$T$35)</f>
        <v>3.9245251424962793</v>
      </c>
      <c r="W32" s="204">
        <f t="shared" si="2"/>
        <v>30</v>
      </c>
      <c r="X32" s="204"/>
    </row>
    <row r="33" spans="1:24" ht="15.75" customHeight="1">
      <c r="A33" s="201">
        <v>28</v>
      </c>
      <c r="B33" s="202">
        <v>2025</v>
      </c>
      <c r="C33" s="202" t="s">
        <v>53</v>
      </c>
      <c r="D33" s="201">
        <v>4387</v>
      </c>
      <c r="E33" s="172">
        <v>7.8E-2</v>
      </c>
      <c r="F33" s="172">
        <v>0.216</v>
      </c>
      <c r="G33" s="201">
        <v>0.4</v>
      </c>
      <c r="H33" s="201">
        <v>0.24299999999999999</v>
      </c>
      <c r="I33" s="201">
        <v>0.312</v>
      </c>
      <c r="J33" s="201">
        <v>0.38</v>
      </c>
      <c r="K33" s="201">
        <v>0.69199999999999995</v>
      </c>
      <c r="L33" s="201">
        <v>0.13600000000000001</v>
      </c>
      <c r="M33" s="201">
        <v>0.29199999999999998</v>
      </c>
      <c r="N33" s="201">
        <v>486</v>
      </c>
      <c r="O33" s="201">
        <v>-32.299999999999997</v>
      </c>
      <c r="P33" s="201">
        <v>0.30399999999999999</v>
      </c>
      <c r="Q33" s="201">
        <v>96</v>
      </c>
      <c r="R33" s="424">
        <f t="shared" si="3"/>
        <v>0.93229148342567847</v>
      </c>
      <c r="S33" s="203">
        <f t="shared" si="4"/>
        <v>4.2184235713410256</v>
      </c>
      <c r="T33" s="204">
        <f t="shared" si="0"/>
        <v>24</v>
      </c>
      <c r="U33" s="204">
        <f t="shared" si="1"/>
        <v>4.2184235713410256</v>
      </c>
      <c r="V33" s="88">
        <f>U33 + _xlfn.XLOOKUP(C33,'Team Batting vs R - L7'!$C$6:$C$35,'Team Batting vs R - L7'!$T$6:$T$35)</f>
        <v>4.2184235713410256</v>
      </c>
      <c r="W33" s="204">
        <f t="shared" si="2"/>
        <v>24</v>
      </c>
      <c r="X33" s="204"/>
    </row>
    <row r="34" spans="1:24" ht="15.75" customHeight="1">
      <c r="A34" s="205">
        <v>29</v>
      </c>
      <c r="B34" s="206">
        <v>2025</v>
      </c>
      <c r="C34" s="206" t="s">
        <v>49</v>
      </c>
      <c r="D34" s="205">
        <v>4236</v>
      </c>
      <c r="E34" s="207">
        <v>8.1000000000000003E-2</v>
      </c>
      <c r="F34" s="207">
        <v>0.193</v>
      </c>
      <c r="G34" s="205">
        <v>0.4</v>
      </c>
      <c r="H34" s="205">
        <v>0.25600000000000001</v>
      </c>
      <c r="I34" s="205">
        <v>0.32300000000000001</v>
      </c>
      <c r="J34" s="205">
        <v>0.39700000000000002</v>
      </c>
      <c r="K34" s="205">
        <v>0.72</v>
      </c>
      <c r="L34" s="205">
        <v>0.14099999999999999</v>
      </c>
      <c r="M34" s="205">
        <v>0.29799999999999999</v>
      </c>
      <c r="N34" s="205">
        <v>506</v>
      </c>
      <c r="O34" s="205">
        <v>5.9</v>
      </c>
      <c r="P34" s="205">
        <v>0.315</v>
      </c>
      <c r="Q34" s="205">
        <v>105</v>
      </c>
      <c r="R34" s="424">
        <f t="shared" si="3"/>
        <v>0.99724442083709153</v>
      </c>
      <c r="S34" s="203">
        <f t="shared" si="4"/>
        <v>4.5123220001857707</v>
      </c>
      <c r="T34" s="204">
        <f t="shared" si="0"/>
        <v>16</v>
      </c>
      <c r="U34" s="204">
        <f t="shared" si="1"/>
        <v>4.5123220001857707</v>
      </c>
      <c r="V34" s="88">
        <f>U34 + _xlfn.XLOOKUP(C34,'Team Batting vs R - L7'!$C$6:$C$35,'Team Batting vs R - L7'!$T$6:$T$35)</f>
        <v>4.5123220001857707</v>
      </c>
      <c r="W34" s="204">
        <f t="shared" si="2"/>
        <v>16</v>
      </c>
      <c r="X34" s="204"/>
    </row>
    <row r="35" spans="1:24" ht="15.75" customHeight="1">
      <c r="A35" s="201">
        <v>30</v>
      </c>
      <c r="B35" s="202">
        <v>2025</v>
      </c>
      <c r="C35" s="202" t="s">
        <v>126</v>
      </c>
      <c r="D35" s="201">
        <v>4450</v>
      </c>
      <c r="E35" s="172">
        <v>9.8000000000000004E-2</v>
      </c>
      <c r="F35" s="172">
        <v>0.22</v>
      </c>
      <c r="G35" s="201">
        <v>0.4</v>
      </c>
      <c r="H35" s="201">
        <v>0.24199999999999999</v>
      </c>
      <c r="I35" s="201">
        <v>0.32300000000000001</v>
      </c>
      <c r="J35" s="201">
        <v>0.39900000000000002</v>
      </c>
      <c r="K35" s="201">
        <v>0.72199999999999998</v>
      </c>
      <c r="L35" s="201">
        <v>0.157</v>
      </c>
      <c r="M35" s="201">
        <v>0.28799999999999998</v>
      </c>
      <c r="N35" s="201">
        <v>535</v>
      </c>
      <c r="O35" s="201">
        <v>9.6</v>
      </c>
      <c r="P35" s="201">
        <v>0.316</v>
      </c>
      <c r="Q35" s="201">
        <v>104</v>
      </c>
      <c r="R35" s="424">
        <f t="shared" si="3"/>
        <v>1.0031492333290386</v>
      </c>
      <c r="S35" s="203">
        <f t="shared" si="4"/>
        <v>4.5390400391716579</v>
      </c>
      <c r="T35" s="204">
        <f t="shared" si="0"/>
        <v>14</v>
      </c>
      <c r="U35" s="204">
        <f t="shared" si="1"/>
        <v>4.5390400391716579</v>
      </c>
      <c r="V35" s="88">
        <f>U35 + _xlfn.XLOOKUP(C35,'Team Batting vs R - L7'!$C$6:$C$35,'Team Batting vs R - L7'!$T$6:$T$35)</f>
        <v>4.5390400391716579</v>
      </c>
      <c r="W35" s="204">
        <f t="shared" si="2"/>
        <v>14</v>
      </c>
      <c r="X35" s="204"/>
    </row>
    <row r="36" spans="1:24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208">
        <f>AVERAGE(P6:P35)</f>
        <v>0.31546666666666667</v>
      </c>
      <c r="Q36" s="193" t="s">
        <v>1052</v>
      </c>
      <c r="R36" s="425"/>
      <c r="S36" s="209">
        <f>AVERAGE(S5:S34)</f>
        <v>4.5242990521449613</v>
      </c>
      <c r="U36" s="91">
        <f>AVERAGE(U6:U35)</f>
        <v>4.5247904183791841</v>
      </c>
      <c r="V36" s="210"/>
      <c r="W36" s="91"/>
      <c r="X36" s="91"/>
    </row>
    <row r="37" spans="1:24" ht="15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425"/>
      <c r="S37" s="211"/>
      <c r="U37" s="91"/>
      <c r="V37" s="210"/>
      <c r="W37" s="91"/>
      <c r="X37" s="91"/>
    </row>
    <row r="38" spans="1:24" ht="15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425"/>
      <c r="S38" s="211"/>
      <c r="U38" s="91"/>
      <c r="V38" s="210"/>
      <c r="W38" s="91"/>
      <c r="X38" s="91"/>
    </row>
    <row r="39" spans="1:24" ht="15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425"/>
      <c r="S39" s="211"/>
      <c r="U39" s="91"/>
      <c r="V39" s="210"/>
      <c r="W39" s="91"/>
      <c r="X39" s="91"/>
    </row>
    <row r="40" spans="1:24" ht="15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425"/>
      <c r="S40" s="211"/>
      <c r="U40" s="91"/>
      <c r="V40" s="210"/>
      <c r="W40" s="91"/>
      <c r="X40" s="91"/>
    </row>
    <row r="41" spans="1:24" ht="15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425"/>
      <c r="S41" s="211"/>
      <c r="U41" s="91"/>
      <c r="V41" s="210"/>
      <c r="W41" s="91"/>
      <c r="X41" s="91"/>
    </row>
    <row r="42" spans="1:24" ht="15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425"/>
      <c r="S42" s="211"/>
      <c r="U42" s="91"/>
      <c r="V42" s="210"/>
      <c r="W42" s="91"/>
      <c r="X42" s="91"/>
    </row>
    <row r="43" spans="1:24" ht="15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425"/>
      <c r="S43" s="211"/>
      <c r="U43" s="91"/>
      <c r="V43" s="210"/>
      <c r="W43" s="91"/>
      <c r="X43" s="91"/>
    </row>
    <row r="44" spans="1:24" ht="15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425"/>
      <c r="S44" s="211"/>
      <c r="U44" s="91"/>
      <c r="V44" s="210"/>
      <c r="W44" s="91"/>
      <c r="X44" s="91"/>
    </row>
    <row r="45" spans="1:24" ht="15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425"/>
      <c r="S45" s="211"/>
      <c r="U45" s="91"/>
      <c r="V45" s="210"/>
      <c r="W45" s="91"/>
      <c r="X45" s="91"/>
    </row>
    <row r="46" spans="1:24" ht="15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425"/>
      <c r="S46" s="211"/>
      <c r="U46" s="91"/>
      <c r="V46" s="210"/>
      <c r="W46" s="91"/>
      <c r="X46" s="91"/>
    </row>
    <row r="47" spans="1:24" ht="15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425"/>
      <c r="S47" s="211"/>
      <c r="U47" s="91"/>
      <c r="V47" s="210"/>
      <c r="W47" s="91"/>
      <c r="X47" s="91"/>
    </row>
    <row r="48" spans="1:24" ht="15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425"/>
      <c r="S48" s="211"/>
      <c r="U48" s="91"/>
      <c r="V48" s="210"/>
      <c r="W48" s="91"/>
      <c r="X48" s="91"/>
    </row>
    <row r="49" spans="1:24" ht="15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425"/>
      <c r="S49" s="211"/>
      <c r="U49" s="91"/>
      <c r="V49" s="210"/>
      <c r="W49" s="91"/>
      <c r="X49" s="91"/>
    </row>
    <row r="50" spans="1:24" ht="15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425"/>
      <c r="S50" s="211"/>
      <c r="U50" s="91"/>
      <c r="V50" s="210"/>
      <c r="W50" s="91"/>
      <c r="X50" s="91"/>
    </row>
    <row r="51" spans="1:24" ht="15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425"/>
      <c r="S51" s="211"/>
      <c r="U51" s="91"/>
      <c r="V51" s="210"/>
      <c r="W51" s="91"/>
      <c r="X51" s="91"/>
    </row>
    <row r="52" spans="1:24" ht="15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425"/>
      <c r="S52" s="211"/>
      <c r="U52" s="91"/>
      <c r="V52" s="210"/>
      <c r="W52" s="91"/>
      <c r="X52" s="91"/>
    </row>
    <row r="53" spans="1:24" ht="15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425"/>
      <c r="S53" s="211"/>
      <c r="U53" s="91"/>
      <c r="V53" s="210"/>
      <c r="W53" s="91"/>
      <c r="X53" s="91"/>
    </row>
    <row r="54" spans="1:24" ht="15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425"/>
      <c r="S54" s="211"/>
      <c r="U54" s="91"/>
      <c r="V54" s="210"/>
      <c r="W54" s="91"/>
      <c r="X54" s="91"/>
    </row>
    <row r="55" spans="1:24" ht="15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425"/>
      <c r="S55" s="211"/>
      <c r="U55" s="91"/>
      <c r="V55" s="210"/>
      <c r="W55" s="91"/>
      <c r="X55" s="91"/>
    </row>
    <row r="56" spans="1:24" ht="15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425"/>
      <c r="S56" s="211"/>
      <c r="U56" s="91"/>
      <c r="V56" s="210"/>
      <c r="W56" s="91"/>
      <c r="X56" s="91"/>
    </row>
    <row r="57" spans="1:24" ht="15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425"/>
      <c r="S57" s="211"/>
      <c r="U57" s="91"/>
      <c r="V57" s="210"/>
      <c r="W57" s="91"/>
      <c r="X57" s="91"/>
    </row>
    <row r="58" spans="1:24" ht="15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425"/>
      <c r="S58" s="211"/>
      <c r="U58" s="91"/>
      <c r="V58" s="210"/>
      <c r="W58" s="91"/>
      <c r="X58" s="91"/>
    </row>
    <row r="59" spans="1:24" ht="15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425"/>
      <c r="S59" s="211"/>
      <c r="U59" s="91"/>
      <c r="V59" s="210"/>
      <c r="W59" s="91"/>
      <c r="X59" s="91"/>
    </row>
    <row r="60" spans="1:24" ht="15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425"/>
      <c r="S60" s="211"/>
      <c r="U60" s="91"/>
      <c r="V60" s="210"/>
      <c r="W60" s="91"/>
      <c r="X60" s="91"/>
    </row>
    <row r="61" spans="1:24" ht="15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425"/>
      <c r="S61" s="211"/>
      <c r="U61" s="91"/>
      <c r="V61" s="210"/>
      <c r="W61" s="91"/>
      <c r="X61" s="91"/>
    </row>
    <row r="62" spans="1:24" ht="15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425"/>
      <c r="S62" s="211"/>
      <c r="U62" s="91"/>
      <c r="V62" s="210"/>
      <c r="W62" s="91"/>
      <c r="X62" s="91"/>
    </row>
    <row r="63" spans="1:24" ht="15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425"/>
      <c r="S63" s="211"/>
      <c r="U63" s="91"/>
      <c r="V63" s="210"/>
      <c r="W63" s="91"/>
      <c r="X63" s="91"/>
    </row>
    <row r="64" spans="1:24" ht="15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425"/>
      <c r="S64" s="211"/>
      <c r="U64" s="91"/>
      <c r="V64" s="210"/>
      <c r="W64" s="91"/>
      <c r="X64" s="91"/>
    </row>
    <row r="65" spans="1:24" ht="15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425"/>
      <c r="S65" s="211"/>
      <c r="U65" s="91"/>
      <c r="V65" s="210"/>
      <c r="W65" s="91"/>
      <c r="X65" s="91"/>
    </row>
    <row r="66" spans="1:24" ht="15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425"/>
      <c r="S66" s="211"/>
      <c r="U66" s="91"/>
      <c r="V66" s="210"/>
      <c r="W66" s="91"/>
      <c r="X66" s="91"/>
    </row>
    <row r="67" spans="1:24" ht="15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425"/>
      <c r="S67" s="211"/>
      <c r="U67" s="91"/>
      <c r="V67" s="210"/>
      <c r="W67" s="91"/>
      <c r="X67" s="91"/>
    </row>
    <row r="68" spans="1:24" ht="15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425"/>
      <c r="S68" s="211"/>
      <c r="U68" s="91"/>
      <c r="V68" s="210"/>
      <c r="W68" s="91"/>
      <c r="X68" s="91"/>
    </row>
    <row r="69" spans="1:24" ht="15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425"/>
      <c r="S69" s="211"/>
      <c r="U69" s="91"/>
      <c r="V69" s="210"/>
      <c r="W69" s="91"/>
      <c r="X69" s="91"/>
    </row>
    <row r="70" spans="1:24" ht="15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425"/>
      <c r="S70" s="211"/>
      <c r="U70" s="91"/>
      <c r="V70" s="210"/>
      <c r="W70" s="91"/>
      <c r="X70" s="91"/>
    </row>
    <row r="71" spans="1:24" ht="15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425"/>
      <c r="S71" s="211"/>
      <c r="U71" s="91"/>
      <c r="V71" s="210"/>
      <c r="W71" s="91"/>
      <c r="X71" s="91"/>
    </row>
    <row r="72" spans="1:24" ht="15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425"/>
      <c r="S72" s="211"/>
      <c r="U72" s="91"/>
      <c r="V72" s="210"/>
      <c r="W72" s="91"/>
      <c r="X72" s="91"/>
    </row>
    <row r="73" spans="1:24" ht="15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425"/>
      <c r="S73" s="211"/>
      <c r="U73" s="91"/>
      <c r="V73" s="210"/>
      <c r="W73" s="91"/>
      <c r="X73" s="91"/>
    </row>
    <row r="74" spans="1:24" ht="15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425"/>
      <c r="S74" s="211"/>
      <c r="U74" s="91"/>
      <c r="V74" s="210"/>
      <c r="W74" s="91"/>
      <c r="X74" s="91"/>
    </row>
    <row r="75" spans="1:24" ht="15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425"/>
      <c r="S75" s="211"/>
      <c r="U75" s="91"/>
      <c r="V75" s="210"/>
      <c r="W75" s="91"/>
      <c r="X75" s="91"/>
    </row>
    <row r="76" spans="1:24" ht="15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425"/>
      <c r="S76" s="211"/>
      <c r="U76" s="91"/>
      <c r="V76" s="210"/>
      <c r="W76" s="91"/>
      <c r="X76" s="91"/>
    </row>
    <row r="77" spans="1:24" ht="15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425"/>
      <c r="S77" s="211"/>
      <c r="U77" s="91"/>
      <c r="V77" s="210"/>
      <c r="W77" s="91"/>
      <c r="X77" s="91"/>
    </row>
    <row r="78" spans="1:24" ht="15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425"/>
      <c r="S78" s="211"/>
      <c r="U78" s="91"/>
      <c r="V78" s="210"/>
      <c r="W78" s="91"/>
      <c r="X78" s="91"/>
    </row>
    <row r="79" spans="1:24" ht="15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425"/>
      <c r="S79" s="211"/>
      <c r="U79" s="91"/>
      <c r="V79" s="210"/>
      <c r="W79" s="91"/>
      <c r="X79" s="91"/>
    </row>
    <row r="80" spans="1:24" ht="15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425"/>
      <c r="S80" s="211"/>
      <c r="U80" s="91"/>
      <c r="V80" s="210"/>
      <c r="W80" s="91"/>
      <c r="X80" s="91"/>
    </row>
    <row r="81" spans="1:24" ht="15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425"/>
      <c r="S81" s="211"/>
      <c r="U81" s="91"/>
      <c r="V81" s="210"/>
      <c r="W81" s="91"/>
      <c r="X81" s="91"/>
    </row>
    <row r="82" spans="1:24" ht="15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425"/>
      <c r="S82" s="211"/>
      <c r="U82" s="91"/>
      <c r="V82" s="210"/>
      <c r="W82" s="91"/>
      <c r="X82" s="91"/>
    </row>
    <row r="83" spans="1:24" ht="15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425"/>
      <c r="S83" s="211"/>
      <c r="U83" s="91"/>
      <c r="V83" s="210"/>
      <c r="W83" s="91"/>
      <c r="X83" s="91"/>
    </row>
    <row r="84" spans="1:24" ht="15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425"/>
      <c r="S84" s="211"/>
      <c r="U84" s="91"/>
      <c r="V84" s="210"/>
      <c r="W84" s="91"/>
      <c r="X84" s="91"/>
    </row>
    <row r="85" spans="1:24" ht="15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425"/>
      <c r="S85" s="211"/>
      <c r="U85" s="91"/>
      <c r="V85" s="210"/>
      <c r="W85" s="91"/>
      <c r="X85" s="91"/>
    </row>
    <row r="86" spans="1:24" ht="15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425"/>
      <c r="S86" s="211"/>
      <c r="U86" s="91"/>
      <c r="V86" s="210"/>
      <c r="W86" s="91"/>
      <c r="X86" s="91"/>
    </row>
    <row r="87" spans="1:24" ht="15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425"/>
      <c r="S87" s="211"/>
      <c r="U87" s="91"/>
      <c r="V87" s="210"/>
      <c r="W87" s="91"/>
      <c r="X87" s="91"/>
    </row>
    <row r="88" spans="1:24" ht="15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425"/>
      <c r="S88" s="211"/>
      <c r="U88" s="91"/>
      <c r="V88" s="210"/>
      <c r="W88" s="91"/>
      <c r="X88" s="91"/>
    </row>
    <row r="89" spans="1:24" ht="15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425"/>
      <c r="S89" s="211"/>
      <c r="U89" s="91"/>
      <c r="V89" s="210"/>
      <c r="W89" s="91"/>
      <c r="X89" s="91"/>
    </row>
    <row r="90" spans="1:24" ht="15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425"/>
      <c r="S90" s="211"/>
      <c r="U90" s="91"/>
      <c r="V90" s="210"/>
      <c r="W90" s="91"/>
      <c r="X90" s="91"/>
    </row>
    <row r="91" spans="1:24" ht="15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425"/>
      <c r="S91" s="211"/>
      <c r="U91" s="91"/>
      <c r="V91" s="210"/>
      <c r="W91" s="91"/>
      <c r="X91" s="91"/>
    </row>
    <row r="92" spans="1:24" ht="15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425"/>
      <c r="S92" s="211"/>
      <c r="U92" s="91"/>
      <c r="V92" s="210"/>
      <c r="W92" s="91"/>
      <c r="X92" s="91"/>
    </row>
    <row r="93" spans="1:24" ht="15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425"/>
      <c r="S93" s="211"/>
      <c r="U93" s="91"/>
      <c r="V93" s="210"/>
      <c r="W93" s="91"/>
      <c r="X93" s="91"/>
    </row>
    <row r="94" spans="1:24" ht="15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425"/>
      <c r="S94" s="211"/>
      <c r="U94" s="91"/>
      <c r="V94" s="210"/>
      <c r="W94" s="91"/>
      <c r="X94" s="91"/>
    </row>
    <row r="95" spans="1:24" ht="15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425"/>
      <c r="S95" s="211"/>
      <c r="U95" s="91"/>
      <c r="V95" s="210"/>
      <c r="W95" s="91"/>
      <c r="X95" s="91"/>
    </row>
    <row r="96" spans="1:24" ht="15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425"/>
      <c r="S96" s="211"/>
      <c r="U96" s="91"/>
      <c r="V96" s="210"/>
      <c r="W96" s="91"/>
      <c r="X96" s="91"/>
    </row>
    <row r="97" spans="1:24" ht="15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425"/>
      <c r="S97" s="211"/>
      <c r="U97" s="91"/>
      <c r="V97" s="210"/>
      <c r="W97" s="91"/>
      <c r="X97" s="91"/>
    </row>
    <row r="98" spans="1:24" ht="15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425"/>
      <c r="S98" s="211"/>
      <c r="U98" s="91"/>
      <c r="V98" s="210"/>
      <c r="W98" s="91"/>
      <c r="X98" s="91"/>
    </row>
    <row r="99" spans="1:24" ht="15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425"/>
      <c r="S99" s="211"/>
      <c r="U99" s="91"/>
      <c r="V99" s="210"/>
      <c r="W99" s="91"/>
      <c r="X99" s="91"/>
    </row>
    <row r="100" spans="1:24" ht="15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425"/>
      <c r="S100" s="211"/>
      <c r="U100" s="91"/>
      <c r="V100" s="210"/>
      <c r="W100" s="91"/>
      <c r="X100" s="91"/>
    </row>
    <row r="101" spans="1:24" ht="15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425"/>
      <c r="S101" s="211"/>
      <c r="U101" s="91"/>
      <c r="V101" s="210"/>
      <c r="W101" s="91"/>
      <c r="X101" s="91"/>
    </row>
    <row r="102" spans="1:24" ht="15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425"/>
      <c r="S102" s="211"/>
      <c r="U102" s="91"/>
      <c r="V102" s="210"/>
      <c r="W102" s="91"/>
      <c r="X102" s="91"/>
    </row>
    <row r="103" spans="1:24" ht="15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425"/>
      <c r="S103" s="211"/>
      <c r="U103" s="91"/>
      <c r="V103" s="210"/>
      <c r="W103" s="91"/>
      <c r="X103" s="91"/>
    </row>
    <row r="104" spans="1:24" ht="15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425"/>
      <c r="S104" s="211"/>
      <c r="U104" s="91"/>
      <c r="V104" s="210"/>
      <c r="W104" s="91"/>
      <c r="X104" s="91"/>
    </row>
    <row r="105" spans="1:24" ht="15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425"/>
      <c r="S105" s="211"/>
      <c r="U105" s="91"/>
      <c r="V105" s="210"/>
      <c r="W105" s="91"/>
      <c r="X105" s="91"/>
    </row>
    <row r="106" spans="1:24" ht="15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425"/>
      <c r="S106" s="211"/>
      <c r="U106" s="91"/>
      <c r="V106" s="210"/>
      <c r="W106" s="91"/>
      <c r="X106" s="91"/>
    </row>
    <row r="107" spans="1:24" ht="15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425"/>
      <c r="S107" s="211"/>
      <c r="U107" s="91"/>
      <c r="V107" s="210"/>
      <c r="W107" s="91"/>
      <c r="X107" s="91"/>
    </row>
    <row r="108" spans="1:24" ht="15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425"/>
      <c r="S108" s="211"/>
      <c r="U108" s="91"/>
      <c r="V108" s="210"/>
      <c r="W108" s="91"/>
      <c r="X108" s="91"/>
    </row>
    <row r="109" spans="1:24" ht="15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425"/>
      <c r="S109" s="211"/>
      <c r="U109" s="91"/>
      <c r="V109" s="210"/>
      <c r="W109" s="91"/>
      <c r="X109" s="91"/>
    </row>
    <row r="110" spans="1:24" ht="15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425"/>
      <c r="S110" s="211"/>
      <c r="U110" s="91"/>
      <c r="V110" s="210"/>
      <c r="W110" s="91"/>
      <c r="X110" s="91"/>
    </row>
    <row r="111" spans="1:24" ht="15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425"/>
      <c r="S111" s="211"/>
      <c r="U111" s="91"/>
      <c r="V111" s="210"/>
      <c r="W111" s="91"/>
      <c r="X111" s="91"/>
    </row>
    <row r="112" spans="1:24" ht="15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425"/>
      <c r="S112" s="211"/>
      <c r="U112" s="91"/>
      <c r="V112" s="210"/>
      <c r="W112" s="91"/>
      <c r="X112" s="91"/>
    </row>
    <row r="113" spans="1:24" ht="15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425"/>
      <c r="S113" s="211"/>
      <c r="U113" s="91"/>
      <c r="V113" s="210"/>
      <c r="W113" s="91"/>
      <c r="X113" s="91"/>
    </row>
    <row r="114" spans="1:24" ht="15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425"/>
      <c r="S114" s="211"/>
      <c r="U114" s="91"/>
      <c r="V114" s="210"/>
      <c r="W114" s="91"/>
      <c r="X114" s="91"/>
    </row>
    <row r="115" spans="1:24" ht="15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425"/>
      <c r="S115" s="211"/>
      <c r="U115" s="91"/>
      <c r="V115" s="210"/>
      <c r="W115" s="91"/>
      <c r="X115" s="91"/>
    </row>
    <row r="116" spans="1:24" ht="15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425"/>
      <c r="S116" s="211"/>
      <c r="U116" s="91"/>
      <c r="V116" s="210"/>
      <c r="W116" s="91"/>
      <c r="X116" s="91"/>
    </row>
    <row r="117" spans="1:24" ht="15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425"/>
      <c r="S117" s="211"/>
      <c r="U117" s="91"/>
      <c r="V117" s="210"/>
      <c r="W117" s="91"/>
      <c r="X117" s="91"/>
    </row>
    <row r="118" spans="1:24" ht="15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425"/>
      <c r="S118" s="211"/>
      <c r="U118" s="91"/>
      <c r="V118" s="210"/>
      <c r="W118" s="91"/>
      <c r="X118" s="91"/>
    </row>
    <row r="119" spans="1:24" ht="15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425"/>
      <c r="S119" s="211"/>
      <c r="U119" s="91"/>
      <c r="V119" s="210"/>
      <c r="W119" s="91"/>
      <c r="X119" s="91"/>
    </row>
    <row r="120" spans="1:24" ht="15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425"/>
      <c r="S120" s="211"/>
      <c r="U120" s="91"/>
      <c r="V120" s="210"/>
      <c r="W120" s="91"/>
      <c r="X120" s="91"/>
    </row>
    <row r="121" spans="1:24" ht="15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425"/>
      <c r="S121" s="211"/>
      <c r="U121" s="91"/>
      <c r="V121" s="210"/>
      <c r="W121" s="91"/>
      <c r="X121" s="91"/>
    </row>
    <row r="122" spans="1:24" ht="15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425"/>
      <c r="S122" s="211"/>
      <c r="U122" s="91"/>
      <c r="V122" s="210"/>
      <c r="W122" s="91"/>
      <c r="X122" s="91"/>
    </row>
    <row r="123" spans="1:24" ht="15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425"/>
      <c r="S123" s="211"/>
      <c r="U123" s="91"/>
      <c r="V123" s="210"/>
      <c r="W123" s="91"/>
      <c r="X123" s="91"/>
    </row>
    <row r="124" spans="1:24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425"/>
      <c r="S124" s="211"/>
      <c r="U124" s="91"/>
      <c r="V124" s="210"/>
      <c r="W124" s="91"/>
      <c r="X124" s="91"/>
    </row>
    <row r="125" spans="1:24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425"/>
      <c r="S125" s="211"/>
      <c r="U125" s="91"/>
      <c r="V125" s="210"/>
      <c r="W125" s="91"/>
      <c r="X125" s="91"/>
    </row>
    <row r="126" spans="1:24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425"/>
      <c r="S126" s="211"/>
      <c r="U126" s="91"/>
      <c r="V126" s="210"/>
      <c r="W126" s="91"/>
      <c r="X126" s="91"/>
    </row>
    <row r="127" spans="1:24" ht="15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425"/>
      <c r="S127" s="211"/>
      <c r="U127" s="91"/>
      <c r="V127" s="210"/>
      <c r="W127" s="91"/>
      <c r="X127" s="91"/>
    </row>
    <row r="128" spans="1:24" ht="15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425"/>
      <c r="S128" s="211"/>
      <c r="U128" s="91"/>
      <c r="V128" s="210"/>
      <c r="W128" s="91"/>
      <c r="X128" s="91"/>
    </row>
    <row r="129" spans="1:24" ht="15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425"/>
      <c r="S129" s="211"/>
      <c r="U129" s="91"/>
      <c r="V129" s="210"/>
      <c r="W129" s="91"/>
      <c r="X129" s="91"/>
    </row>
    <row r="130" spans="1:24" ht="15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425"/>
      <c r="S130" s="211"/>
      <c r="U130" s="91"/>
      <c r="V130" s="210"/>
      <c r="W130" s="91"/>
      <c r="X130" s="91"/>
    </row>
    <row r="131" spans="1:24" ht="15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425"/>
      <c r="S131" s="211"/>
      <c r="U131" s="91"/>
      <c r="V131" s="210"/>
      <c r="W131" s="91"/>
      <c r="X131" s="91"/>
    </row>
    <row r="132" spans="1:24" ht="15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425"/>
      <c r="S132" s="211"/>
      <c r="U132" s="91"/>
      <c r="V132" s="210"/>
      <c r="W132" s="91"/>
      <c r="X132" s="91"/>
    </row>
    <row r="133" spans="1:24" ht="15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425"/>
      <c r="S133" s="211"/>
      <c r="U133" s="91"/>
      <c r="V133" s="210"/>
      <c r="W133" s="91"/>
      <c r="X133" s="91"/>
    </row>
    <row r="134" spans="1:24" ht="15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425"/>
      <c r="S134" s="211"/>
      <c r="U134" s="91"/>
      <c r="V134" s="210"/>
      <c r="W134" s="91"/>
      <c r="X134" s="91"/>
    </row>
    <row r="135" spans="1:24" ht="15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425"/>
      <c r="S135" s="211"/>
      <c r="U135" s="91"/>
      <c r="V135" s="210"/>
      <c r="W135" s="91"/>
      <c r="X135" s="91"/>
    </row>
    <row r="136" spans="1:24" ht="15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425"/>
      <c r="S136" s="211"/>
      <c r="U136" s="91"/>
      <c r="V136" s="210"/>
      <c r="W136" s="91"/>
      <c r="X136" s="91"/>
    </row>
    <row r="137" spans="1:24" ht="15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425"/>
      <c r="S137" s="211"/>
      <c r="U137" s="91"/>
      <c r="V137" s="210"/>
      <c r="W137" s="91"/>
      <c r="X137" s="91"/>
    </row>
    <row r="138" spans="1:24" ht="15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425"/>
      <c r="S138" s="211"/>
      <c r="U138" s="91"/>
      <c r="V138" s="210"/>
      <c r="W138" s="91"/>
      <c r="X138" s="91"/>
    </row>
    <row r="139" spans="1:24" ht="15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425"/>
      <c r="S139" s="211"/>
      <c r="U139" s="91"/>
      <c r="V139" s="210"/>
      <c r="W139" s="91"/>
      <c r="X139" s="91"/>
    </row>
    <row r="140" spans="1:24" ht="15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425"/>
      <c r="S140" s="211"/>
      <c r="U140" s="91"/>
      <c r="V140" s="210"/>
      <c r="W140" s="91"/>
      <c r="X140" s="91"/>
    </row>
    <row r="141" spans="1:24" ht="15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425"/>
      <c r="S141" s="211"/>
      <c r="U141" s="91"/>
      <c r="V141" s="210"/>
      <c r="W141" s="91"/>
      <c r="X141" s="91"/>
    </row>
    <row r="142" spans="1:24" ht="15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425"/>
      <c r="S142" s="211"/>
      <c r="U142" s="91"/>
      <c r="V142" s="210"/>
      <c r="W142" s="91"/>
      <c r="X142" s="91"/>
    </row>
    <row r="143" spans="1:24" ht="15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425"/>
      <c r="S143" s="211"/>
      <c r="U143" s="91"/>
      <c r="V143" s="210"/>
      <c r="W143" s="91"/>
      <c r="X143" s="91"/>
    </row>
    <row r="144" spans="1:24" ht="15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425"/>
      <c r="S144" s="211"/>
      <c r="U144" s="91"/>
      <c r="V144" s="210"/>
      <c r="W144" s="91"/>
      <c r="X144" s="91"/>
    </row>
    <row r="145" spans="1:24" ht="15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425"/>
      <c r="S145" s="211"/>
      <c r="U145" s="91"/>
      <c r="V145" s="210"/>
      <c r="W145" s="91"/>
      <c r="X145" s="91"/>
    </row>
    <row r="146" spans="1:24" ht="15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425"/>
      <c r="S146" s="211"/>
      <c r="U146" s="91"/>
      <c r="V146" s="210"/>
      <c r="W146" s="91"/>
      <c r="X146" s="91"/>
    </row>
    <row r="147" spans="1:24" ht="15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425"/>
      <c r="S147" s="211"/>
      <c r="U147" s="91"/>
      <c r="V147" s="210"/>
      <c r="W147" s="91"/>
      <c r="X147" s="91"/>
    </row>
    <row r="148" spans="1:24" ht="15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425"/>
      <c r="S148" s="211"/>
      <c r="U148" s="91"/>
      <c r="V148" s="210"/>
      <c r="W148" s="91"/>
      <c r="X148" s="91"/>
    </row>
    <row r="149" spans="1:24" ht="15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425"/>
      <c r="S149" s="211"/>
      <c r="U149" s="91"/>
      <c r="V149" s="210"/>
      <c r="W149" s="91"/>
      <c r="X149" s="91"/>
    </row>
    <row r="150" spans="1:24" ht="15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425"/>
      <c r="S150" s="211"/>
      <c r="U150" s="91"/>
      <c r="V150" s="210"/>
      <c r="W150" s="91"/>
      <c r="X150" s="91"/>
    </row>
    <row r="151" spans="1:24" ht="15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425"/>
      <c r="S151" s="211"/>
      <c r="U151" s="91"/>
      <c r="V151" s="210"/>
      <c r="W151" s="91"/>
      <c r="X151" s="91"/>
    </row>
    <row r="152" spans="1:24" ht="15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425"/>
      <c r="S152" s="211"/>
      <c r="U152" s="91"/>
      <c r="V152" s="210"/>
      <c r="W152" s="91"/>
      <c r="X152" s="91"/>
    </row>
    <row r="153" spans="1:24" ht="15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425"/>
      <c r="S153" s="211"/>
      <c r="U153" s="91"/>
      <c r="V153" s="210"/>
      <c r="W153" s="91"/>
      <c r="X153" s="91"/>
    </row>
    <row r="154" spans="1:24" ht="15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425"/>
      <c r="S154" s="211"/>
      <c r="U154" s="91"/>
      <c r="V154" s="210"/>
      <c r="W154" s="91"/>
      <c r="X154" s="91"/>
    </row>
    <row r="155" spans="1:24" ht="15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425"/>
      <c r="S155" s="211"/>
      <c r="U155" s="91"/>
      <c r="V155" s="210"/>
      <c r="W155" s="91"/>
      <c r="X155" s="91"/>
    </row>
    <row r="156" spans="1:24" ht="15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425"/>
      <c r="S156" s="211"/>
      <c r="U156" s="91"/>
      <c r="V156" s="210"/>
      <c r="W156" s="91"/>
      <c r="X156" s="91"/>
    </row>
    <row r="157" spans="1:24" ht="15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425"/>
      <c r="S157" s="211"/>
      <c r="U157" s="91"/>
      <c r="V157" s="210"/>
      <c r="W157" s="91"/>
      <c r="X157" s="91"/>
    </row>
    <row r="158" spans="1:24" ht="15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425"/>
      <c r="S158" s="211"/>
      <c r="U158" s="91"/>
      <c r="V158" s="210"/>
      <c r="W158" s="91"/>
      <c r="X158" s="91"/>
    </row>
    <row r="159" spans="1:24" ht="15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425"/>
      <c r="S159" s="211"/>
      <c r="U159" s="91"/>
      <c r="V159" s="210"/>
      <c r="W159" s="91"/>
      <c r="X159" s="91"/>
    </row>
    <row r="160" spans="1:24" ht="15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425"/>
      <c r="S160" s="211"/>
      <c r="U160" s="91"/>
      <c r="V160" s="210"/>
      <c r="W160" s="91"/>
      <c r="X160" s="91"/>
    </row>
    <row r="161" spans="1:24" ht="15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425"/>
      <c r="S161" s="211"/>
      <c r="U161" s="91"/>
      <c r="V161" s="210"/>
      <c r="W161" s="91"/>
      <c r="X161" s="91"/>
    </row>
    <row r="162" spans="1:24" ht="15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425"/>
      <c r="S162" s="211"/>
      <c r="U162" s="91"/>
      <c r="V162" s="210"/>
      <c r="W162" s="91"/>
      <c r="X162" s="91"/>
    </row>
    <row r="163" spans="1:24" ht="15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425"/>
      <c r="S163" s="211"/>
      <c r="U163" s="91"/>
      <c r="V163" s="210"/>
      <c r="W163" s="91"/>
      <c r="X163" s="91"/>
    </row>
    <row r="164" spans="1:24" ht="15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425"/>
      <c r="S164" s="211"/>
      <c r="U164" s="91"/>
      <c r="V164" s="210"/>
      <c r="W164" s="91"/>
      <c r="X164" s="91"/>
    </row>
    <row r="165" spans="1:24" ht="15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425"/>
      <c r="S165" s="211"/>
      <c r="U165" s="91"/>
      <c r="V165" s="210"/>
      <c r="W165" s="91"/>
      <c r="X165" s="91"/>
    </row>
    <row r="166" spans="1:24" ht="15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425"/>
      <c r="S166" s="211"/>
      <c r="U166" s="91"/>
      <c r="V166" s="210"/>
      <c r="W166" s="91"/>
      <c r="X166" s="91"/>
    </row>
    <row r="167" spans="1:24" ht="15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425"/>
      <c r="S167" s="211"/>
      <c r="U167" s="91"/>
      <c r="V167" s="210"/>
      <c r="W167" s="91"/>
      <c r="X167" s="91"/>
    </row>
    <row r="168" spans="1:24" ht="15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425"/>
      <c r="S168" s="211"/>
      <c r="U168" s="91"/>
      <c r="V168" s="210"/>
      <c r="W168" s="91"/>
      <c r="X168" s="91"/>
    </row>
    <row r="169" spans="1:24" ht="15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425"/>
      <c r="S169" s="211"/>
      <c r="U169" s="91"/>
      <c r="V169" s="210"/>
      <c r="W169" s="91"/>
      <c r="X169" s="91"/>
    </row>
    <row r="170" spans="1:24" ht="15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425"/>
      <c r="S170" s="211"/>
      <c r="U170" s="91"/>
      <c r="V170" s="210"/>
      <c r="W170" s="91"/>
      <c r="X170" s="91"/>
    </row>
    <row r="171" spans="1:24" ht="15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425"/>
      <c r="S171" s="211"/>
      <c r="U171" s="91"/>
      <c r="V171" s="210"/>
      <c r="W171" s="91"/>
      <c r="X171" s="91"/>
    </row>
    <row r="172" spans="1:24" ht="15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425"/>
      <c r="S172" s="211"/>
      <c r="U172" s="91"/>
      <c r="V172" s="210"/>
      <c r="W172" s="91"/>
      <c r="X172" s="91"/>
    </row>
    <row r="173" spans="1:24" ht="15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425"/>
      <c r="S173" s="211"/>
      <c r="U173" s="91"/>
      <c r="V173" s="210"/>
      <c r="W173" s="91"/>
      <c r="X173" s="91"/>
    </row>
    <row r="174" spans="1:24" ht="15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425"/>
      <c r="S174" s="211"/>
      <c r="U174" s="91"/>
      <c r="V174" s="210"/>
      <c r="W174" s="91"/>
      <c r="X174" s="91"/>
    </row>
    <row r="175" spans="1:24" ht="15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425"/>
      <c r="S175" s="211"/>
      <c r="U175" s="91"/>
      <c r="V175" s="210"/>
      <c r="W175" s="91"/>
      <c r="X175" s="91"/>
    </row>
    <row r="176" spans="1:24" ht="15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425"/>
      <c r="S176" s="211"/>
      <c r="U176" s="91"/>
      <c r="V176" s="210"/>
      <c r="W176" s="91"/>
      <c r="X176" s="91"/>
    </row>
    <row r="177" spans="1:24" ht="15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425"/>
      <c r="S177" s="211"/>
      <c r="U177" s="91"/>
      <c r="V177" s="210"/>
      <c r="W177" s="91"/>
      <c r="X177" s="91"/>
    </row>
    <row r="178" spans="1:24" ht="15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425"/>
      <c r="S178" s="211"/>
      <c r="U178" s="91"/>
      <c r="V178" s="210"/>
      <c r="W178" s="91"/>
      <c r="X178" s="91"/>
    </row>
    <row r="179" spans="1:24" ht="15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425"/>
      <c r="S179" s="211"/>
      <c r="U179" s="91"/>
      <c r="V179" s="210"/>
      <c r="W179" s="91"/>
      <c r="X179" s="91"/>
    </row>
    <row r="180" spans="1:24" ht="15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425"/>
      <c r="S180" s="211"/>
      <c r="U180" s="91"/>
      <c r="V180" s="210"/>
      <c r="W180" s="91"/>
      <c r="X180" s="91"/>
    </row>
    <row r="181" spans="1:24" ht="15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425"/>
      <c r="S181" s="211"/>
      <c r="U181" s="91"/>
      <c r="V181" s="210"/>
      <c r="W181" s="91"/>
      <c r="X181" s="91"/>
    </row>
    <row r="182" spans="1:24" ht="15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425"/>
      <c r="S182" s="211"/>
      <c r="U182" s="91"/>
      <c r="V182" s="210"/>
      <c r="W182" s="91"/>
      <c r="X182" s="91"/>
    </row>
    <row r="183" spans="1:24" ht="15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425"/>
      <c r="S183" s="211"/>
      <c r="U183" s="91"/>
      <c r="V183" s="210"/>
      <c r="W183" s="91"/>
      <c r="X183" s="91"/>
    </row>
    <row r="184" spans="1:24" ht="15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425"/>
      <c r="S184" s="211"/>
      <c r="U184" s="91"/>
      <c r="V184" s="210"/>
      <c r="W184" s="91"/>
      <c r="X184" s="91"/>
    </row>
    <row r="185" spans="1:24" ht="15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425"/>
      <c r="S185" s="211"/>
      <c r="U185" s="91"/>
      <c r="V185" s="210"/>
      <c r="W185" s="91"/>
      <c r="X185" s="91"/>
    </row>
    <row r="186" spans="1:24" ht="15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425"/>
      <c r="S186" s="211"/>
      <c r="U186" s="91"/>
      <c r="V186" s="210"/>
      <c r="W186" s="91"/>
      <c r="X186" s="91"/>
    </row>
    <row r="187" spans="1:24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425"/>
      <c r="S187" s="211"/>
      <c r="U187" s="91"/>
      <c r="V187" s="210"/>
      <c r="W187" s="91"/>
      <c r="X187" s="91"/>
    </row>
    <row r="188" spans="1:24" ht="15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425"/>
      <c r="S188" s="211"/>
      <c r="U188" s="91"/>
      <c r="V188" s="210"/>
      <c r="W188" s="91"/>
      <c r="X188" s="91"/>
    </row>
    <row r="189" spans="1:24" ht="15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425"/>
      <c r="S189" s="211"/>
      <c r="U189" s="91"/>
      <c r="V189" s="210"/>
      <c r="W189" s="91"/>
      <c r="X189" s="91"/>
    </row>
    <row r="190" spans="1:24" ht="15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425"/>
      <c r="S190" s="211"/>
      <c r="U190" s="91"/>
      <c r="V190" s="210"/>
      <c r="W190" s="91"/>
      <c r="X190" s="91"/>
    </row>
    <row r="191" spans="1:24" ht="15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425"/>
      <c r="S191" s="211"/>
      <c r="U191" s="91"/>
      <c r="V191" s="210"/>
      <c r="W191" s="91"/>
      <c r="X191" s="91"/>
    </row>
    <row r="192" spans="1:24" ht="15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425"/>
      <c r="S192" s="211"/>
      <c r="U192" s="91"/>
      <c r="V192" s="210"/>
      <c r="W192" s="91"/>
      <c r="X192" s="91"/>
    </row>
    <row r="193" spans="1:24" ht="15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425"/>
      <c r="S193" s="211"/>
      <c r="U193" s="91"/>
      <c r="V193" s="210"/>
      <c r="W193" s="91"/>
      <c r="X193" s="91"/>
    </row>
    <row r="194" spans="1:24" ht="15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425"/>
      <c r="S194" s="211"/>
      <c r="U194" s="91"/>
      <c r="V194" s="210"/>
      <c r="W194" s="91"/>
      <c r="X194" s="91"/>
    </row>
    <row r="195" spans="1:24" ht="15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425"/>
      <c r="S195" s="211"/>
      <c r="U195" s="91"/>
      <c r="V195" s="210"/>
      <c r="W195" s="91"/>
      <c r="X195" s="91"/>
    </row>
    <row r="196" spans="1:24" ht="15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425"/>
      <c r="S196" s="211"/>
      <c r="U196" s="91"/>
      <c r="V196" s="210"/>
      <c r="W196" s="91"/>
      <c r="X196" s="91"/>
    </row>
    <row r="197" spans="1:24" ht="15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425"/>
      <c r="S197" s="211"/>
      <c r="U197" s="91"/>
      <c r="V197" s="210"/>
      <c r="W197" s="91"/>
      <c r="X197" s="91"/>
    </row>
    <row r="198" spans="1:24" ht="15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425"/>
      <c r="S198" s="211"/>
      <c r="U198" s="91"/>
      <c r="V198" s="210"/>
      <c r="W198" s="91"/>
      <c r="X198" s="91"/>
    </row>
    <row r="199" spans="1:24" ht="15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425"/>
      <c r="S199" s="211"/>
      <c r="U199" s="91"/>
      <c r="V199" s="210"/>
      <c r="W199" s="91"/>
      <c r="X199" s="91"/>
    </row>
    <row r="200" spans="1:24" ht="15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425"/>
      <c r="S200" s="211"/>
      <c r="U200" s="91"/>
      <c r="V200" s="210"/>
      <c r="W200" s="91"/>
      <c r="X200" s="91"/>
    </row>
    <row r="201" spans="1:24" ht="15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425"/>
      <c r="S201" s="211"/>
      <c r="U201" s="91"/>
      <c r="V201" s="210"/>
      <c r="W201" s="91"/>
      <c r="X201" s="91"/>
    </row>
    <row r="202" spans="1:24" ht="15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425"/>
      <c r="S202" s="211"/>
      <c r="U202" s="91"/>
      <c r="V202" s="210"/>
      <c r="W202" s="91"/>
      <c r="X202" s="91"/>
    </row>
    <row r="203" spans="1:24" ht="15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425"/>
      <c r="S203" s="211"/>
      <c r="U203" s="91"/>
      <c r="V203" s="210"/>
      <c r="W203" s="91"/>
      <c r="X203" s="91"/>
    </row>
    <row r="204" spans="1:24" ht="15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425"/>
      <c r="S204" s="211"/>
      <c r="U204" s="91"/>
      <c r="V204" s="210"/>
      <c r="W204" s="91"/>
      <c r="X204" s="91"/>
    </row>
    <row r="205" spans="1:24" ht="15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425"/>
      <c r="S205" s="211"/>
      <c r="U205" s="91"/>
      <c r="V205" s="210"/>
      <c r="W205" s="91"/>
      <c r="X205" s="91"/>
    </row>
    <row r="206" spans="1:24" ht="15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425"/>
      <c r="S206" s="211"/>
      <c r="U206" s="91"/>
      <c r="V206" s="210"/>
      <c r="W206" s="91"/>
      <c r="X206" s="91"/>
    </row>
    <row r="207" spans="1:24" ht="15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425"/>
      <c r="S207" s="211"/>
      <c r="U207" s="91"/>
      <c r="V207" s="210"/>
      <c r="W207" s="91"/>
      <c r="X207" s="91"/>
    </row>
    <row r="208" spans="1:24" ht="15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425"/>
      <c r="S208" s="211"/>
      <c r="U208" s="91"/>
      <c r="V208" s="210"/>
      <c r="W208" s="91"/>
      <c r="X208" s="91"/>
    </row>
    <row r="209" spans="1:24" ht="15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425"/>
      <c r="S209" s="211"/>
      <c r="U209" s="91"/>
      <c r="V209" s="210"/>
      <c r="W209" s="91"/>
      <c r="X209" s="91"/>
    </row>
    <row r="210" spans="1:24" ht="15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425"/>
      <c r="S210" s="211"/>
      <c r="U210" s="91"/>
      <c r="V210" s="210"/>
      <c r="W210" s="91"/>
      <c r="X210" s="91"/>
    </row>
    <row r="211" spans="1:24" ht="15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425"/>
      <c r="S211" s="211"/>
      <c r="U211" s="91"/>
      <c r="V211" s="210"/>
      <c r="W211" s="91"/>
      <c r="X211" s="91"/>
    </row>
    <row r="212" spans="1:24" ht="15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425"/>
      <c r="S212" s="211"/>
      <c r="U212" s="91"/>
      <c r="V212" s="210"/>
      <c r="W212" s="91"/>
      <c r="X212" s="91"/>
    </row>
    <row r="213" spans="1:24" ht="15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425"/>
      <c r="S213" s="211"/>
      <c r="U213" s="91"/>
      <c r="V213" s="210"/>
      <c r="W213" s="91"/>
      <c r="X213" s="91"/>
    </row>
    <row r="214" spans="1:24" ht="15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425"/>
      <c r="S214" s="211"/>
      <c r="U214" s="91"/>
      <c r="V214" s="210"/>
      <c r="W214" s="91"/>
      <c r="X214" s="91"/>
    </row>
    <row r="215" spans="1:24" ht="15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425"/>
      <c r="S215" s="211"/>
      <c r="U215" s="91"/>
      <c r="V215" s="210"/>
      <c r="W215" s="91"/>
      <c r="X215" s="91"/>
    </row>
    <row r="216" spans="1:24" ht="15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425"/>
      <c r="S216" s="211"/>
      <c r="U216" s="91"/>
      <c r="V216" s="210"/>
      <c r="W216" s="91"/>
      <c r="X216" s="91"/>
    </row>
    <row r="217" spans="1:24" ht="15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425"/>
      <c r="S217" s="211"/>
      <c r="U217" s="91"/>
      <c r="V217" s="210"/>
      <c r="W217" s="91"/>
      <c r="X217" s="91"/>
    </row>
    <row r="218" spans="1:24" ht="15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425"/>
      <c r="S218" s="211"/>
      <c r="U218" s="91"/>
      <c r="V218" s="210"/>
      <c r="W218" s="91"/>
      <c r="X218" s="91"/>
    </row>
    <row r="219" spans="1:24" ht="15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425"/>
      <c r="S219" s="211"/>
      <c r="U219" s="91"/>
      <c r="V219" s="210"/>
      <c r="W219" s="91"/>
      <c r="X219" s="91"/>
    </row>
    <row r="220" spans="1:24" ht="15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425"/>
      <c r="S220" s="211"/>
      <c r="U220" s="91"/>
      <c r="V220" s="210"/>
      <c r="W220" s="91"/>
      <c r="X220" s="91"/>
    </row>
    <row r="221" spans="1:24" ht="15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425"/>
      <c r="S221" s="211"/>
      <c r="U221" s="91"/>
      <c r="V221" s="210"/>
      <c r="W221" s="91"/>
      <c r="X221" s="91"/>
    </row>
    <row r="222" spans="1:24" ht="15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425"/>
      <c r="S222" s="211"/>
      <c r="U222" s="91"/>
      <c r="V222" s="210"/>
      <c r="W222" s="91"/>
      <c r="X222" s="91"/>
    </row>
    <row r="223" spans="1:24" ht="15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425"/>
      <c r="S223" s="211"/>
      <c r="U223" s="91"/>
      <c r="V223" s="210"/>
      <c r="W223" s="91"/>
      <c r="X223" s="91"/>
    </row>
    <row r="224" spans="1:24" ht="15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425"/>
      <c r="S224" s="211"/>
      <c r="U224" s="91"/>
      <c r="V224" s="210"/>
      <c r="W224" s="91"/>
      <c r="X224" s="91"/>
    </row>
    <row r="225" spans="1:24" ht="15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425"/>
      <c r="S225" s="211"/>
      <c r="U225" s="91"/>
      <c r="V225" s="210"/>
      <c r="W225" s="91"/>
      <c r="X225" s="91"/>
    </row>
    <row r="226" spans="1:24" ht="15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425"/>
      <c r="S226" s="211"/>
      <c r="U226" s="91"/>
      <c r="V226" s="210"/>
      <c r="W226" s="91"/>
      <c r="X226" s="91"/>
    </row>
    <row r="227" spans="1:24" ht="15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425"/>
      <c r="S227" s="211"/>
      <c r="U227" s="91"/>
      <c r="V227" s="210"/>
      <c r="W227" s="91"/>
      <c r="X227" s="91"/>
    </row>
    <row r="228" spans="1:24" ht="15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425"/>
      <c r="S228" s="211"/>
      <c r="U228" s="91"/>
      <c r="V228" s="210"/>
      <c r="W228" s="91"/>
      <c r="X228" s="91"/>
    </row>
    <row r="229" spans="1:24" ht="15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425"/>
      <c r="S229" s="211"/>
      <c r="U229" s="91"/>
      <c r="V229" s="210"/>
      <c r="W229" s="91"/>
      <c r="X229" s="91"/>
    </row>
    <row r="230" spans="1:24" ht="15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425"/>
      <c r="S230" s="211"/>
      <c r="U230" s="91"/>
      <c r="V230" s="210"/>
      <c r="W230" s="91"/>
      <c r="X230" s="91"/>
    </row>
    <row r="231" spans="1:24" ht="15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425"/>
      <c r="S231" s="211"/>
      <c r="U231" s="91"/>
      <c r="V231" s="210"/>
      <c r="W231" s="91"/>
      <c r="X231" s="91"/>
    </row>
    <row r="232" spans="1:24" ht="15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425"/>
      <c r="S232" s="211"/>
      <c r="U232" s="91"/>
      <c r="V232" s="210"/>
      <c r="W232" s="91"/>
      <c r="X232" s="91"/>
    </row>
    <row r="233" spans="1:24" ht="15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425"/>
      <c r="S233" s="211"/>
      <c r="U233" s="91"/>
      <c r="V233" s="210"/>
      <c r="W233" s="91"/>
      <c r="X233" s="91"/>
    </row>
    <row r="234" spans="1:24" ht="15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425"/>
      <c r="S234" s="211"/>
      <c r="U234" s="91"/>
      <c r="V234" s="210"/>
      <c r="W234" s="91"/>
      <c r="X234" s="91"/>
    </row>
    <row r="235" spans="1:24" ht="15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425"/>
      <c r="S235" s="211"/>
      <c r="U235" s="91"/>
      <c r="V235" s="210"/>
      <c r="W235" s="91"/>
      <c r="X235" s="91"/>
    </row>
    <row r="236" spans="1:24" ht="15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425"/>
      <c r="S236" s="211"/>
      <c r="U236" s="91"/>
      <c r="V236" s="210"/>
      <c r="W236" s="91"/>
      <c r="X236" s="91"/>
    </row>
    <row r="237" spans="1:24" ht="15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425"/>
      <c r="S237" s="211"/>
      <c r="U237" s="91"/>
      <c r="V237" s="210"/>
      <c r="W237" s="91"/>
      <c r="X237" s="91"/>
    </row>
    <row r="238" spans="1:24" ht="15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425"/>
      <c r="S238" s="211"/>
      <c r="U238" s="91"/>
      <c r="V238" s="210"/>
      <c r="W238" s="91"/>
      <c r="X238" s="91"/>
    </row>
    <row r="239" spans="1:24" ht="15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425"/>
      <c r="S239" s="211"/>
      <c r="U239" s="91"/>
      <c r="V239" s="210"/>
      <c r="W239" s="91"/>
      <c r="X239" s="91"/>
    </row>
    <row r="240" spans="1:24" ht="15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425"/>
      <c r="S240" s="211"/>
      <c r="U240" s="91"/>
      <c r="V240" s="210"/>
      <c r="W240" s="91"/>
      <c r="X240" s="91"/>
    </row>
    <row r="241" spans="1:24" ht="15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425"/>
      <c r="S241" s="211"/>
      <c r="U241" s="91"/>
      <c r="V241" s="210"/>
      <c r="W241" s="91"/>
      <c r="X241" s="91"/>
    </row>
    <row r="242" spans="1:24" ht="15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425"/>
      <c r="S242" s="211"/>
      <c r="U242" s="91"/>
      <c r="V242" s="210"/>
      <c r="W242" s="91"/>
      <c r="X242" s="91"/>
    </row>
    <row r="243" spans="1:24" ht="15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425"/>
      <c r="S243" s="211"/>
      <c r="U243" s="91"/>
      <c r="V243" s="210"/>
      <c r="W243" s="91"/>
      <c r="X243" s="91"/>
    </row>
    <row r="244" spans="1:24" ht="15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425"/>
      <c r="S244" s="211"/>
      <c r="U244" s="91"/>
      <c r="V244" s="210"/>
      <c r="W244" s="91"/>
      <c r="X244" s="91"/>
    </row>
    <row r="245" spans="1:24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425"/>
      <c r="S245" s="211"/>
      <c r="U245" s="91"/>
      <c r="V245" s="210"/>
      <c r="W245" s="91"/>
      <c r="X245" s="91"/>
    </row>
    <row r="246" spans="1:24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425"/>
      <c r="S246" s="211"/>
      <c r="U246" s="91"/>
      <c r="V246" s="210"/>
      <c r="W246" s="91"/>
      <c r="X246" s="91"/>
    </row>
    <row r="247" spans="1:24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425"/>
      <c r="S247" s="211"/>
      <c r="U247" s="91"/>
      <c r="V247" s="210"/>
      <c r="W247" s="91"/>
      <c r="X247" s="91"/>
    </row>
    <row r="248" spans="1:24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425"/>
      <c r="S248" s="211"/>
      <c r="U248" s="91"/>
      <c r="V248" s="210"/>
      <c r="W248" s="91"/>
      <c r="X248" s="91"/>
    </row>
    <row r="249" spans="1:24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425"/>
      <c r="S249" s="211"/>
      <c r="U249" s="91"/>
      <c r="V249" s="210"/>
      <c r="W249" s="91"/>
      <c r="X249" s="91"/>
    </row>
    <row r="250" spans="1:24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425"/>
      <c r="S250" s="211"/>
      <c r="U250" s="91"/>
      <c r="V250" s="210"/>
      <c r="W250" s="91"/>
      <c r="X250" s="91"/>
    </row>
    <row r="251" spans="1:24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425"/>
      <c r="S251" s="211"/>
      <c r="U251" s="91"/>
      <c r="V251" s="210"/>
      <c r="W251" s="91"/>
      <c r="X251" s="91"/>
    </row>
    <row r="252" spans="1:24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425"/>
      <c r="S252" s="211"/>
      <c r="U252" s="91"/>
      <c r="V252" s="210"/>
      <c r="W252" s="91"/>
      <c r="X252" s="91"/>
    </row>
    <row r="253" spans="1:24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425"/>
      <c r="S253" s="211"/>
      <c r="U253" s="91"/>
      <c r="V253" s="210"/>
      <c r="W253" s="91"/>
      <c r="X253" s="91"/>
    </row>
    <row r="254" spans="1:24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425"/>
      <c r="S254" s="211"/>
      <c r="U254" s="91"/>
      <c r="V254" s="210"/>
      <c r="W254" s="91"/>
      <c r="X254" s="91"/>
    </row>
    <row r="255" spans="1:24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425"/>
      <c r="S255" s="211"/>
      <c r="U255" s="91"/>
      <c r="V255" s="210"/>
      <c r="W255" s="91"/>
      <c r="X255" s="91"/>
    </row>
    <row r="256" spans="1:24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425"/>
      <c r="S256" s="211"/>
      <c r="U256" s="91"/>
      <c r="V256" s="210"/>
      <c r="W256" s="91"/>
      <c r="X256" s="91"/>
    </row>
    <row r="257" spans="1:24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425"/>
      <c r="S257" s="211"/>
      <c r="U257" s="91"/>
      <c r="V257" s="210"/>
      <c r="W257" s="91"/>
      <c r="X257" s="91"/>
    </row>
    <row r="258" spans="1:24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425"/>
      <c r="S258" s="211"/>
      <c r="U258" s="91"/>
      <c r="V258" s="210"/>
      <c r="W258" s="91"/>
      <c r="X258" s="91"/>
    </row>
    <row r="259" spans="1:24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425"/>
      <c r="S259" s="211"/>
      <c r="U259" s="91"/>
      <c r="V259" s="210"/>
      <c r="W259" s="91"/>
      <c r="X259" s="91"/>
    </row>
    <row r="260" spans="1:24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425"/>
      <c r="S260" s="211"/>
      <c r="U260" s="91"/>
      <c r="V260" s="210"/>
      <c r="W260" s="91"/>
      <c r="X260" s="91"/>
    </row>
    <row r="261" spans="1:24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425"/>
      <c r="S261" s="211"/>
      <c r="U261" s="91"/>
      <c r="V261" s="210"/>
      <c r="W261" s="91"/>
      <c r="X261" s="91"/>
    </row>
    <row r="262" spans="1:24" ht="15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425"/>
      <c r="S262" s="211"/>
      <c r="U262" s="91"/>
      <c r="V262" s="210"/>
      <c r="W262" s="91"/>
      <c r="X262" s="91"/>
    </row>
    <row r="263" spans="1:24" ht="15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425"/>
      <c r="S263" s="211"/>
      <c r="U263" s="91"/>
      <c r="V263" s="210"/>
      <c r="W263" s="91"/>
      <c r="X263" s="91"/>
    </row>
    <row r="264" spans="1:24" ht="15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425"/>
      <c r="S264" s="211"/>
      <c r="U264" s="91"/>
      <c r="V264" s="210"/>
      <c r="W264" s="91"/>
      <c r="X264" s="91"/>
    </row>
    <row r="265" spans="1:24" ht="15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425"/>
      <c r="S265" s="211"/>
      <c r="U265" s="91"/>
      <c r="V265" s="210"/>
      <c r="W265" s="91"/>
      <c r="X265" s="91"/>
    </row>
    <row r="266" spans="1:24" ht="15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425"/>
      <c r="S266" s="211"/>
      <c r="U266" s="91"/>
      <c r="V266" s="210"/>
      <c r="W266" s="91"/>
      <c r="X266" s="91"/>
    </row>
    <row r="267" spans="1:24" ht="15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425"/>
      <c r="S267" s="211"/>
      <c r="U267" s="91"/>
      <c r="V267" s="210"/>
      <c r="W267" s="91"/>
      <c r="X267" s="91"/>
    </row>
    <row r="268" spans="1:24" ht="15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425"/>
      <c r="S268" s="211"/>
      <c r="U268" s="91"/>
      <c r="V268" s="210"/>
      <c r="W268" s="91"/>
      <c r="X268" s="91"/>
    </row>
    <row r="269" spans="1:24" ht="15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425"/>
      <c r="S269" s="211"/>
      <c r="U269" s="91"/>
      <c r="V269" s="210"/>
      <c r="W269" s="91"/>
      <c r="X269" s="91"/>
    </row>
    <row r="270" spans="1:24" ht="15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425"/>
      <c r="S270" s="211"/>
      <c r="U270" s="91"/>
      <c r="V270" s="210"/>
      <c r="W270" s="91"/>
      <c r="X270" s="91"/>
    </row>
    <row r="271" spans="1:24" ht="15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425"/>
      <c r="S271" s="211"/>
      <c r="U271" s="91"/>
      <c r="V271" s="210"/>
      <c r="W271" s="91"/>
      <c r="X271" s="91"/>
    </row>
    <row r="272" spans="1:24" ht="15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425"/>
      <c r="S272" s="211"/>
      <c r="U272" s="91"/>
      <c r="V272" s="210"/>
      <c r="W272" s="91"/>
      <c r="X272" s="91"/>
    </row>
    <row r="273" spans="1:24" ht="15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425"/>
      <c r="S273" s="211"/>
      <c r="U273" s="91"/>
      <c r="V273" s="210"/>
      <c r="W273" s="91"/>
      <c r="X273" s="91"/>
    </row>
    <row r="274" spans="1:24" ht="15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425"/>
      <c r="S274" s="211"/>
      <c r="U274" s="91"/>
      <c r="V274" s="210"/>
      <c r="W274" s="91"/>
      <c r="X274" s="91"/>
    </row>
    <row r="275" spans="1:24" ht="15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425"/>
      <c r="S275" s="211"/>
      <c r="U275" s="91"/>
      <c r="V275" s="210"/>
      <c r="W275" s="91"/>
      <c r="X275" s="91"/>
    </row>
    <row r="276" spans="1:24" ht="15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425"/>
      <c r="S276" s="211"/>
      <c r="U276" s="91"/>
      <c r="V276" s="210"/>
      <c r="W276" s="91"/>
      <c r="X276" s="91"/>
    </row>
    <row r="277" spans="1:24" ht="15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425"/>
      <c r="S277" s="211"/>
      <c r="U277" s="91"/>
      <c r="V277" s="210"/>
      <c r="W277" s="91"/>
      <c r="X277" s="91"/>
    </row>
    <row r="278" spans="1:24" ht="15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425"/>
      <c r="S278" s="211"/>
      <c r="U278" s="91"/>
      <c r="V278" s="210"/>
      <c r="W278" s="91"/>
      <c r="X278" s="91"/>
    </row>
    <row r="279" spans="1:24" ht="15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425"/>
      <c r="S279" s="211"/>
      <c r="U279" s="91"/>
      <c r="V279" s="210"/>
      <c r="W279" s="91"/>
      <c r="X279" s="91"/>
    </row>
    <row r="280" spans="1:24" ht="15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425"/>
      <c r="S280" s="211"/>
      <c r="U280" s="91"/>
      <c r="V280" s="210"/>
      <c r="W280" s="91"/>
      <c r="X280" s="91"/>
    </row>
    <row r="281" spans="1:24" ht="15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425"/>
      <c r="S281" s="211"/>
      <c r="U281" s="91"/>
      <c r="V281" s="210"/>
      <c r="W281" s="91"/>
      <c r="X281" s="91"/>
    </row>
    <row r="282" spans="1:24" ht="15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425"/>
      <c r="S282" s="211"/>
      <c r="U282" s="91"/>
      <c r="V282" s="210"/>
      <c r="W282" s="91"/>
      <c r="X282" s="91"/>
    </row>
    <row r="283" spans="1:24" ht="15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425"/>
      <c r="S283" s="211"/>
      <c r="U283" s="91"/>
      <c r="V283" s="210"/>
      <c r="W283" s="91"/>
      <c r="X283" s="91"/>
    </row>
    <row r="284" spans="1:24" ht="15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425"/>
      <c r="S284" s="211"/>
      <c r="U284" s="91"/>
      <c r="V284" s="210"/>
      <c r="W284" s="91"/>
      <c r="X284" s="91"/>
    </row>
    <row r="285" spans="1:24" ht="15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425"/>
      <c r="S285" s="211"/>
      <c r="U285" s="91"/>
      <c r="V285" s="210"/>
      <c r="W285" s="91"/>
      <c r="X285" s="91"/>
    </row>
    <row r="286" spans="1:24" ht="15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425"/>
      <c r="S286" s="211"/>
      <c r="U286" s="91"/>
      <c r="V286" s="210"/>
      <c r="W286" s="91"/>
      <c r="X286" s="91"/>
    </row>
    <row r="287" spans="1:24" ht="15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425"/>
      <c r="S287" s="211"/>
      <c r="U287" s="91"/>
      <c r="V287" s="210"/>
      <c r="W287" s="91"/>
      <c r="X287" s="91"/>
    </row>
    <row r="288" spans="1:24" ht="15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425"/>
      <c r="S288" s="211"/>
      <c r="U288" s="91"/>
      <c r="V288" s="210"/>
      <c r="W288" s="91"/>
      <c r="X288" s="91"/>
    </row>
    <row r="289" spans="1:24" ht="15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425"/>
      <c r="S289" s="211"/>
      <c r="U289" s="91"/>
      <c r="V289" s="210"/>
      <c r="W289" s="91"/>
      <c r="X289" s="91"/>
    </row>
    <row r="290" spans="1:24" ht="15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425"/>
      <c r="S290" s="211"/>
      <c r="U290" s="91"/>
      <c r="V290" s="210"/>
      <c r="W290" s="91"/>
      <c r="X290" s="91"/>
    </row>
    <row r="291" spans="1:24" ht="15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425"/>
      <c r="S291" s="211"/>
      <c r="U291" s="91"/>
      <c r="V291" s="210"/>
      <c r="W291" s="91"/>
      <c r="X291" s="91"/>
    </row>
    <row r="292" spans="1:24" ht="15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425"/>
      <c r="S292" s="211"/>
      <c r="U292" s="91"/>
      <c r="V292" s="210"/>
      <c r="W292" s="91"/>
      <c r="X292" s="91"/>
    </row>
    <row r="293" spans="1:24" ht="15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425"/>
      <c r="S293" s="211"/>
      <c r="U293" s="91"/>
      <c r="V293" s="210"/>
      <c r="W293" s="91"/>
      <c r="X293" s="91"/>
    </row>
    <row r="294" spans="1:24" ht="15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425"/>
      <c r="S294" s="211"/>
      <c r="U294" s="91"/>
      <c r="V294" s="210"/>
      <c r="W294" s="91"/>
      <c r="X294" s="91"/>
    </row>
    <row r="295" spans="1:24" ht="15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425"/>
      <c r="S295" s="211"/>
      <c r="U295" s="91"/>
      <c r="V295" s="210"/>
      <c r="W295" s="91"/>
      <c r="X295" s="91"/>
    </row>
    <row r="296" spans="1:24" ht="15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425"/>
      <c r="S296" s="211"/>
      <c r="U296" s="91"/>
      <c r="V296" s="210"/>
      <c r="W296" s="91"/>
      <c r="X296" s="91"/>
    </row>
    <row r="297" spans="1:24" ht="15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425"/>
      <c r="S297" s="211"/>
      <c r="U297" s="91"/>
      <c r="V297" s="210"/>
      <c r="W297" s="91"/>
      <c r="X297" s="91"/>
    </row>
    <row r="298" spans="1:24" ht="15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425"/>
      <c r="S298" s="211"/>
      <c r="U298" s="91"/>
      <c r="V298" s="210"/>
      <c r="W298" s="91"/>
      <c r="X298" s="91"/>
    </row>
    <row r="299" spans="1:24" ht="15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425"/>
      <c r="S299" s="211"/>
      <c r="U299" s="91"/>
      <c r="V299" s="210"/>
      <c r="W299" s="91"/>
      <c r="X299" s="91"/>
    </row>
    <row r="300" spans="1:24" ht="15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425"/>
      <c r="S300" s="211"/>
      <c r="U300" s="91"/>
      <c r="V300" s="210"/>
      <c r="W300" s="91"/>
      <c r="X300" s="91"/>
    </row>
    <row r="301" spans="1:24" ht="15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425"/>
      <c r="S301" s="211"/>
      <c r="U301" s="91"/>
      <c r="V301" s="210"/>
      <c r="W301" s="91"/>
      <c r="X301" s="91"/>
    </row>
    <row r="302" spans="1:24" ht="15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425"/>
      <c r="S302" s="211"/>
      <c r="U302" s="91"/>
      <c r="V302" s="210"/>
      <c r="W302" s="91"/>
      <c r="X302" s="91"/>
    </row>
    <row r="303" spans="1:24" ht="15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425"/>
      <c r="S303" s="211"/>
      <c r="U303" s="91"/>
      <c r="V303" s="210"/>
      <c r="W303" s="91"/>
      <c r="X303" s="91"/>
    </row>
    <row r="304" spans="1:24" ht="15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425"/>
      <c r="S304" s="211"/>
      <c r="U304" s="91"/>
      <c r="V304" s="210"/>
      <c r="W304" s="91"/>
      <c r="X304" s="91"/>
    </row>
    <row r="305" spans="1:24" ht="15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425"/>
      <c r="S305" s="211"/>
      <c r="U305" s="91"/>
      <c r="V305" s="210"/>
      <c r="W305" s="91"/>
      <c r="X305" s="91"/>
    </row>
    <row r="306" spans="1:24" ht="15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425"/>
      <c r="S306" s="211"/>
      <c r="U306" s="91"/>
      <c r="V306" s="210"/>
      <c r="W306" s="91"/>
      <c r="X306" s="91"/>
    </row>
    <row r="307" spans="1:24" ht="15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425"/>
      <c r="S307" s="211"/>
      <c r="U307" s="91"/>
      <c r="V307" s="210"/>
      <c r="W307" s="91"/>
      <c r="X307" s="91"/>
    </row>
    <row r="308" spans="1:24" ht="15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425"/>
      <c r="S308" s="211"/>
      <c r="U308" s="91"/>
      <c r="V308" s="210"/>
      <c r="W308" s="91"/>
      <c r="X308" s="91"/>
    </row>
    <row r="309" spans="1:24" ht="15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425"/>
      <c r="S309" s="211"/>
      <c r="U309" s="91"/>
      <c r="V309" s="210"/>
      <c r="W309" s="91"/>
      <c r="X309" s="91"/>
    </row>
    <row r="310" spans="1:24" ht="15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425"/>
      <c r="S310" s="211"/>
      <c r="U310" s="91"/>
      <c r="V310" s="210"/>
      <c r="W310" s="91"/>
      <c r="X310" s="91"/>
    </row>
    <row r="311" spans="1:24" ht="15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425"/>
      <c r="S311" s="211"/>
      <c r="U311" s="91"/>
      <c r="V311" s="210"/>
      <c r="W311" s="91"/>
      <c r="X311" s="91"/>
    </row>
    <row r="312" spans="1:24" ht="15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425"/>
      <c r="S312" s="211"/>
      <c r="U312" s="91"/>
      <c r="V312" s="210"/>
      <c r="W312" s="91"/>
      <c r="X312" s="91"/>
    </row>
    <row r="313" spans="1:24" ht="15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425"/>
      <c r="S313" s="211"/>
      <c r="U313" s="91"/>
      <c r="V313" s="210"/>
      <c r="W313" s="91"/>
      <c r="X313" s="91"/>
    </row>
    <row r="314" spans="1:24" ht="15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425"/>
      <c r="S314" s="211"/>
      <c r="U314" s="91"/>
      <c r="V314" s="210"/>
      <c r="W314" s="91"/>
      <c r="X314" s="91"/>
    </row>
    <row r="315" spans="1:24" ht="15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425"/>
      <c r="S315" s="211"/>
      <c r="U315" s="91"/>
      <c r="V315" s="210"/>
      <c r="W315" s="91"/>
      <c r="X315" s="91"/>
    </row>
    <row r="316" spans="1:24" ht="15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425"/>
      <c r="S316" s="211"/>
      <c r="U316" s="91"/>
      <c r="V316" s="210"/>
      <c r="W316" s="91"/>
      <c r="X316" s="91"/>
    </row>
    <row r="317" spans="1:24" ht="15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425"/>
      <c r="S317" s="211"/>
      <c r="U317" s="91"/>
      <c r="V317" s="210"/>
      <c r="W317" s="91"/>
      <c r="X317" s="91"/>
    </row>
    <row r="318" spans="1:24" ht="15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425"/>
      <c r="S318" s="211"/>
      <c r="U318" s="91"/>
      <c r="V318" s="210"/>
      <c r="W318" s="91"/>
      <c r="X318" s="91"/>
    </row>
    <row r="319" spans="1:24" ht="15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425"/>
      <c r="S319" s="211"/>
      <c r="U319" s="91"/>
      <c r="V319" s="210"/>
      <c r="W319" s="91"/>
      <c r="X319" s="91"/>
    </row>
    <row r="320" spans="1:24" ht="15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425"/>
      <c r="S320" s="211"/>
      <c r="U320" s="91"/>
      <c r="V320" s="210"/>
      <c r="W320" s="91"/>
      <c r="X320" s="91"/>
    </row>
    <row r="321" spans="1:24" ht="15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425"/>
      <c r="S321" s="211"/>
      <c r="U321" s="91"/>
      <c r="V321" s="210"/>
      <c r="W321" s="91"/>
      <c r="X321" s="91"/>
    </row>
    <row r="322" spans="1:24" ht="15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425"/>
      <c r="S322" s="211"/>
      <c r="U322" s="91"/>
      <c r="V322" s="210"/>
      <c r="W322" s="91"/>
      <c r="X322" s="91"/>
    </row>
    <row r="323" spans="1:24" ht="15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425"/>
      <c r="S323" s="211"/>
      <c r="U323" s="91"/>
      <c r="V323" s="210"/>
      <c r="W323" s="91"/>
      <c r="X323" s="91"/>
    </row>
    <row r="324" spans="1:24" ht="15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425"/>
      <c r="S324" s="211"/>
      <c r="U324" s="91"/>
      <c r="V324" s="210"/>
      <c r="W324" s="91"/>
      <c r="X324" s="91"/>
    </row>
    <row r="325" spans="1:24" ht="15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425"/>
      <c r="S325" s="211"/>
      <c r="U325" s="91"/>
      <c r="V325" s="210"/>
      <c r="W325" s="91"/>
      <c r="X325" s="91"/>
    </row>
    <row r="326" spans="1:24" ht="15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425"/>
      <c r="S326" s="211"/>
      <c r="U326" s="91"/>
      <c r="V326" s="210"/>
      <c r="W326" s="91"/>
      <c r="X326" s="91"/>
    </row>
    <row r="327" spans="1:24" ht="15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425"/>
      <c r="S327" s="211"/>
      <c r="U327" s="91"/>
      <c r="V327" s="210"/>
      <c r="W327" s="91"/>
      <c r="X327" s="91"/>
    </row>
    <row r="328" spans="1:24" ht="15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425"/>
      <c r="S328" s="211"/>
      <c r="U328" s="91"/>
      <c r="V328" s="210"/>
      <c r="W328" s="91"/>
      <c r="X328" s="91"/>
    </row>
    <row r="329" spans="1:24" ht="15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425"/>
      <c r="S329" s="211"/>
      <c r="U329" s="91"/>
      <c r="V329" s="210"/>
      <c r="W329" s="91"/>
      <c r="X329" s="91"/>
    </row>
    <row r="330" spans="1:24" ht="15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425"/>
      <c r="S330" s="211"/>
      <c r="U330" s="91"/>
      <c r="V330" s="210"/>
      <c r="W330" s="91"/>
      <c r="X330" s="91"/>
    </row>
    <row r="331" spans="1:24" ht="15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425"/>
      <c r="S331" s="211"/>
      <c r="U331" s="91"/>
      <c r="V331" s="210"/>
      <c r="W331" s="91"/>
      <c r="X331" s="91"/>
    </row>
    <row r="332" spans="1:24" ht="15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425"/>
      <c r="S332" s="211"/>
      <c r="U332" s="91"/>
      <c r="V332" s="210"/>
      <c r="W332" s="91"/>
      <c r="X332" s="91"/>
    </row>
    <row r="333" spans="1:24" ht="15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425"/>
      <c r="S333" s="211"/>
      <c r="U333" s="91"/>
      <c r="V333" s="210"/>
      <c r="W333" s="91"/>
      <c r="X333" s="91"/>
    </row>
    <row r="334" spans="1:24" ht="15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425"/>
      <c r="S334" s="211"/>
      <c r="U334" s="91"/>
      <c r="V334" s="210"/>
      <c r="W334" s="91"/>
      <c r="X334" s="91"/>
    </row>
    <row r="335" spans="1:24" ht="15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425"/>
      <c r="S335" s="211"/>
      <c r="U335" s="91"/>
      <c r="V335" s="210"/>
      <c r="W335" s="91"/>
      <c r="X335" s="91"/>
    </row>
    <row r="336" spans="1:24" ht="15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425"/>
      <c r="S336" s="211"/>
      <c r="U336" s="91"/>
      <c r="V336" s="210"/>
      <c r="W336" s="91"/>
      <c r="X336" s="91"/>
    </row>
    <row r="337" spans="1:24" ht="15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425"/>
      <c r="S337" s="211"/>
      <c r="U337" s="91"/>
      <c r="V337" s="210"/>
      <c r="W337" s="91"/>
      <c r="X337" s="91"/>
    </row>
    <row r="338" spans="1:24" ht="15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425"/>
      <c r="S338" s="211"/>
      <c r="U338" s="91"/>
      <c r="V338" s="210"/>
      <c r="W338" s="91"/>
      <c r="X338" s="91"/>
    </row>
    <row r="339" spans="1:24" ht="15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425"/>
      <c r="S339" s="211"/>
      <c r="U339" s="91"/>
      <c r="V339" s="210"/>
      <c r="W339" s="91"/>
      <c r="X339" s="91"/>
    </row>
    <row r="340" spans="1:24" ht="15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425"/>
      <c r="S340" s="211"/>
      <c r="U340" s="91"/>
      <c r="V340" s="210"/>
      <c r="W340" s="91"/>
      <c r="X340" s="91"/>
    </row>
    <row r="341" spans="1:24" ht="15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425"/>
      <c r="S341" s="211"/>
      <c r="U341" s="91"/>
      <c r="V341" s="210"/>
      <c r="W341" s="91"/>
      <c r="X341" s="91"/>
    </row>
    <row r="342" spans="1:24" ht="15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425"/>
      <c r="S342" s="211"/>
      <c r="U342" s="91"/>
      <c r="V342" s="210"/>
      <c r="W342" s="91"/>
      <c r="X342" s="91"/>
    </row>
    <row r="343" spans="1:24" ht="15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425"/>
      <c r="S343" s="211"/>
      <c r="U343" s="91"/>
      <c r="V343" s="210"/>
      <c r="W343" s="91"/>
      <c r="X343" s="91"/>
    </row>
    <row r="344" spans="1:24" ht="15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425"/>
      <c r="S344" s="211"/>
      <c r="U344" s="91"/>
      <c r="V344" s="210"/>
      <c r="W344" s="91"/>
      <c r="X344" s="91"/>
    </row>
    <row r="345" spans="1:24" ht="15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425"/>
      <c r="S345" s="211"/>
      <c r="U345" s="91"/>
      <c r="V345" s="210"/>
      <c r="W345" s="91"/>
      <c r="X345" s="91"/>
    </row>
    <row r="346" spans="1:24" ht="15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425"/>
      <c r="S346" s="211"/>
      <c r="U346" s="91"/>
      <c r="V346" s="210"/>
      <c r="W346" s="91"/>
      <c r="X346" s="91"/>
    </row>
    <row r="347" spans="1:24" ht="15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425"/>
      <c r="S347" s="211"/>
      <c r="U347" s="91"/>
      <c r="V347" s="210"/>
      <c r="W347" s="91"/>
      <c r="X347" s="91"/>
    </row>
    <row r="348" spans="1:24" ht="15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425"/>
      <c r="S348" s="211"/>
      <c r="U348" s="91"/>
      <c r="V348" s="210"/>
      <c r="W348" s="91"/>
      <c r="X348" s="91"/>
    </row>
    <row r="349" spans="1:24" ht="15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425"/>
      <c r="S349" s="211"/>
      <c r="U349" s="91"/>
      <c r="V349" s="210"/>
      <c r="W349" s="91"/>
      <c r="X349" s="91"/>
    </row>
    <row r="350" spans="1:24" ht="15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425"/>
      <c r="S350" s="211"/>
      <c r="U350" s="91"/>
      <c r="V350" s="210"/>
      <c r="W350" s="91"/>
      <c r="X350" s="91"/>
    </row>
    <row r="351" spans="1:24" ht="15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425"/>
      <c r="S351" s="211"/>
      <c r="U351" s="91"/>
      <c r="V351" s="210"/>
      <c r="W351" s="91"/>
      <c r="X351" s="91"/>
    </row>
    <row r="352" spans="1:24" ht="15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425"/>
      <c r="S352" s="211"/>
      <c r="U352" s="91"/>
      <c r="V352" s="210"/>
      <c r="W352" s="91"/>
      <c r="X352" s="91"/>
    </row>
    <row r="353" spans="1:24" ht="15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425"/>
      <c r="S353" s="211"/>
      <c r="U353" s="91"/>
      <c r="V353" s="210"/>
      <c r="W353" s="91"/>
      <c r="X353" s="91"/>
    </row>
    <row r="354" spans="1:24" ht="15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425"/>
      <c r="S354" s="211"/>
      <c r="U354" s="91"/>
      <c r="V354" s="210"/>
      <c r="W354" s="91"/>
      <c r="X354" s="91"/>
    </row>
    <row r="355" spans="1:24" ht="15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425"/>
      <c r="S355" s="211"/>
      <c r="U355" s="91"/>
      <c r="V355" s="210"/>
      <c r="W355" s="91"/>
      <c r="X355" s="91"/>
    </row>
    <row r="356" spans="1:24" ht="15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425"/>
      <c r="S356" s="211"/>
      <c r="U356" s="91"/>
      <c r="V356" s="210"/>
      <c r="W356" s="91"/>
      <c r="X356" s="91"/>
    </row>
    <row r="357" spans="1:24" ht="15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425"/>
      <c r="S357" s="211"/>
      <c r="U357" s="91"/>
      <c r="V357" s="210"/>
      <c r="W357" s="91"/>
      <c r="X357" s="91"/>
    </row>
    <row r="358" spans="1:24" ht="15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425"/>
      <c r="S358" s="211"/>
      <c r="U358" s="91"/>
      <c r="V358" s="210"/>
      <c r="W358" s="91"/>
      <c r="X358" s="91"/>
    </row>
    <row r="359" spans="1:24" ht="15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425"/>
      <c r="S359" s="211"/>
      <c r="U359" s="91"/>
      <c r="V359" s="210"/>
      <c r="W359" s="91"/>
      <c r="X359" s="91"/>
    </row>
    <row r="360" spans="1:24" ht="15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425"/>
      <c r="S360" s="211"/>
      <c r="U360" s="91"/>
      <c r="V360" s="210"/>
      <c r="W360" s="91"/>
      <c r="X360" s="91"/>
    </row>
    <row r="361" spans="1:24" ht="15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425"/>
      <c r="S361" s="211"/>
      <c r="U361" s="91"/>
      <c r="V361" s="210"/>
      <c r="W361" s="91"/>
      <c r="X361" s="91"/>
    </row>
    <row r="362" spans="1:24" ht="15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425"/>
      <c r="S362" s="211"/>
      <c r="U362" s="91"/>
      <c r="V362" s="210"/>
      <c r="W362" s="91"/>
      <c r="X362" s="91"/>
    </row>
    <row r="363" spans="1:24" ht="15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425"/>
      <c r="S363" s="211"/>
      <c r="U363" s="91"/>
      <c r="V363" s="210"/>
      <c r="W363" s="91"/>
      <c r="X363" s="91"/>
    </row>
    <row r="364" spans="1:24" ht="15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425"/>
      <c r="S364" s="211"/>
      <c r="U364" s="91"/>
      <c r="V364" s="210"/>
      <c r="W364" s="91"/>
      <c r="X364" s="91"/>
    </row>
    <row r="365" spans="1:24" ht="15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425"/>
      <c r="S365" s="211"/>
      <c r="U365" s="91"/>
      <c r="V365" s="210"/>
      <c r="W365" s="91"/>
      <c r="X365" s="91"/>
    </row>
    <row r="366" spans="1:24" ht="15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425"/>
      <c r="S366" s="211"/>
      <c r="U366" s="91"/>
      <c r="V366" s="210"/>
      <c r="W366" s="91"/>
      <c r="X366" s="91"/>
    </row>
    <row r="367" spans="1:24" ht="15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425"/>
      <c r="S367" s="211"/>
      <c r="U367" s="91"/>
      <c r="V367" s="210"/>
      <c r="W367" s="91"/>
      <c r="X367" s="91"/>
    </row>
    <row r="368" spans="1:24" ht="15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425"/>
      <c r="S368" s="211"/>
      <c r="U368" s="91"/>
      <c r="V368" s="210"/>
      <c r="W368" s="91"/>
      <c r="X368" s="91"/>
    </row>
    <row r="369" spans="1:24" ht="15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425"/>
      <c r="S369" s="211"/>
      <c r="U369" s="91"/>
      <c r="V369" s="210"/>
      <c r="W369" s="91"/>
      <c r="X369" s="91"/>
    </row>
    <row r="370" spans="1:24" ht="15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425"/>
      <c r="S370" s="211"/>
      <c r="U370" s="91"/>
      <c r="V370" s="210"/>
      <c r="W370" s="91"/>
      <c r="X370" s="91"/>
    </row>
    <row r="371" spans="1:24" ht="15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425"/>
      <c r="S371" s="211"/>
      <c r="U371" s="91"/>
      <c r="V371" s="210"/>
      <c r="W371" s="91"/>
      <c r="X371" s="91"/>
    </row>
    <row r="372" spans="1:24" ht="15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425"/>
      <c r="S372" s="211"/>
      <c r="U372" s="91"/>
      <c r="V372" s="210"/>
      <c r="W372" s="91"/>
      <c r="X372" s="91"/>
    </row>
    <row r="373" spans="1:24" ht="15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425"/>
      <c r="S373" s="211"/>
      <c r="U373" s="91"/>
      <c r="V373" s="210"/>
      <c r="W373" s="91"/>
      <c r="X373" s="91"/>
    </row>
    <row r="374" spans="1:24" ht="15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425"/>
      <c r="S374" s="211"/>
      <c r="U374" s="91"/>
      <c r="V374" s="210"/>
      <c r="W374" s="91"/>
      <c r="X374" s="91"/>
    </row>
    <row r="375" spans="1:24" ht="15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425"/>
      <c r="S375" s="211"/>
      <c r="U375" s="91"/>
      <c r="V375" s="210"/>
      <c r="W375" s="91"/>
      <c r="X375" s="91"/>
    </row>
    <row r="376" spans="1:24" ht="15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425"/>
      <c r="S376" s="211"/>
      <c r="U376" s="91"/>
      <c r="V376" s="210"/>
      <c r="W376" s="91"/>
      <c r="X376" s="91"/>
    </row>
    <row r="377" spans="1:24" ht="15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425"/>
      <c r="S377" s="211"/>
      <c r="U377" s="91"/>
      <c r="V377" s="210"/>
      <c r="W377" s="91"/>
      <c r="X377" s="91"/>
    </row>
    <row r="378" spans="1:24" ht="15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425"/>
      <c r="S378" s="211"/>
      <c r="U378" s="91"/>
      <c r="V378" s="210"/>
      <c r="W378" s="91"/>
      <c r="X378" s="91"/>
    </row>
    <row r="379" spans="1:24" ht="15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425"/>
      <c r="S379" s="211"/>
      <c r="U379" s="91"/>
      <c r="V379" s="210"/>
      <c r="W379" s="91"/>
      <c r="X379" s="91"/>
    </row>
    <row r="380" spans="1:24" ht="15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425"/>
      <c r="S380" s="211"/>
      <c r="U380" s="91"/>
      <c r="V380" s="210"/>
      <c r="W380" s="91"/>
      <c r="X380" s="91"/>
    </row>
    <row r="381" spans="1:24" ht="15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425"/>
      <c r="S381" s="211"/>
      <c r="U381" s="91"/>
      <c r="V381" s="210"/>
      <c r="W381" s="91"/>
      <c r="X381" s="91"/>
    </row>
    <row r="382" spans="1:24" ht="15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425"/>
      <c r="S382" s="211"/>
      <c r="U382" s="91"/>
      <c r="V382" s="210"/>
      <c r="W382" s="91"/>
      <c r="X382" s="91"/>
    </row>
    <row r="383" spans="1:24" ht="15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425"/>
      <c r="S383" s="211"/>
      <c r="U383" s="91"/>
      <c r="V383" s="210"/>
      <c r="W383" s="91"/>
      <c r="X383" s="91"/>
    </row>
    <row r="384" spans="1:24" ht="15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425"/>
      <c r="S384" s="211"/>
      <c r="U384" s="91"/>
      <c r="V384" s="210"/>
      <c r="W384" s="91"/>
      <c r="X384" s="91"/>
    </row>
    <row r="385" spans="1:24" ht="15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425"/>
      <c r="S385" s="211"/>
      <c r="U385" s="91"/>
      <c r="V385" s="210"/>
      <c r="W385" s="91"/>
      <c r="X385" s="91"/>
    </row>
    <row r="386" spans="1:24" ht="15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425"/>
      <c r="S386" s="211"/>
      <c r="U386" s="91"/>
      <c r="V386" s="210"/>
      <c r="W386" s="91"/>
      <c r="X386" s="91"/>
    </row>
    <row r="387" spans="1:24" ht="15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425"/>
      <c r="S387" s="211"/>
      <c r="U387" s="91"/>
      <c r="V387" s="210"/>
      <c r="W387" s="91"/>
      <c r="X387" s="91"/>
    </row>
    <row r="388" spans="1:24" ht="15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425"/>
      <c r="S388" s="211"/>
      <c r="U388" s="91"/>
      <c r="V388" s="210"/>
      <c r="W388" s="91"/>
      <c r="X388" s="91"/>
    </row>
    <row r="389" spans="1:24" ht="15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425"/>
      <c r="S389" s="211"/>
      <c r="U389" s="91"/>
      <c r="V389" s="210"/>
      <c r="W389" s="91"/>
      <c r="X389" s="91"/>
    </row>
    <row r="390" spans="1:24" ht="15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425"/>
      <c r="S390" s="211"/>
      <c r="U390" s="91"/>
      <c r="V390" s="210"/>
      <c r="W390" s="91"/>
      <c r="X390" s="91"/>
    </row>
    <row r="391" spans="1:24" ht="15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425"/>
      <c r="S391" s="211"/>
      <c r="U391" s="91"/>
      <c r="V391" s="210"/>
      <c r="W391" s="91"/>
      <c r="X391" s="91"/>
    </row>
    <row r="392" spans="1:24" ht="15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425"/>
      <c r="S392" s="211"/>
      <c r="U392" s="91"/>
      <c r="V392" s="210"/>
      <c r="W392" s="91"/>
      <c r="X392" s="91"/>
    </row>
    <row r="393" spans="1:24" ht="15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425"/>
      <c r="S393" s="211"/>
      <c r="U393" s="91"/>
      <c r="V393" s="210"/>
      <c r="W393" s="91"/>
      <c r="X393" s="91"/>
    </row>
    <row r="394" spans="1:24" ht="15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425"/>
      <c r="S394" s="211"/>
      <c r="U394" s="91"/>
      <c r="V394" s="210"/>
      <c r="W394" s="91"/>
      <c r="X394" s="91"/>
    </row>
    <row r="395" spans="1:24" ht="15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425"/>
      <c r="S395" s="211"/>
      <c r="U395" s="91"/>
      <c r="V395" s="210"/>
      <c r="W395" s="91"/>
      <c r="X395" s="91"/>
    </row>
    <row r="396" spans="1:24" ht="15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425"/>
      <c r="S396" s="211"/>
      <c r="U396" s="91"/>
      <c r="V396" s="210"/>
      <c r="W396" s="91"/>
      <c r="X396" s="91"/>
    </row>
    <row r="397" spans="1:24" ht="15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425"/>
      <c r="S397" s="211"/>
      <c r="U397" s="91"/>
      <c r="V397" s="210"/>
      <c r="W397" s="91"/>
      <c r="X397" s="91"/>
    </row>
    <row r="398" spans="1:24" ht="15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425"/>
      <c r="S398" s="211"/>
      <c r="U398" s="91"/>
      <c r="V398" s="210"/>
      <c r="W398" s="91"/>
      <c r="X398" s="91"/>
    </row>
    <row r="399" spans="1:24" ht="15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425"/>
      <c r="S399" s="211"/>
      <c r="U399" s="91"/>
      <c r="V399" s="210"/>
      <c r="W399" s="91"/>
      <c r="X399" s="91"/>
    </row>
    <row r="400" spans="1:24" ht="15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425"/>
      <c r="S400" s="211"/>
      <c r="U400" s="91"/>
      <c r="V400" s="210"/>
      <c r="W400" s="91"/>
      <c r="X400" s="91"/>
    </row>
    <row r="401" spans="1:24" ht="15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425"/>
      <c r="S401" s="211"/>
      <c r="U401" s="91"/>
      <c r="V401" s="210"/>
      <c r="W401" s="91"/>
      <c r="X401" s="91"/>
    </row>
    <row r="402" spans="1:24" ht="15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425"/>
      <c r="S402" s="211"/>
      <c r="U402" s="91"/>
      <c r="V402" s="210"/>
      <c r="W402" s="91"/>
      <c r="X402" s="91"/>
    </row>
    <row r="403" spans="1:24" ht="15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425"/>
      <c r="S403" s="211"/>
      <c r="U403" s="91"/>
      <c r="V403" s="210"/>
      <c r="W403" s="91"/>
      <c r="X403" s="91"/>
    </row>
    <row r="404" spans="1:24" ht="15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425"/>
      <c r="S404" s="211"/>
      <c r="U404" s="91"/>
      <c r="V404" s="210"/>
      <c r="W404" s="91"/>
      <c r="X404" s="91"/>
    </row>
    <row r="405" spans="1:24" ht="15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425"/>
      <c r="S405" s="211"/>
      <c r="U405" s="91"/>
      <c r="V405" s="210"/>
      <c r="W405" s="91"/>
      <c r="X405" s="91"/>
    </row>
    <row r="406" spans="1:24" ht="15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425"/>
      <c r="S406" s="211"/>
      <c r="U406" s="91"/>
      <c r="V406" s="210"/>
      <c r="W406" s="91"/>
      <c r="X406" s="91"/>
    </row>
    <row r="407" spans="1:24" ht="15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425"/>
      <c r="S407" s="211"/>
      <c r="U407" s="91"/>
      <c r="V407" s="210"/>
      <c r="W407" s="91"/>
      <c r="X407" s="91"/>
    </row>
    <row r="408" spans="1:24" ht="15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425"/>
      <c r="S408" s="211"/>
      <c r="U408" s="91"/>
      <c r="V408" s="210"/>
      <c r="W408" s="91"/>
      <c r="X408" s="91"/>
    </row>
    <row r="409" spans="1:24" ht="15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425"/>
      <c r="S409" s="211"/>
      <c r="U409" s="91"/>
      <c r="V409" s="210"/>
      <c r="W409" s="91"/>
      <c r="X409" s="91"/>
    </row>
    <row r="410" spans="1:24" ht="15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425"/>
      <c r="S410" s="211"/>
      <c r="U410" s="91"/>
      <c r="V410" s="210"/>
      <c r="W410" s="91"/>
      <c r="X410" s="91"/>
    </row>
    <row r="411" spans="1:24" ht="15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425"/>
      <c r="S411" s="211"/>
      <c r="U411" s="91"/>
      <c r="V411" s="210"/>
      <c r="W411" s="91"/>
      <c r="X411" s="91"/>
    </row>
    <row r="412" spans="1:24" ht="15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425"/>
      <c r="S412" s="211"/>
      <c r="U412" s="91"/>
      <c r="V412" s="210"/>
      <c r="W412" s="91"/>
      <c r="X412" s="91"/>
    </row>
    <row r="413" spans="1:24" ht="15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425"/>
      <c r="S413" s="211"/>
      <c r="U413" s="91"/>
      <c r="V413" s="210"/>
      <c r="W413" s="91"/>
      <c r="X413" s="91"/>
    </row>
    <row r="414" spans="1:24" ht="15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425"/>
      <c r="S414" s="211"/>
      <c r="U414" s="91"/>
      <c r="V414" s="210"/>
      <c r="W414" s="91"/>
      <c r="X414" s="91"/>
    </row>
    <row r="415" spans="1:24" ht="15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425"/>
      <c r="S415" s="211"/>
      <c r="U415" s="91"/>
      <c r="V415" s="210"/>
      <c r="W415" s="91"/>
      <c r="X415" s="91"/>
    </row>
    <row r="416" spans="1:24" ht="15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425"/>
      <c r="S416" s="211"/>
      <c r="U416" s="91"/>
      <c r="V416" s="210"/>
      <c r="W416" s="91"/>
      <c r="X416" s="91"/>
    </row>
    <row r="417" spans="1:24" ht="15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425"/>
      <c r="S417" s="211"/>
      <c r="U417" s="91"/>
      <c r="V417" s="210"/>
      <c r="W417" s="91"/>
      <c r="X417" s="91"/>
    </row>
    <row r="418" spans="1:24" ht="15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425"/>
      <c r="S418" s="211"/>
      <c r="U418" s="91"/>
      <c r="V418" s="210"/>
      <c r="W418" s="91"/>
      <c r="X418" s="91"/>
    </row>
    <row r="419" spans="1:24" ht="15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425"/>
      <c r="S419" s="211"/>
      <c r="U419" s="91"/>
      <c r="V419" s="210"/>
      <c r="W419" s="91"/>
      <c r="X419" s="91"/>
    </row>
    <row r="420" spans="1:24" ht="15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425"/>
      <c r="S420" s="211"/>
      <c r="U420" s="91"/>
      <c r="V420" s="210"/>
      <c r="W420" s="91"/>
      <c r="X420" s="91"/>
    </row>
    <row r="421" spans="1:24" ht="15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425"/>
      <c r="S421" s="211"/>
      <c r="U421" s="91"/>
      <c r="V421" s="210"/>
      <c r="W421" s="91"/>
      <c r="X421" s="91"/>
    </row>
    <row r="422" spans="1:24" ht="15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425"/>
      <c r="S422" s="211"/>
      <c r="U422" s="91"/>
      <c r="V422" s="210"/>
      <c r="W422" s="91"/>
      <c r="X422" s="91"/>
    </row>
    <row r="423" spans="1:24" ht="15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425"/>
      <c r="S423" s="211"/>
      <c r="U423" s="91"/>
      <c r="V423" s="210"/>
      <c r="W423" s="91"/>
      <c r="X423" s="91"/>
    </row>
    <row r="424" spans="1:24" ht="15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425"/>
      <c r="S424" s="211"/>
      <c r="U424" s="91"/>
      <c r="V424" s="210"/>
      <c r="W424" s="91"/>
      <c r="X424" s="91"/>
    </row>
    <row r="425" spans="1:24" ht="15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425"/>
      <c r="S425" s="211"/>
      <c r="U425" s="91"/>
      <c r="V425" s="210"/>
      <c r="W425" s="91"/>
      <c r="X425" s="91"/>
    </row>
    <row r="426" spans="1:24" ht="15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425"/>
      <c r="S426" s="211"/>
      <c r="U426" s="91"/>
      <c r="V426" s="210"/>
      <c r="W426" s="91"/>
      <c r="X426" s="91"/>
    </row>
    <row r="427" spans="1:24" ht="15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425"/>
      <c r="S427" s="211"/>
      <c r="U427" s="91"/>
      <c r="V427" s="210"/>
      <c r="W427" s="91"/>
      <c r="X427" s="91"/>
    </row>
    <row r="428" spans="1:24" ht="15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425"/>
      <c r="S428" s="211"/>
      <c r="U428" s="91"/>
      <c r="V428" s="210"/>
      <c r="W428" s="91"/>
      <c r="X428" s="91"/>
    </row>
    <row r="429" spans="1:24" ht="15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425"/>
      <c r="S429" s="211"/>
      <c r="U429" s="91"/>
      <c r="V429" s="210"/>
      <c r="W429" s="91"/>
      <c r="X429" s="91"/>
    </row>
    <row r="430" spans="1:24" ht="15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425"/>
      <c r="S430" s="211"/>
      <c r="U430" s="91"/>
      <c r="V430" s="210"/>
      <c r="W430" s="91"/>
      <c r="X430" s="91"/>
    </row>
    <row r="431" spans="1:24" ht="15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425"/>
      <c r="S431" s="211"/>
      <c r="U431" s="91"/>
      <c r="V431" s="210"/>
      <c r="W431" s="91"/>
      <c r="X431" s="91"/>
    </row>
    <row r="432" spans="1:24" ht="15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425"/>
      <c r="S432" s="211"/>
      <c r="U432" s="91"/>
      <c r="V432" s="210"/>
      <c r="W432" s="91"/>
      <c r="X432" s="91"/>
    </row>
    <row r="433" spans="1:24" ht="15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425"/>
      <c r="S433" s="211"/>
      <c r="U433" s="91"/>
      <c r="V433" s="210"/>
      <c r="W433" s="91"/>
      <c r="X433" s="91"/>
    </row>
    <row r="434" spans="1:24" ht="15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425"/>
      <c r="S434" s="211"/>
      <c r="U434" s="91"/>
      <c r="V434" s="210"/>
      <c r="W434" s="91"/>
      <c r="X434" s="91"/>
    </row>
    <row r="435" spans="1:24" ht="15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425"/>
      <c r="S435" s="211"/>
      <c r="U435" s="91"/>
      <c r="V435" s="210"/>
      <c r="W435" s="91"/>
      <c r="X435" s="91"/>
    </row>
    <row r="436" spans="1:24" ht="15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425"/>
      <c r="S436" s="211"/>
      <c r="U436" s="91"/>
      <c r="V436" s="210"/>
      <c r="W436" s="91"/>
      <c r="X436" s="91"/>
    </row>
    <row r="437" spans="1:24" ht="15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425"/>
      <c r="S437" s="211"/>
      <c r="U437" s="91"/>
      <c r="V437" s="210"/>
      <c r="W437" s="91"/>
      <c r="X437" s="91"/>
    </row>
    <row r="438" spans="1:24" ht="15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425"/>
      <c r="S438" s="211"/>
      <c r="U438" s="91"/>
      <c r="V438" s="210"/>
      <c r="W438" s="91"/>
      <c r="X438" s="91"/>
    </row>
    <row r="439" spans="1:24" ht="15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425"/>
      <c r="S439" s="211"/>
      <c r="U439" s="91"/>
      <c r="V439" s="210"/>
      <c r="W439" s="91"/>
      <c r="X439" s="91"/>
    </row>
    <row r="440" spans="1:24" ht="15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425"/>
      <c r="S440" s="211"/>
      <c r="U440" s="91"/>
      <c r="V440" s="210"/>
      <c r="W440" s="91"/>
      <c r="X440" s="91"/>
    </row>
    <row r="441" spans="1:24" ht="15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425"/>
      <c r="S441" s="211"/>
      <c r="U441" s="91"/>
      <c r="V441" s="210"/>
      <c r="W441" s="91"/>
      <c r="X441" s="91"/>
    </row>
    <row r="442" spans="1:24" ht="15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425"/>
      <c r="S442" s="211"/>
      <c r="U442" s="91"/>
      <c r="V442" s="210"/>
      <c r="W442" s="91"/>
      <c r="X442" s="91"/>
    </row>
    <row r="443" spans="1:24" ht="15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425"/>
      <c r="S443" s="211"/>
      <c r="U443" s="91"/>
      <c r="V443" s="210"/>
      <c r="W443" s="91"/>
      <c r="X443" s="91"/>
    </row>
    <row r="444" spans="1:24" ht="15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425"/>
      <c r="S444" s="211"/>
      <c r="U444" s="91"/>
      <c r="V444" s="210"/>
      <c r="W444" s="91"/>
      <c r="X444" s="91"/>
    </row>
    <row r="445" spans="1:24" ht="15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425"/>
      <c r="S445" s="211"/>
      <c r="U445" s="91"/>
      <c r="V445" s="210"/>
      <c r="W445" s="91"/>
      <c r="X445" s="91"/>
    </row>
    <row r="446" spans="1:24" ht="15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425"/>
      <c r="S446" s="211"/>
      <c r="U446" s="91"/>
      <c r="V446" s="210"/>
      <c r="W446" s="91"/>
      <c r="X446" s="91"/>
    </row>
    <row r="447" spans="1:24" ht="15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425"/>
      <c r="S447" s="211"/>
      <c r="U447" s="91"/>
      <c r="V447" s="210"/>
      <c r="W447" s="91"/>
      <c r="X447" s="91"/>
    </row>
    <row r="448" spans="1:24" ht="15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425"/>
      <c r="S448" s="211"/>
      <c r="U448" s="91"/>
      <c r="V448" s="210"/>
      <c r="W448" s="91"/>
      <c r="X448" s="91"/>
    </row>
    <row r="449" spans="1:24" ht="15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425"/>
      <c r="S449" s="211"/>
      <c r="U449" s="91"/>
      <c r="V449" s="210"/>
      <c r="W449" s="91"/>
      <c r="X449" s="91"/>
    </row>
    <row r="450" spans="1:24" ht="15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425"/>
      <c r="S450" s="211"/>
      <c r="U450" s="91"/>
      <c r="V450" s="210"/>
      <c r="W450" s="91"/>
      <c r="X450" s="91"/>
    </row>
    <row r="451" spans="1:24" ht="15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425"/>
      <c r="S451" s="211"/>
      <c r="U451" s="91"/>
      <c r="V451" s="210"/>
      <c r="W451" s="91"/>
      <c r="X451" s="91"/>
    </row>
    <row r="452" spans="1:24" ht="15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425"/>
      <c r="S452" s="211"/>
      <c r="U452" s="91"/>
      <c r="V452" s="210"/>
      <c r="W452" s="91"/>
      <c r="X452" s="91"/>
    </row>
    <row r="453" spans="1:24" ht="15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425"/>
      <c r="S453" s="211"/>
      <c r="U453" s="91"/>
      <c r="V453" s="210"/>
      <c r="W453" s="91"/>
      <c r="X453" s="91"/>
    </row>
    <row r="454" spans="1:24" ht="15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425"/>
      <c r="S454" s="211"/>
      <c r="U454" s="91"/>
      <c r="V454" s="210"/>
      <c r="W454" s="91"/>
      <c r="X454" s="91"/>
    </row>
    <row r="455" spans="1:24" ht="15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425"/>
      <c r="S455" s="211"/>
      <c r="U455" s="91"/>
      <c r="V455" s="210"/>
      <c r="W455" s="91"/>
      <c r="X455" s="91"/>
    </row>
    <row r="456" spans="1:24" ht="15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425"/>
      <c r="S456" s="211"/>
      <c r="U456" s="91"/>
      <c r="V456" s="210"/>
      <c r="W456" s="91"/>
      <c r="X456" s="91"/>
    </row>
    <row r="457" spans="1:24" ht="15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425"/>
      <c r="S457" s="211"/>
      <c r="U457" s="91"/>
      <c r="V457" s="210"/>
      <c r="W457" s="91"/>
      <c r="X457" s="91"/>
    </row>
    <row r="458" spans="1:24" ht="15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425"/>
      <c r="S458" s="211"/>
      <c r="U458" s="91"/>
      <c r="V458" s="210"/>
      <c r="W458" s="91"/>
      <c r="X458" s="91"/>
    </row>
    <row r="459" spans="1:24" ht="15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425"/>
      <c r="S459" s="211"/>
      <c r="U459" s="91"/>
      <c r="V459" s="210"/>
      <c r="W459" s="91"/>
      <c r="X459" s="91"/>
    </row>
    <row r="460" spans="1:24" ht="15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425"/>
      <c r="S460" s="211"/>
      <c r="U460" s="91"/>
      <c r="V460" s="210"/>
      <c r="W460" s="91"/>
      <c r="X460" s="91"/>
    </row>
    <row r="461" spans="1:24" ht="15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425"/>
      <c r="S461" s="211"/>
      <c r="U461" s="91"/>
      <c r="V461" s="210"/>
      <c r="W461" s="91"/>
      <c r="X461" s="91"/>
    </row>
    <row r="462" spans="1:24" ht="15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425"/>
      <c r="S462" s="211"/>
      <c r="U462" s="91"/>
      <c r="V462" s="210"/>
      <c r="W462" s="91"/>
      <c r="X462" s="91"/>
    </row>
    <row r="463" spans="1:24" ht="15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425"/>
      <c r="S463" s="211"/>
      <c r="U463" s="91"/>
      <c r="V463" s="210"/>
      <c r="W463" s="91"/>
      <c r="X463" s="91"/>
    </row>
    <row r="464" spans="1:24" ht="15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425"/>
      <c r="S464" s="211"/>
      <c r="U464" s="91"/>
      <c r="V464" s="210"/>
      <c r="W464" s="91"/>
      <c r="X464" s="91"/>
    </row>
    <row r="465" spans="1:24" ht="15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425"/>
      <c r="S465" s="211"/>
      <c r="U465" s="91"/>
      <c r="V465" s="210"/>
      <c r="W465" s="91"/>
      <c r="X465" s="91"/>
    </row>
    <row r="466" spans="1:24" ht="15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425"/>
      <c r="S466" s="211"/>
      <c r="U466" s="91"/>
      <c r="V466" s="210"/>
      <c r="W466" s="91"/>
      <c r="X466" s="91"/>
    </row>
    <row r="467" spans="1:24" ht="15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425"/>
      <c r="S467" s="211"/>
      <c r="U467" s="91"/>
      <c r="V467" s="210"/>
      <c r="W467" s="91"/>
      <c r="X467" s="91"/>
    </row>
    <row r="468" spans="1:24" ht="15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425"/>
      <c r="S468" s="211"/>
      <c r="U468" s="91"/>
      <c r="V468" s="210"/>
      <c r="W468" s="91"/>
      <c r="X468" s="91"/>
    </row>
    <row r="469" spans="1:24" ht="15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425"/>
      <c r="S469" s="211"/>
      <c r="U469" s="91"/>
      <c r="V469" s="210"/>
      <c r="W469" s="91"/>
      <c r="X469" s="91"/>
    </row>
    <row r="470" spans="1:24" ht="15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425"/>
      <c r="S470" s="211"/>
      <c r="U470" s="91"/>
      <c r="V470" s="210"/>
      <c r="W470" s="91"/>
      <c r="X470" s="91"/>
    </row>
    <row r="471" spans="1:24" ht="15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425"/>
      <c r="S471" s="211"/>
      <c r="U471" s="91"/>
      <c r="V471" s="210"/>
      <c r="W471" s="91"/>
      <c r="X471" s="91"/>
    </row>
    <row r="472" spans="1:24" ht="15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425"/>
      <c r="S472" s="211"/>
      <c r="U472" s="91"/>
      <c r="V472" s="210"/>
      <c r="W472" s="91"/>
      <c r="X472" s="91"/>
    </row>
    <row r="473" spans="1:24" ht="15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425"/>
      <c r="S473" s="211"/>
      <c r="U473" s="91"/>
      <c r="V473" s="210"/>
      <c r="W473" s="91"/>
      <c r="X473" s="91"/>
    </row>
    <row r="474" spans="1:24" ht="15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425"/>
      <c r="S474" s="211"/>
      <c r="U474" s="91"/>
      <c r="V474" s="210"/>
      <c r="W474" s="91"/>
      <c r="X474" s="91"/>
    </row>
    <row r="475" spans="1:24" ht="15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425"/>
      <c r="S475" s="211"/>
      <c r="U475" s="91"/>
      <c r="V475" s="210"/>
      <c r="W475" s="91"/>
      <c r="X475" s="91"/>
    </row>
    <row r="476" spans="1:24" ht="15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425"/>
      <c r="S476" s="211"/>
      <c r="U476" s="91"/>
      <c r="V476" s="210"/>
      <c r="W476" s="91"/>
      <c r="X476" s="91"/>
    </row>
    <row r="477" spans="1:24" ht="15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425"/>
      <c r="S477" s="211"/>
      <c r="U477" s="91"/>
      <c r="V477" s="210"/>
      <c r="W477" s="91"/>
      <c r="X477" s="91"/>
    </row>
    <row r="478" spans="1:24" ht="15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425"/>
      <c r="S478" s="211"/>
      <c r="U478" s="91"/>
      <c r="V478" s="210"/>
      <c r="W478" s="91"/>
      <c r="X478" s="91"/>
    </row>
    <row r="479" spans="1:24" ht="15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425"/>
      <c r="S479" s="211"/>
      <c r="U479" s="91"/>
      <c r="V479" s="210"/>
      <c r="W479" s="91"/>
      <c r="X479" s="91"/>
    </row>
    <row r="480" spans="1:24" ht="15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425"/>
      <c r="S480" s="211"/>
      <c r="U480" s="91"/>
      <c r="V480" s="210"/>
      <c r="W480" s="91"/>
      <c r="X480" s="91"/>
    </row>
    <row r="481" spans="1:24" ht="15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425"/>
      <c r="S481" s="211"/>
      <c r="U481" s="91"/>
      <c r="V481" s="210"/>
      <c r="W481" s="91"/>
      <c r="X481" s="91"/>
    </row>
    <row r="482" spans="1:24" ht="15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425"/>
      <c r="S482" s="211"/>
      <c r="U482" s="91"/>
      <c r="V482" s="210"/>
      <c r="W482" s="91"/>
      <c r="X482" s="91"/>
    </row>
    <row r="483" spans="1:24" ht="15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425"/>
      <c r="S483" s="211"/>
      <c r="U483" s="91"/>
      <c r="V483" s="210"/>
      <c r="W483" s="91"/>
      <c r="X483" s="91"/>
    </row>
    <row r="484" spans="1:24" ht="15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425"/>
      <c r="S484" s="211"/>
      <c r="U484" s="91"/>
      <c r="V484" s="210"/>
      <c r="W484" s="91"/>
      <c r="X484" s="91"/>
    </row>
    <row r="485" spans="1:24" ht="15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425"/>
      <c r="S485" s="211"/>
      <c r="U485" s="91"/>
      <c r="V485" s="210"/>
      <c r="W485" s="91"/>
      <c r="X485" s="91"/>
    </row>
    <row r="486" spans="1:24" ht="15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425"/>
      <c r="S486" s="211"/>
      <c r="U486" s="91"/>
      <c r="V486" s="210"/>
      <c r="W486" s="91"/>
      <c r="X486" s="91"/>
    </row>
    <row r="487" spans="1:24" ht="15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425"/>
      <c r="S487" s="211"/>
      <c r="U487" s="91"/>
      <c r="V487" s="210"/>
      <c r="W487" s="91"/>
      <c r="X487" s="91"/>
    </row>
    <row r="488" spans="1:24" ht="15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425"/>
      <c r="S488" s="211"/>
      <c r="U488" s="91"/>
      <c r="V488" s="210"/>
      <c r="W488" s="91"/>
      <c r="X488" s="91"/>
    </row>
    <row r="489" spans="1:24" ht="15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425"/>
      <c r="S489" s="211"/>
      <c r="U489" s="91"/>
      <c r="V489" s="210"/>
      <c r="W489" s="91"/>
      <c r="X489" s="91"/>
    </row>
    <row r="490" spans="1:24" ht="15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425"/>
      <c r="S490" s="211"/>
      <c r="U490" s="91"/>
      <c r="V490" s="210"/>
      <c r="W490" s="91"/>
      <c r="X490" s="91"/>
    </row>
    <row r="491" spans="1:24" ht="15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425"/>
      <c r="S491" s="211"/>
      <c r="U491" s="91"/>
      <c r="V491" s="210"/>
      <c r="W491" s="91"/>
      <c r="X491" s="91"/>
    </row>
    <row r="492" spans="1:24" ht="15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425"/>
      <c r="S492" s="211"/>
      <c r="U492" s="91"/>
      <c r="V492" s="210"/>
      <c r="W492" s="91"/>
      <c r="X492" s="91"/>
    </row>
    <row r="493" spans="1:24" ht="15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425"/>
      <c r="S493" s="211"/>
      <c r="U493" s="91"/>
      <c r="V493" s="210"/>
      <c r="W493" s="91"/>
      <c r="X493" s="91"/>
    </row>
    <row r="494" spans="1:24" ht="15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425"/>
      <c r="S494" s="211"/>
      <c r="U494" s="91"/>
      <c r="V494" s="210"/>
      <c r="W494" s="91"/>
      <c r="X494" s="91"/>
    </row>
    <row r="495" spans="1:24" ht="15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425"/>
      <c r="S495" s="211"/>
      <c r="U495" s="91"/>
      <c r="V495" s="210"/>
      <c r="W495" s="91"/>
      <c r="X495" s="91"/>
    </row>
    <row r="496" spans="1:24" ht="15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425"/>
      <c r="S496" s="211"/>
      <c r="U496" s="91"/>
      <c r="V496" s="210"/>
      <c r="W496" s="91"/>
      <c r="X496" s="91"/>
    </row>
    <row r="497" spans="1:24" ht="15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425"/>
      <c r="S497" s="211"/>
      <c r="U497" s="91"/>
      <c r="V497" s="210"/>
      <c r="W497" s="91"/>
      <c r="X497" s="91"/>
    </row>
    <row r="498" spans="1:24" ht="15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425"/>
      <c r="S498" s="211"/>
      <c r="U498" s="91"/>
      <c r="V498" s="210"/>
      <c r="W498" s="91"/>
      <c r="X498" s="91"/>
    </row>
    <row r="499" spans="1:24" ht="15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425"/>
      <c r="S499" s="211"/>
      <c r="U499" s="91"/>
      <c r="V499" s="210"/>
      <c r="W499" s="91"/>
      <c r="X499" s="91"/>
    </row>
    <row r="500" spans="1:24" ht="15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425"/>
      <c r="S500" s="211"/>
      <c r="U500" s="91"/>
      <c r="V500" s="210"/>
      <c r="W500" s="91"/>
      <c r="X500" s="91"/>
    </row>
    <row r="501" spans="1:24" ht="15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425"/>
      <c r="S501" s="211"/>
      <c r="U501" s="91"/>
      <c r="V501" s="210"/>
      <c r="W501" s="91"/>
      <c r="X501" s="91"/>
    </row>
    <row r="502" spans="1:24" ht="15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425"/>
      <c r="S502" s="211"/>
      <c r="U502" s="91"/>
      <c r="V502" s="210"/>
      <c r="W502" s="91"/>
      <c r="X502" s="91"/>
    </row>
    <row r="503" spans="1:24" ht="15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425"/>
      <c r="S503" s="211"/>
      <c r="U503" s="91"/>
      <c r="V503" s="210"/>
      <c r="W503" s="91"/>
      <c r="X503" s="91"/>
    </row>
    <row r="504" spans="1:24" ht="15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425"/>
      <c r="S504" s="211"/>
      <c r="U504" s="91"/>
      <c r="V504" s="210"/>
      <c r="W504" s="91"/>
      <c r="X504" s="91"/>
    </row>
    <row r="505" spans="1:24" ht="15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425"/>
      <c r="S505" s="211"/>
      <c r="U505" s="91"/>
      <c r="V505" s="210"/>
      <c r="W505" s="91"/>
      <c r="X505" s="91"/>
    </row>
    <row r="506" spans="1:24" ht="15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425"/>
      <c r="S506" s="211"/>
      <c r="U506" s="91"/>
      <c r="V506" s="210"/>
      <c r="W506" s="91"/>
      <c r="X506" s="91"/>
    </row>
    <row r="507" spans="1:24" ht="15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425"/>
      <c r="S507" s="211"/>
      <c r="U507" s="91"/>
      <c r="V507" s="210"/>
      <c r="W507" s="91"/>
      <c r="X507" s="91"/>
    </row>
    <row r="508" spans="1:24" ht="15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425"/>
      <c r="S508" s="211"/>
      <c r="U508" s="91"/>
      <c r="V508" s="210"/>
      <c r="W508" s="91"/>
      <c r="X508" s="91"/>
    </row>
    <row r="509" spans="1:24" ht="15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425"/>
      <c r="S509" s="211"/>
      <c r="U509" s="91"/>
      <c r="V509" s="210"/>
      <c r="W509" s="91"/>
      <c r="X509" s="91"/>
    </row>
    <row r="510" spans="1:24" ht="15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425"/>
      <c r="S510" s="211"/>
      <c r="U510" s="91"/>
      <c r="V510" s="210"/>
      <c r="W510" s="91"/>
      <c r="X510" s="91"/>
    </row>
    <row r="511" spans="1:24" ht="15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425"/>
      <c r="S511" s="211"/>
      <c r="U511" s="91"/>
      <c r="V511" s="210"/>
      <c r="W511" s="91"/>
      <c r="X511" s="91"/>
    </row>
    <row r="512" spans="1:24" ht="15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425"/>
      <c r="S512" s="211"/>
      <c r="U512" s="91"/>
      <c r="V512" s="210"/>
      <c r="W512" s="91"/>
      <c r="X512" s="91"/>
    </row>
    <row r="513" spans="1:24" ht="15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425"/>
      <c r="S513" s="211"/>
      <c r="U513" s="91"/>
      <c r="V513" s="210"/>
      <c r="W513" s="91"/>
      <c r="X513" s="91"/>
    </row>
    <row r="514" spans="1:24" ht="15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425"/>
      <c r="S514" s="211"/>
      <c r="U514" s="91"/>
      <c r="V514" s="210"/>
      <c r="W514" s="91"/>
      <c r="X514" s="91"/>
    </row>
    <row r="515" spans="1:24" ht="15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425"/>
      <c r="S515" s="211"/>
      <c r="U515" s="91"/>
      <c r="V515" s="210"/>
      <c r="W515" s="91"/>
      <c r="X515" s="91"/>
    </row>
    <row r="516" spans="1:24" ht="15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425"/>
      <c r="S516" s="211"/>
      <c r="U516" s="91"/>
      <c r="V516" s="210"/>
      <c r="W516" s="91"/>
      <c r="X516" s="91"/>
    </row>
    <row r="517" spans="1:24" ht="15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425"/>
      <c r="S517" s="211"/>
      <c r="U517" s="91"/>
      <c r="V517" s="210"/>
      <c r="W517" s="91"/>
      <c r="X517" s="91"/>
    </row>
    <row r="518" spans="1:24" ht="15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425"/>
      <c r="S518" s="211"/>
      <c r="U518" s="91"/>
      <c r="V518" s="210"/>
      <c r="W518" s="91"/>
      <c r="X518" s="91"/>
    </row>
    <row r="519" spans="1:24" ht="15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425"/>
      <c r="S519" s="211"/>
      <c r="U519" s="91"/>
      <c r="V519" s="210"/>
      <c r="W519" s="91"/>
      <c r="X519" s="91"/>
    </row>
    <row r="520" spans="1:24" ht="15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425"/>
      <c r="S520" s="211"/>
      <c r="U520" s="91"/>
      <c r="V520" s="210"/>
      <c r="W520" s="91"/>
      <c r="X520" s="91"/>
    </row>
    <row r="521" spans="1:24" ht="15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425"/>
      <c r="S521" s="211"/>
      <c r="U521" s="91"/>
      <c r="V521" s="210"/>
      <c r="W521" s="91"/>
      <c r="X521" s="91"/>
    </row>
    <row r="522" spans="1:24" ht="15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425"/>
      <c r="S522" s="211"/>
      <c r="U522" s="91"/>
      <c r="V522" s="210"/>
      <c r="W522" s="91"/>
      <c r="X522" s="91"/>
    </row>
    <row r="523" spans="1:24" ht="15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425"/>
      <c r="S523" s="211"/>
      <c r="U523" s="91"/>
      <c r="V523" s="210"/>
      <c r="W523" s="91"/>
      <c r="X523" s="91"/>
    </row>
    <row r="524" spans="1:24" ht="15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425"/>
      <c r="S524" s="211"/>
      <c r="U524" s="91"/>
      <c r="V524" s="210"/>
      <c r="W524" s="91"/>
      <c r="X524" s="91"/>
    </row>
    <row r="525" spans="1:24" ht="15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425"/>
      <c r="S525" s="211"/>
      <c r="U525" s="91"/>
      <c r="V525" s="210"/>
      <c r="W525" s="91"/>
      <c r="X525" s="91"/>
    </row>
    <row r="526" spans="1:24" ht="15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425"/>
      <c r="S526" s="211"/>
      <c r="U526" s="91"/>
      <c r="V526" s="210"/>
      <c r="W526" s="91"/>
      <c r="X526" s="91"/>
    </row>
    <row r="527" spans="1:24" ht="15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425"/>
      <c r="S527" s="211"/>
      <c r="U527" s="91"/>
      <c r="V527" s="210"/>
      <c r="W527" s="91"/>
      <c r="X527" s="91"/>
    </row>
    <row r="528" spans="1:24" ht="15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425"/>
      <c r="S528" s="211"/>
      <c r="U528" s="91"/>
      <c r="V528" s="210"/>
      <c r="W528" s="91"/>
      <c r="X528" s="91"/>
    </row>
    <row r="529" spans="1:24" ht="15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425"/>
      <c r="S529" s="211"/>
      <c r="U529" s="91"/>
      <c r="V529" s="210"/>
      <c r="W529" s="91"/>
      <c r="X529" s="91"/>
    </row>
    <row r="530" spans="1:24" ht="15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425"/>
      <c r="S530" s="211"/>
      <c r="U530" s="91"/>
      <c r="V530" s="210"/>
      <c r="W530" s="91"/>
      <c r="X530" s="91"/>
    </row>
    <row r="531" spans="1:24" ht="15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425"/>
      <c r="S531" s="211"/>
      <c r="U531" s="91"/>
      <c r="V531" s="210"/>
      <c r="W531" s="91"/>
      <c r="X531" s="91"/>
    </row>
    <row r="532" spans="1:24" ht="15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425"/>
      <c r="S532" s="211"/>
      <c r="U532" s="91"/>
      <c r="V532" s="210"/>
      <c r="W532" s="91"/>
      <c r="X532" s="91"/>
    </row>
    <row r="533" spans="1:24" ht="15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425"/>
      <c r="S533" s="211"/>
      <c r="U533" s="91"/>
      <c r="V533" s="210"/>
      <c r="W533" s="91"/>
      <c r="X533" s="91"/>
    </row>
    <row r="534" spans="1:24" ht="15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425"/>
      <c r="S534" s="211"/>
      <c r="U534" s="91"/>
      <c r="V534" s="210"/>
      <c r="W534" s="91"/>
      <c r="X534" s="91"/>
    </row>
    <row r="535" spans="1:24" ht="15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425"/>
      <c r="S535" s="211"/>
      <c r="U535" s="91"/>
      <c r="V535" s="210"/>
      <c r="W535" s="91"/>
      <c r="X535" s="91"/>
    </row>
    <row r="536" spans="1:24" ht="15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425"/>
      <c r="S536" s="211"/>
      <c r="U536" s="91"/>
      <c r="V536" s="210"/>
      <c r="W536" s="91"/>
      <c r="X536" s="91"/>
    </row>
    <row r="537" spans="1:24" ht="15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425"/>
      <c r="S537" s="211"/>
      <c r="U537" s="91"/>
      <c r="V537" s="210"/>
      <c r="W537" s="91"/>
      <c r="X537" s="91"/>
    </row>
    <row r="538" spans="1:24" ht="15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425"/>
      <c r="S538" s="211"/>
      <c r="U538" s="91"/>
      <c r="V538" s="210"/>
      <c r="W538" s="91"/>
      <c r="X538" s="91"/>
    </row>
    <row r="539" spans="1:24" ht="15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425"/>
      <c r="S539" s="211"/>
      <c r="U539" s="91"/>
      <c r="V539" s="210"/>
      <c r="W539" s="91"/>
      <c r="X539" s="91"/>
    </row>
    <row r="540" spans="1:24" ht="15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425"/>
      <c r="S540" s="211"/>
      <c r="U540" s="91"/>
      <c r="V540" s="210"/>
      <c r="W540" s="91"/>
      <c r="X540" s="91"/>
    </row>
    <row r="541" spans="1:24" ht="15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425"/>
      <c r="S541" s="211"/>
      <c r="U541" s="91"/>
      <c r="V541" s="210"/>
      <c r="W541" s="91"/>
      <c r="X541" s="91"/>
    </row>
    <row r="542" spans="1:24" ht="15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425"/>
      <c r="S542" s="211"/>
      <c r="U542" s="91"/>
      <c r="V542" s="210"/>
      <c r="W542" s="91"/>
      <c r="X542" s="91"/>
    </row>
    <row r="543" spans="1:24" ht="15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425"/>
      <c r="S543" s="211"/>
      <c r="U543" s="91"/>
      <c r="V543" s="210"/>
      <c r="W543" s="91"/>
      <c r="X543" s="91"/>
    </row>
    <row r="544" spans="1:24" ht="15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425"/>
      <c r="S544" s="211"/>
      <c r="U544" s="91"/>
      <c r="V544" s="210"/>
      <c r="W544" s="91"/>
      <c r="X544" s="91"/>
    </row>
    <row r="545" spans="1:24" ht="15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425"/>
      <c r="S545" s="211"/>
      <c r="U545" s="91"/>
      <c r="V545" s="210"/>
      <c r="W545" s="91"/>
      <c r="X545" s="91"/>
    </row>
    <row r="546" spans="1:24" ht="15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425"/>
      <c r="S546" s="211"/>
      <c r="U546" s="91"/>
      <c r="V546" s="210"/>
      <c r="W546" s="91"/>
      <c r="X546" s="91"/>
    </row>
    <row r="547" spans="1:24" ht="15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425"/>
      <c r="S547" s="211"/>
      <c r="U547" s="91"/>
      <c r="V547" s="210"/>
      <c r="W547" s="91"/>
      <c r="X547" s="91"/>
    </row>
    <row r="548" spans="1:24" ht="15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425"/>
      <c r="S548" s="211"/>
      <c r="U548" s="91"/>
      <c r="V548" s="210"/>
      <c r="W548" s="91"/>
      <c r="X548" s="91"/>
    </row>
    <row r="549" spans="1:24" ht="15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425"/>
      <c r="S549" s="211"/>
      <c r="U549" s="91"/>
      <c r="V549" s="210"/>
      <c r="W549" s="91"/>
      <c r="X549" s="91"/>
    </row>
    <row r="550" spans="1:24" ht="15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425"/>
      <c r="S550" s="211"/>
      <c r="U550" s="91"/>
      <c r="V550" s="210"/>
      <c r="W550" s="91"/>
      <c r="X550" s="91"/>
    </row>
    <row r="551" spans="1:24" ht="15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425"/>
      <c r="S551" s="211"/>
      <c r="U551" s="91"/>
      <c r="V551" s="210"/>
      <c r="W551" s="91"/>
      <c r="X551" s="91"/>
    </row>
    <row r="552" spans="1:24" ht="15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425"/>
      <c r="S552" s="211"/>
      <c r="U552" s="91"/>
      <c r="V552" s="210"/>
      <c r="W552" s="91"/>
      <c r="X552" s="91"/>
    </row>
    <row r="553" spans="1:24" ht="15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425"/>
      <c r="S553" s="211"/>
      <c r="U553" s="91"/>
      <c r="V553" s="210"/>
      <c r="W553" s="91"/>
      <c r="X553" s="91"/>
    </row>
    <row r="554" spans="1:24" ht="15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425"/>
      <c r="S554" s="211"/>
      <c r="U554" s="91"/>
      <c r="V554" s="210"/>
      <c r="W554" s="91"/>
      <c r="X554" s="91"/>
    </row>
    <row r="555" spans="1:24" ht="15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425"/>
      <c r="S555" s="211"/>
      <c r="U555" s="91"/>
      <c r="V555" s="210"/>
      <c r="W555" s="91"/>
      <c r="X555" s="91"/>
    </row>
    <row r="556" spans="1:24" ht="15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425"/>
      <c r="S556" s="211"/>
      <c r="U556" s="91"/>
      <c r="V556" s="210"/>
      <c r="W556" s="91"/>
      <c r="X556" s="91"/>
    </row>
    <row r="557" spans="1:24" ht="15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425"/>
      <c r="S557" s="211"/>
      <c r="U557" s="91"/>
      <c r="V557" s="210"/>
      <c r="W557" s="91"/>
      <c r="X557" s="91"/>
    </row>
    <row r="558" spans="1:24" ht="15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425"/>
      <c r="S558" s="211"/>
      <c r="U558" s="91"/>
      <c r="V558" s="210"/>
      <c r="W558" s="91"/>
      <c r="X558" s="91"/>
    </row>
    <row r="559" spans="1:24" ht="15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425"/>
      <c r="S559" s="211"/>
      <c r="U559" s="91"/>
      <c r="V559" s="210"/>
      <c r="W559" s="91"/>
      <c r="X559" s="91"/>
    </row>
    <row r="560" spans="1:24" ht="15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425"/>
      <c r="S560" s="211"/>
      <c r="U560" s="91"/>
      <c r="V560" s="210"/>
      <c r="W560" s="91"/>
      <c r="X560" s="91"/>
    </row>
    <row r="561" spans="1:24" ht="15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425"/>
      <c r="S561" s="211"/>
      <c r="U561" s="91"/>
      <c r="V561" s="210"/>
      <c r="W561" s="91"/>
      <c r="X561" s="91"/>
    </row>
    <row r="562" spans="1:24" ht="15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425"/>
      <c r="S562" s="211"/>
      <c r="U562" s="91"/>
      <c r="V562" s="210"/>
      <c r="W562" s="91"/>
      <c r="X562" s="91"/>
    </row>
    <row r="563" spans="1:24" ht="15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425"/>
      <c r="S563" s="211"/>
      <c r="U563" s="91"/>
      <c r="V563" s="210"/>
      <c r="W563" s="91"/>
      <c r="X563" s="91"/>
    </row>
    <row r="564" spans="1:24" ht="15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425"/>
      <c r="S564" s="211"/>
      <c r="U564" s="91"/>
      <c r="V564" s="210"/>
      <c r="W564" s="91"/>
      <c r="X564" s="91"/>
    </row>
    <row r="565" spans="1:24" ht="15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425"/>
      <c r="S565" s="211"/>
      <c r="U565" s="91"/>
      <c r="V565" s="210"/>
      <c r="W565" s="91"/>
      <c r="X565" s="91"/>
    </row>
    <row r="566" spans="1:24" ht="15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425"/>
      <c r="S566" s="211"/>
      <c r="U566" s="91"/>
      <c r="V566" s="210"/>
      <c r="W566" s="91"/>
      <c r="X566" s="91"/>
    </row>
    <row r="567" spans="1:24" ht="15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425"/>
      <c r="S567" s="211"/>
      <c r="U567" s="91"/>
      <c r="V567" s="210"/>
      <c r="W567" s="91"/>
      <c r="X567" s="91"/>
    </row>
    <row r="568" spans="1:24" ht="15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425"/>
      <c r="S568" s="211"/>
      <c r="U568" s="91"/>
      <c r="V568" s="210"/>
      <c r="W568" s="91"/>
      <c r="X568" s="91"/>
    </row>
    <row r="569" spans="1:24" ht="15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425"/>
      <c r="S569" s="211"/>
      <c r="U569" s="91"/>
      <c r="V569" s="210"/>
      <c r="W569" s="91"/>
      <c r="X569" s="91"/>
    </row>
    <row r="570" spans="1:24" ht="15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425"/>
      <c r="S570" s="211"/>
      <c r="U570" s="91"/>
      <c r="V570" s="210"/>
      <c r="W570" s="91"/>
      <c r="X570" s="91"/>
    </row>
    <row r="571" spans="1:24" ht="15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425"/>
      <c r="S571" s="211"/>
      <c r="U571" s="91"/>
      <c r="V571" s="210"/>
      <c r="W571" s="91"/>
      <c r="X571" s="91"/>
    </row>
    <row r="572" spans="1:24" ht="15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425"/>
      <c r="S572" s="211"/>
      <c r="U572" s="91"/>
      <c r="V572" s="210"/>
      <c r="W572" s="91"/>
      <c r="X572" s="91"/>
    </row>
    <row r="573" spans="1:24" ht="15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425"/>
      <c r="S573" s="211"/>
      <c r="U573" s="91"/>
      <c r="V573" s="210"/>
      <c r="W573" s="91"/>
      <c r="X573" s="91"/>
    </row>
    <row r="574" spans="1:24" ht="15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425"/>
      <c r="S574" s="211"/>
      <c r="U574" s="91"/>
      <c r="V574" s="210"/>
      <c r="W574" s="91"/>
      <c r="X574" s="91"/>
    </row>
    <row r="575" spans="1:24" ht="15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425"/>
      <c r="S575" s="211"/>
      <c r="U575" s="91"/>
      <c r="V575" s="210"/>
      <c r="W575" s="91"/>
      <c r="X575" s="91"/>
    </row>
    <row r="576" spans="1:24" ht="15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425"/>
      <c r="S576" s="211"/>
      <c r="U576" s="91"/>
      <c r="V576" s="210"/>
      <c r="W576" s="91"/>
      <c r="X576" s="91"/>
    </row>
    <row r="577" spans="1:24" ht="15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425"/>
      <c r="S577" s="211"/>
      <c r="U577" s="91"/>
      <c r="V577" s="210"/>
      <c r="W577" s="91"/>
      <c r="X577" s="91"/>
    </row>
    <row r="578" spans="1:24" ht="15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425"/>
      <c r="S578" s="211"/>
      <c r="U578" s="91"/>
      <c r="V578" s="210"/>
      <c r="W578" s="91"/>
      <c r="X578" s="91"/>
    </row>
    <row r="579" spans="1:24" ht="15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425"/>
      <c r="S579" s="211"/>
      <c r="U579" s="91"/>
      <c r="V579" s="210"/>
      <c r="W579" s="91"/>
      <c r="X579" s="91"/>
    </row>
    <row r="580" spans="1:24" ht="15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425"/>
      <c r="S580" s="211"/>
      <c r="U580" s="91"/>
      <c r="V580" s="210"/>
      <c r="W580" s="91"/>
      <c r="X580" s="91"/>
    </row>
    <row r="581" spans="1:24" ht="15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425"/>
      <c r="S581" s="211"/>
      <c r="U581" s="91"/>
      <c r="V581" s="210"/>
      <c r="W581" s="91"/>
      <c r="X581" s="91"/>
    </row>
    <row r="582" spans="1:24" ht="15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425"/>
      <c r="S582" s="211"/>
      <c r="U582" s="91"/>
      <c r="V582" s="210"/>
      <c r="W582" s="91"/>
      <c r="X582" s="91"/>
    </row>
    <row r="583" spans="1:24" ht="15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425"/>
      <c r="S583" s="211"/>
      <c r="U583" s="91"/>
      <c r="V583" s="210"/>
      <c r="W583" s="91"/>
      <c r="X583" s="91"/>
    </row>
    <row r="584" spans="1:24" ht="15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425"/>
      <c r="S584" s="211"/>
      <c r="U584" s="91"/>
      <c r="V584" s="210"/>
      <c r="W584" s="91"/>
      <c r="X584" s="91"/>
    </row>
    <row r="585" spans="1:24" ht="15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425"/>
      <c r="S585" s="211"/>
      <c r="U585" s="91"/>
      <c r="V585" s="210"/>
      <c r="W585" s="91"/>
      <c r="X585" s="91"/>
    </row>
    <row r="586" spans="1:24" ht="15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425"/>
      <c r="S586" s="211"/>
      <c r="U586" s="91"/>
      <c r="V586" s="210"/>
      <c r="W586" s="91"/>
      <c r="X586" s="91"/>
    </row>
    <row r="587" spans="1:24" ht="15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425"/>
      <c r="S587" s="211"/>
      <c r="U587" s="91"/>
      <c r="V587" s="210"/>
      <c r="W587" s="91"/>
      <c r="X587" s="91"/>
    </row>
    <row r="588" spans="1:24" ht="15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425"/>
      <c r="S588" s="211"/>
      <c r="U588" s="91"/>
      <c r="V588" s="210"/>
      <c r="W588" s="91"/>
      <c r="X588" s="91"/>
    </row>
    <row r="589" spans="1:24" ht="15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425"/>
      <c r="S589" s="211"/>
      <c r="U589" s="91"/>
      <c r="V589" s="210"/>
      <c r="W589" s="91"/>
      <c r="X589" s="91"/>
    </row>
    <row r="590" spans="1:24" ht="15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425"/>
      <c r="S590" s="211"/>
      <c r="U590" s="91"/>
      <c r="V590" s="210"/>
      <c r="W590" s="91"/>
      <c r="X590" s="91"/>
    </row>
    <row r="591" spans="1:24" ht="15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425"/>
      <c r="S591" s="211"/>
      <c r="U591" s="91"/>
      <c r="V591" s="210"/>
      <c r="W591" s="91"/>
      <c r="X591" s="91"/>
    </row>
    <row r="592" spans="1:24" ht="15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425"/>
      <c r="S592" s="211"/>
      <c r="U592" s="91"/>
      <c r="V592" s="210"/>
      <c r="W592" s="91"/>
      <c r="X592" s="91"/>
    </row>
    <row r="593" spans="1:24" ht="15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425"/>
      <c r="S593" s="211"/>
      <c r="U593" s="91"/>
      <c r="V593" s="210"/>
      <c r="W593" s="91"/>
      <c r="X593" s="91"/>
    </row>
    <row r="594" spans="1:24" ht="15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425"/>
      <c r="S594" s="211"/>
      <c r="U594" s="91"/>
      <c r="V594" s="210"/>
      <c r="W594" s="91"/>
      <c r="X594" s="91"/>
    </row>
    <row r="595" spans="1:24" ht="15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425"/>
      <c r="S595" s="211"/>
      <c r="U595" s="91"/>
      <c r="V595" s="210"/>
      <c r="W595" s="91"/>
      <c r="X595" s="91"/>
    </row>
    <row r="596" spans="1:24" ht="15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425"/>
      <c r="S596" s="211"/>
      <c r="U596" s="91"/>
      <c r="V596" s="210"/>
      <c r="W596" s="91"/>
      <c r="X596" s="91"/>
    </row>
    <row r="597" spans="1:24" ht="15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425"/>
      <c r="S597" s="211"/>
      <c r="U597" s="91"/>
      <c r="V597" s="210"/>
      <c r="W597" s="91"/>
      <c r="X597" s="91"/>
    </row>
    <row r="598" spans="1:24" ht="15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425"/>
      <c r="S598" s="211"/>
      <c r="U598" s="91"/>
      <c r="V598" s="210"/>
      <c r="W598" s="91"/>
      <c r="X598" s="91"/>
    </row>
    <row r="599" spans="1:24" ht="15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425"/>
      <c r="S599" s="211"/>
      <c r="U599" s="91"/>
      <c r="V599" s="210"/>
      <c r="W599" s="91"/>
      <c r="X599" s="91"/>
    </row>
    <row r="600" spans="1:24" ht="15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425"/>
      <c r="S600" s="211"/>
      <c r="U600" s="91"/>
      <c r="V600" s="210"/>
      <c r="W600" s="91"/>
      <c r="X600" s="91"/>
    </row>
    <row r="601" spans="1:24" ht="15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425"/>
      <c r="S601" s="211"/>
      <c r="U601" s="91"/>
      <c r="V601" s="210"/>
      <c r="W601" s="91"/>
      <c r="X601" s="91"/>
    </row>
    <row r="602" spans="1:24" ht="15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425"/>
      <c r="S602" s="211"/>
      <c r="U602" s="91"/>
      <c r="V602" s="210"/>
      <c r="W602" s="91"/>
      <c r="X602" s="91"/>
    </row>
    <row r="603" spans="1:24" ht="15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425"/>
      <c r="S603" s="211"/>
      <c r="U603" s="91"/>
      <c r="V603" s="210"/>
      <c r="W603" s="91"/>
      <c r="X603" s="91"/>
    </row>
    <row r="604" spans="1:24" ht="15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425"/>
      <c r="S604" s="211"/>
      <c r="U604" s="91"/>
      <c r="V604" s="210"/>
      <c r="W604" s="91"/>
      <c r="X604" s="91"/>
    </row>
    <row r="605" spans="1:24" ht="15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425"/>
      <c r="S605" s="211"/>
      <c r="U605" s="91"/>
      <c r="V605" s="210"/>
      <c r="W605" s="91"/>
      <c r="X605" s="91"/>
    </row>
    <row r="606" spans="1:24" ht="15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425"/>
      <c r="S606" s="211"/>
      <c r="U606" s="91"/>
      <c r="V606" s="210"/>
      <c r="W606" s="91"/>
      <c r="X606" s="91"/>
    </row>
    <row r="607" spans="1:24" ht="15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425"/>
      <c r="S607" s="211"/>
      <c r="U607" s="91"/>
      <c r="V607" s="210"/>
      <c r="W607" s="91"/>
      <c r="X607" s="91"/>
    </row>
    <row r="608" spans="1:24" ht="15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425"/>
      <c r="S608" s="211"/>
      <c r="U608" s="91"/>
      <c r="V608" s="210"/>
      <c r="W608" s="91"/>
      <c r="X608" s="91"/>
    </row>
    <row r="609" spans="1:24" ht="15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425"/>
      <c r="S609" s="211"/>
      <c r="U609" s="91"/>
      <c r="V609" s="210"/>
      <c r="W609" s="91"/>
      <c r="X609" s="91"/>
    </row>
    <row r="610" spans="1:24" ht="15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425"/>
      <c r="S610" s="211"/>
      <c r="U610" s="91"/>
      <c r="V610" s="210"/>
      <c r="W610" s="91"/>
      <c r="X610" s="91"/>
    </row>
    <row r="611" spans="1:24" ht="15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425"/>
      <c r="S611" s="211"/>
      <c r="U611" s="91"/>
      <c r="V611" s="210"/>
      <c r="W611" s="91"/>
      <c r="X611" s="91"/>
    </row>
    <row r="612" spans="1:24" ht="15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425"/>
      <c r="S612" s="211"/>
      <c r="U612" s="91"/>
      <c r="V612" s="210"/>
      <c r="W612" s="91"/>
      <c r="X612" s="91"/>
    </row>
    <row r="613" spans="1:24" ht="15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425"/>
      <c r="S613" s="211"/>
      <c r="U613" s="91"/>
      <c r="V613" s="210"/>
      <c r="W613" s="91"/>
      <c r="X613" s="91"/>
    </row>
    <row r="614" spans="1:24" ht="15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425"/>
      <c r="S614" s="211"/>
      <c r="U614" s="91"/>
      <c r="V614" s="210"/>
      <c r="W614" s="91"/>
      <c r="X614" s="91"/>
    </row>
    <row r="615" spans="1:24" ht="15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425"/>
      <c r="S615" s="211"/>
      <c r="U615" s="91"/>
      <c r="V615" s="210"/>
      <c r="W615" s="91"/>
      <c r="X615" s="91"/>
    </row>
    <row r="616" spans="1:24" ht="15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425"/>
      <c r="S616" s="211"/>
      <c r="U616" s="91"/>
      <c r="V616" s="210"/>
      <c r="W616" s="91"/>
      <c r="X616" s="91"/>
    </row>
    <row r="617" spans="1:24" ht="15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425"/>
      <c r="S617" s="211"/>
      <c r="U617" s="91"/>
      <c r="V617" s="210"/>
      <c r="W617" s="91"/>
      <c r="X617" s="91"/>
    </row>
    <row r="618" spans="1:24" ht="15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425"/>
      <c r="S618" s="211"/>
      <c r="U618" s="91"/>
      <c r="V618" s="210"/>
      <c r="W618" s="91"/>
      <c r="X618" s="91"/>
    </row>
    <row r="619" spans="1:24" ht="15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425"/>
      <c r="S619" s="211"/>
      <c r="U619" s="91"/>
      <c r="V619" s="210"/>
      <c r="W619" s="91"/>
      <c r="X619" s="91"/>
    </row>
    <row r="620" spans="1:24" ht="15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425"/>
      <c r="S620" s="211"/>
      <c r="U620" s="91"/>
      <c r="V620" s="210"/>
      <c r="W620" s="91"/>
      <c r="X620" s="91"/>
    </row>
    <row r="621" spans="1:24" ht="15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425"/>
      <c r="S621" s="211"/>
      <c r="U621" s="91"/>
      <c r="V621" s="210"/>
      <c r="W621" s="91"/>
      <c r="X621" s="91"/>
    </row>
    <row r="622" spans="1:24" ht="15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425"/>
      <c r="S622" s="211"/>
      <c r="U622" s="91"/>
      <c r="V622" s="210"/>
      <c r="W622" s="91"/>
      <c r="X622" s="91"/>
    </row>
    <row r="623" spans="1:24" ht="15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425"/>
      <c r="S623" s="211"/>
      <c r="U623" s="91"/>
      <c r="V623" s="210"/>
      <c r="W623" s="91"/>
      <c r="X623" s="91"/>
    </row>
    <row r="624" spans="1:24" ht="15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425"/>
      <c r="S624" s="211"/>
      <c r="U624" s="91"/>
      <c r="V624" s="210"/>
      <c r="W624" s="91"/>
      <c r="X624" s="91"/>
    </row>
    <row r="625" spans="1:24" ht="15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425"/>
      <c r="S625" s="211"/>
      <c r="U625" s="91"/>
      <c r="V625" s="210"/>
      <c r="W625" s="91"/>
      <c r="X625" s="91"/>
    </row>
    <row r="626" spans="1:24" ht="15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425"/>
      <c r="S626" s="211"/>
      <c r="U626" s="91"/>
      <c r="V626" s="210"/>
      <c r="W626" s="91"/>
      <c r="X626" s="91"/>
    </row>
    <row r="627" spans="1:24" ht="15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425"/>
      <c r="S627" s="211"/>
      <c r="U627" s="91"/>
      <c r="V627" s="210"/>
      <c r="W627" s="91"/>
      <c r="X627" s="91"/>
    </row>
    <row r="628" spans="1:24" ht="15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425"/>
      <c r="S628" s="211"/>
      <c r="U628" s="91"/>
      <c r="V628" s="210"/>
      <c r="W628" s="91"/>
      <c r="X628" s="91"/>
    </row>
    <row r="629" spans="1:24" ht="15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425"/>
      <c r="S629" s="211"/>
      <c r="U629" s="91"/>
      <c r="V629" s="210"/>
      <c r="W629" s="91"/>
      <c r="X629" s="91"/>
    </row>
    <row r="630" spans="1:24" ht="15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425"/>
      <c r="S630" s="211"/>
      <c r="U630" s="91"/>
      <c r="V630" s="210"/>
      <c r="W630" s="91"/>
      <c r="X630" s="91"/>
    </row>
    <row r="631" spans="1:24" ht="15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425"/>
      <c r="S631" s="211"/>
      <c r="U631" s="91"/>
      <c r="V631" s="210"/>
      <c r="W631" s="91"/>
      <c r="X631" s="91"/>
    </row>
    <row r="632" spans="1:24" ht="15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425"/>
      <c r="S632" s="211"/>
      <c r="U632" s="91"/>
      <c r="V632" s="210"/>
      <c r="W632" s="91"/>
      <c r="X632" s="91"/>
    </row>
    <row r="633" spans="1:24" ht="15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425"/>
      <c r="S633" s="211"/>
      <c r="U633" s="91"/>
      <c r="V633" s="210"/>
      <c r="W633" s="91"/>
      <c r="X633" s="91"/>
    </row>
    <row r="634" spans="1:24" ht="15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425"/>
      <c r="S634" s="211"/>
      <c r="U634" s="91"/>
      <c r="V634" s="210"/>
      <c r="W634" s="91"/>
      <c r="X634" s="91"/>
    </row>
    <row r="635" spans="1:24" ht="15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425"/>
      <c r="S635" s="211"/>
      <c r="U635" s="91"/>
      <c r="V635" s="210"/>
      <c r="W635" s="91"/>
      <c r="X635" s="91"/>
    </row>
    <row r="636" spans="1:24" ht="15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425"/>
      <c r="S636" s="211"/>
      <c r="U636" s="91"/>
      <c r="V636" s="210"/>
      <c r="W636" s="91"/>
      <c r="X636" s="91"/>
    </row>
    <row r="637" spans="1:24" ht="15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425"/>
      <c r="S637" s="211"/>
      <c r="U637" s="91"/>
      <c r="V637" s="210"/>
      <c r="W637" s="91"/>
      <c r="X637" s="91"/>
    </row>
    <row r="638" spans="1:24" ht="15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425"/>
      <c r="S638" s="211"/>
      <c r="U638" s="91"/>
      <c r="V638" s="210"/>
      <c r="W638" s="91"/>
      <c r="X638" s="91"/>
    </row>
    <row r="639" spans="1:24" ht="15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425"/>
      <c r="S639" s="211"/>
      <c r="U639" s="91"/>
      <c r="V639" s="210"/>
      <c r="W639" s="91"/>
      <c r="X639" s="91"/>
    </row>
    <row r="640" spans="1:24" ht="15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425"/>
      <c r="S640" s="211"/>
      <c r="U640" s="91"/>
      <c r="V640" s="210"/>
      <c r="W640" s="91"/>
      <c r="X640" s="91"/>
    </row>
    <row r="641" spans="1:24" ht="15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425"/>
      <c r="S641" s="211"/>
      <c r="U641" s="91"/>
      <c r="V641" s="210"/>
      <c r="W641" s="91"/>
      <c r="X641" s="91"/>
    </row>
    <row r="642" spans="1:24" ht="15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425"/>
      <c r="S642" s="211"/>
      <c r="U642" s="91"/>
      <c r="V642" s="210"/>
      <c r="W642" s="91"/>
      <c r="X642" s="91"/>
    </row>
    <row r="643" spans="1:24" ht="15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425"/>
      <c r="S643" s="211"/>
      <c r="U643" s="91"/>
      <c r="V643" s="210"/>
      <c r="W643" s="91"/>
      <c r="X643" s="91"/>
    </row>
    <row r="644" spans="1:24" ht="15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425"/>
      <c r="S644" s="211"/>
      <c r="U644" s="91"/>
      <c r="V644" s="210"/>
      <c r="W644" s="91"/>
      <c r="X644" s="91"/>
    </row>
    <row r="645" spans="1:24" ht="15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425"/>
      <c r="S645" s="211"/>
      <c r="U645" s="91"/>
      <c r="V645" s="210"/>
      <c r="W645" s="91"/>
      <c r="X645" s="91"/>
    </row>
    <row r="646" spans="1:24" ht="15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425"/>
      <c r="S646" s="211"/>
      <c r="U646" s="91"/>
      <c r="V646" s="210"/>
      <c r="W646" s="91"/>
      <c r="X646" s="91"/>
    </row>
    <row r="647" spans="1:24" ht="15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425"/>
      <c r="S647" s="211"/>
      <c r="U647" s="91"/>
      <c r="V647" s="210"/>
      <c r="W647" s="91"/>
      <c r="X647" s="91"/>
    </row>
    <row r="648" spans="1:24" ht="15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425"/>
      <c r="S648" s="211"/>
      <c r="U648" s="91"/>
      <c r="V648" s="210"/>
      <c r="W648" s="91"/>
      <c r="X648" s="91"/>
    </row>
    <row r="649" spans="1:24" ht="15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425"/>
      <c r="S649" s="211"/>
      <c r="U649" s="91"/>
      <c r="V649" s="210"/>
      <c r="W649" s="91"/>
      <c r="X649" s="91"/>
    </row>
    <row r="650" spans="1:24" ht="15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425"/>
      <c r="S650" s="211"/>
      <c r="U650" s="91"/>
      <c r="V650" s="210"/>
      <c r="W650" s="91"/>
      <c r="X650" s="91"/>
    </row>
    <row r="651" spans="1:24" ht="15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425"/>
      <c r="S651" s="211"/>
      <c r="U651" s="91"/>
      <c r="V651" s="210"/>
      <c r="W651" s="91"/>
      <c r="X651" s="91"/>
    </row>
    <row r="652" spans="1:24" ht="15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425"/>
      <c r="S652" s="211"/>
      <c r="U652" s="91"/>
      <c r="V652" s="210"/>
      <c r="W652" s="91"/>
      <c r="X652" s="91"/>
    </row>
    <row r="653" spans="1:24" ht="15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425"/>
      <c r="S653" s="211"/>
      <c r="U653" s="91"/>
      <c r="V653" s="210"/>
      <c r="W653" s="91"/>
      <c r="X653" s="91"/>
    </row>
    <row r="654" spans="1:24" ht="15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425"/>
      <c r="S654" s="211"/>
      <c r="U654" s="91"/>
      <c r="V654" s="210"/>
      <c r="W654" s="91"/>
      <c r="X654" s="91"/>
    </row>
    <row r="655" spans="1:24" ht="15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425"/>
      <c r="S655" s="211"/>
      <c r="U655" s="91"/>
      <c r="V655" s="210"/>
      <c r="W655" s="91"/>
      <c r="X655" s="91"/>
    </row>
    <row r="656" spans="1:24" ht="15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425"/>
      <c r="S656" s="211"/>
      <c r="U656" s="91"/>
      <c r="V656" s="210"/>
      <c r="W656" s="91"/>
      <c r="X656" s="91"/>
    </row>
    <row r="657" spans="1:24" ht="15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425"/>
      <c r="S657" s="211"/>
      <c r="U657" s="91"/>
      <c r="V657" s="210"/>
      <c r="W657" s="91"/>
      <c r="X657" s="91"/>
    </row>
    <row r="658" spans="1:24" ht="15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425"/>
      <c r="S658" s="211"/>
      <c r="U658" s="91"/>
      <c r="V658" s="210"/>
      <c r="W658" s="91"/>
      <c r="X658" s="91"/>
    </row>
    <row r="659" spans="1:24" ht="15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425"/>
      <c r="S659" s="211"/>
      <c r="U659" s="91"/>
      <c r="V659" s="210"/>
      <c r="W659" s="91"/>
      <c r="X659" s="91"/>
    </row>
    <row r="660" spans="1:24" ht="15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425"/>
      <c r="S660" s="211"/>
      <c r="U660" s="91"/>
      <c r="V660" s="210"/>
      <c r="W660" s="91"/>
      <c r="X660" s="91"/>
    </row>
    <row r="661" spans="1:24" ht="15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425"/>
      <c r="S661" s="211"/>
      <c r="U661" s="91"/>
      <c r="V661" s="210"/>
      <c r="W661" s="91"/>
      <c r="X661" s="91"/>
    </row>
    <row r="662" spans="1:24" ht="15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425"/>
      <c r="S662" s="211"/>
      <c r="U662" s="91"/>
      <c r="V662" s="210"/>
      <c r="W662" s="91"/>
      <c r="X662" s="91"/>
    </row>
    <row r="663" spans="1:24" ht="15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425"/>
      <c r="S663" s="211"/>
      <c r="U663" s="91"/>
      <c r="V663" s="210"/>
      <c r="W663" s="91"/>
      <c r="X663" s="91"/>
    </row>
    <row r="664" spans="1:24" ht="15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425"/>
      <c r="S664" s="211"/>
      <c r="U664" s="91"/>
      <c r="V664" s="210"/>
      <c r="W664" s="91"/>
      <c r="X664" s="91"/>
    </row>
    <row r="665" spans="1:24" ht="15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425"/>
      <c r="S665" s="211"/>
      <c r="U665" s="91"/>
      <c r="V665" s="210"/>
      <c r="W665" s="91"/>
      <c r="X665" s="91"/>
    </row>
    <row r="666" spans="1:24" ht="15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425"/>
      <c r="S666" s="211"/>
      <c r="U666" s="91"/>
      <c r="V666" s="210"/>
      <c r="W666" s="91"/>
      <c r="X666" s="91"/>
    </row>
    <row r="667" spans="1:24" ht="15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425"/>
      <c r="S667" s="211"/>
      <c r="U667" s="91"/>
      <c r="V667" s="210"/>
      <c r="W667" s="91"/>
      <c r="X667" s="91"/>
    </row>
    <row r="668" spans="1:24" ht="15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425"/>
      <c r="S668" s="211"/>
      <c r="U668" s="91"/>
      <c r="V668" s="210"/>
      <c r="W668" s="91"/>
      <c r="X668" s="91"/>
    </row>
    <row r="669" spans="1:24" ht="15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425"/>
      <c r="S669" s="211"/>
      <c r="U669" s="91"/>
      <c r="V669" s="210"/>
      <c r="W669" s="91"/>
      <c r="X669" s="91"/>
    </row>
    <row r="670" spans="1:24" ht="15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425"/>
      <c r="S670" s="211"/>
      <c r="U670" s="91"/>
      <c r="V670" s="210"/>
      <c r="W670" s="91"/>
      <c r="X670" s="91"/>
    </row>
    <row r="671" spans="1:24" ht="15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425"/>
      <c r="S671" s="211"/>
      <c r="U671" s="91"/>
      <c r="V671" s="210"/>
      <c r="W671" s="91"/>
      <c r="X671" s="91"/>
    </row>
    <row r="672" spans="1:24" ht="15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425"/>
      <c r="S672" s="211"/>
      <c r="U672" s="91"/>
      <c r="V672" s="210"/>
      <c r="W672" s="91"/>
      <c r="X672" s="91"/>
    </row>
    <row r="673" spans="1:24" ht="15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425"/>
      <c r="S673" s="211"/>
      <c r="U673" s="91"/>
      <c r="V673" s="210"/>
      <c r="W673" s="91"/>
      <c r="X673" s="91"/>
    </row>
    <row r="674" spans="1:24" ht="15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425"/>
      <c r="S674" s="211"/>
      <c r="U674" s="91"/>
      <c r="V674" s="210"/>
      <c r="W674" s="91"/>
      <c r="X674" s="91"/>
    </row>
    <row r="675" spans="1:24" ht="15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425"/>
      <c r="S675" s="211"/>
      <c r="U675" s="91"/>
      <c r="V675" s="210"/>
      <c r="W675" s="91"/>
      <c r="X675" s="91"/>
    </row>
    <row r="676" spans="1:24" ht="15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425"/>
      <c r="S676" s="211"/>
      <c r="U676" s="91"/>
      <c r="V676" s="210"/>
      <c r="W676" s="91"/>
      <c r="X676" s="91"/>
    </row>
    <row r="677" spans="1:24" ht="15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425"/>
      <c r="S677" s="211"/>
      <c r="U677" s="91"/>
      <c r="V677" s="210"/>
      <c r="W677" s="91"/>
      <c r="X677" s="91"/>
    </row>
    <row r="678" spans="1:24" ht="15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425"/>
      <c r="S678" s="211"/>
      <c r="U678" s="91"/>
      <c r="V678" s="210"/>
      <c r="W678" s="91"/>
      <c r="X678" s="91"/>
    </row>
    <row r="679" spans="1:24" ht="15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425"/>
      <c r="S679" s="211"/>
      <c r="U679" s="91"/>
      <c r="V679" s="210"/>
      <c r="W679" s="91"/>
      <c r="X679" s="91"/>
    </row>
    <row r="680" spans="1:24" ht="15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425"/>
      <c r="S680" s="211"/>
      <c r="U680" s="91"/>
      <c r="V680" s="210"/>
      <c r="W680" s="91"/>
      <c r="X680" s="91"/>
    </row>
    <row r="681" spans="1:24" ht="15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425"/>
      <c r="S681" s="211"/>
      <c r="U681" s="91"/>
      <c r="V681" s="210"/>
      <c r="W681" s="91"/>
      <c r="X681" s="91"/>
    </row>
    <row r="682" spans="1:24" ht="15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425"/>
      <c r="S682" s="211"/>
      <c r="U682" s="91"/>
      <c r="V682" s="210"/>
      <c r="W682" s="91"/>
      <c r="X682" s="91"/>
    </row>
    <row r="683" spans="1:24" ht="15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425"/>
      <c r="S683" s="211"/>
      <c r="U683" s="91"/>
      <c r="V683" s="210"/>
      <c r="W683" s="91"/>
      <c r="X683" s="91"/>
    </row>
    <row r="684" spans="1:24" ht="15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425"/>
      <c r="S684" s="211"/>
      <c r="U684" s="91"/>
      <c r="V684" s="210"/>
      <c r="W684" s="91"/>
      <c r="X684" s="91"/>
    </row>
    <row r="685" spans="1:24" ht="15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425"/>
      <c r="S685" s="211"/>
      <c r="U685" s="91"/>
      <c r="V685" s="210"/>
      <c r="W685" s="91"/>
      <c r="X685" s="91"/>
    </row>
    <row r="686" spans="1:24" ht="15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425"/>
      <c r="S686" s="211"/>
      <c r="U686" s="91"/>
      <c r="V686" s="210"/>
      <c r="W686" s="91"/>
      <c r="X686" s="91"/>
    </row>
    <row r="687" spans="1:24" ht="15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425"/>
      <c r="S687" s="211"/>
      <c r="U687" s="91"/>
      <c r="V687" s="210"/>
      <c r="W687" s="91"/>
      <c r="X687" s="91"/>
    </row>
    <row r="688" spans="1:24" ht="15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425"/>
      <c r="S688" s="211"/>
      <c r="U688" s="91"/>
      <c r="V688" s="210"/>
      <c r="W688" s="91"/>
      <c r="X688" s="91"/>
    </row>
    <row r="689" spans="1:24" ht="15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425"/>
      <c r="S689" s="211"/>
      <c r="U689" s="91"/>
      <c r="V689" s="210"/>
      <c r="W689" s="91"/>
      <c r="X689" s="91"/>
    </row>
    <row r="690" spans="1:24" ht="15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425"/>
      <c r="S690" s="211"/>
      <c r="U690" s="91"/>
      <c r="V690" s="210"/>
      <c r="W690" s="91"/>
      <c r="X690" s="91"/>
    </row>
    <row r="691" spans="1:24" ht="15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425"/>
      <c r="S691" s="211"/>
      <c r="U691" s="91"/>
      <c r="V691" s="210"/>
      <c r="W691" s="91"/>
      <c r="X691" s="91"/>
    </row>
    <row r="692" spans="1:24" ht="15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425"/>
      <c r="S692" s="211"/>
      <c r="U692" s="91"/>
      <c r="V692" s="210"/>
      <c r="W692" s="91"/>
      <c r="X692" s="91"/>
    </row>
    <row r="693" spans="1:24" ht="15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425"/>
      <c r="S693" s="211"/>
      <c r="U693" s="91"/>
      <c r="V693" s="210"/>
      <c r="W693" s="91"/>
      <c r="X693" s="91"/>
    </row>
    <row r="694" spans="1:24" ht="15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425"/>
      <c r="S694" s="211"/>
      <c r="U694" s="91"/>
      <c r="V694" s="210"/>
      <c r="W694" s="91"/>
      <c r="X694" s="91"/>
    </row>
    <row r="695" spans="1:24" ht="15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425"/>
      <c r="S695" s="211"/>
      <c r="U695" s="91"/>
      <c r="V695" s="210"/>
      <c r="W695" s="91"/>
      <c r="X695" s="91"/>
    </row>
    <row r="696" spans="1:24" ht="15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425"/>
      <c r="S696" s="211"/>
      <c r="U696" s="91"/>
      <c r="V696" s="210"/>
      <c r="W696" s="91"/>
      <c r="X696" s="91"/>
    </row>
    <row r="697" spans="1:24" ht="15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425"/>
      <c r="S697" s="211"/>
      <c r="U697" s="91"/>
      <c r="V697" s="210"/>
      <c r="W697" s="91"/>
      <c r="X697" s="91"/>
    </row>
    <row r="698" spans="1:24" ht="15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425"/>
      <c r="S698" s="211"/>
      <c r="U698" s="91"/>
      <c r="V698" s="210"/>
      <c r="W698" s="91"/>
      <c r="X698" s="91"/>
    </row>
    <row r="699" spans="1:24" ht="15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425"/>
      <c r="S699" s="211"/>
      <c r="U699" s="91"/>
      <c r="V699" s="210"/>
      <c r="W699" s="91"/>
      <c r="X699" s="91"/>
    </row>
    <row r="700" spans="1:24" ht="15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425"/>
      <c r="S700" s="211"/>
      <c r="U700" s="91"/>
      <c r="V700" s="210"/>
      <c r="W700" s="91"/>
      <c r="X700" s="91"/>
    </row>
    <row r="701" spans="1:24" ht="15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425"/>
      <c r="S701" s="211"/>
      <c r="U701" s="91"/>
      <c r="V701" s="210"/>
      <c r="W701" s="91"/>
      <c r="X701" s="91"/>
    </row>
    <row r="702" spans="1:24" ht="15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425"/>
      <c r="S702" s="211"/>
      <c r="U702" s="91"/>
      <c r="V702" s="210"/>
      <c r="W702" s="91"/>
      <c r="X702" s="91"/>
    </row>
    <row r="703" spans="1:24" ht="15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425"/>
      <c r="S703" s="211"/>
      <c r="U703" s="91"/>
      <c r="V703" s="210"/>
      <c r="W703" s="91"/>
      <c r="X703" s="91"/>
    </row>
    <row r="704" spans="1:24" ht="15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425"/>
      <c r="S704" s="211"/>
      <c r="U704" s="91"/>
      <c r="V704" s="210"/>
      <c r="W704" s="91"/>
      <c r="X704" s="91"/>
    </row>
    <row r="705" spans="1:24" ht="15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425"/>
      <c r="S705" s="211"/>
      <c r="U705" s="91"/>
      <c r="V705" s="210"/>
      <c r="W705" s="91"/>
      <c r="X705" s="91"/>
    </row>
    <row r="706" spans="1:24" ht="15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425"/>
      <c r="S706" s="211"/>
      <c r="U706" s="91"/>
      <c r="V706" s="210"/>
      <c r="W706" s="91"/>
      <c r="X706" s="91"/>
    </row>
    <row r="707" spans="1:24" ht="15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425"/>
      <c r="S707" s="211"/>
      <c r="U707" s="91"/>
      <c r="V707" s="210"/>
      <c r="W707" s="91"/>
      <c r="X707" s="91"/>
    </row>
    <row r="708" spans="1:24" ht="15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425"/>
      <c r="S708" s="211"/>
      <c r="U708" s="91"/>
      <c r="V708" s="210"/>
      <c r="W708" s="91"/>
      <c r="X708" s="91"/>
    </row>
    <row r="709" spans="1:24" ht="15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425"/>
      <c r="S709" s="211"/>
      <c r="U709" s="91"/>
      <c r="V709" s="210"/>
      <c r="W709" s="91"/>
      <c r="X709" s="91"/>
    </row>
    <row r="710" spans="1:24" ht="15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425"/>
      <c r="S710" s="211"/>
      <c r="U710" s="91"/>
      <c r="V710" s="210"/>
      <c r="W710" s="91"/>
      <c r="X710" s="91"/>
    </row>
    <row r="711" spans="1:24" ht="15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425"/>
      <c r="S711" s="211"/>
      <c r="U711" s="91"/>
      <c r="V711" s="210"/>
      <c r="W711" s="91"/>
      <c r="X711" s="91"/>
    </row>
    <row r="712" spans="1:24" ht="15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425"/>
      <c r="S712" s="211"/>
      <c r="U712" s="91"/>
      <c r="V712" s="210"/>
      <c r="W712" s="91"/>
      <c r="X712" s="91"/>
    </row>
    <row r="713" spans="1:24" ht="15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425"/>
      <c r="S713" s="211"/>
      <c r="U713" s="91"/>
      <c r="V713" s="210"/>
      <c r="W713" s="91"/>
      <c r="X713" s="91"/>
    </row>
    <row r="714" spans="1:24" ht="15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425"/>
      <c r="S714" s="211"/>
      <c r="U714" s="91"/>
      <c r="V714" s="210"/>
      <c r="W714" s="91"/>
      <c r="X714" s="91"/>
    </row>
    <row r="715" spans="1:24" ht="15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425"/>
      <c r="S715" s="211"/>
      <c r="U715" s="91"/>
      <c r="V715" s="210"/>
      <c r="W715" s="91"/>
      <c r="X715" s="91"/>
    </row>
    <row r="716" spans="1:24" ht="15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425"/>
      <c r="S716" s="211"/>
      <c r="U716" s="91"/>
      <c r="V716" s="210"/>
      <c r="W716" s="91"/>
      <c r="X716" s="91"/>
    </row>
    <row r="717" spans="1:24" ht="15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425"/>
      <c r="S717" s="211"/>
      <c r="U717" s="91"/>
      <c r="V717" s="210"/>
      <c r="W717" s="91"/>
      <c r="X717" s="91"/>
    </row>
    <row r="718" spans="1:24" ht="15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425"/>
      <c r="S718" s="211"/>
      <c r="U718" s="91"/>
      <c r="V718" s="210"/>
      <c r="W718" s="91"/>
      <c r="X718" s="91"/>
    </row>
    <row r="719" spans="1:24" ht="15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425"/>
      <c r="S719" s="211"/>
      <c r="U719" s="91"/>
      <c r="V719" s="210"/>
      <c r="W719" s="91"/>
      <c r="X719" s="91"/>
    </row>
    <row r="720" spans="1:24" ht="15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425"/>
      <c r="S720" s="211"/>
      <c r="U720" s="91"/>
      <c r="V720" s="210"/>
      <c r="W720" s="91"/>
      <c r="X720" s="91"/>
    </row>
    <row r="721" spans="1:24" ht="15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425"/>
      <c r="S721" s="211"/>
      <c r="U721" s="91"/>
      <c r="V721" s="210"/>
      <c r="W721" s="91"/>
      <c r="X721" s="91"/>
    </row>
    <row r="722" spans="1:24" ht="15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425"/>
      <c r="S722" s="211"/>
      <c r="U722" s="91"/>
      <c r="V722" s="210"/>
      <c r="W722" s="91"/>
      <c r="X722" s="91"/>
    </row>
    <row r="723" spans="1:24" ht="15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425"/>
      <c r="S723" s="211"/>
      <c r="U723" s="91"/>
      <c r="V723" s="210"/>
      <c r="W723" s="91"/>
      <c r="X723" s="91"/>
    </row>
    <row r="724" spans="1:24" ht="15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425"/>
      <c r="S724" s="211"/>
      <c r="U724" s="91"/>
      <c r="V724" s="210"/>
      <c r="W724" s="91"/>
      <c r="X724" s="91"/>
    </row>
    <row r="725" spans="1:24" ht="15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425"/>
      <c r="S725" s="211"/>
      <c r="U725" s="91"/>
      <c r="V725" s="210"/>
      <c r="W725" s="91"/>
      <c r="X725" s="91"/>
    </row>
    <row r="726" spans="1:24" ht="15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425"/>
      <c r="S726" s="211"/>
      <c r="U726" s="91"/>
      <c r="V726" s="210"/>
      <c r="W726" s="91"/>
      <c r="X726" s="91"/>
    </row>
    <row r="727" spans="1:24" ht="15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425"/>
      <c r="S727" s="211"/>
      <c r="U727" s="91"/>
      <c r="V727" s="210"/>
      <c r="W727" s="91"/>
      <c r="X727" s="91"/>
    </row>
    <row r="728" spans="1:24" ht="15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425"/>
      <c r="S728" s="211"/>
      <c r="U728" s="91"/>
      <c r="V728" s="210"/>
      <c r="W728" s="91"/>
      <c r="X728" s="91"/>
    </row>
    <row r="729" spans="1:24" ht="15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425"/>
      <c r="S729" s="211"/>
      <c r="U729" s="91"/>
      <c r="V729" s="210"/>
      <c r="W729" s="91"/>
      <c r="X729" s="91"/>
    </row>
    <row r="730" spans="1:24" ht="15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425"/>
      <c r="S730" s="211"/>
      <c r="U730" s="91"/>
      <c r="V730" s="210"/>
      <c r="W730" s="91"/>
      <c r="X730" s="91"/>
    </row>
    <row r="731" spans="1:24" ht="15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425"/>
      <c r="S731" s="211"/>
      <c r="U731" s="91"/>
      <c r="V731" s="210"/>
      <c r="W731" s="91"/>
      <c r="X731" s="91"/>
    </row>
    <row r="732" spans="1:24" ht="15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425"/>
      <c r="S732" s="211"/>
      <c r="U732" s="91"/>
      <c r="V732" s="210"/>
      <c r="W732" s="91"/>
      <c r="X732" s="91"/>
    </row>
    <row r="733" spans="1:24" ht="15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425"/>
      <c r="S733" s="211"/>
      <c r="U733" s="91"/>
      <c r="V733" s="210"/>
      <c r="W733" s="91"/>
      <c r="X733" s="91"/>
    </row>
    <row r="734" spans="1:24" ht="15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425"/>
      <c r="S734" s="211"/>
      <c r="U734" s="91"/>
      <c r="V734" s="210"/>
      <c r="W734" s="91"/>
      <c r="X734" s="91"/>
    </row>
    <row r="735" spans="1:24" ht="15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425"/>
      <c r="S735" s="211"/>
      <c r="U735" s="91"/>
      <c r="V735" s="210"/>
      <c r="W735" s="91"/>
      <c r="X735" s="91"/>
    </row>
    <row r="736" spans="1:24" ht="15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425"/>
      <c r="S736" s="211"/>
      <c r="U736" s="91"/>
      <c r="V736" s="210"/>
      <c r="W736" s="91"/>
      <c r="X736" s="91"/>
    </row>
    <row r="737" spans="1:24" ht="15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425"/>
      <c r="S737" s="211"/>
      <c r="U737" s="91"/>
      <c r="V737" s="210"/>
      <c r="W737" s="91"/>
      <c r="X737" s="91"/>
    </row>
    <row r="738" spans="1:24" ht="15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425"/>
      <c r="S738" s="211"/>
      <c r="U738" s="91"/>
      <c r="V738" s="210"/>
      <c r="W738" s="91"/>
      <c r="X738" s="91"/>
    </row>
    <row r="739" spans="1:24" ht="15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425"/>
      <c r="S739" s="211"/>
      <c r="U739" s="91"/>
      <c r="V739" s="210"/>
      <c r="W739" s="91"/>
      <c r="X739" s="91"/>
    </row>
    <row r="740" spans="1:24" ht="15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425"/>
      <c r="S740" s="211"/>
      <c r="U740" s="91"/>
      <c r="V740" s="210"/>
      <c r="W740" s="91"/>
      <c r="X740" s="91"/>
    </row>
    <row r="741" spans="1:24" ht="15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425"/>
      <c r="S741" s="211"/>
      <c r="U741" s="91"/>
      <c r="V741" s="210"/>
      <c r="W741" s="91"/>
      <c r="X741" s="91"/>
    </row>
    <row r="742" spans="1:24" ht="15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425"/>
      <c r="S742" s="211"/>
      <c r="U742" s="91"/>
      <c r="V742" s="210"/>
      <c r="W742" s="91"/>
      <c r="X742" s="91"/>
    </row>
    <row r="743" spans="1:24" ht="15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425"/>
      <c r="S743" s="211"/>
      <c r="U743" s="91"/>
      <c r="V743" s="210"/>
      <c r="W743" s="91"/>
      <c r="X743" s="91"/>
    </row>
    <row r="744" spans="1:24" ht="15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425"/>
      <c r="S744" s="211"/>
      <c r="U744" s="91"/>
      <c r="V744" s="210"/>
      <c r="W744" s="91"/>
      <c r="X744" s="91"/>
    </row>
    <row r="745" spans="1:24" ht="15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425"/>
      <c r="S745" s="211"/>
      <c r="U745" s="91"/>
      <c r="V745" s="210"/>
      <c r="W745" s="91"/>
      <c r="X745" s="91"/>
    </row>
    <row r="746" spans="1:24" ht="15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425"/>
      <c r="S746" s="211"/>
      <c r="U746" s="91"/>
      <c r="V746" s="210"/>
      <c r="W746" s="91"/>
      <c r="X746" s="91"/>
    </row>
    <row r="747" spans="1:24" ht="15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425"/>
      <c r="S747" s="211"/>
      <c r="U747" s="91"/>
      <c r="V747" s="210"/>
      <c r="W747" s="91"/>
      <c r="X747" s="91"/>
    </row>
    <row r="748" spans="1:24" ht="15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425"/>
      <c r="S748" s="211"/>
      <c r="U748" s="91"/>
      <c r="V748" s="210"/>
      <c r="W748" s="91"/>
      <c r="X748" s="91"/>
    </row>
    <row r="749" spans="1:24" ht="15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425"/>
      <c r="S749" s="211"/>
      <c r="U749" s="91"/>
      <c r="V749" s="210"/>
      <c r="W749" s="91"/>
      <c r="X749" s="91"/>
    </row>
    <row r="750" spans="1:24" ht="15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425"/>
      <c r="S750" s="211"/>
      <c r="U750" s="91"/>
      <c r="V750" s="210"/>
      <c r="W750" s="91"/>
      <c r="X750" s="91"/>
    </row>
    <row r="751" spans="1:24" ht="15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425"/>
      <c r="S751" s="211"/>
      <c r="U751" s="91"/>
      <c r="V751" s="210"/>
      <c r="W751" s="91"/>
      <c r="X751" s="91"/>
    </row>
    <row r="752" spans="1:24" ht="15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425"/>
      <c r="S752" s="211"/>
      <c r="U752" s="91"/>
      <c r="V752" s="210"/>
      <c r="W752" s="91"/>
      <c r="X752" s="91"/>
    </row>
    <row r="753" spans="1:24" ht="15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425"/>
      <c r="S753" s="211"/>
      <c r="U753" s="91"/>
      <c r="V753" s="210"/>
      <c r="W753" s="91"/>
      <c r="X753" s="91"/>
    </row>
    <row r="754" spans="1:24" ht="15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425"/>
      <c r="S754" s="211"/>
      <c r="U754" s="91"/>
      <c r="V754" s="210"/>
      <c r="W754" s="91"/>
      <c r="X754" s="91"/>
    </row>
    <row r="755" spans="1:24" ht="15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425"/>
      <c r="S755" s="211"/>
      <c r="U755" s="91"/>
      <c r="V755" s="210"/>
      <c r="W755" s="91"/>
      <c r="X755" s="91"/>
    </row>
    <row r="756" spans="1:24" ht="15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425"/>
      <c r="S756" s="211"/>
      <c r="U756" s="91"/>
      <c r="V756" s="210"/>
      <c r="W756" s="91"/>
      <c r="X756" s="91"/>
    </row>
    <row r="757" spans="1:24" ht="15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425"/>
      <c r="S757" s="211"/>
      <c r="U757" s="91"/>
      <c r="V757" s="210"/>
      <c r="W757" s="91"/>
      <c r="X757" s="91"/>
    </row>
    <row r="758" spans="1:24" ht="15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425"/>
      <c r="S758" s="211"/>
      <c r="U758" s="91"/>
      <c r="V758" s="210"/>
      <c r="W758" s="91"/>
      <c r="X758" s="91"/>
    </row>
    <row r="759" spans="1:24" ht="15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425"/>
      <c r="S759" s="211"/>
      <c r="U759" s="91"/>
      <c r="V759" s="210"/>
      <c r="W759" s="91"/>
      <c r="X759" s="91"/>
    </row>
    <row r="760" spans="1:24" ht="15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425"/>
      <c r="S760" s="211"/>
      <c r="U760" s="91"/>
      <c r="V760" s="210"/>
      <c r="W760" s="91"/>
      <c r="X760" s="91"/>
    </row>
    <row r="761" spans="1:24" ht="15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425"/>
      <c r="S761" s="211"/>
      <c r="U761" s="91"/>
      <c r="V761" s="210"/>
      <c r="W761" s="91"/>
      <c r="X761" s="91"/>
    </row>
    <row r="762" spans="1:24" ht="15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425"/>
      <c r="S762" s="211"/>
      <c r="U762" s="91"/>
      <c r="V762" s="210"/>
      <c r="W762" s="91"/>
      <c r="X762" s="91"/>
    </row>
    <row r="763" spans="1:24" ht="15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425"/>
      <c r="S763" s="211"/>
      <c r="U763" s="91"/>
      <c r="V763" s="210"/>
      <c r="W763" s="91"/>
      <c r="X763" s="91"/>
    </row>
    <row r="764" spans="1:24" ht="15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425"/>
      <c r="S764" s="211"/>
      <c r="U764" s="91"/>
      <c r="V764" s="210"/>
      <c r="W764" s="91"/>
      <c r="X764" s="91"/>
    </row>
    <row r="765" spans="1:24" ht="15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425"/>
      <c r="S765" s="211"/>
      <c r="U765" s="91"/>
      <c r="V765" s="210"/>
      <c r="W765" s="91"/>
      <c r="X765" s="91"/>
    </row>
    <row r="766" spans="1:24" ht="15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425"/>
      <c r="S766" s="211"/>
      <c r="U766" s="91"/>
      <c r="V766" s="210"/>
      <c r="W766" s="91"/>
      <c r="X766" s="91"/>
    </row>
    <row r="767" spans="1:24" ht="15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425"/>
      <c r="S767" s="211"/>
      <c r="U767" s="91"/>
      <c r="V767" s="210"/>
      <c r="W767" s="91"/>
      <c r="X767" s="91"/>
    </row>
    <row r="768" spans="1:24" ht="15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425"/>
      <c r="S768" s="211"/>
      <c r="U768" s="91"/>
      <c r="V768" s="210"/>
      <c r="W768" s="91"/>
      <c r="X768" s="91"/>
    </row>
    <row r="769" spans="1:24" ht="15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425"/>
      <c r="S769" s="211"/>
      <c r="U769" s="91"/>
      <c r="V769" s="210"/>
      <c r="W769" s="91"/>
      <c r="X769" s="91"/>
    </row>
    <row r="770" spans="1:24" ht="15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425"/>
      <c r="S770" s="211"/>
      <c r="U770" s="91"/>
      <c r="V770" s="210"/>
      <c r="W770" s="91"/>
      <c r="X770" s="91"/>
    </row>
    <row r="771" spans="1:24" ht="15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425"/>
      <c r="S771" s="211"/>
      <c r="U771" s="91"/>
      <c r="V771" s="210"/>
      <c r="W771" s="91"/>
      <c r="X771" s="91"/>
    </row>
    <row r="772" spans="1:24" ht="15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425"/>
      <c r="S772" s="211"/>
      <c r="U772" s="91"/>
      <c r="V772" s="210"/>
      <c r="W772" s="91"/>
      <c r="X772" s="91"/>
    </row>
    <row r="773" spans="1:24" ht="15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425"/>
      <c r="S773" s="211"/>
      <c r="U773" s="91"/>
      <c r="V773" s="210"/>
      <c r="W773" s="91"/>
      <c r="X773" s="91"/>
    </row>
    <row r="774" spans="1:24" ht="15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425"/>
      <c r="S774" s="211"/>
      <c r="U774" s="91"/>
      <c r="V774" s="210"/>
      <c r="W774" s="91"/>
      <c r="X774" s="91"/>
    </row>
    <row r="775" spans="1:24" ht="15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425"/>
      <c r="S775" s="211"/>
      <c r="U775" s="91"/>
      <c r="V775" s="210"/>
      <c r="W775" s="91"/>
      <c r="X775" s="91"/>
    </row>
    <row r="776" spans="1:24" ht="15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425"/>
      <c r="S776" s="211"/>
      <c r="U776" s="91"/>
      <c r="V776" s="210"/>
      <c r="W776" s="91"/>
      <c r="X776" s="91"/>
    </row>
    <row r="777" spans="1:24" ht="15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425"/>
      <c r="S777" s="211"/>
      <c r="U777" s="91"/>
      <c r="V777" s="210"/>
      <c r="W777" s="91"/>
      <c r="X777" s="91"/>
    </row>
    <row r="778" spans="1:24" ht="15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425"/>
      <c r="S778" s="211"/>
      <c r="U778" s="91"/>
      <c r="V778" s="210"/>
      <c r="W778" s="91"/>
      <c r="X778" s="91"/>
    </row>
    <row r="779" spans="1:24" ht="15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425"/>
      <c r="S779" s="211"/>
      <c r="U779" s="91"/>
      <c r="V779" s="210"/>
      <c r="W779" s="91"/>
      <c r="X779" s="91"/>
    </row>
    <row r="780" spans="1:24" ht="15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425"/>
      <c r="S780" s="211"/>
      <c r="U780" s="91"/>
      <c r="V780" s="210"/>
      <c r="W780" s="91"/>
      <c r="X780" s="91"/>
    </row>
    <row r="781" spans="1:24" ht="15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425"/>
      <c r="S781" s="211"/>
      <c r="U781" s="91"/>
      <c r="V781" s="210"/>
      <c r="W781" s="91"/>
      <c r="X781" s="91"/>
    </row>
    <row r="782" spans="1:24" ht="15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425"/>
      <c r="S782" s="211"/>
      <c r="U782" s="91"/>
      <c r="V782" s="210"/>
      <c r="W782" s="91"/>
      <c r="X782" s="91"/>
    </row>
    <row r="783" spans="1:24" ht="15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425"/>
      <c r="S783" s="211"/>
      <c r="U783" s="91"/>
      <c r="V783" s="210"/>
      <c r="W783" s="91"/>
      <c r="X783" s="91"/>
    </row>
    <row r="784" spans="1:24" ht="15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425"/>
      <c r="S784" s="211"/>
      <c r="U784" s="91"/>
      <c r="V784" s="210"/>
      <c r="W784" s="91"/>
      <c r="X784" s="91"/>
    </row>
    <row r="785" spans="1:24" ht="15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425"/>
      <c r="S785" s="211"/>
      <c r="U785" s="91"/>
      <c r="V785" s="210"/>
      <c r="W785" s="91"/>
      <c r="X785" s="91"/>
    </row>
    <row r="786" spans="1:24" ht="15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425"/>
      <c r="S786" s="211"/>
      <c r="U786" s="91"/>
      <c r="V786" s="210"/>
      <c r="W786" s="91"/>
      <c r="X786" s="91"/>
    </row>
    <row r="787" spans="1:24" ht="15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425"/>
      <c r="S787" s="211"/>
      <c r="U787" s="91"/>
      <c r="V787" s="210"/>
      <c r="W787" s="91"/>
      <c r="X787" s="91"/>
    </row>
    <row r="788" spans="1:24" ht="15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425"/>
      <c r="S788" s="211"/>
      <c r="U788" s="91"/>
      <c r="V788" s="210"/>
      <c r="W788" s="91"/>
      <c r="X788" s="91"/>
    </row>
    <row r="789" spans="1:24" ht="15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425"/>
      <c r="S789" s="211"/>
      <c r="U789" s="91"/>
      <c r="V789" s="210"/>
      <c r="W789" s="91"/>
      <c r="X789" s="91"/>
    </row>
    <row r="790" spans="1:24" ht="15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425"/>
      <c r="S790" s="211"/>
      <c r="U790" s="91"/>
      <c r="V790" s="210"/>
      <c r="W790" s="91"/>
      <c r="X790" s="91"/>
    </row>
    <row r="791" spans="1:24" ht="15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425"/>
      <c r="S791" s="211"/>
      <c r="U791" s="91"/>
      <c r="V791" s="210"/>
      <c r="W791" s="91"/>
      <c r="X791" s="91"/>
    </row>
    <row r="792" spans="1:24" ht="15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425"/>
      <c r="S792" s="211"/>
      <c r="U792" s="91"/>
      <c r="V792" s="210"/>
      <c r="W792" s="91"/>
      <c r="X792" s="91"/>
    </row>
    <row r="793" spans="1:24" ht="15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425"/>
      <c r="S793" s="211"/>
      <c r="U793" s="91"/>
      <c r="V793" s="210"/>
      <c r="W793" s="91"/>
      <c r="X793" s="91"/>
    </row>
    <row r="794" spans="1:24" ht="15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425"/>
      <c r="S794" s="211"/>
      <c r="U794" s="91"/>
      <c r="V794" s="210"/>
      <c r="W794" s="91"/>
      <c r="X794" s="91"/>
    </row>
    <row r="795" spans="1:24" ht="15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425"/>
      <c r="S795" s="211"/>
      <c r="U795" s="91"/>
      <c r="V795" s="210"/>
      <c r="W795" s="91"/>
      <c r="X795" s="91"/>
    </row>
    <row r="796" spans="1:24" ht="15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425"/>
      <c r="S796" s="211"/>
      <c r="U796" s="91"/>
      <c r="V796" s="210"/>
      <c r="W796" s="91"/>
      <c r="X796" s="91"/>
    </row>
    <row r="797" spans="1:24" ht="15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425"/>
      <c r="S797" s="211"/>
      <c r="U797" s="91"/>
      <c r="V797" s="210"/>
      <c r="W797" s="91"/>
      <c r="X797" s="91"/>
    </row>
    <row r="798" spans="1:24" ht="15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425"/>
      <c r="S798" s="211"/>
      <c r="U798" s="91"/>
      <c r="V798" s="210"/>
      <c r="W798" s="91"/>
      <c r="X798" s="91"/>
    </row>
    <row r="799" spans="1:24" ht="15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425"/>
      <c r="S799" s="211"/>
      <c r="U799" s="91"/>
      <c r="V799" s="210"/>
      <c r="W799" s="91"/>
      <c r="X799" s="91"/>
    </row>
    <row r="800" spans="1:24" ht="15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425"/>
      <c r="S800" s="211"/>
      <c r="U800" s="91"/>
      <c r="V800" s="210"/>
      <c r="W800" s="91"/>
      <c r="X800" s="91"/>
    </row>
    <row r="801" spans="1:24" ht="15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425"/>
      <c r="S801" s="211"/>
      <c r="U801" s="91"/>
      <c r="V801" s="210"/>
      <c r="W801" s="91"/>
      <c r="X801" s="91"/>
    </row>
    <row r="802" spans="1:24" ht="15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425"/>
      <c r="S802" s="211"/>
      <c r="U802" s="91"/>
      <c r="V802" s="210"/>
      <c r="W802" s="91"/>
      <c r="X802" s="91"/>
    </row>
    <row r="803" spans="1:24" ht="15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425"/>
      <c r="S803" s="211"/>
      <c r="U803" s="91"/>
      <c r="V803" s="210"/>
      <c r="W803" s="91"/>
      <c r="X803" s="91"/>
    </row>
    <row r="804" spans="1:24" ht="15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425"/>
      <c r="S804" s="211"/>
      <c r="U804" s="91"/>
      <c r="V804" s="210"/>
      <c r="W804" s="91"/>
      <c r="X804" s="91"/>
    </row>
    <row r="805" spans="1:24" ht="15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425"/>
      <c r="S805" s="211"/>
      <c r="U805" s="91"/>
      <c r="V805" s="210"/>
      <c r="W805" s="91"/>
      <c r="X805" s="91"/>
    </row>
    <row r="806" spans="1:24" ht="15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425"/>
      <c r="S806" s="211"/>
      <c r="U806" s="91"/>
      <c r="V806" s="210"/>
      <c r="W806" s="91"/>
      <c r="X806" s="91"/>
    </row>
    <row r="807" spans="1:24" ht="15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425"/>
      <c r="S807" s="211"/>
      <c r="U807" s="91"/>
      <c r="V807" s="210"/>
      <c r="W807" s="91"/>
      <c r="X807" s="91"/>
    </row>
    <row r="808" spans="1:24" ht="15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425"/>
      <c r="S808" s="211"/>
      <c r="U808" s="91"/>
      <c r="V808" s="210"/>
      <c r="W808" s="91"/>
      <c r="X808" s="91"/>
    </row>
    <row r="809" spans="1:24" ht="15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425"/>
      <c r="S809" s="211"/>
      <c r="U809" s="91"/>
      <c r="V809" s="210"/>
      <c r="W809" s="91"/>
      <c r="X809" s="91"/>
    </row>
    <row r="810" spans="1:24" ht="15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425"/>
      <c r="S810" s="211"/>
      <c r="U810" s="91"/>
      <c r="V810" s="210"/>
      <c r="W810" s="91"/>
      <c r="X810" s="91"/>
    </row>
    <row r="811" spans="1:24" ht="15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425"/>
      <c r="S811" s="211"/>
      <c r="U811" s="91"/>
      <c r="V811" s="210"/>
      <c r="W811" s="91"/>
      <c r="X811" s="91"/>
    </row>
    <row r="812" spans="1:24" ht="15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425"/>
      <c r="S812" s="211"/>
      <c r="U812" s="91"/>
      <c r="V812" s="210"/>
      <c r="W812" s="91"/>
      <c r="X812" s="91"/>
    </row>
    <row r="813" spans="1:24" ht="15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425"/>
      <c r="S813" s="211"/>
      <c r="U813" s="91"/>
      <c r="V813" s="210"/>
      <c r="W813" s="91"/>
      <c r="X813" s="91"/>
    </row>
    <row r="814" spans="1:24" ht="15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425"/>
      <c r="S814" s="211"/>
      <c r="U814" s="91"/>
      <c r="V814" s="210"/>
      <c r="W814" s="91"/>
      <c r="X814" s="91"/>
    </row>
    <row r="815" spans="1:24" ht="15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425"/>
      <c r="S815" s="211"/>
      <c r="U815" s="91"/>
      <c r="V815" s="210"/>
      <c r="W815" s="91"/>
      <c r="X815" s="91"/>
    </row>
    <row r="816" spans="1:24" ht="15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425"/>
      <c r="S816" s="211"/>
      <c r="U816" s="91"/>
      <c r="V816" s="210"/>
      <c r="W816" s="91"/>
      <c r="X816" s="91"/>
    </row>
    <row r="817" spans="1:24" ht="15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425"/>
      <c r="S817" s="211"/>
      <c r="U817" s="91"/>
      <c r="V817" s="210"/>
      <c r="W817" s="91"/>
      <c r="X817" s="91"/>
    </row>
    <row r="818" spans="1:24" ht="15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425"/>
      <c r="S818" s="211"/>
      <c r="U818" s="91"/>
      <c r="V818" s="210"/>
      <c r="W818" s="91"/>
      <c r="X818" s="91"/>
    </row>
    <row r="819" spans="1:24" ht="15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425"/>
      <c r="S819" s="211"/>
      <c r="U819" s="91"/>
      <c r="V819" s="210"/>
      <c r="W819" s="91"/>
      <c r="X819" s="91"/>
    </row>
    <row r="820" spans="1:24" ht="15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425"/>
      <c r="S820" s="211"/>
      <c r="U820" s="91"/>
      <c r="V820" s="210"/>
      <c r="W820" s="91"/>
      <c r="X820" s="91"/>
    </row>
    <row r="821" spans="1:24" ht="15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425"/>
      <c r="S821" s="211"/>
      <c r="U821" s="91"/>
      <c r="V821" s="210"/>
      <c r="W821" s="91"/>
      <c r="X821" s="91"/>
    </row>
    <row r="822" spans="1:24" ht="15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425"/>
      <c r="S822" s="211"/>
      <c r="U822" s="91"/>
      <c r="V822" s="210"/>
      <c r="W822" s="91"/>
      <c r="X822" s="91"/>
    </row>
    <row r="823" spans="1:24" ht="15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425"/>
      <c r="S823" s="211"/>
      <c r="U823" s="91"/>
      <c r="V823" s="210"/>
      <c r="W823" s="91"/>
      <c r="X823" s="91"/>
    </row>
    <row r="824" spans="1:24" ht="15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425"/>
      <c r="S824" s="211"/>
      <c r="U824" s="91"/>
      <c r="V824" s="210"/>
      <c r="W824" s="91"/>
      <c r="X824" s="91"/>
    </row>
    <row r="825" spans="1:24" ht="15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425"/>
      <c r="S825" s="211"/>
      <c r="U825" s="91"/>
      <c r="V825" s="210"/>
      <c r="W825" s="91"/>
      <c r="X825" s="91"/>
    </row>
    <row r="826" spans="1:24" ht="15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425"/>
      <c r="S826" s="211"/>
      <c r="U826" s="91"/>
      <c r="V826" s="210"/>
      <c r="W826" s="91"/>
      <c r="X826" s="91"/>
    </row>
    <row r="827" spans="1:24" ht="15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425"/>
      <c r="S827" s="211"/>
      <c r="U827" s="91"/>
      <c r="V827" s="210"/>
      <c r="W827" s="91"/>
      <c r="X827" s="91"/>
    </row>
    <row r="828" spans="1:24" ht="15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425"/>
      <c r="S828" s="211"/>
      <c r="U828" s="91"/>
      <c r="V828" s="210"/>
      <c r="W828" s="91"/>
      <c r="X828" s="91"/>
    </row>
    <row r="829" spans="1:24" ht="15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425"/>
      <c r="S829" s="211"/>
      <c r="U829" s="91"/>
      <c r="V829" s="210"/>
      <c r="W829" s="91"/>
      <c r="X829" s="91"/>
    </row>
    <row r="830" spans="1:24" ht="15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425"/>
      <c r="S830" s="211"/>
      <c r="U830" s="91"/>
      <c r="V830" s="210"/>
      <c r="W830" s="91"/>
      <c r="X830" s="91"/>
    </row>
    <row r="831" spans="1:24" ht="15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425"/>
      <c r="S831" s="211"/>
      <c r="U831" s="91"/>
      <c r="V831" s="210"/>
      <c r="W831" s="91"/>
      <c r="X831" s="91"/>
    </row>
    <row r="832" spans="1:24" ht="15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425"/>
      <c r="S832" s="211"/>
      <c r="U832" s="91"/>
      <c r="V832" s="210"/>
      <c r="W832" s="91"/>
      <c r="X832" s="91"/>
    </row>
    <row r="833" spans="1:24" ht="15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425"/>
      <c r="S833" s="211"/>
      <c r="U833" s="91"/>
      <c r="V833" s="210"/>
      <c r="W833" s="91"/>
      <c r="X833" s="91"/>
    </row>
    <row r="834" spans="1:24" ht="15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425"/>
      <c r="S834" s="211"/>
      <c r="U834" s="91"/>
      <c r="V834" s="210"/>
      <c r="W834" s="91"/>
      <c r="X834" s="91"/>
    </row>
    <row r="835" spans="1:24" ht="15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425"/>
      <c r="S835" s="211"/>
      <c r="U835" s="91"/>
      <c r="V835" s="210"/>
      <c r="W835" s="91"/>
      <c r="X835" s="91"/>
    </row>
    <row r="836" spans="1:24" ht="15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425"/>
      <c r="S836" s="211"/>
      <c r="U836" s="91"/>
      <c r="V836" s="210"/>
      <c r="W836" s="91"/>
      <c r="X836" s="91"/>
    </row>
    <row r="837" spans="1:24" ht="15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425"/>
      <c r="S837" s="211"/>
      <c r="U837" s="91"/>
      <c r="V837" s="210"/>
      <c r="W837" s="91"/>
      <c r="X837" s="91"/>
    </row>
    <row r="838" spans="1:24" ht="15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425"/>
      <c r="S838" s="211"/>
      <c r="U838" s="91"/>
      <c r="V838" s="210"/>
      <c r="W838" s="91"/>
      <c r="X838" s="91"/>
    </row>
    <row r="839" spans="1:24" ht="15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425"/>
      <c r="S839" s="211"/>
      <c r="U839" s="91"/>
      <c r="V839" s="210"/>
      <c r="W839" s="91"/>
      <c r="X839" s="91"/>
    </row>
    <row r="840" spans="1:24" ht="15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425"/>
      <c r="S840" s="211"/>
      <c r="U840" s="91"/>
      <c r="V840" s="210"/>
      <c r="W840" s="91"/>
      <c r="X840" s="91"/>
    </row>
    <row r="841" spans="1:24" ht="15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425"/>
      <c r="S841" s="211"/>
      <c r="U841" s="91"/>
      <c r="V841" s="210"/>
      <c r="W841" s="91"/>
      <c r="X841" s="91"/>
    </row>
    <row r="842" spans="1:24" ht="15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425"/>
      <c r="S842" s="211"/>
      <c r="U842" s="91"/>
      <c r="V842" s="210"/>
      <c r="W842" s="91"/>
      <c r="X842" s="91"/>
    </row>
    <row r="843" spans="1:24" ht="15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425"/>
      <c r="S843" s="211"/>
      <c r="U843" s="91"/>
      <c r="V843" s="210"/>
      <c r="W843" s="91"/>
      <c r="X843" s="91"/>
    </row>
    <row r="844" spans="1:24" ht="15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425"/>
      <c r="S844" s="211"/>
      <c r="U844" s="91"/>
      <c r="V844" s="210"/>
      <c r="W844" s="91"/>
      <c r="X844" s="91"/>
    </row>
    <row r="845" spans="1:24" ht="15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425"/>
      <c r="S845" s="211"/>
      <c r="U845" s="91"/>
      <c r="V845" s="210"/>
      <c r="W845" s="91"/>
      <c r="X845" s="91"/>
    </row>
    <row r="846" spans="1:24" ht="15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425"/>
      <c r="S846" s="211"/>
      <c r="U846" s="91"/>
      <c r="V846" s="210"/>
      <c r="W846" s="91"/>
      <c r="X846" s="91"/>
    </row>
    <row r="847" spans="1:24" ht="15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425"/>
      <c r="S847" s="211"/>
      <c r="U847" s="91"/>
      <c r="V847" s="210"/>
      <c r="W847" s="91"/>
      <c r="X847" s="91"/>
    </row>
    <row r="848" spans="1:24" ht="15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425"/>
      <c r="S848" s="211"/>
      <c r="U848" s="91"/>
      <c r="V848" s="210"/>
      <c r="W848" s="91"/>
      <c r="X848" s="91"/>
    </row>
    <row r="849" spans="1:24" ht="15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425"/>
      <c r="S849" s="211"/>
      <c r="U849" s="91"/>
      <c r="V849" s="210"/>
      <c r="W849" s="91"/>
      <c r="X849" s="91"/>
    </row>
    <row r="850" spans="1:24" ht="15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425"/>
      <c r="S850" s="211"/>
      <c r="U850" s="91"/>
      <c r="V850" s="210"/>
      <c r="W850" s="91"/>
      <c r="X850" s="91"/>
    </row>
    <row r="851" spans="1:24" ht="15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425"/>
      <c r="S851" s="211"/>
      <c r="U851" s="91"/>
      <c r="V851" s="210"/>
      <c r="W851" s="91"/>
      <c r="X851" s="91"/>
    </row>
    <row r="852" spans="1:24" ht="15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425"/>
      <c r="S852" s="211"/>
      <c r="U852" s="91"/>
      <c r="V852" s="210"/>
      <c r="W852" s="91"/>
      <c r="X852" s="91"/>
    </row>
    <row r="853" spans="1:24" ht="15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425"/>
      <c r="S853" s="211"/>
      <c r="U853" s="91"/>
      <c r="V853" s="210"/>
      <c r="W853" s="91"/>
      <c r="X853" s="91"/>
    </row>
    <row r="854" spans="1:24" ht="15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425"/>
      <c r="S854" s="211"/>
      <c r="U854" s="91"/>
      <c r="V854" s="210"/>
      <c r="W854" s="91"/>
      <c r="X854" s="91"/>
    </row>
    <row r="855" spans="1:24" ht="15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425"/>
      <c r="S855" s="211"/>
      <c r="U855" s="91"/>
      <c r="V855" s="210"/>
      <c r="W855" s="91"/>
      <c r="X855" s="91"/>
    </row>
    <row r="856" spans="1:24" ht="15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425"/>
      <c r="S856" s="211"/>
      <c r="U856" s="91"/>
      <c r="V856" s="210"/>
      <c r="W856" s="91"/>
      <c r="X856" s="91"/>
    </row>
    <row r="857" spans="1:24" ht="15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425"/>
      <c r="S857" s="211"/>
      <c r="U857" s="91"/>
      <c r="V857" s="210"/>
      <c r="W857" s="91"/>
      <c r="X857" s="91"/>
    </row>
    <row r="858" spans="1:24" ht="15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425"/>
      <c r="S858" s="211"/>
      <c r="U858" s="91"/>
      <c r="V858" s="210"/>
      <c r="W858" s="91"/>
      <c r="X858" s="91"/>
    </row>
    <row r="859" spans="1:24" ht="15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425"/>
      <c r="S859" s="211"/>
      <c r="U859" s="91"/>
      <c r="V859" s="210"/>
      <c r="W859" s="91"/>
      <c r="X859" s="91"/>
    </row>
    <row r="860" spans="1:24" ht="15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425"/>
      <c r="S860" s="211"/>
      <c r="U860" s="91"/>
      <c r="V860" s="210"/>
      <c r="W860" s="91"/>
      <c r="X860" s="91"/>
    </row>
    <row r="861" spans="1:24" ht="15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425"/>
      <c r="S861" s="211"/>
      <c r="U861" s="91"/>
      <c r="V861" s="210"/>
      <c r="W861" s="91"/>
      <c r="X861" s="91"/>
    </row>
    <row r="862" spans="1:24" ht="15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425"/>
      <c r="S862" s="211"/>
      <c r="U862" s="91"/>
      <c r="V862" s="210"/>
      <c r="W862" s="91"/>
      <c r="X862" s="91"/>
    </row>
    <row r="863" spans="1:24" ht="15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425"/>
      <c r="S863" s="211"/>
      <c r="U863" s="91"/>
      <c r="V863" s="210"/>
      <c r="W863" s="91"/>
      <c r="X863" s="91"/>
    </row>
    <row r="864" spans="1:24" ht="15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425"/>
      <c r="S864" s="211"/>
      <c r="U864" s="91"/>
      <c r="V864" s="210"/>
      <c r="W864" s="91"/>
      <c r="X864" s="91"/>
    </row>
    <row r="865" spans="1:24" ht="15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425"/>
      <c r="S865" s="211"/>
      <c r="U865" s="91"/>
      <c r="V865" s="210"/>
      <c r="W865" s="91"/>
      <c r="X865" s="91"/>
    </row>
    <row r="866" spans="1:24" ht="15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425"/>
      <c r="S866" s="211"/>
      <c r="U866" s="91"/>
      <c r="V866" s="210"/>
      <c r="W866" s="91"/>
      <c r="X866" s="91"/>
    </row>
    <row r="867" spans="1:24" ht="15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425"/>
      <c r="S867" s="211"/>
      <c r="U867" s="91"/>
      <c r="V867" s="210"/>
      <c r="W867" s="91"/>
      <c r="X867" s="91"/>
    </row>
    <row r="868" spans="1:24" ht="15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425"/>
      <c r="S868" s="211"/>
      <c r="U868" s="91"/>
      <c r="V868" s="210"/>
      <c r="W868" s="91"/>
      <c r="X868" s="91"/>
    </row>
    <row r="869" spans="1:24" ht="15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425"/>
      <c r="S869" s="211"/>
      <c r="U869" s="91"/>
      <c r="V869" s="210"/>
      <c r="W869" s="91"/>
      <c r="X869" s="91"/>
    </row>
    <row r="870" spans="1:24" ht="15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425"/>
      <c r="S870" s="211"/>
      <c r="U870" s="91"/>
      <c r="V870" s="210"/>
      <c r="W870" s="91"/>
      <c r="X870" s="91"/>
    </row>
    <row r="871" spans="1:24" ht="15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425"/>
      <c r="S871" s="211"/>
      <c r="U871" s="91"/>
      <c r="V871" s="210"/>
      <c r="W871" s="91"/>
      <c r="X871" s="91"/>
    </row>
    <row r="872" spans="1:24" ht="15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425"/>
      <c r="S872" s="211"/>
      <c r="U872" s="91"/>
      <c r="V872" s="210"/>
      <c r="W872" s="91"/>
      <c r="X872" s="91"/>
    </row>
    <row r="873" spans="1:24" ht="15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425"/>
      <c r="S873" s="211"/>
      <c r="U873" s="91"/>
      <c r="V873" s="210"/>
      <c r="W873" s="91"/>
      <c r="X873" s="91"/>
    </row>
    <row r="874" spans="1:24" ht="15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425"/>
      <c r="S874" s="211"/>
      <c r="U874" s="91"/>
      <c r="V874" s="210"/>
      <c r="W874" s="91"/>
      <c r="X874" s="91"/>
    </row>
    <row r="875" spans="1:24" ht="15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425"/>
      <c r="S875" s="211"/>
      <c r="U875" s="91"/>
      <c r="V875" s="210"/>
      <c r="W875" s="91"/>
      <c r="X875" s="91"/>
    </row>
    <row r="876" spans="1:24" ht="15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425"/>
      <c r="S876" s="211"/>
      <c r="U876" s="91"/>
      <c r="V876" s="210"/>
      <c r="W876" s="91"/>
      <c r="X876" s="91"/>
    </row>
    <row r="877" spans="1:24" ht="15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425"/>
      <c r="S877" s="211"/>
      <c r="U877" s="91"/>
      <c r="V877" s="210"/>
      <c r="W877" s="91"/>
      <c r="X877" s="91"/>
    </row>
    <row r="878" spans="1:24" ht="15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425"/>
      <c r="S878" s="211"/>
      <c r="U878" s="91"/>
      <c r="V878" s="210"/>
      <c r="W878" s="91"/>
      <c r="X878" s="91"/>
    </row>
    <row r="879" spans="1:24" ht="15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425"/>
      <c r="S879" s="211"/>
      <c r="U879" s="91"/>
      <c r="V879" s="210"/>
      <c r="W879" s="91"/>
      <c r="X879" s="91"/>
    </row>
    <row r="880" spans="1:24" ht="15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425"/>
      <c r="S880" s="211"/>
      <c r="U880" s="91"/>
      <c r="V880" s="210"/>
      <c r="W880" s="91"/>
      <c r="X880" s="91"/>
    </row>
    <row r="881" spans="1:24" ht="15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425"/>
      <c r="S881" s="211"/>
      <c r="U881" s="91"/>
      <c r="V881" s="210"/>
      <c r="W881" s="91"/>
      <c r="X881" s="91"/>
    </row>
    <row r="882" spans="1:24" ht="15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425"/>
      <c r="S882" s="211"/>
      <c r="U882" s="91"/>
      <c r="V882" s="210"/>
      <c r="W882" s="91"/>
      <c r="X882" s="91"/>
    </row>
    <row r="883" spans="1:24" ht="15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425"/>
      <c r="S883" s="211"/>
      <c r="U883" s="91"/>
      <c r="V883" s="210"/>
      <c r="W883" s="91"/>
      <c r="X883" s="91"/>
    </row>
    <row r="884" spans="1:24" ht="15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425"/>
      <c r="S884" s="211"/>
      <c r="U884" s="91"/>
      <c r="V884" s="210"/>
      <c r="W884" s="91"/>
      <c r="X884" s="91"/>
    </row>
    <row r="885" spans="1:24" ht="15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425"/>
      <c r="S885" s="211"/>
      <c r="U885" s="91"/>
      <c r="V885" s="210"/>
      <c r="W885" s="91"/>
      <c r="X885" s="91"/>
    </row>
    <row r="886" spans="1:24" ht="15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425"/>
      <c r="S886" s="211"/>
      <c r="U886" s="91"/>
      <c r="V886" s="210"/>
      <c r="W886" s="91"/>
      <c r="X886" s="91"/>
    </row>
    <row r="887" spans="1:24" ht="15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425"/>
      <c r="S887" s="211"/>
      <c r="U887" s="91"/>
      <c r="V887" s="210"/>
      <c r="W887" s="91"/>
      <c r="X887" s="91"/>
    </row>
    <row r="888" spans="1:24" ht="15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425"/>
      <c r="S888" s="211"/>
      <c r="U888" s="91"/>
      <c r="V888" s="210"/>
      <c r="W888" s="91"/>
      <c r="X888" s="91"/>
    </row>
    <row r="889" spans="1:24" ht="15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425"/>
      <c r="S889" s="211"/>
      <c r="U889" s="91"/>
      <c r="V889" s="210"/>
      <c r="W889" s="91"/>
      <c r="X889" s="91"/>
    </row>
    <row r="890" spans="1:24" ht="15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425"/>
      <c r="S890" s="211"/>
      <c r="U890" s="91"/>
      <c r="V890" s="210"/>
      <c r="W890" s="91"/>
      <c r="X890" s="91"/>
    </row>
    <row r="891" spans="1:24" ht="15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425"/>
      <c r="S891" s="211"/>
      <c r="U891" s="91"/>
      <c r="V891" s="210"/>
      <c r="W891" s="91"/>
      <c r="X891" s="91"/>
    </row>
    <row r="892" spans="1:24" ht="15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425"/>
      <c r="S892" s="211"/>
      <c r="U892" s="91"/>
      <c r="V892" s="210"/>
      <c r="W892" s="91"/>
      <c r="X892" s="91"/>
    </row>
    <row r="893" spans="1:24" ht="15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425"/>
      <c r="S893" s="211"/>
      <c r="U893" s="91"/>
      <c r="V893" s="210"/>
      <c r="W893" s="91"/>
      <c r="X893" s="91"/>
    </row>
    <row r="894" spans="1:24" ht="15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425"/>
      <c r="S894" s="211"/>
      <c r="U894" s="91"/>
      <c r="V894" s="210"/>
      <c r="W894" s="91"/>
      <c r="X894" s="91"/>
    </row>
    <row r="895" spans="1:24" ht="15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425"/>
      <c r="S895" s="211"/>
      <c r="U895" s="91"/>
      <c r="V895" s="210"/>
      <c r="W895" s="91"/>
      <c r="X895" s="91"/>
    </row>
    <row r="896" spans="1:24" ht="15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425"/>
      <c r="S896" s="211"/>
      <c r="U896" s="91"/>
      <c r="V896" s="210"/>
      <c r="W896" s="91"/>
      <c r="X896" s="91"/>
    </row>
    <row r="897" spans="1:24" ht="15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425"/>
      <c r="S897" s="211"/>
      <c r="U897" s="91"/>
      <c r="V897" s="210"/>
      <c r="W897" s="91"/>
      <c r="X897" s="91"/>
    </row>
    <row r="898" spans="1:24" ht="15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425"/>
      <c r="S898" s="211"/>
      <c r="U898" s="91"/>
      <c r="V898" s="210"/>
      <c r="W898" s="91"/>
      <c r="X898" s="91"/>
    </row>
    <row r="899" spans="1:24" ht="15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425"/>
      <c r="S899" s="211"/>
      <c r="U899" s="91"/>
      <c r="V899" s="210"/>
      <c r="W899" s="91"/>
      <c r="X899" s="91"/>
    </row>
    <row r="900" spans="1:24" ht="15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425"/>
      <c r="S900" s="211"/>
      <c r="U900" s="91"/>
      <c r="V900" s="210"/>
      <c r="W900" s="91"/>
      <c r="X900" s="91"/>
    </row>
    <row r="901" spans="1:24" ht="15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425"/>
      <c r="S901" s="211"/>
      <c r="U901" s="91"/>
      <c r="V901" s="210"/>
      <c r="W901" s="91"/>
      <c r="X901" s="91"/>
    </row>
    <row r="902" spans="1:24" ht="15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425"/>
      <c r="S902" s="211"/>
      <c r="U902" s="91"/>
      <c r="V902" s="210"/>
      <c r="W902" s="91"/>
      <c r="X902" s="91"/>
    </row>
    <row r="903" spans="1:24" ht="15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425"/>
      <c r="S903" s="211"/>
      <c r="U903" s="91"/>
      <c r="V903" s="210"/>
      <c r="W903" s="91"/>
      <c r="X903" s="91"/>
    </row>
    <row r="904" spans="1:24" ht="15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425"/>
      <c r="S904" s="211"/>
      <c r="U904" s="91"/>
      <c r="V904" s="210"/>
      <c r="W904" s="91"/>
      <c r="X904" s="91"/>
    </row>
    <row r="905" spans="1:24" ht="15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425"/>
      <c r="S905" s="211"/>
      <c r="U905" s="91"/>
      <c r="V905" s="210"/>
      <c r="W905" s="91"/>
      <c r="X905" s="91"/>
    </row>
    <row r="906" spans="1:24" ht="15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425"/>
      <c r="S906" s="211"/>
      <c r="U906" s="91"/>
      <c r="V906" s="210"/>
      <c r="W906" s="91"/>
      <c r="X906" s="91"/>
    </row>
    <row r="907" spans="1:24" ht="15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425"/>
      <c r="S907" s="211"/>
      <c r="U907" s="91"/>
      <c r="V907" s="210"/>
      <c r="W907" s="91"/>
      <c r="X907" s="91"/>
    </row>
    <row r="908" spans="1:24" ht="15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425"/>
      <c r="S908" s="211"/>
      <c r="U908" s="91"/>
      <c r="V908" s="210"/>
      <c r="W908" s="91"/>
      <c r="X908" s="91"/>
    </row>
    <row r="909" spans="1:24" ht="15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425"/>
      <c r="S909" s="211"/>
      <c r="U909" s="91"/>
      <c r="V909" s="210"/>
      <c r="W909" s="91"/>
      <c r="X909" s="91"/>
    </row>
    <row r="910" spans="1:24" ht="15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425"/>
      <c r="S910" s="211"/>
      <c r="U910" s="91"/>
      <c r="V910" s="210"/>
      <c r="W910" s="91"/>
      <c r="X910" s="91"/>
    </row>
    <row r="911" spans="1:24" ht="15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425"/>
      <c r="S911" s="211"/>
      <c r="U911" s="91"/>
      <c r="V911" s="210"/>
      <c r="W911" s="91"/>
      <c r="X911" s="91"/>
    </row>
    <row r="912" spans="1:24" ht="15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425"/>
      <c r="S912" s="211"/>
      <c r="U912" s="91"/>
      <c r="V912" s="210"/>
      <c r="W912" s="91"/>
      <c r="X912" s="91"/>
    </row>
    <row r="913" spans="1:24" ht="15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425"/>
      <c r="S913" s="211"/>
      <c r="U913" s="91"/>
      <c r="V913" s="210"/>
      <c r="W913" s="91"/>
      <c r="X913" s="91"/>
    </row>
    <row r="914" spans="1:24" ht="15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425"/>
      <c r="S914" s="211"/>
      <c r="U914" s="91"/>
      <c r="V914" s="210"/>
      <c r="W914" s="91"/>
      <c r="X914" s="91"/>
    </row>
    <row r="915" spans="1:24" ht="15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425"/>
      <c r="S915" s="211"/>
      <c r="U915" s="91"/>
      <c r="V915" s="210"/>
      <c r="W915" s="91"/>
      <c r="X915" s="91"/>
    </row>
    <row r="916" spans="1:24" ht="15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425"/>
      <c r="S916" s="211"/>
      <c r="U916" s="91"/>
      <c r="V916" s="210"/>
      <c r="W916" s="91"/>
      <c r="X916" s="91"/>
    </row>
    <row r="917" spans="1:24" ht="15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425"/>
      <c r="S917" s="211"/>
      <c r="U917" s="91"/>
      <c r="V917" s="210"/>
      <c r="W917" s="91"/>
      <c r="X917" s="91"/>
    </row>
    <row r="918" spans="1:24" ht="15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425"/>
      <c r="S918" s="211"/>
      <c r="U918" s="91"/>
      <c r="V918" s="210"/>
      <c r="W918" s="91"/>
      <c r="X918" s="91"/>
    </row>
    <row r="919" spans="1:24" ht="15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425"/>
      <c r="S919" s="211"/>
      <c r="U919" s="91"/>
      <c r="V919" s="210"/>
      <c r="W919" s="91"/>
      <c r="X919" s="91"/>
    </row>
    <row r="920" spans="1:24" ht="15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425"/>
      <c r="S920" s="211"/>
      <c r="U920" s="91"/>
      <c r="V920" s="210"/>
      <c r="W920" s="91"/>
      <c r="X920" s="91"/>
    </row>
    <row r="921" spans="1:24" ht="15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425"/>
      <c r="S921" s="211"/>
      <c r="U921" s="91"/>
      <c r="V921" s="210"/>
      <c r="W921" s="91"/>
      <c r="X921" s="91"/>
    </row>
    <row r="922" spans="1:24" ht="15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425"/>
      <c r="S922" s="211"/>
      <c r="U922" s="91"/>
      <c r="V922" s="210"/>
      <c r="W922" s="91"/>
      <c r="X922" s="91"/>
    </row>
    <row r="923" spans="1:24" ht="15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425"/>
      <c r="S923" s="211"/>
      <c r="U923" s="91"/>
      <c r="V923" s="210"/>
      <c r="W923" s="91"/>
      <c r="X923" s="91"/>
    </row>
    <row r="924" spans="1:24" ht="15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425"/>
      <c r="S924" s="211"/>
      <c r="U924" s="91"/>
      <c r="V924" s="210"/>
      <c r="W924" s="91"/>
      <c r="X924" s="91"/>
    </row>
    <row r="925" spans="1:24" ht="15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425"/>
      <c r="S925" s="211"/>
      <c r="U925" s="91"/>
      <c r="V925" s="210"/>
      <c r="W925" s="91"/>
      <c r="X925" s="91"/>
    </row>
    <row r="926" spans="1:24" ht="15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425"/>
      <c r="S926" s="211"/>
      <c r="U926" s="91"/>
      <c r="V926" s="210"/>
      <c r="W926" s="91"/>
      <c r="X926" s="91"/>
    </row>
    <row r="927" spans="1:24" ht="15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425"/>
      <c r="S927" s="211"/>
      <c r="U927" s="91"/>
      <c r="V927" s="210"/>
      <c r="W927" s="91"/>
      <c r="X927" s="91"/>
    </row>
    <row r="928" spans="1:24" ht="15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425"/>
      <c r="S928" s="211"/>
      <c r="U928" s="91"/>
      <c r="V928" s="210"/>
      <c r="W928" s="91"/>
      <c r="X928" s="91"/>
    </row>
    <row r="929" spans="1:24" ht="15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425"/>
      <c r="S929" s="211"/>
      <c r="U929" s="91"/>
      <c r="V929" s="210"/>
      <c r="W929" s="91"/>
      <c r="X929" s="91"/>
    </row>
    <row r="930" spans="1:24" ht="15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425"/>
      <c r="S930" s="211"/>
      <c r="U930" s="91"/>
      <c r="V930" s="210"/>
      <c r="W930" s="91"/>
      <c r="X930" s="91"/>
    </row>
    <row r="931" spans="1:24" ht="15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425"/>
      <c r="S931" s="211"/>
      <c r="U931" s="91"/>
      <c r="V931" s="210"/>
      <c r="W931" s="91"/>
      <c r="X931" s="91"/>
    </row>
    <row r="932" spans="1:24" ht="15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425"/>
      <c r="S932" s="211"/>
      <c r="U932" s="91"/>
      <c r="V932" s="210"/>
      <c r="W932" s="91"/>
      <c r="X932" s="91"/>
    </row>
    <row r="933" spans="1:24" ht="15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425"/>
      <c r="S933" s="211"/>
      <c r="U933" s="91"/>
      <c r="V933" s="210"/>
      <c r="W933" s="91"/>
      <c r="X933" s="91"/>
    </row>
    <row r="934" spans="1:24" ht="15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425"/>
      <c r="S934" s="211"/>
      <c r="U934" s="91"/>
      <c r="V934" s="210"/>
      <c r="W934" s="91"/>
      <c r="X934" s="91"/>
    </row>
    <row r="935" spans="1:24" ht="15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425"/>
      <c r="S935" s="211"/>
      <c r="U935" s="91"/>
      <c r="V935" s="210"/>
      <c r="W935" s="91"/>
      <c r="X935" s="91"/>
    </row>
    <row r="936" spans="1:24" ht="15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425"/>
      <c r="S936" s="211"/>
      <c r="U936" s="91"/>
      <c r="V936" s="210"/>
      <c r="W936" s="91"/>
      <c r="X936" s="91"/>
    </row>
    <row r="937" spans="1:24" ht="15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425"/>
      <c r="S937" s="211"/>
      <c r="U937" s="91"/>
      <c r="V937" s="210"/>
      <c r="W937" s="91"/>
      <c r="X937" s="91"/>
    </row>
    <row r="938" spans="1:24" ht="15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425"/>
      <c r="S938" s="211"/>
      <c r="U938" s="91"/>
      <c r="V938" s="210"/>
      <c r="W938" s="91"/>
      <c r="X938" s="91"/>
    </row>
    <row r="939" spans="1:24" ht="15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425"/>
      <c r="S939" s="211"/>
      <c r="U939" s="91"/>
      <c r="V939" s="210"/>
      <c r="W939" s="91"/>
      <c r="X939" s="91"/>
    </row>
    <row r="940" spans="1:24" ht="15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425"/>
      <c r="S940" s="211"/>
      <c r="U940" s="91"/>
      <c r="V940" s="210"/>
      <c r="W940" s="91"/>
      <c r="X940" s="91"/>
    </row>
    <row r="941" spans="1:24" ht="15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425"/>
      <c r="S941" s="211"/>
      <c r="U941" s="91"/>
      <c r="V941" s="210"/>
      <c r="W941" s="91"/>
      <c r="X941" s="91"/>
    </row>
    <row r="942" spans="1:24" ht="15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425"/>
      <c r="S942" s="211"/>
      <c r="U942" s="91"/>
      <c r="V942" s="210"/>
      <c r="W942" s="91"/>
      <c r="X942" s="91"/>
    </row>
    <row r="943" spans="1:24" ht="15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425"/>
      <c r="S943" s="211"/>
      <c r="U943" s="91"/>
      <c r="V943" s="210"/>
      <c r="W943" s="91"/>
      <c r="X943" s="91"/>
    </row>
    <row r="944" spans="1:24" ht="15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425"/>
      <c r="S944" s="211"/>
      <c r="U944" s="91"/>
      <c r="V944" s="210"/>
      <c r="W944" s="91"/>
      <c r="X944" s="91"/>
    </row>
    <row r="945" spans="1:24" ht="15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425"/>
      <c r="S945" s="211"/>
      <c r="U945" s="91"/>
      <c r="V945" s="210"/>
      <c r="W945" s="91"/>
      <c r="X945" s="91"/>
    </row>
    <row r="946" spans="1:24" ht="15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425"/>
      <c r="S946" s="211"/>
      <c r="U946" s="91"/>
      <c r="V946" s="210"/>
      <c r="W946" s="91"/>
      <c r="X946" s="91"/>
    </row>
    <row r="947" spans="1:24" ht="15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425"/>
      <c r="S947" s="211"/>
      <c r="U947" s="91"/>
      <c r="V947" s="210"/>
      <c r="W947" s="91"/>
      <c r="X947" s="91"/>
    </row>
    <row r="948" spans="1:24" ht="15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425"/>
      <c r="S948" s="211"/>
      <c r="U948" s="91"/>
      <c r="V948" s="210"/>
      <c r="W948" s="91"/>
      <c r="X948" s="91"/>
    </row>
    <row r="949" spans="1:24" ht="15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425"/>
      <c r="S949" s="211"/>
      <c r="U949" s="91"/>
      <c r="V949" s="210"/>
      <c r="W949" s="91"/>
      <c r="X949" s="91"/>
    </row>
    <row r="950" spans="1:24" ht="15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425"/>
      <c r="S950" s="211"/>
      <c r="U950" s="91"/>
      <c r="V950" s="210"/>
      <c r="W950" s="91"/>
      <c r="X950" s="91"/>
    </row>
    <row r="951" spans="1:24" ht="15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425"/>
      <c r="S951" s="211"/>
      <c r="U951" s="91"/>
      <c r="V951" s="210"/>
      <c r="W951" s="91"/>
      <c r="X951" s="91"/>
    </row>
    <row r="952" spans="1:24" ht="15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425"/>
      <c r="S952" s="211"/>
      <c r="U952" s="91"/>
      <c r="V952" s="210"/>
      <c r="W952" s="91"/>
      <c r="X952" s="91"/>
    </row>
    <row r="953" spans="1:24" ht="15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425"/>
      <c r="S953" s="211"/>
      <c r="U953" s="91"/>
      <c r="V953" s="210"/>
      <c r="W953" s="91"/>
      <c r="X953" s="91"/>
    </row>
    <row r="954" spans="1:24" ht="15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425"/>
      <c r="S954" s="211"/>
      <c r="U954" s="91"/>
      <c r="V954" s="210"/>
      <c r="W954" s="91"/>
      <c r="X954" s="91"/>
    </row>
    <row r="955" spans="1:24" ht="15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425"/>
      <c r="S955" s="211"/>
      <c r="U955" s="91"/>
      <c r="V955" s="210"/>
      <c r="W955" s="91"/>
      <c r="X955" s="91"/>
    </row>
    <row r="956" spans="1:24" ht="15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425"/>
      <c r="S956" s="211"/>
      <c r="U956" s="91"/>
      <c r="V956" s="210"/>
      <c r="W956" s="91"/>
      <c r="X956" s="91"/>
    </row>
    <row r="957" spans="1:24" ht="15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425"/>
      <c r="S957" s="211"/>
      <c r="U957" s="91"/>
      <c r="V957" s="210"/>
      <c r="W957" s="91"/>
      <c r="X957" s="91"/>
    </row>
    <row r="958" spans="1:24" ht="15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425"/>
      <c r="S958" s="211"/>
      <c r="U958" s="91"/>
      <c r="V958" s="210"/>
      <c r="W958" s="91"/>
      <c r="X958" s="91"/>
    </row>
    <row r="959" spans="1:24" ht="15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425"/>
      <c r="S959" s="211"/>
      <c r="U959" s="91"/>
      <c r="V959" s="210"/>
      <c r="W959" s="91"/>
      <c r="X959" s="91"/>
    </row>
    <row r="960" spans="1:24" ht="15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425"/>
      <c r="S960" s="211"/>
      <c r="U960" s="91"/>
      <c r="V960" s="210"/>
      <c r="W960" s="91"/>
      <c r="X960" s="91"/>
    </row>
    <row r="961" spans="1:24" ht="15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425"/>
      <c r="S961" s="211"/>
      <c r="U961" s="91"/>
      <c r="V961" s="210"/>
      <c r="W961" s="91"/>
      <c r="X961" s="91"/>
    </row>
    <row r="962" spans="1:24" ht="15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425"/>
      <c r="S962" s="211"/>
      <c r="U962" s="91"/>
      <c r="V962" s="210"/>
      <c r="W962" s="91"/>
      <c r="X962" s="91"/>
    </row>
    <row r="963" spans="1:24" ht="15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425"/>
      <c r="S963" s="211"/>
      <c r="U963" s="91"/>
      <c r="V963" s="210"/>
      <c r="W963" s="91"/>
      <c r="X963" s="91"/>
    </row>
    <row r="964" spans="1:24" ht="15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425"/>
      <c r="S964" s="211"/>
      <c r="U964" s="91"/>
      <c r="V964" s="210"/>
      <c r="W964" s="91"/>
      <c r="X964" s="91"/>
    </row>
    <row r="965" spans="1:24" ht="15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425"/>
      <c r="S965" s="211"/>
      <c r="U965" s="91"/>
      <c r="V965" s="210"/>
      <c r="W965" s="91"/>
      <c r="X965" s="91"/>
    </row>
    <row r="966" spans="1:24" ht="15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425"/>
      <c r="S966" s="211"/>
      <c r="U966" s="91"/>
      <c r="V966" s="210"/>
      <c r="W966" s="91"/>
      <c r="X966" s="91"/>
    </row>
    <row r="967" spans="1:24" ht="15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425"/>
      <c r="S967" s="211"/>
      <c r="U967" s="91"/>
      <c r="V967" s="210"/>
      <c r="W967" s="91"/>
      <c r="X967" s="91"/>
    </row>
    <row r="968" spans="1:24" ht="15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425"/>
      <c r="S968" s="211"/>
      <c r="U968" s="91"/>
      <c r="V968" s="210"/>
      <c r="W968" s="91"/>
      <c r="X968" s="91"/>
    </row>
    <row r="969" spans="1:24" ht="15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425"/>
      <c r="S969" s="211"/>
      <c r="U969" s="91"/>
      <c r="V969" s="210"/>
      <c r="W969" s="91"/>
      <c r="X969" s="91"/>
    </row>
    <row r="970" spans="1:24" ht="15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425"/>
      <c r="S970" s="211"/>
      <c r="U970" s="91"/>
      <c r="V970" s="210"/>
      <c r="W970" s="91"/>
      <c r="X970" s="91"/>
    </row>
    <row r="971" spans="1:24" ht="15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425"/>
      <c r="S971" s="211"/>
      <c r="U971" s="91"/>
      <c r="V971" s="210"/>
      <c r="W971" s="91"/>
      <c r="X971" s="91"/>
    </row>
    <row r="972" spans="1:24" ht="15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425"/>
      <c r="S972" s="211"/>
      <c r="U972" s="91"/>
      <c r="V972" s="210"/>
      <c r="W972" s="91"/>
      <c r="X972" s="91"/>
    </row>
    <row r="973" spans="1:24" ht="15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425"/>
      <c r="S973" s="211"/>
      <c r="U973" s="91"/>
      <c r="V973" s="210"/>
      <c r="W973" s="91"/>
      <c r="X973" s="91"/>
    </row>
    <row r="974" spans="1:24" ht="15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425"/>
      <c r="S974" s="211"/>
      <c r="U974" s="91"/>
      <c r="V974" s="210"/>
      <c r="W974" s="91"/>
      <c r="X974" s="91"/>
    </row>
    <row r="975" spans="1:24" ht="15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425"/>
      <c r="S975" s="211"/>
      <c r="U975" s="91"/>
      <c r="V975" s="210"/>
      <c r="W975" s="91"/>
      <c r="X975" s="91"/>
    </row>
    <row r="976" spans="1:24" ht="15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425"/>
      <c r="S976" s="211"/>
      <c r="U976" s="91"/>
      <c r="V976" s="210"/>
      <c r="W976" s="91"/>
      <c r="X976" s="91"/>
    </row>
    <row r="977" spans="1:24" ht="15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425"/>
      <c r="S977" s="211"/>
      <c r="U977" s="91"/>
      <c r="V977" s="210"/>
      <c r="W977" s="91"/>
      <c r="X977" s="91"/>
    </row>
    <row r="978" spans="1:24" ht="15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425"/>
      <c r="S978" s="211"/>
      <c r="U978" s="91"/>
      <c r="V978" s="210"/>
      <c r="W978" s="91"/>
      <c r="X978" s="91"/>
    </row>
    <row r="979" spans="1:24" ht="15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425"/>
      <c r="S979" s="211"/>
      <c r="U979" s="91"/>
      <c r="V979" s="210"/>
      <c r="W979" s="91"/>
      <c r="X979" s="91"/>
    </row>
    <row r="980" spans="1:24" ht="15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425"/>
      <c r="S980" s="211"/>
      <c r="U980" s="91"/>
      <c r="V980" s="210"/>
      <c r="W980" s="91"/>
      <c r="X980" s="91"/>
    </row>
    <row r="981" spans="1:24" ht="15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425"/>
      <c r="S981" s="211"/>
      <c r="U981" s="91"/>
      <c r="V981" s="210"/>
      <c r="W981" s="91"/>
      <c r="X981" s="91"/>
    </row>
    <row r="982" spans="1:24" ht="15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425"/>
      <c r="S982" s="211"/>
      <c r="U982" s="91"/>
      <c r="V982" s="210"/>
      <c r="W982" s="91"/>
      <c r="X982" s="91"/>
    </row>
    <row r="983" spans="1:24" ht="15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425"/>
      <c r="S983" s="211"/>
      <c r="U983" s="91"/>
      <c r="V983" s="210"/>
      <c r="W983" s="91"/>
      <c r="X983" s="91"/>
    </row>
    <row r="984" spans="1:24" ht="15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425"/>
      <c r="S984" s="211"/>
      <c r="U984" s="91"/>
      <c r="V984" s="210"/>
      <c r="W984" s="91"/>
      <c r="X984" s="91"/>
    </row>
    <row r="985" spans="1:24" ht="15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425"/>
      <c r="S985" s="211"/>
      <c r="U985" s="91"/>
      <c r="V985" s="210"/>
      <c r="W985" s="91"/>
      <c r="X985" s="91"/>
    </row>
    <row r="986" spans="1:24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425"/>
      <c r="S986" s="211"/>
      <c r="U986" s="91"/>
      <c r="V986" s="210"/>
      <c r="W986" s="91"/>
      <c r="X986" s="91"/>
    </row>
    <row r="987" spans="1:24" ht="15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425"/>
      <c r="S987" s="211"/>
      <c r="U987" s="91"/>
      <c r="V987" s="210"/>
      <c r="W987" s="91"/>
      <c r="X987" s="91"/>
    </row>
    <row r="988" spans="1:24" ht="15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425"/>
      <c r="S988" s="211"/>
      <c r="U988" s="91"/>
      <c r="V988" s="210"/>
      <c r="W988" s="91"/>
      <c r="X988" s="91"/>
    </row>
    <row r="989" spans="1:24" ht="15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425"/>
      <c r="S989" s="211"/>
      <c r="U989" s="91"/>
      <c r="V989" s="210"/>
      <c r="W989" s="91"/>
      <c r="X989" s="91"/>
    </row>
    <row r="990" spans="1:24" ht="15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425"/>
      <c r="S990" s="211"/>
      <c r="U990" s="91"/>
      <c r="V990" s="210"/>
      <c r="W990" s="91"/>
      <c r="X990" s="91"/>
    </row>
    <row r="991" spans="1:24" ht="15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425"/>
      <c r="S991" s="211"/>
      <c r="U991" s="91"/>
      <c r="V991" s="210"/>
      <c r="W991" s="91"/>
      <c r="X991" s="91"/>
    </row>
    <row r="992" spans="1:24" ht="15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425"/>
      <c r="S992" s="211"/>
      <c r="U992" s="91"/>
      <c r="V992" s="210"/>
      <c r="W992" s="91"/>
      <c r="X992" s="91"/>
    </row>
    <row r="993" spans="1:24" ht="15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425"/>
      <c r="S993" s="211"/>
      <c r="U993" s="91"/>
      <c r="V993" s="210"/>
      <c r="W993" s="91"/>
      <c r="X993" s="91"/>
    </row>
    <row r="994" spans="1:24" ht="15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425"/>
      <c r="S994" s="211"/>
      <c r="U994" s="91"/>
      <c r="V994" s="210"/>
      <c r="W994" s="91"/>
      <c r="X994" s="91"/>
    </row>
    <row r="995" spans="1:24" ht="15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425"/>
      <c r="S995" s="211"/>
      <c r="U995" s="91"/>
      <c r="V995" s="210"/>
      <c r="W995" s="91"/>
      <c r="X995" s="91"/>
    </row>
    <row r="996" spans="1:24" ht="15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425"/>
      <c r="S996" s="211"/>
      <c r="U996" s="91"/>
      <c r="V996" s="210"/>
      <c r="W996" s="91"/>
      <c r="X996" s="91"/>
    </row>
    <row r="997" spans="1:24" ht="15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425"/>
      <c r="S997" s="211"/>
      <c r="U997" s="91"/>
      <c r="V997" s="210"/>
      <c r="W997" s="91"/>
      <c r="X997" s="91"/>
    </row>
    <row r="998" spans="1:24" ht="15.75" customHeight="1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425"/>
      <c r="S998" s="211"/>
      <c r="U998" s="91"/>
      <c r="V998" s="210"/>
      <c r="W998" s="91"/>
      <c r="X998" s="91"/>
    </row>
    <row r="999" spans="1:24" ht="15.75" customHeight="1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425"/>
      <c r="S999" s="211"/>
      <c r="U999" s="91"/>
      <c r="V999" s="210"/>
      <c r="W999" s="91"/>
      <c r="X999" s="91"/>
    </row>
    <row r="1000" spans="1:24" ht="15.75" customHeight="1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425"/>
      <c r="S1000" s="211"/>
      <c r="U1000" s="91"/>
      <c r="V1000" s="210"/>
      <c r="W1000" s="91"/>
      <c r="X1000" s="91"/>
    </row>
    <row r="1001" spans="1:24" ht="15.75" customHeight="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93"/>
      <c r="Q1001" s="193"/>
      <c r="R1001" s="425"/>
      <c r="S1001" s="211"/>
      <c r="U1001" s="91"/>
      <c r="V1001" s="210"/>
      <c r="W1001" s="91"/>
      <c r="X1001" s="91"/>
    </row>
    <row r="1002" spans="1:24" ht="15.75" customHeight="1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93"/>
      <c r="Q1002" s="193"/>
      <c r="R1002" s="425"/>
      <c r="S1002" s="211"/>
      <c r="U1002" s="91"/>
      <c r="V1002" s="210"/>
      <c r="W1002" s="91"/>
      <c r="X1002" s="91"/>
    </row>
    <row r="1003" spans="1:24" ht="15.75" customHeight="1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93"/>
      <c r="Q1003" s="193"/>
      <c r="R1003" s="425"/>
      <c r="S1003" s="211"/>
      <c r="U1003" s="91"/>
      <c r="V1003" s="210"/>
      <c r="W1003" s="91"/>
      <c r="X1003" s="91"/>
    </row>
    <row r="1004" spans="1:24" ht="15.75" customHeight="1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93"/>
      <c r="Q1004" s="193"/>
      <c r="R1004" s="425"/>
      <c r="S1004" s="211"/>
      <c r="U1004" s="91"/>
      <c r="V1004" s="210"/>
      <c r="W1004" s="91"/>
      <c r="X1004" s="91"/>
    </row>
    <row r="1005" spans="1:24" ht="15.75" customHeight="1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93"/>
      <c r="Q1005" s="193"/>
      <c r="R1005" s="425"/>
      <c r="S1005" s="211"/>
      <c r="U1005" s="91"/>
      <c r="V1005" s="210"/>
      <c r="W1005" s="91"/>
      <c r="X1005" s="91"/>
    </row>
    <row r="1006" spans="1:24" ht="15.75" customHeight="1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93"/>
      <c r="Q1006" s="193"/>
      <c r="R1006" s="425"/>
      <c r="S1006" s="211"/>
      <c r="U1006" s="91"/>
      <c r="V1006" s="210"/>
      <c r="W1006" s="91"/>
      <c r="X1006" s="91"/>
    </row>
    <row r="1007" spans="1:24" ht="15.75" customHeight="1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93"/>
      <c r="Q1007" s="193"/>
      <c r="R1007" s="425"/>
      <c r="S1007" s="211"/>
      <c r="U1007" s="91"/>
      <c r="V1007" s="210"/>
      <c r="W1007" s="91"/>
      <c r="X1007" s="91"/>
    </row>
    <row r="1008" spans="1:24" ht="15.75" customHeight="1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  <c r="K1008" s="193"/>
      <c r="L1008" s="193"/>
      <c r="M1008" s="193"/>
      <c r="N1008" s="193"/>
      <c r="O1008" s="193"/>
      <c r="P1008" s="193"/>
      <c r="Q1008" s="193"/>
      <c r="R1008" s="425"/>
      <c r="S1008" s="211"/>
      <c r="U1008" s="91"/>
      <c r="V1008" s="210"/>
      <c r="W1008" s="91"/>
      <c r="X1008" s="91"/>
    </row>
    <row r="1009" spans="1:24" ht="15.75" customHeight="1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  <c r="K1009" s="193"/>
      <c r="L1009" s="193"/>
      <c r="M1009" s="193"/>
      <c r="N1009" s="193"/>
      <c r="O1009" s="193"/>
      <c r="P1009" s="193"/>
      <c r="Q1009" s="193"/>
      <c r="R1009" s="425"/>
      <c r="S1009" s="211"/>
      <c r="U1009" s="91"/>
      <c r="V1009" s="210"/>
      <c r="W1009" s="91"/>
      <c r="X1009" s="91"/>
    </row>
    <row r="1010" spans="1:24" ht="15.75" customHeight="1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  <c r="K1010" s="193"/>
      <c r="L1010" s="193"/>
      <c r="M1010" s="193"/>
      <c r="N1010" s="193"/>
      <c r="O1010" s="193"/>
      <c r="P1010" s="193"/>
      <c r="Q1010" s="193"/>
      <c r="R1010" s="425"/>
      <c r="S1010" s="211"/>
      <c r="U1010" s="91"/>
      <c r="V1010" s="210"/>
      <c r="W1010" s="91"/>
      <c r="X1010" s="91"/>
    </row>
    <row r="1011" spans="1:24" ht="15.75" customHeight="1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  <c r="K1011" s="193"/>
      <c r="L1011" s="193"/>
      <c r="M1011" s="193"/>
      <c r="N1011" s="193"/>
      <c r="O1011" s="193"/>
      <c r="P1011" s="193"/>
      <c r="Q1011" s="193"/>
      <c r="R1011" s="425"/>
      <c r="S1011" s="211"/>
      <c r="U1011" s="91"/>
      <c r="V1011" s="210"/>
      <c r="W1011" s="91"/>
      <c r="X1011" s="91"/>
    </row>
    <row r="1012" spans="1:24" ht="15.75" customHeight="1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  <c r="K1012" s="193"/>
      <c r="L1012" s="193"/>
      <c r="M1012" s="193"/>
      <c r="N1012" s="193"/>
      <c r="O1012" s="193"/>
      <c r="P1012" s="193"/>
      <c r="Q1012" s="193"/>
      <c r="R1012" s="425"/>
      <c r="S1012" s="211"/>
      <c r="U1012" s="91"/>
      <c r="V1012" s="210"/>
      <c r="W1012" s="91"/>
      <c r="X1012" s="91"/>
    </row>
    <row r="1013" spans="1:24" ht="15.75" customHeight="1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  <c r="K1013" s="193"/>
      <c r="L1013" s="193"/>
      <c r="M1013" s="193"/>
      <c r="N1013" s="193"/>
      <c r="O1013" s="193"/>
      <c r="P1013" s="193"/>
      <c r="Q1013" s="193"/>
      <c r="R1013" s="425"/>
      <c r="S1013" s="211"/>
      <c r="U1013" s="91"/>
      <c r="V1013" s="210"/>
      <c r="W1013" s="91"/>
      <c r="X1013" s="91"/>
    </row>
    <row r="1014" spans="1:24" ht="15.75" customHeight="1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  <c r="K1014" s="193"/>
      <c r="L1014" s="193"/>
      <c r="M1014" s="193"/>
      <c r="N1014" s="193"/>
      <c r="O1014" s="193"/>
      <c r="P1014" s="193"/>
      <c r="Q1014" s="193"/>
      <c r="R1014" s="425"/>
      <c r="S1014" s="211"/>
      <c r="U1014" s="91"/>
      <c r="V1014" s="210"/>
      <c r="W1014" s="91"/>
      <c r="X1014" s="91"/>
    </row>
    <row r="1015" spans="1:24" ht="15.75" customHeight="1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  <c r="K1015" s="193"/>
      <c r="L1015" s="193"/>
      <c r="M1015" s="193"/>
      <c r="N1015" s="193"/>
      <c r="O1015" s="193"/>
      <c r="P1015" s="193"/>
      <c r="Q1015" s="193"/>
      <c r="R1015" s="425"/>
      <c r="S1015" s="211"/>
      <c r="U1015" s="91"/>
      <c r="V1015" s="210"/>
      <c r="W1015" s="91"/>
      <c r="X1015" s="91"/>
    </row>
    <row r="1016" spans="1:24" ht="15.75" customHeight="1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  <c r="K1016" s="193"/>
      <c r="L1016" s="193"/>
      <c r="M1016" s="193"/>
      <c r="N1016" s="193"/>
      <c r="O1016" s="193"/>
      <c r="P1016" s="193"/>
      <c r="Q1016" s="193"/>
      <c r="R1016" s="425"/>
      <c r="S1016" s="211"/>
      <c r="U1016" s="91"/>
      <c r="V1016" s="210"/>
      <c r="W1016" s="91"/>
      <c r="X1016" s="91"/>
    </row>
    <row r="1017" spans="1:24" ht="15.75" customHeight="1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  <c r="K1017" s="193"/>
      <c r="L1017" s="193"/>
      <c r="M1017" s="193"/>
      <c r="N1017" s="193"/>
      <c r="O1017" s="193"/>
      <c r="P1017" s="193"/>
      <c r="Q1017" s="193"/>
      <c r="R1017" s="425"/>
      <c r="S1017" s="211"/>
      <c r="U1017" s="91"/>
      <c r="V1017" s="210"/>
      <c r="W1017" s="91"/>
      <c r="X1017" s="91"/>
    </row>
    <row r="1018" spans="1:24" ht="15.75" customHeight="1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  <c r="K1018" s="193"/>
      <c r="L1018" s="193"/>
      <c r="M1018" s="193"/>
      <c r="N1018" s="193"/>
      <c r="O1018" s="193"/>
      <c r="P1018" s="193"/>
      <c r="Q1018" s="193"/>
      <c r="R1018" s="425"/>
      <c r="S1018" s="211"/>
      <c r="U1018" s="91"/>
      <c r="V1018" s="210"/>
      <c r="W1018" s="91"/>
      <c r="X1018" s="91"/>
    </row>
    <row r="1019" spans="1:24" ht="15.75" customHeight="1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  <c r="K1019" s="193"/>
      <c r="L1019" s="193"/>
      <c r="M1019" s="193"/>
      <c r="N1019" s="193"/>
      <c r="O1019" s="193"/>
      <c r="P1019" s="193"/>
      <c r="Q1019" s="193"/>
      <c r="R1019" s="425"/>
      <c r="S1019" s="211"/>
      <c r="U1019" s="91"/>
      <c r="V1019" s="210"/>
      <c r="W1019" s="91"/>
      <c r="X1019" s="91"/>
    </row>
    <row r="1020" spans="1:24" ht="15.75" customHeight="1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  <c r="K1020" s="193"/>
      <c r="L1020" s="193"/>
      <c r="M1020" s="193"/>
      <c r="N1020" s="193"/>
      <c r="O1020" s="193"/>
      <c r="P1020" s="193"/>
      <c r="Q1020" s="193"/>
      <c r="R1020" s="425"/>
      <c r="S1020" s="211"/>
      <c r="U1020" s="91"/>
      <c r="V1020" s="210"/>
      <c r="W1020" s="91"/>
      <c r="X1020" s="91"/>
    </row>
    <row r="1021" spans="1:24" ht="15.75" customHeight="1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  <c r="K1021" s="193"/>
      <c r="L1021" s="193"/>
      <c r="M1021" s="193"/>
      <c r="N1021" s="193"/>
      <c r="O1021" s="193"/>
      <c r="P1021" s="193"/>
      <c r="Q1021" s="193"/>
      <c r="R1021" s="425"/>
      <c r="S1021" s="211"/>
      <c r="U1021" s="91"/>
      <c r="V1021" s="210"/>
      <c r="W1021" s="91"/>
      <c r="X1021" s="91"/>
    </row>
    <row r="1022" spans="1:24" ht="15.75" customHeight="1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  <c r="K1022" s="193"/>
      <c r="L1022" s="193"/>
      <c r="M1022" s="193"/>
      <c r="N1022" s="193"/>
      <c r="O1022" s="193"/>
      <c r="P1022" s="193"/>
      <c r="Q1022" s="193"/>
      <c r="R1022" s="425"/>
      <c r="S1022" s="211"/>
      <c r="U1022" s="91"/>
      <c r="V1022" s="210"/>
      <c r="W1022" s="91"/>
      <c r="X1022" s="91"/>
    </row>
    <row r="1023" spans="1:24" ht="15.75" customHeight="1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  <c r="K1023" s="193"/>
      <c r="L1023" s="193"/>
      <c r="M1023" s="193"/>
      <c r="N1023" s="193"/>
      <c r="O1023" s="193"/>
      <c r="P1023" s="193"/>
      <c r="Q1023" s="193"/>
      <c r="R1023" s="425"/>
      <c r="S1023" s="211"/>
      <c r="U1023" s="91"/>
      <c r="V1023" s="210"/>
      <c r="W1023" s="91"/>
      <c r="X1023" s="91"/>
    </row>
    <row r="1024" spans="1:24" ht="15.75" customHeight="1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  <c r="K1024" s="193"/>
      <c r="L1024" s="193"/>
      <c r="M1024" s="193"/>
      <c r="N1024" s="193"/>
      <c r="O1024" s="193"/>
      <c r="P1024" s="193"/>
      <c r="Q1024" s="193"/>
      <c r="R1024" s="425"/>
      <c r="S1024" s="211"/>
      <c r="U1024" s="91"/>
      <c r="V1024" s="210"/>
      <c r="W1024" s="91"/>
      <c r="X1024" s="91"/>
    </row>
    <row r="1025" spans="1:24" ht="15.75" customHeight="1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  <c r="K1025" s="193"/>
      <c r="L1025" s="193"/>
      <c r="M1025" s="193"/>
      <c r="N1025" s="193"/>
      <c r="O1025" s="193"/>
      <c r="P1025" s="193"/>
      <c r="Q1025" s="193"/>
      <c r="R1025" s="425"/>
      <c r="S1025" s="211"/>
      <c r="U1025" s="91"/>
      <c r="V1025" s="210"/>
      <c r="W1025" s="91"/>
      <c r="X1025" s="91"/>
    </row>
    <row r="1026" spans="1:24" ht="15.75" customHeight="1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  <c r="K1026" s="193"/>
      <c r="L1026" s="193"/>
      <c r="M1026" s="193"/>
      <c r="N1026" s="193"/>
      <c r="O1026" s="193"/>
      <c r="P1026" s="193"/>
      <c r="Q1026" s="193"/>
      <c r="R1026" s="425"/>
      <c r="S1026" s="211"/>
      <c r="U1026" s="91"/>
      <c r="V1026" s="210"/>
      <c r="W1026" s="91"/>
      <c r="X1026" s="91"/>
    </row>
    <row r="1027" spans="1:24" ht="15.75" customHeight="1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  <c r="K1027" s="193"/>
      <c r="L1027" s="193"/>
      <c r="M1027" s="193"/>
      <c r="N1027" s="193"/>
      <c r="O1027" s="193"/>
      <c r="P1027" s="193"/>
      <c r="Q1027" s="193"/>
      <c r="R1027" s="425"/>
      <c r="S1027" s="211"/>
      <c r="U1027" s="91"/>
      <c r="V1027" s="210"/>
      <c r="W1027" s="91"/>
      <c r="X1027" s="91"/>
    </row>
    <row r="1028" spans="1:24" ht="15.75" customHeight="1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  <c r="K1028" s="193"/>
      <c r="L1028" s="193"/>
      <c r="M1028" s="193"/>
      <c r="N1028" s="193"/>
      <c r="O1028" s="193"/>
      <c r="P1028" s="193"/>
      <c r="Q1028" s="193"/>
      <c r="R1028" s="425"/>
      <c r="S1028" s="211"/>
      <c r="U1028" s="91"/>
      <c r="V1028" s="210"/>
      <c r="W1028" s="91"/>
      <c r="X1028" s="91"/>
    </row>
    <row r="1029" spans="1:24" ht="15.75" customHeight="1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  <c r="K1029" s="193"/>
      <c r="L1029" s="193"/>
      <c r="M1029" s="193"/>
      <c r="N1029" s="193"/>
      <c r="O1029" s="193"/>
      <c r="P1029" s="193"/>
      <c r="Q1029" s="193"/>
      <c r="R1029" s="425"/>
      <c r="S1029" s="211"/>
      <c r="U1029" s="91"/>
      <c r="V1029" s="210"/>
      <c r="W1029" s="91"/>
      <c r="X1029" s="91"/>
    </row>
    <row r="1030" spans="1:24" ht="15.75" customHeight="1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  <c r="K1030" s="193"/>
      <c r="L1030" s="193"/>
      <c r="M1030" s="193"/>
      <c r="N1030" s="193"/>
      <c r="O1030" s="193"/>
      <c r="P1030" s="193"/>
      <c r="Q1030" s="193"/>
      <c r="R1030" s="425"/>
      <c r="S1030" s="211"/>
      <c r="U1030" s="91"/>
      <c r="V1030" s="210"/>
      <c r="W1030" s="91"/>
      <c r="X1030" s="91"/>
    </row>
    <row r="1031" spans="1:24" ht="15.75" customHeight="1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  <c r="K1031" s="193"/>
      <c r="L1031" s="193"/>
      <c r="M1031" s="193"/>
      <c r="N1031" s="193"/>
      <c r="O1031" s="193"/>
      <c r="P1031" s="193"/>
      <c r="Q1031" s="193"/>
      <c r="R1031" s="425"/>
      <c r="S1031" s="211"/>
      <c r="U1031" s="91"/>
      <c r="V1031" s="210"/>
      <c r="W1031" s="91"/>
      <c r="X1031" s="91"/>
    </row>
    <row r="1032" spans="1:24" ht="15.75" customHeight="1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  <c r="K1032" s="193"/>
      <c r="L1032" s="193"/>
      <c r="M1032" s="193"/>
      <c r="N1032" s="193"/>
      <c r="O1032" s="193"/>
      <c r="P1032" s="193"/>
      <c r="Q1032" s="193"/>
      <c r="R1032" s="425"/>
      <c r="S1032" s="211"/>
      <c r="U1032" s="91"/>
      <c r="V1032" s="210"/>
      <c r="W1032" s="91"/>
      <c r="X1032" s="91"/>
    </row>
    <row r="1033" spans="1:24" ht="15.75" customHeight="1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  <c r="K1033" s="193"/>
      <c r="L1033" s="193"/>
      <c r="M1033" s="193"/>
      <c r="N1033" s="193"/>
      <c r="O1033" s="193"/>
      <c r="P1033" s="193"/>
      <c r="Q1033" s="193"/>
      <c r="R1033" s="425"/>
      <c r="S1033" s="211"/>
      <c r="U1033" s="91"/>
      <c r="V1033" s="210"/>
      <c r="W1033" s="91"/>
      <c r="X1033" s="91"/>
    </row>
    <row r="1034" spans="1:24" ht="15.75" customHeight="1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  <c r="K1034" s="193"/>
      <c r="L1034" s="193"/>
      <c r="M1034" s="193"/>
      <c r="N1034" s="193"/>
      <c r="O1034" s="193"/>
      <c r="P1034" s="193"/>
      <c r="Q1034" s="193"/>
      <c r="R1034" s="425"/>
      <c r="S1034" s="211"/>
      <c r="U1034" s="91"/>
      <c r="V1034" s="210"/>
      <c r="W1034" s="91"/>
      <c r="X1034" s="91"/>
    </row>
    <row r="1035" spans="1:24" ht="15.75" customHeight="1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  <c r="K1035" s="193"/>
      <c r="L1035" s="193"/>
      <c r="M1035" s="193"/>
      <c r="N1035" s="193"/>
      <c r="O1035" s="193"/>
      <c r="P1035" s="193"/>
      <c r="Q1035" s="193"/>
      <c r="R1035" s="425"/>
      <c r="S1035" s="211"/>
      <c r="U1035" s="91"/>
      <c r="V1035" s="210"/>
      <c r="W1035" s="91"/>
      <c r="X1035" s="91"/>
    </row>
    <row r="1036" spans="1:24" ht="15.75" customHeight="1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  <c r="K1036" s="193"/>
      <c r="L1036" s="193"/>
      <c r="M1036" s="193"/>
      <c r="N1036" s="193"/>
      <c r="O1036" s="193"/>
      <c r="P1036" s="193"/>
      <c r="Q1036" s="193"/>
      <c r="R1036" s="425"/>
      <c r="S1036" s="211"/>
      <c r="U1036" s="91"/>
      <c r="V1036" s="210"/>
      <c r="W1036" s="91"/>
      <c r="X1036" s="91"/>
    </row>
  </sheetData>
  <hyperlinks>
    <hyperlink ref="U3" r:id="rId1" xr:uid="{00000000-0004-0000-2A00-000000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FF00"/>
    <outlinePr summaryBelow="0" summaryRight="0"/>
  </sheetPr>
  <dimension ref="A1:V36"/>
  <sheetViews>
    <sheetView workbookViewId="0">
      <selection activeCell="A5" sqref="A5"/>
    </sheetView>
  </sheetViews>
  <sheetFormatPr defaultColWidth="12.5703125" defaultRowHeight="15" customHeight="1"/>
  <cols>
    <col min="1" max="1" width="3" bestFit="1" customWidth="1"/>
    <col min="2" max="2" width="7.140625" bestFit="1" customWidth="1"/>
    <col min="3" max="3" width="5.140625" bestFit="1" customWidth="1"/>
    <col min="4" max="4" width="13.7109375" bestFit="1" customWidth="1"/>
    <col min="5" max="5" width="7" bestFit="1" customWidth="1"/>
    <col min="6" max="6" width="13.7109375" bestFit="1" customWidth="1"/>
    <col min="7" max="7" width="4.85546875" bestFit="1" customWidth="1"/>
    <col min="8" max="13" width="6" bestFit="1" customWidth="1"/>
    <col min="14" max="14" width="4.7109375" bestFit="1" customWidth="1"/>
    <col min="15" max="15" width="5.85546875" bestFit="1" customWidth="1"/>
    <col min="16" max="16" width="12" bestFit="1" customWidth="1"/>
    <col min="17" max="17" width="10.85546875" bestFit="1" customWidth="1"/>
    <col min="18" max="18" width="12.5703125" bestFit="1" customWidth="1"/>
    <col min="19" max="19" width="8.42578125" customWidth="1"/>
    <col min="20" max="20" width="20.85546875" bestFit="1" customWidth="1"/>
    <col min="22" max="22" width="12.28515625" bestFit="1" customWidth="1"/>
  </cols>
  <sheetData>
    <row r="1" spans="1:22" ht="15.75" customHeight="1">
      <c r="P1" s="161" t="s">
        <v>1030</v>
      </c>
      <c r="R1" s="1" t="s">
        <v>3</v>
      </c>
    </row>
    <row r="2" spans="1:22" ht="15.75" customHeight="1">
      <c r="A2" s="193"/>
      <c r="B2" s="193"/>
      <c r="C2" s="193"/>
      <c r="D2" s="193" t="s">
        <v>1033</v>
      </c>
      <c r="E2" s="193"/>
      <c r="F2" s="186"/>
      <c r="G2" s="161"/>
      <c r="H2" s="194"/>
      <c r="I2" s="194"/>
      <c r="J2" s="194"/>
      <c r="K2" s="194"/>
      <c r="L2" s="194"/>
      <c r="M2" s="194"/>
      <c r="N2" s="194"/>
      <c r="O2" s="194"/>
      <c r="P2" s="187">
        <v>3148.8396748725791</v>
      </c>
      <c r="Q2" s="161"/>
      <c r="R2" s="1">
        <v>-460.08728943305317</v>
      </c>
      <c r="V2" s="1" t="s">
        <v>1035</v>
      </c>
    </row>
    <row r="3" spans="1:22" ht="15.75" customHeight="1">
      <c r="A3" s="193"/>
      <c r="B3" s="193"/>
      <c r="C3" s="193"/>
      <c r="D3" s="193">
        <v>117.8544457</v>
      </c>
      <c r="E3" s="193"/>
      <c r="F3" s="186" t="s">
        <v>4</v>
      </c>
      <c r="G3" s="163"/>
      <c r="H3" s="194"/>
      <c r="I3" s="194"/>
      <c r="J3" s="194"/>
      <c r="K3" s="194"/>
      <c r="L3" s="194"/>
      <c r="M3" s="194"/>
      <c r="N3" s="194"/>
      <c r="O3" s="194"/>
      <c r="P3" s="187">
        <f>$P$2/$D$3</f>
        <v>26.718038985885954</v>
      </c>
      <c r="Q3" s="163"/>
      <c r="R3" s="196">
        <f>$R$2/$D$3</f>
        <v>-3.9038602803683049</v>
      </c>
      <c r="S3" s="195" t="s">
        <v>1053</v>
      </c>
      <c r="T3" s="197" t="s">
        <v>1054</v>
      </c>
      <c r="V3" s="196">
        <f>$R$3-($R$36-'RunsGame Calculations'!$G$34)</f>
        <v>-4.0783929070628773</v>
      </c>
    </row>
    <row r="4" spans="1:22" ht="15.75" customHeight="1">
      <c r="A4" s="193"/>
      <c r="B4" s="193"/>
      <c r="C4" s="193"/>
      <c r="D4" s="193"/>
      <c r="E4" s="193"/>
      <c r="F4" s="186"/>
      <c r="G4" s="163"/>
      <c r="H4" s="194"/>
      <c r="I4" s="194"/>
      <c r="J4" s="194"/>
      <c r="K4" s="194"/>
      <c r="L4" s="194"/>
      <c r="M4" s="194"/>
      <c r="N4" s="194"/>
      <c r="O4" s="194"/>
      <c r="P4" s="163"/>
      <c r="Q4" s="163"/>
      <c r="R4" s="163"/>
      <c r="S4" s="195"/>
      <c r="T4" s="1"/>
    </row>
    <row r="5" spans="1:22" ht="15.75" customHeight="1">
      <c r="A5" s="164" t="s">
        <v>7</v>
      </c>
      <c r="B5" s="165" t="s">
        <v>1031</v>
      </c>
      <c r="C5" s="165" t="s">
        <v>1037</v>
      </c>
      <c r="D5" s="166" t="s">
        <v>1038</v>
      </c>
      <c r="E5" s="166" t="s">
        <v>15</v>
      </c>
      <c r="F5" s="166" t="s">
        <v>14</v>
      </c>
      <c r="G5" s="166" t="s">
        <v>1039</v>
      </c>
      <c r="H5" s="166" t="s">
        <v>16</v>
      </c>
      <c r="I5" s="166" t="s">
        <v>1040</v>
      </c>
      <c r="J5" s="166" t="s">
        <v>1041</v>
      </c>
      <c r="K5" s="166" t="s">
        <v>1042</v>
      </c>
      <c r="L5" s="166" t="s">
        <v>1043</v>
      </c>
      <c r="M5" s="166" t="s">
        <v>17</v>
      </c>
      <c r="N5" s="166" t="s">
        <v>1044</v>
      </c>
      <c r="O5" s="166" t="s">
        <v>1045</v>
      </c>
      <c r="P5" s="166" t="s">
        <v>1030</v>
      </c>
      <c r="Q5" s="166" t="s">
        <v>1046</v>
      </c>
      <c r="R5" s="194" t="s">
        <v>1047</v>
      </c>
      <c r="S5" s="1" t="s">
        <v>1048</v>
      </c>
      <c r="T5" s="195" t="str">
        <f>'Team Batting vs R - Season'!C3 &amp; " Weight"</f>
        <v>0 Weight</v>
      </c>
      <c r="U5" s="195"/>
      <c r="V5" s="195"/>
    </row>
    <row r="6" spans="1:22" ht="15.75" customHeight="1">
      <c r="A6" s="169">
        <v>1</v>
      </c>
      <c r="B6" s="178">
        <v>2025</v>
      </c>
      <c r="C6" s="178" t="s">
        <v>40</v>
      </c>
      <c r="D6" s="169">
        <v>861</v>
      </c>
      <c r="E6" s="172">
        <v>0.08</v>
      </c>
      <c r="F6" s="172">
        <v>0.31</v>
      </c>
      <c r="G6" s="169">
        <v>0.3</v>
      </c>
      <c r="H6" s="169">
        <v>0.19500000000000001</v>
      </c>
      <c r="I6" s="169">
        <v>0.27300000000000002</v>
      </c>
      <c r="J6" s="169">
        <v>0.34100000000000003</v>
      </c>
      <c r="K6" s="169">
        <v>0.61499999999999999</v>
      </c>
      <c r="L6" s="169">
        <v>0.14599999999999999</v>
      </c>
      <c r="M6" s="169">
        <v>0.25700000000000001</v>
      </c>
      <c r="N6" s="169">
        <v>72</v>
      </c>
      <c r="O6" s="169">
        <v>-29.6</v>
      </c>
      <c r="P6" s="169">
        <v>0.27200000000000002</v>
      </c>
      <c r="Q6" s="169">
        <v>70</v>
      </c>
      <c r="R6" s="212">
        <f t="shared" ref="R6:R35" si="0">($R$3+(P6*$P$3))</f>
        <v>3.3634463237926755</v>
      </c>
      <c r="S6" s="1">
        <f t="shared" ref="S6:S35" si="1">RANK(R6,$R$6:$R$35,0)</f>
        <v>29</v>
      </c>
      <c r="T6" s="91">
        <f>R6*'Team Batting vs R - Season'!$C$3</f>
        <v>0</v>
      </c>
      <c r="U6" s="91"/>
      <c r="V6" s="91"/>
    </row>
    <row r="7" spans="1:22" ht="15.75" customHeight="1">
      <c r="A7" s="169">
        <v>2</v>
      </c>
      <c r="B7" s="178">
        <v>2025</v>
      </c>
      <c r="C7" s="178" t="s">
        <v>72</v>
      </c>
      <c r="D7" s="169">
        <v>784</v>
      </c>
      <c r="E7" s="172">
        <v>0.10100000000000001</v>
      </c>
      <c r="F7" s="172">
        <v>0.254</v>
      </c>
      <c r="G7" s="169">
        <v>0.4</v>
      </c>
      <c r="H7" s="169">
        <v>0.23400000000000001</v>
      </c>
      <c r="I7" s="169">
        <v>0.31900000000000001</v>
      </c>
      <c r="J7" s="169">
        <v>0.36799999999999999</v>
      </c>
      <c r="K7" s="169">
        <v>0.68799999999999994</v>
      </c>
      <c r="L7" s="169">
        <v>0.13400000000000001</v>
      </c>
      <c r="M7" s="169">
        <v>0.29799999999999999</v>
      </c>
      <c r="N7" s="169">
        <v>87</v>
      </c>
      <c r="O7" s="169">
        <v>-6.3</v>
      </c>
      <c r="P7" s="169">
        <v>0.30399999999999999</v>
      </c>
      <c r="Q7" s="169">
        <v>94</v>
      </c>
      <c r="R7" s="212">
        <f t="shared" si="0"/>
        <v>4.2184235713410256</v>
      </c>
      <c r="S7" s="1">
        <f t="shared" si="1"/>
        <v>21</v>
      </c>
      <c r="T7" s="91">
        <f>R7*'Team Batting vs R - Season'!$C$3</f>
        <v>0</v>
      </c>
      <c r="U7" s="91"/>
      <c r="V7" s="91"/>
    </row>
    <row r="8" spans="1:22" ht="15.75" customHeight="1">
      <c r="A8" s="169">
        <v>3</v>
      </c>
      <c r="B8" s="178">
        <v>2025</v>
      </c>
      <c r="C8" s="178" t="s">
        <v>51</v>
      </c>
      <c r="D8" s="169">
        <v>720</v>
      </c>
      <c r="E8" s="172">
        <v>7.9000000000000001E-2</v>
      </c>
      <c r="F8" s="172">
        <v>0.21299999999999999</v>
      </c>
      <c r="G8" s="169">
        <v>0.4</v>
      </c>
      <c r="H8" s="169">
        <v>0.26900000000000002</v>
      </c>
      <c r="I8" s="169">
        <v>0.33300000000000002</v>
      </c>
      <c r="J8" s="169">
        <v>0.437</v>
      </c>
      <c r="K8" s="169">
        <v>0.77</v>
      </c>
      <c r="L8" s="169">
        <v>0.16800000000000001</v>
      </c>
      <c r="M8" s="169">
        <v>0.31900000000000001</v>
      </c>
      <c r="N8" s="169">
        <v>97</v>
      </c>
      <c r="O8" s="169">
        <v>11.9</v>
      </c>
      <c r="P8" s="169">
        <v>0.33400000000000002</v>
      </c>
      <c r="Q8" s="169">
        <v>109</v>
      </c>
      <c r="R8" s="212">
        <f t="shared" si="0"/>
        <v>5.0199647409176045</v>
      </c>
      <c r="S8" s="1">
        <f t="shared" si="1"/>
        <v>7</v>
      </c>
      <c r="T8" s="91">
        <f>R8*'Team Batting vs R - Season'!$C$3</f>
        <v>0</v>
      </c>
      <c r="U8" s="91"/>
      <c r="V8" s="91"/>
    </row>
    <row r="9" spans="1:22" ht="15.75" customHeight="1">
      <c r="A9" s="169">
        <v>4</v>
      </c>
      <c r="B9" s="178">
        <v>2025</v>
      </c>
      <c r="C9" s="178" t="s">
        <v>74</v>
      </c>
      <c r="D9" s="169">
        <v>802</v>
      </c>
      <c r="E9" s="172">
        <v>7.0999999999999994E-2</v>
      </c>
      <c r="F9" s="172">
        <v>0.23699999999999999</v>
      </c>
      <c r="G9" s="169">
        <v>0.3</v>
      </c>
      <c r="H9" s="169">
        <v>0.251</v>
      </c>
      <c r="I9" s="169">
        <v>0.314</v>
      </c>
      <c r="J9" s="169">
        <v>0.40600000000000003</v>
      </c>
      <c r="K9" s="169">
        <v>0.71899999999999997</v>
      </c>
      <c r="L9" s="169">
        <v>0.154</v>
      </c>
      <c r="M9" s="169">
        <v>0.30399999999999999</v>
      </c>
      <c r="N9" s="169">
        <v>96</v>
      </c>
      <c r="O9" s="169">
        <v>0.8</v>
      </c>
      <c r="P9" s="169">
        <v>0.315</v>
      </c>
      <c r="Q9" s="169">
        <v>100</v>
      </c>
      <c r="R9" s="212">
        <f t="shared" si="0"/>
        <v>4.5123220001857707</v>
      </c>
      <c r="S9" s="1">
        <f t="shared" si="1"/>
        <v>17</v>
      </c>
      <c r="T9" s="91">
        <f>R9*'Team Batting vs R - Season'!$C$3</f>
        <v>0</v>
      </c>
      <c r="U9" s="91"/>
      <c r="V9" s="91"/>
    </row>
    <row r="10" spans="1:22" ht="15.75" customHeight="1">
      <c r="A10" s="169">
        <v>5</v>
      </c>
      <c r="B10" s="178">
        <v>2025</v>
      </c>
      <c r="C10" s="178" t="s">
        <v>80</v>
      </c>
      <c r="D10" s="169">
        <v>684</v>
      </c>
      <c r="E10" s="172">
        <v>7.1999999999999995E-2</v>
      </c>
      <c r="F10" s="172">
        <v>0.23699999999999999</v>
      </c>
      <c r="G10" s="169">
        <v>0.3</v>
      </c>
      <c r="H10" s="169">
        <v>0.214</v>
      </c>
      <c r="I10" s="169">
        <v>0.27600000000000002</v>
      </c>
      <c r="J10" s="169">
        <v>0.33700000000000002</v>
      </c>
      <c r="K10" s="169">
        <v>0.61299999999999999</v>
      </c>
      <c r="L10" s="169">
        <v>0.122</v>
      </c>
      <c r="M10" s="169">
        <v>0.26300000000000001</v>
      </c>
      <c r="N10" s="169">
        <v>55</v>
      </c>
      <c r="O10" s="169">
        <v>-25.7</v>
      </c>
      <c r="P10" s="169">
        <v>0.26800000000000002</v>
      </c>
      <c r="Q10" s="169">
        <v>70</v>
      </c>
      <c r="R10" s="212">
        <f t="shared" si="0"/>
        <v>3.2565741678491311</v>
      </c>
      <c r="S10" s="1">
        <f t="shared" si="1"/>
        <v>30</v>
      </c>
      <c r="T10" s="91">
        <f>R10*'Team Batting vs R - Season'!$C$3</f>
        <v>0</v>
      </c>
      <c r="U10" s="91"/>
      <c r="V10" s="91"/>
    </row>
    <row r="11" spans="1:22" ht="15.75" customHeight="1">
      <c r="A11" s="169">
        <v>6</v>
      </c>
      <c r="B11" s="178">
        <v>2025</v>
      </c>
      <c r="C11" s="178" t="s">
        <v>44</v>
      </c>
      <c r="D11" s="169">
        <v>767</v>
      </c>
      <c r="E11" s="172">
        <v>9.6000000000000002E-2</v>
      </c>
      <c r="F11" s="172">
        <v>0.25</v>
      </c>
      <c r="G11" s="169">
        <v>0.4</v>
      </c>
      <c r="H11" s="169">
        <v>0.22700000000000001</v>
      </c>
      <c r="I11" s="169">
        <v>0.307</v>
      </c>
      <c r="J11" s="169">
        <v>0.38100000000000001</v>
      </c>
      <c r="K11" s="169">
        <v>0.68799999999999994</v>
      </c>
      <c r="L11" s="169">
        <v>0.153</v>
      </c>
      <c r="M11" s="169">
        <v>0.28199999999999997</v>
      </c>
      <c r="N11" s="169">
        <v>83</v>
      </c>
      <c r="O11" s="169">
        <v>-8</v>
      </c>
      <c r="P11" s="169">
        <v>0.30199999999999999</v>
      </c>
      <c r="Q11" s="169">
        <v>91</v>
      </c>
      <c r="R11" s="212">
        <f t="shared" si="0"/>
        <v>4.164987493369253</v>
      </c>
      <c r="S11" s="1">
        <f t="shared" si="1"/>
        <v>23</v>
      </c>
      <c r="T11" s="91">
        <f>R11*'Team Batting vs R - Season'!$C$3</f>
        <v>0</v>
      </c>
      <c r="U11" s="91"/>
      <c r="V11" s="91"/>
    </row>
    <row r="12" spans="1:22" ht="15.75" customHeight="1">
      <c r="A12" s="169">
        <v>7</v>
      </c>
      <c r="B12" s="178">
        <v>2025</v>
      </c>
      <c r="C12" s="178" t="s">
        <v>46</v>
      </c>
      <c r="D12" s="169">
        <v>742</v>
      </c>
      <c r="E12" s="172">
        <v>8.2000000000000003E-2</v>
      </c>
      <c r="F12" s="172">
        <v>0.17299999999999999</v>
      </c>
      <c r="G12" s="169">
        <v>0.5</v>
      </c>
      <c r="H12" s="169">
        <v>0.23699999999999999</v>
      </c>
      <c r="I12" s="169">
        <v>0.307</v>
      </c>
      <c r="J12" s="169">
        <v>0.434</v>
      </c>
      <c r="K12" s="169">
        <v>0.74099999999999999</v>
      </c>
      <c r="L12" s="169">
        <v>0.19700000000000001</v>
      </c>
      <c r="M12" s="169">
        <v>0.248</v>
      </c>
      <c r="N12" s="169">
        <v>92</v>
      </c>
      <c r="O12" s="169">
        <v>4.0999999999999996</v>
      </c>
      <c r="P12" s="169">
        <v>0.32100000000000001</v>
      </c>
      <c r="Q12" s="169">
        <v>102</v>
      </c>
      <c r="R12" s="212">
        <f t="shared" si="0"/>
        <v>4.6726302341010868</v>
      </c>
      <c r="S12" s="1">
        <f t="shared" si="1"/>
        <v>14</v>
      </c>
      <c r="T12" s="91">
        <f>R12*'Team Batting vs R - Season'!$C$3</f>
        <v>0</v>
      </c>
      <c r="U12" s="91"/>
      <c r="V12" s="91"/>
    </row>
    <row r="13" spans="1:22" ht="15.75" customHeight="1">
      <c r="A13" s="169">
        <v>8</v>
      </c>
      <c r="B13" s="178">
        <v>2025</v>
      </c>
      <c r="C13" s="178" t="s">
        <v>132</v>
      </c>
      <c r="D13" s="169">
        <v>754</v>
      </c>
      <c r="E13" s="172">
        <v>9.5000000000000001E-2</v>
      </c>
      <c r="F13" s="172">
        <v>0.22700000000000001</v>
      </c>
      <c r="G13" s="169">
        <v>0.4</v>
      </c>
      <c r="H13" s="169">
        <v>0.23799999999999999</v>
      </c>
      <c r="I13" s="169">
        <v>0.31900000000000001</v>
      </c>
      <c r="J13" s="169">
        <v>0.40500000000000003</v>
      </c>
      <c r="K13" s="169">
        <v>0.72399999999999998</v>
      </c>
      <c r="L13" s="169">
        <v>0.16600000000000001</v>
      </c>
      <c r="M13" s="169">
        <v>0.28100000000000003</v>
      </c>
      <c r="N13" s="169">
        <v>91</v>
      </c>
      <c r="O13" s="169">
        <v>1.8</v>
      </c>
      <c r="P13" s="169">
        <v>0.317</v>
      </c>
      <c r="Q13" s="169">
        <v>101</v>
      </c>
      <c r="R13" s="212">
        <f t="shared" si="0"/>
        <v>4.5657580781575433</v>
      </c>
      <c r="S13" s="1">
        <f t="shared" si="1"/>
        <v>16</v>
      </c>
      <c r="T13" s="91">
        <f>R13*'Team Batting vs R - Season'!$C$3</f>
        <v>0</v>
      </c>
      <c r="U13" s="91"/>
      <c r="V13" s="91"/>
    </row>
    <row r="14" spans="1:22" ht="15.75" customHeight="1">
      <c r="A14" s="169">
        <v>9</v>
      </c>
      <c r="B14" s="178">
        <v>2025</v>
      </c>
      <c r="C14" s="178" t="s">
        <v>42</v>
      </c>
      <c r="D14" s="169">
        <v>751</v>
      </c>
      <c r="E14" s="172">
        <v>0.113</v>
      </c>
      <c r="F14" s="172">
        <v>0.248</v>
      </c>
      <c r="G14" s="169">
        <v>0.5</v>
      </c>
      <c r="H14" s="169">
        <v>0.254</v>
      </c>
      <c r="I14" s="169">
        <v>0.34100000000000003</v>
      </c>
      <c r="J14" s="169">
        <v>0.501</v>
      </c>
      <c r="K14" s="169">
        <v>0.84199999999999997</v>
      </c>
      <c r="L14" s="169">
        <v>0.247</v>
      </c>
      <c r="M14" s="169">
        <v>0.28000000000000003</v>
      </c>
      <c r="N14" s="169">
        <v>117</v>
      </c>
      <c r="O14" s="169">
        <v>28.3</v>
      </c>
      <c r="P14" s="169">
        <v>0.36099999999999999</v>
      </c>
      <c r="Q14" s="169">
        <v>133</v>
      </c>
      <c r="R14" s="212">
        <f t="shared" si="0"/>
        <v>5.7413517935365252</v>
      </c>
      <c r="S14" s="1">
        <f t="shared" si="1"/>
        <v>3</v>
      </c>
      <c r="T14" s="91">
        <f>R14*'Team Batting vs R - Season'!$C$3</f>
        <v>0</v>
      </c>
      <c r="U14" s="91"/>
      <c r="V14" s="91"/>
    </row>
    <row r="15" spans="1:22" ht="15.75" customHeight="1">
      <c r="A15" s="169">
        <v>10</v>
      </c>
      <c r="B15" s="178">
        <v>2025</v>
      </c>
      <c r="C15" s="178" t="s">
        <v>60</v>
      </c>
      <c r="D15" s="169">
        <v>717</v>
      </c>
      <c r="E15" s="172">
        <v>9.2999999999999999E-2</v>
      </c>
      <c r="F15" s="172">
        <v>0.21299999999999999</v>
      </c>
      <c r="G15" s="169">
        <v>0.4</v>
      </c>
      <c r="H15" s="169">
        <v>0.26800000000000002</v>
      </c>
      <c r="I15" s="169">
        <v>0.34200000000000003</v>
      </c>
      <c r="J15" s="169">
        <v>0.46600000000000003</v>
      </c>
      <c r="K15" s="169">
        <v>0.80700000000000005</v>
      </c>
      <c r="L15" s="169">
        <v>0.19700000000000001</v>
      </c>
      <c r="M15" s="169">
        <v>0.311</v>
      </c>
      <c r="N15" s="169">
        <v>105</v>
      </c>
      <c r="O15" s="169">
        <v>19.7</v>
      </c>
      <c r="P15" s="169">
        <v>0.34799999999999998</v>
      </c>
      <c r="Q15" s="169">
        <v>120</v>
      </c>
      <c r="R15" s="212">
        <f t="shared" si="0"/>
        <v>5.3940172867200076</v>
      </c>
      <c r="S15" s="1">
        <f t="shared" si="1"/>
        <v>4</v>
      </c>
      <c r="T15" s="91">
        <f>R15*'Team Batting vs R - Season'!$C$3</f>
        <v>0</v>
      </c>
      <c r="U15" s="91"/>
      <c r="V15" s="91"/>
    </row>
    <row r="16" spans="1:22" ht="15.75" customHeight="1">
      <c r="A16" s="169">
        <v>11</v>
      </c>
      <c r="B16" s="178">
        <v>2025</v>
      </c>
      <c r="C16" s="178" t="s">
        <v>137</v>
      </c>
      <c r="D16" s="169">
        <v>639</v>
      </c>
      <c r="E16" s="172">
        <v>9.1999999999999998E-2</v>
      </c>
      <c r="F16" s="172">
        <v>0.22700000000000001</v>
      </c>
      <c r="G16" s="169">
        <v>0.4</v>
      </c>
      <c r="H16" s="169">
        <v>0.24</v>
      </c>
      <c r="I16" s="169">
        <v>0.32100000000000001</v>
      </c>
      <c r="J16" s="169">
        <v>0.442</v>
      </c>
      <c r="K16" s="169">
        <v>0.76300000000000001</v>
      </c>
      <c r="L16" s="169">
        <v>0.20200000000000001</v>
      </c>
      <c r="M16" s="169">
        <v>0.27200000000000002</v>
      </c>
      <c r="N16" s="169">
        <v>83</v>
      </c>
      <c r="O16" s="169">
        <v>7.6</v>
      </c>
      <c r="P16" s="169">
        <v>0.32900000000000001</v>
      </c>
      <c r="Q16" s="169">
        <v>116</v>
      </c>
      <c r="R16" s="212">
        <f t="shared" si="0"/>
        <v>4.8863745459881756</v>
      </c>
      <c r="S16" s="1">
        <f t="shared" si="1"/>
        <v>9</v>
      </c>
      <c r="T16" s="91">
        <f>R16*'Team Batting vs R - Season'!$C$3</f>
        <v>0</v>
      </c>
      <c r="U16" s="91"/>
      <c r="V16" s="91"/>
    </row>
    <row r="17" spans="1:22" ht="15.75" customHeight="1">
      <c r="A17" s="169">
        <v>12</v>
      </c>
      <c r="B17" s="178">
        <v>2025</v>
      </c>
      <c r="C17" s="178" t="s">
        <v>100</v>
      </c>
      <c r="D17" s="169">
        <v>637</v>
      </c>
      <c r="E17" s="172">
        <v>6.9000000000000006E-2</v>
      </c>
      <c r="F17" s="172">
        <v>0.224</v>
      </c>
      <c r="G17" s="169">
        <v>0.3</v>
      </c>
      <c r="H17" s="169">
        <v>0.255</v>
      </c>
      <c r="I17" s="169">
        <v>0.309</v>
      </c>
      <c r="J17" s="169">
        <v>0.434</v>
      </c>
      <c r="K17" s="169">
        <v>0.74399999999999999</v>
      </c>
      <c r="L17" s="169">
        <v>0.17899999999999999</v>
      </c>
      <c r="M17" s="169">
        <v>0.29799999999999999</v>
      </c>
      <c r="N17" s="169">
        <v>79</v>
      </c>
      <c r="O17" s="169">
        <v>3.3</v>
      </c>
      <c r="P17" s="169">
        <v>0.32100000000000001</v>
      </c>
      <c r="Q17" s="169">
        <v>103</v>
      </c>
      <c r="R17" s="212">
        <f t="shared" si="0"/>
        <v>4.6726302341010868</v>
      </c>
      <c r="S17" s="1">
        <f t="shared" si="1"/>
        <v>14</v>
      </c>
      <c r="T17" s="91">
        <f>R17*'Team Batting vs R - Season'!$C$3</f>
        <v>0</v>
      </c>
      <c r="U17" s="91"/>
      <c r="V17" s="91"/>
    </row>
    <row r="18" spans="1:22" ht="15.75" customHeight="1">
      <c r="A18" s="169">
        <v>13</v>
      </c>
      <c r="B18" s="178">
        <v>2025</v>
      </c>
      <c r="C18" s="178" t="s">
        <v>86</v>
      </c>
      <c r="D18" s="169">
        <v>727</v>
      </c>
      <c r="E18" s="172">
        <v>8.3000000000000004E-2</v>
      </c>
      <c r="F18" s="172">
        <v>0.193</v>
      </c>
      <c r="G18" s="169">
        <v>0.4</v>
      </c>
      <c r="H18" s="169">
        <v>0.26900000000000002</v>
      </c>
      <c r="I18" s="169">
        <v>0.33700000000000002</v>
      </c>
      <c r="J18" s="169">
        <v>0.42899999999999999</v>
      </c>
      <c r="K18" s="169">
        <v>0.76600000000000001</v>
      </c>
      <c r="L18" s="169">
        <v>0.16</v>
      </c>
      <c r="M18" s="169">
        <v>0.308</v>
      </c>
      <c r="N18" s="169">
        <v>98</v>
      </c>
      <c r="O18" s="169">
        <v>12.1</v>
      </c>
      <c r="P18" s="169">
        <v>0.33400000000000002</v>
      </c>
      <c r="Q18" s="169">
        <v>115</v>
      </c>
      <c r="R18" s="212">
        <f t="shared" si="0"/>
        <v>5.0199647409176045</v>
      </c>
      <c r="S18" s="1">
        <f t="shared" si="1"/>
        <v>7</v>
      </c>
      <c r="T18" s="91">
        <f>R18*'Team Batting vs R - Season'!$C$3</f>
        <v>0</v>
      </c>
      <c r="U18" s="91"/>
      <c r="V18" s="91"/>
    </row>
    <row r="19" spans="1:22" ht="15.75" customHeight="1">
      <c r="A19" s="169">
        <v>14</v>
      </c>
      <c r="B19" s="178">
        <v>2025</v>
      </c>
      <c r="C19" s="178" t="s">
        <v>93</v>
      </c>
      <c r="D19" s="169">
        <v>799</v>
      </c>
      <c r="E19" s="172">
        <v>7.9000000000000001E-2</v>
      </c>
      <c r="F19" s="172">
        <v>0.185</v>
      </c>
      <c r="G19" s="169">
        <v>0.4</v>
      </c>
      <c r="H19" s="169">
        <v>0.27300000000000002</v>
      </c>
      <c r="I19" s="169">
        <v>0.33600000000000002</v>
      </c>
      <c r="J19" s="169">
        <v>0.46400000000000002</v>
      </c>
      <c r="K19" s="169">
        <v>0.8</v>
      </c>
      <c r="L19" s="169">
        <v>0.191</v>
      </c>
      <c r="M19" s="169">
        <v>0.30199999999999999</v>
      </c>
      <c r="N19" s="169">
        <v>115</v>
      </c>
      <c r="O19" s="169">
        <v>19.7</v>
      </c>
      <c r="P19" s="169">
        <v>0.34399999999999997</v>
      </c>
      <c r="Q19" s="169">
        <v>121</v>
      </c>
      <c r="R19" s="212">
        <f t="shared" si="0"/>
        <v>5.2871451307764623</v>
      </c>
      <c r="S19" s="1">
        <f t="shared" si="1"/>
        <v>6</v>
      </c>
      <c r="T19" s="91">
        <f>R19*'Team Batting vs R - Season'!$C$3</f>
        <v>0</v>
      </c>
      <c r="U19" s="91"/>
      <c r="V19" s="91"/>
    </row>
    <row r="20" spans="1:22" ht="15.75" customHeight="1">
      <c r="A20" s="169">
        <v>15</v>
      </c>
      <c r="B20" s="178">
        <v>2025</v>
      </c>
      <c r="C20" s="178" t="s">
        <v>66</v>
      </c>
      <c r="D20" s="169">
        <v>731</v>
      </c>
      <c r="E20" s="172">
        <v>7.0000000000000007E-2</v>
      </c>
      <c r="F20" s="172">
        <v>0.24099999999999999</v>
      </c>
      <c r="G20" s="169">
        <v>0.3</v>
      </c>
      <c r="H20" s="169">
        <v>0.24299999999999999</v>
      </c>
      <c r="I20" s="169">
        <v>0.30299999999999999</v>
      </c>
      <c r="J20" s="169">
        <v>0.38400000000000001</v>
      </c>
      <c r="K20" s="169">
        <v>0.68700000000000006</v>
      </c>
      <c r="L20" s="169">
        <v>0.14099999999999999</v>
      </c>
      <c r="M20" s="169">
        <v>0.3</v>
      </c>
      <c r="N20" s="169">
        <v>77</v>
      </c>
      <c r="O20" s="169">
        <v>-9.5</v>
      </c>
      <c r="P20" s="169">
        <v>0.29799999999999999</v>
      </c>
      <c r="Q20" s="169">
        <v>88</v>
      </c>
      <c r="R20" s="212">
        <f t="shared" si="0"/>
        <v>4.0581153374257095</v>
      </c>
      <c r="S20" s="1">
        <f t="shared" si="1"/>
        <v>25</v>
      </c>
      <c r="T20" s="91">
        <f>R20*'Team Batting vs R - Season'!$C$3</f>
        <v>0</v>
      </c>
      <c r="U20" s="91"/>
      <c r="V20" s="91"/>
    </row>
    <row r="21" spans="1:22" ht="15.75" customHeight="1">
      <c r="A21" s="169">
        <v>16</v>
      </c>
      <c r="B21" s="178">
        <v>2025</v>
      </c>
      <c r="C21" s="178" t="s">
        <v>76</v>
      </c>
      <c r="D21" s="169">
        <v>658</v>
      </c>
      <c r="E21" s="172">
        <v>7.5999999999999998E-2</v>
      </c>
      <c r="F21" s="172">
        <v>0.217</v>
      </c>
      <c r="G21" s="169">
        <v>0.3</v>
      </c>
      <c r="H21" s="169">
        <v>0.22700000000000001</v>
      </c>
      <c r="I21" s="169">
        <v>0.29399999999999998</v>
      </c>
      <c r="J21" s="169">
        <v>0.377</v>
      </c>
      <c r="K21" s="169">
        <v>0.67100000000000004</v>
      </c>
      <c r="L21" s="169">
        <v>0.15</v>
      </c>
      <c r="M21" s="169">
        <v>0.26300000000000001</v>
      </c>
      <c r="N21" s="169">
        <v>68</v>
      </c>
      <c r="O21" s="169">
        <v>-10.3</v>
      </c>
      <c r="P21" s="169">
        <v>0.29499999999999998</v>
      </c>
      <c r="Q21" s="169">
        <v>87</v>
      </c>
      <c r="R21" s="212">
        <f t="shared" si="0"/>
        <v>3.977961220468051</v>
      </c>
      <c r="S21" s="1">
        <f t="shared" si="1"/>
        <v>26</v>
      </c>
      <c r="T21" s="91">
        <f>R21*'Team Batting vs R - Season'!$C$3</f>
        <v>0</v>
      </c>
      <c r="U21" s="91"/>
      <c r="V21" s="91"/>
    </row>
    <row r="22" spans="1:22" ht="15.75" customHeight="1">
      <c r="A22" s="169">
        <v>17</v>
      </c>
      <c r="B22" s="178">
        <v>2025</v>
      </c>
      <c r="C22" s="178" t="s">
        <v>88</v>
      </c>
      <c r="D22" s="169">
        <v>829</v>
      </c>
      <c r="E22" s="172">
        <v>0.106</v>
      </c>
      <c r="F22" s="172">
        <v>0.215</v>
      </c>
      <c r="G22" s="169">
        <v>0.5</v>
      </c>
      <c r="H22" s="169">
        <v>0.24</v>
      </c>
      <c r="I22" s="169">
        <v>0.32600000000000001</v>
      </c>
      <c r="J22" s="169">
        <v>0.39100000000000001</v>
      </c>
      <c r="K22" s="169">
        <v>0.71699999999999997</v>
      </c>
      <c r="L22" s="169">
        <v>0.151</v>
      </c>
      <c r="M22" s="169">
        <v>0.28799999999999998</v>
      </c>
      <c r="N22" s="169">
        <v>98</v>
      </c>
      <c r="O22" s="169">
        <v>0</v>
      </c>
      <c r="P22" s="169">
        <v>0.314</v>
      </c>
      <c r="Q22" s="169">
        <v>103</v>
      </c>
      <c r="R22" s="212">
        <f t="shared" si="0"/>
        <v>4.4856039611998852</v>
      </c>
      <c r="S22" s="1">
        <f t="shared" si="1"/>
        <v>18</v>
      </c>
      <c r="T22" s="91">
        <f>R22*'Team Batting vs R - Season'!$C$3</f>
        <v>0</v>
      </c>
      <c r="U22" s="91"/>
      <c r="V22" s="91"/>
    </row>
    <row r="23" spans="1:22" ht="15.75" customHeight="1">
      <c r="A23" s="169">
        <v>18</v>
      </c>
      <c r="B23" s="178">
        <v>2025</v>
      </c>
      <c r="C23" s="178" t="s">
        <v>108</v>
      </c>
      <c r="D23" s="169">
        <v>760</v>
      </c>
      <c r="E23" s="172">
        <v>9.0999999999999998E-2</v>
      </c>
      <c r="F23" s="172">
        <v>0.247</v>
      </c>
      <c r="G23" s="169">
        <v>0.4</v>
      </c>
      <c r="H23" s="169">
        <v>0.23599999999999999</v>
      </c>
      <c r="I23" s="169">
        <v>0.307</v>
      </c>
      <c r="J23" s="169">
        <v>0.41799999999999998</v>
      </c>
      <c r="K23" s="169">
        <v>0.72499999999999998</v>
      </c>
      <c r="L23" s="169">
        <v>0.183</v>
      </c>
      <c r="M23" s="169">
        <v>0.28399999999999997</v>
      </c>
      <c r="N23" s="169">
        <v>90</v>
      </c>
      <c r="O23" s="169">
        <v>-0.2</v>
      </c>
      <c r="P23" s="169">
        <v>0.314</v>
      </c>
      <c r="Q23" s="169">
        <v>95</v>
      </c>
      <c r="R23" s="212">
        <f t="shared" si="0"/>
        <v>4.4856039611998852</v>
      </c>
      <c r="S23" s="1">
        <f t="shared" si="1"/>
        <v>18</v>
      </c>
      <c r="T23" s="91">
        <f>R23*'Team Batting vs R - Season'!$C$3</f>
        <v>0</v>
      </c>
      <c r="U23" s="91"/>
      <c r="V23" s="91"/>
    </row>
    <row r="24" spans="1:22" ht="15.75" customHeight="1">
      <c r="A24" s="169">
        <v>19</v>
      </c>
      <c r="B24" s="178">
        <v>2025</v>
      </c>
      <c r="C24" s="178" t="s">
        <v>36</v>
      </c>
      <c r="D24" s="169">
        <v>772</v>
      </c>
      <c r="E24" s="172">
        <v>5.3999999999999999E-2</v>
      </c>
      <c r="F24" s="172">
        <v>0.27100000000000002</v>
      </c>
      <c r="G24" s="169">
        <v>0.2</v>
      </c>
      <c r="H24" s="169">
        <v>0.23799999999999999</v>
      </c>
      <c r="I24" s="169">
        <v>0.28599999999999998</v>
      </c>
      <c r="J24" s="169">
        <v>0.37</v>
      </c>
      <c r="K24" s="169">
        <v>0.65500000000000003</v>
      </c>
      <c r="L24" s="169">
        <v>0.13200000000000001</v>
      </c>
      <c r="M24" s="169">
        <v>0.308</v>
      </c>
      <c r="N24" s="169">
        <v>74</v>
      </c>
      <c r="O24" s="169">
        <v>-17.5</v>
      </c>
      <c r="P24" s="169">
        <v>0.28599999999999998</v>
      </c>
      <c r="Q24" s="169">
        <v>68</v>
      </c>
      <c r="R24" s="212">
        <f t="shared" si="0"/>
        <v>3.7374988695950777</v>
      </c>
      <c r="S24" s="1">
        <f t="shared" si="1"/>
        <v>27</v>
      </c>
      <c r="T24" s="91">
        <f>R24*'Team Batting vs R - Season'!$C$3</f>
        <v>0</v>
      </c>
      <c r="U24" s="91"/>
      <c r="V24" s="91"/>
    </row>
    <row r="25" spans="1:22" ht="15.75" customHeight="1">
      <c r="A25" s="169">
        <v>20</v>
      </c>
      <c r="B25" s="178">
        <v>2025</v>
      </c>
      <c r="C25" s="178" t="s">
        <v>56</v>
      </c>
      <c r="D25" s="169">
        <v>659</v>
      </c>
      <c r="E25" s="172">
        <v>7.2999999999999995E-2</v>
      </c>
      <c r="F25" s="172">
        <v>0.19</v>
      </c>
      <c r="G25" s="169">
        <v>0.4</v>
      </c>
      <c r="H25" s="169">
        <v>0.245</v>
      </c>
      <c r="I25" s="169">
        <v>0.311</v>
      </c>
      <c r="J25" s="169">
        <v>0.378</v>
      </c>
      <c r="K25" s="169">
        <v>0.68899999999999995</v>
      </c>
      <c r="L25" s="169">
        <v>0.13300000000000001</v>
      </c>
      <c r="M25" s="169">
        <v>0.28299999999999997</v>
      </c>
      <c r="N25" s="169">
        <v>72</v>
      </c>
      <c r="O25" s="169">
        <v>-5.8</v>
      </c>
      <c r="P25" s="169">
        <v>0.30299999999999999</v>
      </c>
      <c r="Q25" s="169">
        <v>92</v>
      </c>
      <c r="R25" s="212">
        <f t="shared" si="0"/>
        <v>4.1917055323551402</v>
      </c>
      <c r="S25" s="1">
        <f t="shared" si="1"/>
        <v>22</v>
      </c>
      <c r="T25" s="91">
        <f>R25*'Team Batting vs R - Season'!$C$3</f>
        <v>0</v>
      </c>
      <c r="U25" s="91"/>
      <c r="V25" s="91"/>
    </row>
    <row r="26" spans="1:22" ht="15.75" customHeight="1">
      <c r="A26" s="169">
        <v>21</v>
      </c>
      <c r="B26" s="178">
        <v>2025</v>
      </c>
      <c r="C26" s="178" t="s">
        <v>64</v>
      </c>
      <c r="D26" s="169">
        <v>722</v>
      </c>
      <c r="E26" s="172">
        <v>0.08</v>
      </c>
      <c r="F26" s="172">
        <v>0.23300000000000001</v>
      </c>
      <c r="G26" s="169">
        <v>0.3</v>
      </c>
      <c r="H26" s="169">
        <v>0.24399999999999999</v>
      </c>
      <c r="I26" s="169">
        <v>0.308</v>
      </c>
      <c r="J26" s="169">
        <v>0.39200000000000002</v>
      </c>
      <c r="K26" s="169">
        <v>0.7</v>
      </c>
      <c r="L26" s="169">
        <v>0.14799999999999999</v>
      </c>
      <c r="M26" s="169">
        <v>0.29299999999999998</v>
      </c>
      <c r="N26" s="169">
        <v>81</v>
      </c>
      <c r="O26" s="169">
        <v>-4.7</v>
      </c>
      <c r="P26" s="169">
        <v>0.30599999999999999</v>
      </c>
      <c r="Q26" s="169">
        <v>95</v>
      </c>
      <c r="R26" s="212">
        <f t="shared" si="0"/>
        <v>4.2718596493127965</v>
      </c>
      <c r="S26" s="1">
        <f t="shared" si="1"/>
        <v>20</v>
      </c>
      <c r="T26" s="91">
        <f>R26*'Team Batting vs R - Season'!$C$3</f>
        <v>0</v>
      </c>
      <c r="U26" s="91"/>
      <c r="V26" s="91"/>
    </row>
    <row r="27" spans="1:22" ht="15.75" customHeight="1">
      <c r="A27" s="169">
        <v>22</v>
      </c>
      <c r="B27" s="178">
        <v>2025</v>
      </c>
      <c r="C27" s="178" t="s">
        <v>143</v>
      </c>
      <c r="D27" s="169">
        <v>732</v>
      </c>
      <c r="E27" s="172">
        <v>9.2999999999999999E-2</v>
      </c>
      <c r="F27" s="172">
        <v>0.20100000000000001</v>
      </c>
      <c r="G27" s="169">
        <v>0.5</v>
      </c>
      <c r="H27" s="169">
        <v>0.248</v>
      </c>
      <c r="I27" s="169">
        <v>0.32200000000000001</v>
      </c>
      <c r="J27" s="169">
        <v>0.432</v>
      </c>
      <c r="K27" s="169">
        <v>0.754</v>
      </c>
      <c r="L27" s="169">
        <v>0.185</v>
      </c>
      <c r="M27" s="169">
        <v>0.27500000000000002</v>
      </c>
      <c r="N27" s="169">
        <v>94</v>
      </c>
      <c r="O27" s="169">
        <v>6.8</v>
      </c>
      <c r="P27" s="169">
        <v>0.32500000000000001</v>
      </c>
      <c r="Q27" s="169">
        <v>109</v>
      </c>
      <c r="R27" s="212">
        <f t="shared" si="0"/>
        <v>4.7795023900446303</v>
      </c>
      <c r="S27" s="1">
        <f t="shared" si="1"/>
        <v>13</v>
      </c>
      <c r="T27" s="91">
        <f>R27*'Team Batting vs R - Season'!$C$3</f>
        <v>0</v>
      </c>
      <c r="U27" s="91"/>
      <c r="V27" s="91"/>
    </row>
    <row r="28" spans="1:22" ht="15.75" customHeight="1">
      <c r="A28" s="169">
        <v>23</v>
      </c>
      <c r="B28" s="178">
        <v>2025</v>
      </c>
      <c r="C28" s="178" t="s">
        <v>70</v>
      </c>
      <c r="D28" s="169">
        <v>814</v>
      </c>
      <c r="E28" s="172">
        <v>0.09</v>
      </c>
      <c r="F28" s="172">
        <v>0.19900000000000001</v>
      </c>
      <c r="G28" s="169">
        <v>0.5</v>
      </c>
      <c r="H28" s="169">
        <v>0.26300000000000001</v>
      </c>
      <c r="I28" s="169">
        <v>0.33500000000000002</v>
      </c>
      <c r="J28" s="169">
        <v>0.42</v>
      </c>
      <c r="K28" s="169">
        <v>0.754</v>
      </c>
      <c r="L28" s="169">
        <v>0.157</v>
      </c>
      <c r="M28" s="169">
        <v>0.30599999999999999</v>
      </c>
      <c r="N28" s="169">
        <v>107</v>
      </c>
      <c r="O28" s="169">
        <v>10</v>
      </c>
      <c r="P28" s="169">
        <v>0.32900000000000001</v>
      </c>
      <c r="Q28" s="169">
        <v>112</v>
      </c>
      <c r="R28" s="212">
        <f t="shared" si="0"/>
        <v>4.8863745459881756</v>
      </c>
      <c r="S28" s="1">
        <f t="shared" si="1"/>
        <v>9</v>
      </c>
      <c r="T28" s="91">
        <f>R28*'Team Batting vs R - Season'!$C$3</f>
        <v>0</v>
      </c>
      <c r="U28" s="91"/>
      <c r="V28" s="91"/>
    </row>
    <row r="29" spans="1:22" ht="15.75" customHeight="1">
      <c r="A29" s="169">
        <v>24</v>
      </c>
      <c r="B29" s="178">
        <v>2025</v>
      </c>
      <c r="C29" s="178" t="s">
        <v>58</v>
      </c>
      <c r="D29" s="169">
        <v>708</v>
      </c>
      <c r="E29" s="172">
        <v>7.1999999999999995E-2</v>
      </c>
      <c r="F29" s="172">
        <v>0.24199999999999999</v>
      </c>
      <c r="G29" s="169">
        <v>0.3</v>
      </c>
      <c r="H29" s="169">
        <v>0.26500000000000001</v>
      </c>
      <c r="I29" s="169">
        <v>0.317</v>
      </c>
      <c r="J29" s="169">
        <v>0.442</v>
      </c>
      <c r="K29" s="169">
        <v>0.75900000000000001</v>
      </c>
      <c r="L29" s="169">
        <v>0.17699999999999999</v>
      </c>
      <c r="M29" s="169">
        <v>0.32200000000000001</v>
      </c>
      <c r="N29" s="169">
        <v>91</v>
      </c>
      <c r="O29" s="169">
        <v>6.8</v>
      </c>
      <c r="P29" s="169">
        <v>0.32600000000000001</v>
      </c>
      <c r="Q29" s="169">
        <v>109</v>
      </c>
      <c r="R29" s="212">
        <f t="shared" si="0"/>
        <v>4.8062204290305175</v>
      </c>
      <c r="S29" s="1">
        <f t="shared" si="1"/>
        <v>12</v>
      </c>
      <c r="T29" s="91">
        <f>R29*'Team Batting vs R - Season'!$C$3</f>
        <v>0</v>
      </c>
      <c r="U29" s="91"/>
      <c r="V29" s="91"/>
    </row>
    <row r="30" spans="1:22" ht="15.75" customHeight="1">
      <c r="A30" s="169">
        <v>25</v>
      </c>
      <c r="B30" s="178">
        <v>2025</v>
      </c>
      <c r="C30" s="178" t="s">
        <v>91</v>
      </c>
      <c r="D30" s="169">
        <v>752</v>
      </c>
      <c r="E30" s="172">
        <v>9.8000000000000004E-2</v>
      </c>
      <c r="F30" s="172">
        <v>0.20100000000000001</v>
      </c>
      <c r="G30" s="169">
        <v>0.5</v>
      </c>
      <c r="H30" s="169">
        <v>0.28100000000000003</v>
      </c>
      <c r="I30" s="169">
        <v>0.35899999999999999</v>
      </c>
      <c r="J30" s="169">
        <v>0.48199999999999998</v>
      </c>
      <c r="K30" s="169">
        <v>0.84</v>
      </c>
      <c r="L30" s="169">
        <v>0.20100000000000001</v>
      </c>
      <c r="M30" s="169">
        <v>0.318</v>
      </c>
      <c r="N30" s="169">
        <v>119</v>
      </c>
      <c r="O30" s="169">
        <v>29.5</v>
      </c>
      <c r="P30" s="169">
        <v>0.36199999999999999</v>
      </c>
      <c r="Q30" s="169">
        <v>137</v>
      </c>
      <c r="R30" s="212">
        <f t="shared" si="0"/>
        <v>5.7680698325224107</v>
      </c>
      <c r="S30" s="1">
        <f t="shared" si="1"/>
        <v>2</v>
      </c>
      <c r="T30" s="91">
        <f>R30*'Team Batting vs R - Season'!$C$3</f>
        <v>0</v>
      </c>
      <c r="U30" s="91"/>
      <c r="V30" s="91"/>
    </row>
    <row r="31" spans="1:22" ht="15.75" customHeight="1">
      <c r="A31" s="169">
        <v>26</v>
      </c>
      <c r="B31" s="178">
        <v>2025</v>
      </c>
      <c r="C31" s="178" t="s">
        <v>68</v>
      </c>
      <c r="D31" s="169">
        <v>727</v>
      </c>
      <c r="E31" s="172">
        <v>8.4000000000000005E-2</v>
      </c>
      <c r="F31" s="172">
        <v>0.19400000000000001</v>
      </c>
      <c r="G31" s="169">
        <v>0.4</v>
      </c>
      <c r="H31" s="169">
        <v>0.313</v>
      </c>
      <c r="I31" s="169">
        <v>0.374</v>
      </c>
      <c r="J31" s="169">
        <v>0.53200000000000003</v>
      </c>
      <c r="K31" s="169">
        <v>0.90600000000000003</v>
      </c>
      <c r="L31" s="169">
        <v>0.219</v>
      </c>
      <c r="M31" s="169">
        <v>0.35499999999999998</v>
      </c>
      <c r="N31" s="169">
        <v>129</v>
      </c>
      <c r="O31" s="169">
        <v>42.3</v>
      </c>
      <c r="P31" s="169">
        <v>0.38600000000000001</v>
      </c>
      <c r="Q31" s="169">
        <v>148</v>
      </c>
      <c r="R31" s="212">
        <f t="shared" si="0"/>
        <v>6.4093027681836734</v>
      </c>
      <c r="S31" s="1">
        <f t="shared" si="1"/>
        <v>1</v>
      </c>
      <c r="T31" s="91">
        <f>R31*'Team Batting vs R - Season'!$C$3</f>
        <v>0</v>
      </c>
      <c r="U31" s="91"/>
      <c r="V31" s="91"/>
    </row>
    <row r="32" spans="1:22" ht="15.75" customHeight="1">
      <c r="A32" s="169">
        <v>27</v>
      </c>
      <c r="B32" s="178">
        <v>2025</v>
      </c>
      <c r="C32" s="178" t="s">
        <v>82</v>
      </c>
      <c r="D32" s="169">
        <v>733</v>
      </c>
      <c r="E32" s="172">
        <v>9.5000000000000001E-2</v>
      </c>
      <c r="F32" s="172">
        <v>0.25</v>
      </c>
      <c r="G32" s="169">
        <v>0.4</v>
      </c>
      <c r="H32" s="169">
        <v>0.23</v>
      </c>
      <c r="I32" s="169">
        <v>0.311</v>
      </c>
      <c r="J32" s="169">
        <v>0.36299999999999999</v>
      </c>
      <c r="K32" s="169">
        <v>0.67500000000000004</v>
      </c>
      <c r="L32" s="169">
        <v>0.13300000000000001</v>
      </c>
      <c r="M32" s="169">
        <v>0.29699999999999999</v>
      </c>
      <c r="N32" s="169">
        <v>78</v>
      </c>
      <c r="O32" s="169">
        <v>-9.1</v>
      </c>
      <c r="P32" s="169">
        <v>0.29899999999999999</v>
      </c>
      <c r="Q32" s="169">
        <v>88</v>
      </c>
      <c r="R32" s="212">
        <f t="shared" si="0"/>
        <v>4.0848333764115949</v>
      </c>
      <c r="S32" s="1">
        <f t="shared" si="1"/>
        <v>24</v>
      </c>
      <c r="T32" s="91">
        <f>R32*'Team Batting vs R - Season'!$C$3</f>
        <v>0</v>
      </c>
      <c r="U32" s="91"/>
      <c r="V32" s="91"/>
    </row>
    <row r="33" spans="1:22" ht="15.75" customHeight="1">
      <c r="A33" s="169">
        <v>28</v>
      </c>
      <c r="B33" s="178">
        <v>2025</v>
      </c>
      <c r="C33" s="178" t="s">
        <v>53</v>
      </c>
      <c r="D33" s="169">
        <v>815</v>
      </c>
      <c r="E33" s="172">
        <v>6.7000000000000004E-2</v>
      </c>
      <c r="F33" s="172">
        <v>0.25800000000000001</v>
      </c>
      <c r="G33" s="169">
        <v>0.3</v>
      </c>
      <c r="H33" s="169">
        <v>0.224</v>
      </c>
      <c r="I33" s="169">
        <v>0.29399999999999998</v>
      </c>
      <c r="J33" s="169">
        <v>0.34499999999999997</v>
      </c>
      <c r="K33" s="169">
        <v>0.63900000000000001</v>
      </c>
      <c r="L33" s="169">
        <v>0.121</v>
      </c>
      <c r="M33" s="169">
        <v>0.28299999999999997</v>
      </c>
      <c r="N33" s="169">
        <v>77</v>
      </c>
      <c r="O33" s="169">
        <v>-20.100000000000001</v>
      </c>
      <c r="P33" s="169">
        <v>0.28399999999999997</v>
      </c>
      <c r="Q33" s="169">
        <v>82</v>
      </c>
      <c r="R33" s="212">
        <f t="shared" si="0"/>
        <v>3.6840627916233051</v>
      </c>
      <c r="S33" s="1">
        <f t="shared" si="1"/>
        <v>28</v>
      </c>
      <c r="T33" s="91">
        <f>R33*'Team Batting vs R - Season'!$C$3</f>
        <v>0</v>
      </c>
      <c r="U33" s="91"/>
      <c r="V33" s="91"/>
    </row>
    <row r="34" spans="1:22" ht="15.75" customHeight="1">
      <c r="A34" s="169">
        <v>29</v>
      </c>
      <c r="B34" s="178">
        <v>2025</v>
      </c>
      <c r="C34" s="178" t="s">
        <v>49</v>
      </c>
      <c r="D34" s="169">
        <v>770</v>
      </c>
      <c r="E34" s="172">
        <v>7.4999999999999997E-2</v>
      </c>
      <c r="F34" s="172">
        <v>0.214</v>
      </c>
      <c r="G34" s="169">
        <v>0.4</v>
      </c>
      <c r="H34" s="169">
        <v>0.26400000000000001</v>
      </c>
      <c r="I34" s="169">
        <v>0.32900000000000001</v>
      </c>
      <c r="J34" s="169">
        <v>0.42799999999999999</v>
      </c>
      <c r="K34" s="169">
        <v>0.75700000000000001</v>
      </c>
      <c r="L34" s="169">
        <v>0.16400000000000001</v>
      </c>
      <c r="M34" s="169">
        <v>0.312</v>
      </c>
      <c r="N34" s="169">
        <v>101</v>
      </c>
      <c r="O34" s="169">
        <v>9.6</v>
      </c>
      <c r="P34" s="169">
        <v>0.32900000000000001</v>
      </c>
      <c r="Q34" s="169">
        <v>115</v>
      </c>
      <c r="R34" s="212">
        <f t="shared" si="0"/>
        <v>4.8863745459881756</v>
      </c>
      <c r="S34" s="1">
        <f t="shared" si="1"/>
        <v>9</v>
      </c>
      <c r="T34" s="91">
        <f>R34*'Team Batting vs R - Season'!$C$3</f>
        <v>0</v>
      </c>
      <c r="U34" s="91"/>
      <c r="V34" s="91"/>
    </row>
    <row r="35" spans="1:22" ht="15.75" customHeight="1">
      <c r="A35" s="169">
        <v>30</v>
      </c>
      <c r="B35" s="178">
        <v>2025</v>
      </c>
      <c r="C35" s="178" t="s">
        <v>126</v>
      </c>
      <c r="D35" s="169">
        <v>726</v>
      </c>
      <c r="E35" s="172">
        <v>8.6999999999999994E-2</v>
      </c>
      <c r="F35" s="172">
        <v>0.22900000000000001</v>
      </c>
      <c r="G35" s="169">
        <v>0.4</v>
      </c>
      <c r="H35" s="169">
        <v>0.27100000000000002</v>
      </c>
      <c r="I35" s="169">
        <v>0.34</v>
      </c>
      <c r="J35" s="169">
        <v>0.46800000000000003</v>
      </c>
      <c r="K35" s="169">
        <v>0.80800000000000005</v>
      </c>
      <c r="L35" s="169">
        <v>0.19700000000000001</v>
      </c>
      <c r="M35" s="169">
        <v>0.315</v>
      </c>
      <c r="N35" s="169">
        <v>106</v>
      </c>
      <c r="O35" s="169">
        <v>19.5</v>
      </c>
      <c r="P35" s="169">
        <v>0.34699999999999998</v>
      </c>
      <c r="Q35" s="169">
        <v>126</v>
      </c>
      <c r="R35" s="212">
        <f t="shared" si="0"/>
        <v>5.3672992477341204</v>
      </c>
      <c r="S35" s="1">
        <f t="shared" si="1"/>
        <v>5</v>
      </c>
      <c r="T35" s="91">
        <f>R35*'Team Batting vs R - Season'!$C$3</f>
        <v>0</v>
      </c>
      <c r="U35" s="91"/>
      <c r="V35" s="91"/>
    </row>
    <row r="36" spans="1:22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>
        <f>AVERAGE(P6:P35)</f>
        <v>0.31909999999999999</v>
      </c>
      <c r="Q36" s="193" t="s">
        <v>1052</v>
      </c>
      <c r="R36" s="209">
        <f>AVERAGE($R$6:$R$35)</f>
        <v>4.621865960027904</v>
      </c>
      <c r="T36" s="91">
        <f>AVERAGE(T6:T35)</f>
        <v>0</v>
      </c>
      <c r="U36" s="91"/>
      <c r="V36" s="91"/>
    </row>
  </sheetData>
  <hyperlinks>
    <hyperlink ref="T3" r:id="rId1" xr:uid="{00000000-0004-0000-2B00-000000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FF00"/>
    <outlinePr summaryBelow="0" summaryRight="0"/>
  </sheetPr>
  <dimension ref="A1:W36"/>
  <sheetViews>
    <sheetView workbookViewId="0">
      <selection activeCell="R6" sqref="R6:R35"/>
    </sheetView>
  </sheetViews>
  <sheetFormatPr defaultColWidth="12.5703125" defaultRowHeight="15" customHeight="1"/>
  <cols>
    <col min="1" max="1" width="3" bestFit="1" customWidth="1"/>
    <col min="2" max="2" width="8.140625" bestFit="1" customWidth="1"/>
    <col min="3" max="3" width="5.140625" bestFit="1" customWidth="1"/>
    <col min="4" max="4" width="11.85546875" bestFit="1" customWidth="1"/>
    <col min="5" max="5" width="7" bestFit="1" customWidth="1"/>
    <col min="6" max="6" width="13.7109375" bestFit="1" customWidth="1"/>
    <col min="7" max="7" width="4.85546875" bestFit="1" customWidth="1"/>
    <col min="8" max="8" width="4.42578125" bestFit="1" customWidth="1"/>
    <col min="9" max="9" width="4.5703125" bestFit="1" customWidth="1"/>
    <col min="10" max="10" width="4.42578125" bestFit="1" customWidth="1"/>
    <col min="11" max="11" width="4.5703125" bestFit="1" customWidth="1"/>
    <col min="12" max="12" width="4.42578125" bestFit="1" customWidth="1"/>
    <col min="13" max="13" width="6" bestFit="1" customWidth="1"/>
    <col min="14" max="14" width="6.42578125" bestFit="1" customWidth="1"/>
    <col min="15" max="15" width="6" bestFit="1" customWidth="1"/>
    <col min="16" max="16" width="13.7109375" bestFit="1" customWidth="1"/>
    <col min="17" max="17" width="10.140625" bestFit="1" customWidth="1"/>
    <col min="18" max="18" width="10.140625" style="419" customWidth="1"/>
    <col min="19" max="19" width="12.5703125" bestFit="1" customWidth="1"/>
    <col min="20" max="20" width="21.7109375" bestFit="1" customWidth="1"/>
    <col min="21" max="21" width="30.140625" bestFit="1" customWidth="1"/>
    <col min="22" max="22" width="10.7109375" bestFit="1" customWidth="1"/>
    <col min="23" max="23" width="12.28515625" bestFit="1" customWidth="1"/>
  </cols>
  <sheetData>
    <row r="1" spans="1:23" ht="15.75" customHeight="1">
      <c r="A1" s="213"/>
      <c r="B1" s="213"/>
      <c r="D1" s="213"/>
      <c r="K1" s="213"/>
      <c r="P1" s="161" t="s">
        <v>1030</v>
      </c>
      <c r="S1" s="161" t="s">
        <v>3</v>
      </c>
    </row>
    <row r="2" spans="1:23" ht="15.75" customHeight="1">
      <c r="A2" s="213"/>
      <c r="B2" s="193" t="s">
        <v>1031</v>
      </c>
      <c r="C2" s="193" t="s">
        <v>1032</v>
      </c>
      <c r="D2" s="193" t="s">
        <v>1033</v>
      </c>
      <c r="E2" s="193"/>
      <c r="F2" s="186"/>
      <c r="G2" s="161"/>
      <c r="H2" s="168"/>
      <c r="I2" s="168"/>
      <c r="J2" s="168"/>
      <c r="K2" s="194"/>
      <c r="L2" s="194"/>
      <c r="M2" s="168"/>
      <c r="N2" s="168"/>
      <c r="O2" s="168"/>
      <c r="P2" s="187">
        <v>1186.44632080014</v>
      </c>
      <c r="Q2" s="161"/>
      <c r="R2" s="420"/>
      <c r="S2" s="1">
        <v>-176.40624911453779</v>
      </c>
      <c r="T2" s="195" t="s">
        <v>1055</v>
      </c>
      <c r="W2" s="1" t="s">
        <v>1035</v>
      </c>
    </row>
    <row r="3" spans="1:23" ht="15.75" customHeight="1">
      <c r="A3" s="213"/>
      <c r="B3" s="193">
        <v>1</v>
      </c>
      <c r="C3" s="193">
        <f>1-$B$3</f>
        <v>0</v>
      </c>
      <c r="D3" s="214">
        <v>44.145554310000001</v>
      </c>
      <c r="E3" s="193"/>
      <c r="F3" s="186" t="s">
        <v>4</v>
      </c>
      <c r="G3" s="163"/>
      <c r="H3" s="168"/>
      <c r="I3" s="168"/>
      <c r="J3" s="168"/>
      <c r="K3" s="194"/>
      <c r="L3" s="194"/>
      <c r="M3" s="168"/>
      <c r="N3" s="168"/>
      <c r="O3" s="168"/>
      <c r="P3" s="163">
        <f>P2/D3</f>
        <v>26.875782609244123</v>
      </c>
      <c r="Q3" s="163"/>
      <c r="R3" s="421"/>
      <c r="S3" s="91">
        <f>S2/D3</f>
        <v>-3.9960139106142707</v>
      </c>
      <c r="T3" s="1" t="s">
        <v>1056</v>
      </c>
      <c r="U3" s="197" t="s">
        <v>1057</v>
      </c>
      <c r="W3" s="91">
        <f>$S$3-($S$36-'RunsGame Calculations'!$G$34)</f>
        <v>-3.824847203567117</v>
      </c>
    </row>
    <row r="4" spans="1:23" ht="15.75" customHeight="1">
      <c r="A4" s="215"/>
      <c r="B4" s="216"/>
      <c r="C4" s="199"/>
      <c r="D4" s="217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422"/>
      <c r="S4" s="190">
        <f>AVERAGE(S6:S35)</f>
        <v>4.2503720533221339</v>
      </c>
      <c r="T4" s="1"/>
      <c r="U4" s="1"/>
      <c r="V4" s="195"/>
      <c r="W4" s="1"/>
    </row>
    <row r="5" spans="1:23" ht="15.75" customHeight="1">
      <c r="A5" s="218" t="s">
        <v>7</v>
      </c>
      <c r="B5" s="219" t="s">
        <v>1031</v>
      </c>
      <c r="C5" s="165" t="s">
        <v>1037</v>
      </c>
      <c r="D5" s="220" t="s">
        <v>1038</v>
      </c>
      <c r="E5" s="166" t="s">
        <v>15</v>
      </c>
      <c r="F5" s="166" t="s">
        <v>14</v>
      </c>
      <c r="G5" s="166" t="s">
        <v>1039</v>
      </c>
      <c r="H5" s="166" t="s">
        <v>16</v>
      </c>
      <c r="I5" s="166" t="s">
        <v>1040</v>
      </c>
      <c r="J5" s="166" t="s">
        <v>1041</v>
      </c>
      <c r="K5" s="166" t="s">
        <v>1042</v>
      </c>
      <c r="L5" s="166" t="s">
        <v>1043</v>
      </c>
      <c r="M5" s="166" t="s">
        <v>17</v>
      </c>
      <c r="N5" s="166" t="s">
        <v>1044</v>
      </c>
      <c r="O5" s="166" t="s">
        <v>1045</v>
      </c>
      <c r="P5" s="166" t="s">
        <v>1030</v>
      </c>
      <c r="Q5" s="166" t="s">
        <v>1046</v>
      </c>
      <c r="R5" s="423"/>
      <c r="S5" s="158" t="s">
        <v>1047</v>
      </c>
      <c r="T5" s="1" t="s">
        <v>1048</v>
      </c>
      <c r="U5" s="1" t="str">
        <f>$B$3 &amp; " Weight"</f>
        <v>1 Weight</v>
      </c>
      <c r="V5" s="195" t="s">
        <v>1050</v>
      </c>
      <c r="W5" s="1" t="s">
        <v>1051</v>
      </c>
    </row>
    <row r="6" spans="1:23" ht="15.75" customHeight="1">
      <c r="A6" s="221">
        <v>1</v>
      </c>
      <c r="B6" s="222">
        <v>2025</v>
      </c>
      <c r="C6" s="223" t="s">
        <v>40</v>
      </c>
      <c r="D6" s="221">
        <v>1065</v>
      </c>
      <c r="E6" s="172">
        <v>7.3999999999999996E-2</v>
      </c>
      <c r="F6" s="172">
        <v>0.26800000000000002</v>
      </c>
      <c r="G6" s="177">
        <v>0.3</v>
      </c>
      <c r="H6" s="177">
        <v>0.23</v>
      </c>
      <c r="I6" s="177">
        <v>0.29399999999999998</v>
      </c>
      <c r="J6" s="177">
        <v>0.41399999999999998</v>
      </c>
      <c r="K6" s="177">
        <v>0.70799999999999996</v>
      </c>
      <c r="L6" s="177">
        <v>0.184</v>
      </c>
      <c r="M6" s="177">
        <v>0.28000000000000003</v>
      </c>
      <c r="N6" s="177">
        <v>118</v>
      </c>
      <c r="O6" s="177">
        <v>-8.3000000000000007</v>
      </c>
      <c r="P6" s="177">
        <v>0.30499999999999999</v>
      </c>
      <c r="Q6" s="177">
        <v>92</v>
      </c>
      <c r="R6" s="426">
        <f>S6/$S$4</f>
        <v>0.98840753997560382</v>
      </c>
      <c r="S6" s="190">
        <f>($S$3+(P6*$P$3))</f>
        <v>4.2010997852051863</v>
      </c>
      <c r="T6" s="1">
        <f t="shared" ref="T6:T35" si="0">RANK(S6,$S$6:$S$35,0)</f>
        <v>16</v>
      </c>
      <c r="U6" s="91">
        <f t="shared" ref="U6:U35" si="1">S6*$B$3</f>
        <v>4.2010997852051863</v>
      </c>
      <c r="V6" s="210">
        <f>$U6+_xlfn.XLOOKUP(C6,'Team Batting vs L - L14'!$C$6:$C$35,'Team Batting vs L - L14'!$T$6:$T$35)</f>
        <v>4.2010997852051863</v>
      </c>
      <c r="W6" s="213">
        <f t="shared" ref="W6:W35" si="2">RANK(V6,$V$6:$V$35,0)</f>
        <v>16</v>
      </c>
    </row>
    <row r="7" spans="1:23" ht="15.75" customHeight="1">
      <c r="A7" s="221">
        <v>2</v>
      </c>
      <c r="B7" s="222">
        <v>2025</v>
      </c>
      <c r="C7" s="223" t="s">
        <v>72</v>
      </c>
      <c r="D7" s="221">
        <v>1571</v>
      </c>
      <c r="E7" s="172">
        <v>7.2999999999999995E-2</v>
      </c>
      <c r="F7" s="172">
        <v>0.246</v>
      </c>
      <c r="G7" s="177">
        <v>0.3</v>
      </c>
      <c r="H7" s="177">
        <v>0.23300000000000001</v>
      </c>
      <c r="I7" s="177">
        <v>0.29899999999999999</v>
      </c>
      <c r="J7" s="177">
        <v>0.36799999999999999</v>
      </c>
      <c r="K7" s="177">
        <v>0.66700000000000004</v>
      </c>
      <c r="L7" s="177">
        <v>0.13500000000000001</v>
      </c>
      <c r="M7" s="177">
        <v>0.28799999999999998</v>
      </c>
      <c r="N7" s="177">
        <v>161</v>
      </c>
      <c r="O7" s="177">
        <v>-25.8</v>
      </c>
      <c r="P7" s="177">
        <v>0.29399999999999998</v>
      </c>
      <c r="Q7" s="177">
        <v>87</v>
      </c>
      <c r="R7" s="426">
        <f t="shared" ref="R7:R35" si="3">S7/$S$4</f>
        <v>0.91885277982922675</v>
      </c>
      <c r="S7" s="190">
        <f t="shared" ref="S7:S35" si="4">($S$3+(P7*$P$3))</f>
        <v>3.9054661765035013</v>
      </c>
      <c r="T7" s="1">
        <f t="shared" si="0"/>
        <v>21</v>
      </c>
      <c r="U7" s="91">
        <f t="shared" si="1"/>
        <v>3.9054661765035013</v>
      </c>
      <c r="V7" s="210">
        <f>$U7+_xlfn.XLOOKUP(C7,'Team Batting vs L - L14'!$C$6:$C$35,'Team Batting vs L - L14'!$T$6:$T$35)</f>
        <v>3.9054661765035013</v>
      </c>
      <c r="W7" s="213">
        <f t="shared" si="2"/>
        <v>21</v>
      </c>
    </row>
    <row r="8" spans="1:23" ht="15.75" customHeight="1">
      <c r="A8" s="221">
        <v>3</v>
      </c>
      <c r="B8" s="222">
        <v>2025</v>
      </c>
      <c r="C8" s="223" t="s">
        <v>51</v>
      </c>
      <c r="D8" s="221">
        <v>1713</v>
      </c>
      <c r="E8" s="172">
        <v>8.5000000000000006E-2</v>
      </c>
      <c r="F8" s="172">
        <v>0.23100000000000001</v>
      </c>
      <c r="G8" s="177">
        <v>0.4</v>
      </c>
      <c r="H8" s="177">
        <v>0.26100000000000001</v>
      </c>
      <c r="I8" s="177">
        <v>0.33</v>
      </c>
      <c r="J8" s="177">
        <v>0.42199999999999999</v>
      </c>
      <c r="K8" s="177">
        <v>0.752</v>
      </c>
      <c r="L8" s="177">
        <v>0.161</v>
      </c>
      <c r="M8" s="177">
        <v>0.31900000000000001</v>
      </c>
      <c r="N8" s="177">
        <v>221</v>
      </c>
      <c r="O8" s="177">
        <v>17.3</v>
      </c>
      <c r="P8" s="177">
        <v>0.32600000000000001</v>
      </c>
      <c r="Q8" s="177">
        <v>104</v>
      </c>
      <c r="R8" s="426">
        <f t="shared" si="3"/>
        <v>1.1211939002550511</v>
      </c>
      <c r="S8" s="190">
        <f t="shared" si="4"/>
        <v>4.7654912199993129</v>
      </c>
      <c r="T8" s="1">
        <f t="shared" si="0"/>
        <v>5</v>
      </c>
      <c r="U8" s="91">
        <f t="shared" si="1"/>
        <v>4.7654912199993129</v>
      </c>
      <c r="V8" s="210">
        <f>$U8+_xlfn.XLOOKUP(C8,'Team Batting vs L - L14'!$C$6:$C$35,'Team Batting vs L - L14'!$T$6:$T$35)</f>
        <v>4.7654912199993129</v>
      </c>
      <c r="W8" s="213">
        <f t="shared" si="2"/>
        <v>5</v>
      </c>
    </row>
    <row r="9" spans="1:23" ht="15.75" customHeight="1">
      <c r="A9" s="221">
        <v>4</v>
      </c>
      <c r="B9" s="222">
        <v>2025</v>
      </c>
      <c r="C9" s="223" t="s">
        <v>74</v>
      </c>
      <c r="D9" s="221">
        <v>1431</v>
      </c>
      <c r="E9" s="172">
        <v>6.9000000000000006E-2</v>
      </c>
      <c r="F9" s="172">
        <v>0.22900000000000001</v>
      </c>
      <c r="G9" s="177">
        <v>0.3</v>
      </c>
      <c r="H9" s="177">
        <v>0.248</v>
      </c>
      <c r="I9" s="177">
        <v>0.30299999999999999</v>
      </c>
      <c r="J9" s="177">
        <v>0.40699999999999997</v>
      </c>
      <c r="K9" s="177">
        <v>0.71</v>
      </c>
      <c r="L9" s="177">
        <v>0.159</v>
      </c>
      <c r="M9" s="177">
        <v>0.29899999999999999</v>
      </c>
      <c r="N9" s="177">
        <v>162</v>
      </c>
      <c r="O9" s="177">
        <v>-7.8</v>
      </c>
      <c r="P9" s="177">
        <v>0.307</v>
      </c>
      <c r="Q9" s="177">
        <v>95</v>
      </c>
      <c r="R9" s="426">
        <f t="shared" si="3"/>
        <v>1.0010538600022181</v>
      </c>
      <c r="S9" s="190">
        <f t="shared" si="4"/>
        <v>4.2548513504236753</v>
      </c>
      <c r="T9" s="1">
        <f t="shared" si="0"/>
        <v>15</v>
      </c>
      <c r="U9" s="91">
        <f t="shared" si="1"/>
        <v>4.2548513504236753</v>
      </c>
      <c r="V9" s="210">
        <f>$U9+_xlfn.XLOOKUP(C9,'Team Batting vs L - L14'!$C$6:$C$35,'Team Batting vs L - L14'!$T$6:$T$35)</f>
        <v>4.2548513504236753</v>
      </c>
      <c r="W9" s="213">
        <f t="shared" si="2"/>
        <v>15</v>
      </c>
    </row>
    <row r="10" spans="1:23" ht="15.75" customHeight="1">
      <c r="A10" s="221">
        <v>5</v>
      </c>
      <c r="B10" s="222">
        <v>2025</v>
      </c>
      <c r="C10" s="223" t="s">
        <v>80</v>
      </c>
      <c r="D10" s="221">
        <v>1634</v>
      </c>
      <c r="E10" s="172">
        <v>7.6999999999999999E-2</v>
      </c>
      <c r="F10" s="172">
        <v>0.23400000000000001</v>
      </c>
      <c r="G10" s="177">
        <v>0.3</v>
      </c>
      <c r="H10" s="177">
        <v>0.224</v>
      </c>
      <c r="I10" s="177">
        <v>0.28999999999999998</v>
      </c>
      <c r="J10" s="177">
        <v>0.35699999999999998</v>
      </c>
      <c r="K10" s="177">
        <v>0.64800000000000002</v>
      </c>
      <c r="L10" s="177">
        <v>0.13400000000000001</v>
      </c>
      <c r="M10" s="177">
        <v>0.27</v>
      </c>
      <c r="N10" s="177">
        <v>154</v>
      </c>
      <c r="O10" s="177">
        <v>-40.299999999999997</v>
      </c>
      <c r="P10" s="177">
        <v>0.28299999999999997</v>
      </c>
      <c r="Q10" s="177">
        <v>80</v>
      </c>
      <c r="R10" s="426">
        <f t="shared" si="3"/>
        <v>0.84929801968284957</v>
      </c>
      <c r="S10" s="190">
        <f t="shared" si="4"/>
        <v>3.6098325678018153</v>
      </c>
      <c r="T10" s="1">
        <f t="shared" si="0"/>
        <v>27</v>
      </c>
      <c r="U10" s="91">
        <f t="shared" si="1"/>
        <v>3.6098325678018153</v>
      </c>
      <c r="V10" s="210">
        <f>$U10+_xlfn.XLOOKUP(C10,'Team Batting vs L - L14'!$C$6:$C$35,'Team Batting vs L - L14'!$T$6:$T$35)</f>
        <v>3.6098325678018153</v>
      </c>
      <c r="W10" s="213">
        <f t="shared" si="2"/>
        <v>27</v>
      </c>
    </row>
    <row r="11" spans="1:23" ht="15.75" customHeight="1">
      <c r="A11" s="221">
        <v>6</v>
      </c>
      <c r="B11" s="222">
        <v>2025</v>
      </c>
      <c r="C11" s="223" t="s">
        <v>44</v>
      </c>
      <c r="D11" s="221">
        <v>1522</v>
      </c>
      <c r="E11" s="172">
        <v>9.2999999999999999E-2</v>
      </c>
      <c r="F11" s="172">
        <v>0.217</v>
      </c>
      <c r="G11" s="177">
        <v>0.4</v>
      </c>
      <c r="H11" s="177">
        <v>0.27</v>
      </c>
      <c r="I11" s="177">
        <v>0.34</v>
      </c>
      <c r="J11" s="177">
        <v>0.45200000000000001</v>
      </c>
      <c r="K11" s="177">
        <v>0.79100000000000004</v>
      </c>
      <c r="L11" s="177">
        <v>0.182</v>
      </c>
      <c r="M11" s="177">
        <v>0.32</v>
      </c>
      <c r="N11" s="177">
        <v>213</v>
      </c>
      <c r="O11" s="177">
        <v>32.1</v>
      </c>
      <c r="P11" s="177">
        <v>0.34</v>
      </c>
      <c r="Q11" s="177">
        <v>118</v>
      </c>
      <c r="R11" s="426">
        <f t="shared" si="3"/>
        <v>1.2097181404413495</v>
      </c>
      <c r="S11" s="190">
        <f t="shared" si="4"/>
        <v>5.1417521765287324</v>
      </c>
      <c r="T11" s="1">
        <f t="shared" si="0"/>
        <v>1</v>
      </c>
      <c r="U11" s="91">
        <f t="shared" si="1"/>
        <v>5.1417521765287324</v>
      </c>
      <c r="V11" s="210">
        <f>$U11+_xlfn.XLOOKUP(C11,'Team Batting vs L - L14'!$C$6:$C$35,'Team Batting vs L - L14'!$T$6:$T$35)</f>
        <v>5.1417521765287324</v>
      </c>
      <c r="W11" s="213">
        <f t="shared" si="2"/>
        <v>1</v>
      </c>
    </row>
    <row r="12" spans="1:23" ht="15.75" customHeight="1">
      <c r="A12" s="221">
        <v>7</v>
      </c>
      <c r="B12" s="222">
        <v>2025</v>
      </c>
      <c r="C12" s="223" t="s">
        <v>46</v>
      </c>
      <c r="D12" s="221">
        <v>1317</v>
      </c>
      <c r="E12" s="172">
        <v>7.2999999999999995E-2</v>
      </c>
      <c r="F12" s="172">
        <v>0.21199999999999999</v>
      </c>
      <c r="G12" s="177">
        <v>0.3</v>
      </c>
      <c r="H12" s="177">
        <v>0.23499999999999999</v>
      </c>
      <c r="I12" s="177">
        <v>0.30199999999999999</v>
      </c>
      <c r="J12" s="177">
        <v>0.35399999999999998</v>
      </c>
      <c r="K12" s="177">
        <v>0.65600000000000003</v>
      </c>
      <c r="L12" s="177">
        <v>0.11899999999999999</v>
      </c>
      <c r="M12" s="177">
        <v>0.28499999999999998</v>
      </c>
      <c r="N12" s="177">
        <v>128</v>
      </c>
      <c r="O12" s="177">
        <v>-28.2</v>
      </c>
      <c r="P12" s="177">
        <v>0.28799999999999998</v>
      </c>
      <c r="Q12" s="177">
        <v>79</v>
      </c>
      <c r="R12" s="426">
        <f t="shared" si="3"/>
        <v>0.88091381974938465</v>
      </c>
      <c r="S12" s="190">
        <f t="shared" si="4"/>
        <v>3.744211480848036</v>
      </c>
      <c r="T12" s="1">
        <f t="shared" si="0"/>
        <v>24</v>
      </c>
      <c r="U12" s="91">
        <f t="shared" si="1"/>
        <v>3.744211480848036</v>
      </c>
      <c r="V12" s="210">
        <f>$U12+_xlfn.XLOOKUP(C12,'Team Batting vs L - L14'!$C$6:$C$35,'Team Batting vs L - L14'!$T$6:$T$35)</f>
        <v>3.744211480848036</v>
      </c>
      <c r="W12" s="213">
        <f t="shared" si="2"/>
        <v>24</v>
      </c>
    </row>
    <row r="13" spans="1:23" ht="15.75" customHeight="1">
      <c r="A13" s="221">
        <v>8</v>
      </c>
      <c r="B13" s="222">
        <v>2025</v>
      </c>
      <c r="C13" s="223" t="s">
        <v>132</v>
      </c>
      <c r="D13" s="221">
        <v>1499</v>
      </c>
      <c r="E13" s="172">
        <v>8.8999999999999996E-2</v>
      </c>
      <c r="F13" s="172">
        <v>0.22700000000000001</v>
      </c>
      <c r="G13" s="177">
        <v>0.4</v>
      </c>
      <c r="H13" s="177">
        <v>0.24</v>
      </c>
      <c r="I13" s="177">
        <v>0.31900000000000001</v>
      </c>
      <c r="J13" s="177">
        <v>0.39</v>
      </c>
      <c r="K13" s="177">
        <v>0.70899999999999996</v>
      </c>
      <c r="L13" s="177">
        <v>0.15</v>
      </c>
      <c r="M13" s="177">
        <v>0.28899999999999998</v>
      </c>
      <c r="N13" s="177">
        <v>175</v>
      </c>
      <c r="O13" s="177">
        <v>-3.2</v>
      </c>
      <c r="P13" s="177">
        <v>0.311</v>
      </c>
      <c r="Q13" s="177">
        <v>98</v>
      </c>
      <c r="R13" s="426">
        <f t="shared" si="3"/>
        <v>1.0263465000554459</v>
      </c>
      <c r="S13" s="190">
        <f t="shared" si="4"/>
        <v>4.3623544808606516</v>
      </c>
      <c r="T13" s="1">
        <f t="shared" si="0"/>
        <v>13</v>
      </c>
      <c r="U13" s="91">
        <f t="shared" si="1"/>
        <v>4.3623544808606516</v>
      </c>
      <c r="V13" s="210">
        <f>$U13+_xlfn.XLOOKUP(C13,'Team Batting vs L - L14'!$C$6:$C$35,'Team Batting vs L - L14'!$T$6:$T$35)</f>
        <v>4.3623544808606516</v>
      </c>
      <c r="W13" s="213">
        <f t="shared" si="2"/>
        <v>13</v>
      </c>
    </row>
    <row r="14" spans="1:23" ht="15.75" customHeight="1">
      <c r="A14" s="221">
        <v>9</v>
      </c>
      <c r="B14" s="222">
        <v>2025</v>
      </c>
      <c r="C14" s="223" t="s">
        <v>42</v>
      </c>
      <c r="D14" s="221">
        <v>1535</v>
      </c>
      <c r="E14" s="172">
        <v>0.10100000000000001</v>
      </c>
      <c r="F14" s="172">
        <v>0.23599999999999999</v>
      </c>
      <c r="G14" s="177">
        <v>0.4</v>
      </c>
      <c r="H14" s="177">
        <v>0.25800000000000001</v>
      </c>
      <c r="I14" s="177">
        <v>0.33600000000000002</v>
      </c>
      <c r="J14" s="177">
        <v>0.45600000000000002</v>
      </c>
      <c r="K14" s="177">
        <v>0.79200000000000004</v>
      </c>
      <c r="L14" s="177">
        <v>0.19800000000000001</v>
      </c>
      <c r="M14" s="177">
        <v>0.30599999999999999</v>
      </c>
      <c r="N14" s="177">
        <v>213</v>
      </c>
      <c r="O14" s="177">
        <v>30.4</v>
      </c>
      <c r="P14" s="177">
        <v>0.33600000000000002</v>
      </c>
      <c r="Q14" s="177">
        <v>118</v>
      </c>
      <c r="R14" s="426">
        <f t="shared" si="3"/>
        <v>1.1844255003881212</v>
      </c>
      <c r="S14" s="190">
        <f t="shared" si="4"/>
        <v>5.0342490460917544</v>
      </c>
      <c r="T14" s="1">
        <f t="shared" si="0"/>
        <v>2</v>
      </c>
      <c r="U14" s="91">
        <f t="shared" si="1"/>
        <v>5.0342490460917544</v>
      </c>
      <c r="V14" s="210">
        <f>$U14+_xlfn.XLOOKUP(C14,'Team Batting vs L - L14'!$C$6:$C$35,'Team Batting vs L - L14'!$T$6:$T$35)</f>
        <v>5.0342490460917544</v>
      </c>
      <c r="W14" s="213">
        <f t="shared" si="2"/>
        <v>2</v>
      </c>
    </row>
    <row r="15" spans="1:23" ht="15.75" customHeight="1">
      <c r="A15" s="221">
        <v>10</v>
      </c>
      <c r="B15" s="222">
        <v>2025</v>
      </c>
      <c r="C15" s="223" t="s">
        <v>60</v>
      </c>
      <c r="D15" s="221">
        <v>1324</v>
      </c>
      <c r="E15" s="172">
        <v>7.5999999999999998E-2</v>
      </c>
      <c r="F15" s="172">
        <v>0.24199999999999999</v>
      </c>
      <c r="G15" s="177">
        <v>0.3</v>
      </c>
      <c r="H15" s="177">
        <v>0.25900000000000001</v>
      </c>
      <c r="I15" s="177">
        <v>0.317</v>
      </c>
      <c r="J15" s="177">
        <v>0.439</v>
      </c>
      <c r="K15" s="177">
        <v>0.75600000000000001</v>
      </c>
      <c r="L15" s="177">
        <v>0.17899999999999999</v>
      </c>
      <c r="M15" s="177">
        <v>0.312</v>
      </c>
      <c r="N15" s="177">
        <v>170</v>
      </c>
      <c r="O15" s="177">
        <v>12.6</v>
      </c>
      <c r="P15" s="177">
        <v>0.32600000000000001</v>
      </c>
      <c r="Q15" s="177">
        <v>106</v>
      </c>
      <c r="R15" s="426">
        <f t="shared" si="3"/>
        <v>1.1211939002550511</v>
      </c>
      <c r="S15" s="190">
        <f t="shared" si="4"/>
        <v>4.7654912199993129</v>
      </c>
      <c r="T15" s="1">
        <f t="shared" si="0"/>
        <v>5</v>
      </c>
      <c r="U15" s="91">
        <f t="shared" si="1"/>
        <v>4.7654912199993129</v>
      </c>
      <c r="V15" s="210">
        <f>$U15+_xlfn.XLOOKUP(C15,'Team Batting vs L - L14'!$C$6:$C$35,'Team Batting vs L - L14'!$T$6:$T$35)</f>
        <v>4.7654912199993129</v>
      </c>
      <c r="W15" s="213">
        <f t="shared" si="2"/>
        <v>5</v>
      </c>
    </row>
    <row r="16" spans="1:23" ht="15.75" customHeight="1">
      <c r="A16" s="221">
        <v>11</v>
      </c>
      <c r="B16" s="222">
        <v>2025</v>
      </c>
      <c r="C16" s="223" t="s">
        <v>137</v>
      </c>
      <c r="D16" s="221">
        <v>1719</v>
      </c>
      <c r="E16" s="172">
        <v>8.3000000000000004E-2</v>
      </c>
      <c r="F16" s="172">
        <v>0.248</v>
      </c>
      <c r="G16" s="177">
        <v>0.3</v>
      </c>
      <c r="H16" s="177">
        <v>0.24099999999999999</v>
      </c>
      <c r="I16" s="177">
        <v>0.31</v>
      </c>
      <c r="J16" s="177">
        <v>0.41499999999999998</v>
      </c>
      <c r="K16" s="177">
        <v>0.72399999999999998</v>
      </c>
      <c r="L16" s="177">
        <v>0.17299999999999999</v>
      </c>
      <c r="M16" s="177">
        <v>0.29099999999999998</v>
      </c>
      <c r="N16" s="177">
        <v>204</v>
      </c>
      <c r="O16" s="177">
        <v>0.5</v>
      </c>
      <c r="P16" s="177">
        <v>0.314</v>
      </c>
      <c r="Q16" s="177">
        <v>107</v>
      </c>
      <c r="R16" s="426">
        <f t="shared" si="3"/>
        <v>1.0453159800953671</v>
      </c>
      <c r="S16" s="190">
        <f t="shared" si="4"/>
        <v>4.4429818286883842</v>
      </c>
      <c r="T16" s="1">
        <f t="shared" si="0"/>
        <v>12</v>
      </c>
      <c r="U16" s="91">
        <f t="shared" si="1"/>
        <v>4.4429818286883842</v>
      </c>
      <c r="V16" s="210">
        <f>$U16+_xlfn.XLOOKUP(C16,'Team Batting vs L - L14'!$C$6:$C$35,'Team Batting vs L - L14'!$T$6:$T$35)</f>
        <v>4.4429818286883842</v>
      </c>
      <c r="W16" s="213">
        <f t="shared" si="2"/>
        <v>12</v>
      </c>
    </row>
    <row r="17" spans="1:23" ht="15.75" customHeight="1">
      <c r="A17" s="221">
        <v>12</v>
      </c>
      <c r="B17" s="222">
        <v>2025</v>
      </c>
      <c r="C17" s="223" t="s">
        <v>100</v>
      </c>
      <c r="D17" s="221">
        <v>1678</v>
      </c>
      <c r="E17" s="172">
        <v>7.0000000000000007E-2</v>
      </c>
      <c r="F17" s="172">
        <v>0.24399999999999999</v>
      </c>
      <c r="G17" s="177">
        <v>0.3</v>
      </c>
      <c r="H17" s="177">
        <v>0.23300000000000001</v>
      </c>
      <c r="I17" s="177">
        <v>0.29299999999999998</v>
      </c>
      <c r="J17" s="177">
        <v>0.36799999999999999</v>
      </c>
      <c r="K17" s="177">
        <v>0.66100000000000003</v>
      </c>
      <c r="L17" s="177">
        <v>0.13500000000000001</v>
      </c>
      <c r="M17" s="177">
        <v>0.28399999999999997</v>
      </c>
      <c r="N17" s="177">
        <v>166</v>
      </c>
      <c r="O17" s="177">
        <v>-33.200000000000003</v>
      </c>
      <c r="P17" s="177">
        <v>0.28999999999999998</v>
      </c>
      <c r="Q17" s="177">
        <v>82</v>
      </c>
      <c r="R17" s="426">
        <f t="shared" si="3"/>
        <v>0.89356013977599857</v>
      </c>
      <c r="S17" s="190">
        <f t="shared" si="4"/>
        <v>3.7979630460665241</v>
      </c>
      <c r="T17" s="1">
        <f t="shared" si="0"/>
        <v>22</v>
      </c>
      <c r="U17" s="91">
        <f t="shared" si="1"/>
        <v>3.7979630460665241</v>
      </c>
      <c r="V17" s="210">
        <f>$U17+_xlfn.XLOOKUP(C17,'Team Batting vs L - L14'!$C$6:$C$35,'Team Batting vs L - L14'!$T$6:$T$35)</f>
        <v>3.7979630460665241</v>
      </c>
      <c r="W17" s="213">
        <f t="shared" si="2"/>
        <v>22</v>
      </c>
    </row>
    <row r="18" spans="1:23" ht="15.75" customHeight="1">
      <c r="A18" s="221">
        <v>13</v>
      </c>
      <c r="B18" s="222">
        <v>2025</v>
      </c>
      <c r="C18" s="223" t="s">
        <v>86</v>
      </c>
      <c r="D18" s="221">
        <v>1570</v>
      </c>
      <c r="E18" s="172">
        <v>7.5999999999999998E-2</v>
      </c>
      <c r="F18" s="172">
        <v>0.23200000000000001</v>
      </c>
      <c r="G18" s="177">
        <v>0.3</v>
      </c>
      <c r="H18" s="177">
        <v>0.23100000000000001</v>
      </c>
      <c r="I18" s="177">
        <v>0.29399999999999998</v>
      </c>
      <c r="J18" s="177">
        <v>0.36899999999999999</v>
      </c>
      <c r="K18" s="177">
        <v>0.66300000000000003</v>
      </c>
      <c r="L18" s="177">
        <v>0.13900000000000001</v>
      </c>
      <c r="M18" s="177">
        <v>0.27800000000000002</v>
      </c>
      <c r="N18" s="177">
        <v>156</v>
      </c>
      <c r="O18" s="177">
        <v>-30.1</v>
      </c>
      <c r="P18" s="177">
        <v>0.28999999999999998</v>
      </c>
      <c r="Q18" s="177">
        <v>85</v>
      </c>
      <c r="R18" s="426">
        <f t="shared" si="3"/>
        <v>0.89356013977599857</v>
      </c>
      <c r="S18" s="190">
        <f t="shared" si="4"/>
        <v>3.7979630460665241</v>
      </c>
      <c r="T18" s="1">
        <f t="shared" si="0"/>
        <v>22</v>
      </c>
      <c r="U18" s="91">
        <f t="shared" si="1"/>
        <v>3.7979630460665241</v>
      </c>
      <c r="V18" s="210">
        <f>$U18+_xlfn.XLOOKUP(C18,'Team Batting vs L - L14'!$C$6:$C$35,'Team Batting vs L - L14'!$T$6:$T$35)</f>
        <v>3.7979630460665241</v>
      </c>
      <c r="W18" s="213">
        <f t="shared" si="2"/>
        <v>22</v>
      </c>
    </row>
    <row r="19" spans="1:23" ht="15.75" customHeight="1">
      <c r="A19" s="221">
        <v>14</v>
      </c>
      <c r="B19" s="222">
        <v>2025</v>
      </c>
      <c r="C19" s="223" t="s">
        <v>93</v>
      </c>
      <c r="D19" s="221">
        <v>1486</v>
      </c>
      <c r="E19" s="172">
        <v>9.4E-2</v>
      </c>
      <c r="F19" s="172">
        <v>0.183</v>
      </c>
      <c r="G19" s="177">
        <v>0.5</v>
      </c>
      <c r="H19" s="177">
        <v>0.27</v>
      </c>
      <c r="I19" s="177">
        <v>0.34499999999999997</v>
      </c>
      <c r="J19" s="177">
        <v>0.42299999999999999</v>
      </c>
      <c r="K19" s="177">
        <v>0.76800000000000002</v>
      </c>
      <c r="L19" s="177">
        <v>0.153</v>
      </c>
      <c r="M19" s="177">
        <v>0.312</v>
      </c>
      <c r="N19" s="177">
        <v>200</v>
      </c>
      <c r="O19" s="177">
        <v>24.1</v>
      </c>
      <c r="P19" s="177">
        <v>0.33400000000000002</v>
      </c>
      <c r="Q19" s="177">
        <v>114</v>
      </c>
      <c r="R19" s="426">
        <f t="shared" si="3"/>
        <v>1.1717791803615074</v>
      </c>
      <c r="S19" s="190">
        <f t="shared" si="4"/>
        <v>4.9804974808732672</v>
      </c>
      <c r="T19" s="1">
        <f t="shared" si="0"/>
        <v>3</v>
      </c>
      <c r="U19" s="91">
        <f t="shared" si="1"/>
        <v>4.9804974808732672</v>
      </c>
      <c r="V19" s="210">
        <f>$U19+_xlfn.XLOOKUP(C19,'Team Batting vs L - L14'!$C$6:$C$35,'Team Batting vs L - L14'!$T$6:$T$35)</f>
        <v>4.9804974808732672</v>
      </c>
      <c r="W19" s="213">
        <f t="shared" si="2"/>
        <v>3</v>
      </c>
    </row>
    <row r="20" spans="1:23" ht="15.75" customHeight="1">
      <c r="A20" s="221">
        <v>15</v>
      </c>
      <c r="B20" s="222">
        <v>2025</v>
      </c>
      <c r="C20" s="223" t="s">
        <v>66</v>
      </c>
      <c r="D20" s="221">
        <v>1680</v>
      </c>
      <c r="E20" s="172">
        <v>8.5000000000000006E-2</v>
      </c>
      <c r="F20" s="172">
        <v>0.193</v>
      </c>
      <c r="G20" s="177">
        <v>0.4</v>
      </c>
      <c r="H20" s="177">
        <v>0.249</v>
      </c>
      <c r="I20" s="177">
        <v>0.317</v>
      </c>
      <c r="J20" s="177">
        <v>0.41299999999999998</v>
      </c>
      <c r="K20" s="177">
        <v>0.73</v>
      </c>
      <c r="L20" s="177">
        <v>0.16400000000000001</v>
      </c>
      <c r="M20" s="177">
        <v>0.28199999999999997</v>
      </c>
      <c r="N20" s="177">
        <v>203</v>
      </c>
      <c r="O20" s="177">
        <v>4.2</v>
      </c>
      <c r="P20" s="177">
        <v>0.317</v>
      </c>
      <c r="Q20" s="177">
        <v>101</v>
      </c>
      <c r="R20" s="426">
        <f t="shared" si="3"/>
        <v>1.0642854601352882</v>
      </c>
      <c r="S20" s="190">
        <f t="shared" si="4"/>
        <v>4.5236091765161168</v>
      </c>
      <c r="T20" s="1">
        <f t="shared" si="0"/>
        <v>11</v>
      </c>
      <c r="U20" s="91">
        <f t="shared" si="1"/>
        <v>4.5236091765161168</v>
      </c>
      <c r="V20" s="210">
        <f>$U20+_xlfn.XLOOKUP(C20,'Team Batting vs L - L14'!$C$6:$C$35,'Team Batting vs L - L14'!$T$6:$T$35)</f>
        <v>4.5236091765161168</v>
      </c>
      <c r="W20" s="213">
        <f t="shared" si="2"/>
        <v>11</v>
      </c>
    </row>
    <row r="21" spans="1:23" ht="15.75" customHeight="1">
      <c r="A21" s="221">
        <v>16</v>
      </c>
      <c r="B21" s="222">
        <v>2025</v>
      </c>
      <c r="C21" s="223" t="s">
        <v>76</v>
      </c>
      <c r="D21" s="221">
        <v>1514</v>
      </c>
      <c r="E21" s="172">
        <v>0.09</v>
      </c>
      <c r="F21" s="172">
        <v>0.223</v>
      </c>
      <c r="G21" s="177">
        <v>0.4</v>
      </c>
      <c r="H21" s="177">
        <v>0.24399999999999999</v>
      </c>
      <c r="I21" s="177">
        <v>0.315</v>
      </c>
      <c r="J21" s="177">
        <v>0.39</v>
      </c>
      <c r="K21" s="177">
        <v>0.70599999999999996</v>
      </c>
      <c r="L21" s="177">
        <v>0.14599999999999999</v>
      </c>
      <c r="M21" s="177">
        <v>0.29399999999999998</v>
      </c>
      <c r="N21" s="177">
        <v>172</v>
      </c>
      <c r="O21" s="177">
        <v>-7.5</v>
      </c>
      <c r="P21" s="177">
        <v>0.308</v>
      </c>
      <c r="Q21" s="177">
        <v>96</v>
      </c>
      <c r="R21" s="426">
        <f t="shared" si="3"/>
        <v>1.007377020015525</v>
      </c>
      <c r="S21" s="190">
        <f t="shared" si="4"/>
        <v>4.281727133032919</v>
      </c>
      <c r="T21" s="1">
        <f t="shared" si="0"/>
        <v>14</v>
      </c>
      <c r="U21" s="91">
        <f t="shared" si="1"/>
        <v>4.281727133032919</v>
      </c>
      <c r="V21" s="210">
        <f>$U21+_xlfn.XLOOKUP(C21,'Team Batting vs L - L14'!$C$6:$C$35,'Team Batting vs L - L14'!$T$6:$T$35)</f>
        <v>4.281727133032919</v>
      </c>
      <c r="W21" s="213">
        <f t="shared" si="2"/>
        <v>14</v>
      </c>
    </row>
    <row r="22" spans="1:23" ht="15.75" customHeight="1">
      <c r="A22" s="221">
        <v>17</v>
      </c>
      <c r="B22" s="222">
        <v>2025</v>
      </c>
      <c r="C22" s="223" t="s">
        <v>88</v>
      </c>
      <c r="D22" s="221">
        <v>1494</v>
      </c>
      <c r="E22" s="172">
        <v>8.5999999999999993E-2</v>
      </c>
      <c r="F22" s="172">
        <v>0.21299999999999999</v>
      </c>
      <c r="G22" s="177">
        <v>0.4</v>
      </c>
      <c r="H22" s="177">
        <v>0.245</v>
      </c>
      <c r="I22" s="177">
        <v>0.313</v>
      </c>
      <c r="J22" s="177">
        <v>0.42499999999999999</v>
      </c>
      <c r="K22" s="177">
        <v>0.73799999999999999</v>
      </c>
      <c r="L22" s="177">
        <v>0.18</v>
      </c>
      <c r="M22" s="177">
        <v>0.27800000000000002</v>
      </c>
      <c r="N22" s="177">
        <v>184</v>
      </c>
      <c r="O22" s="177">
        <v>6.7</v>
      </c>
      <c r="P22" s="177">
        <v>0.32</v>
      </c>
      <c r="Q22" s="177">
        <v>106</v>
      </c>
      <c r="R22" s="426">
        <f t="shared" si="3"/>
        <v>1.0832549401752092</v>
      </c>
      <c r="S22" s="190">
        <f t="shared" si="4"/>
        <v>4.6042365243438494</v>
      </c>
      <c r="T22" s="1">
        <f t="shared" si="0"/>
        <v>10</v>
      </c>
      <c r="U22" s="91">
        <f t="shared" si="1"/>
        <v>4.6042365243438494</v>
      </c>
      <c r="V22" s="210">
        <f>$U22+_xlfn.XLOOKUP(C22,'Team Batting vs L - L14'!$C$6:$C$35,'Team Batting vs L - L14'!$T$6:$T$35)</f>
        <v>4.6042365243438494</v>
      </c>
      <c r="W22" s="213">
        <f t="shared" si="2"/>
        <v>10</v>
      </c>
    </row>
    <row r="23" spans="1:23" ht="15.75" customHeight="1">
      <c r="A23" s="221">
        <v>18</v>
      </c>
      <c r="B23" s="222">
        <v>2025</v>
      </c>
      <c r="C23" s="223" t="s">
        <v>108</v>
      </c>
      <c r="D23" s="221">
        <v>1405</v>
      </c>
      <c r="E23" s="172">
        <v>8.5999999999999993E-2</v>
      </c>
      <c r="F23" s="172">
        <v>0.23100000000000001</v>
      </c>
      <c r="G23" s="177">
        <v>0.4</v>
      </c>
      <c r="H23" s="177">
        <v>0.23</v>
      </c>
      <c r="I23" s="177">
        <v>0.30099999999999999</v>
      </c>
      <c r="J23" s="177">
        <v>0.34799999999999998</v>
      </c>
      <c r="K23" s="177">
        <v>0.64900000000000002</v>
      </c>
      <c r="L23" s="177">
        <v>0.11799999999999999</v>
      </c>
      <c r="M23" s="177">
        <v>0.28699999999999998</v>
      </c>
      <c r="N23" s="177">
        <v>136</v>
      </c>
      <c r="O23" s="177">
        <v>-30.7</v>
      </c>
      <c r="P23" s="177">
        <v>0.28699999999999998</v>
      </c>
      <c r="Q23" s="177">
        <v>77</v>
      </c>
      <c r="R23" s="426">
        <f t="shared" si="3"/>
        <v>0.87459065973607752</v>
      </c>
      <c r="S23" s="190">
        <f t="shared" si="4"/>
        <v>3.7173356982387915</v>
      </c>
      <c r="T23" s="1">
        <f t="shared" si="0"/>
        <v>26</v>
      </c>
      <c r="U23" s="91">
        <f t="shared" si="1"/>
        <v>3.7173356982387915</v>
      </c>
      <c r="V23" s="210">
        <f>$U23+_xlfn.XLOOKUP(C23,'Team Batting vs L - L14'!$C$6:$C$35,'Team Batting vs L - L14'!$T$6:$T$35)</f>
        <v>3.7173356982387915</v>
      </c>
      <c r="W23" s="213">
        <f t="shared" si="2"/>
        <v>26</v>
      </c>
    </row>
    <row r="24" spans="1:23" ht="15.75" customHeight="1">
      <c r="A24" s="221">
        <v>19</v>
      </c>
      <c r="B24" s="222">
        <v>2025</v>
      </c>
      <c r="C24" s="223" t="s">
        <v>36</v>
      </c>
      <c r="D24" s="221">
        <v>1385</v>
      </c>
      <c r="E24" s="172">
        <v>7.0000000000000007E-2</v>
      </c>
      <c r="F24" s="172">
        <v>0.248</v>
      </c>
      <c r="G24" s="177">
        <v>0.3</v>
      </c>
      <c r="H24" s="177">
        <v>0.23699999999999999</v>
      </c>
      <c r="I24" s="177">
        <v>0.29299999999999998</v>
      </c>
      <c r="J24" s="177">
        <v>0.38</v>
      </c>
      <c r="K24" s="177">
        <v>0.67400000000000004</v>
      </c>
      <c r="L24" s="177">
        <v>0.14399999999999999</v>
      </c>
      <c r="M24" s="177">
        <v>0.29299999999999998</v>
      </c>
      <c r="N24" s="177">
        <v>142</v>
      </c>
      <c r="O24" s="177">
        <v>-21.8</v>
      </c>
      <c r="P24" s="177">
        <v>0.29499999999999998</v>
      </c>
      <c r="Q24" s="177">
        <v>74</v>
      </c>
      <c r="R24" s="426">
        <f t="shared" si="3"/>
        <v>0.92517593984253366</v>
      </c>
      <c r="S24" s="190">
        <f t="shared" si="4"/>
        <v>3.9323419591127449</v>
      </c>
      <c r="T24" s="1">
        <f t="shared" si="0"/>
        <v>20</v>
      </c>
      <c r="U24" s="91">
        <f t="shared" si="1"/>
        <v>3.9323419591127449</v>
      </c>
      <c r="V24" s="210">
        <f>$U24+_xlfn.XLOOKUP(C24,'Team Batting vs L - L14'!$C$6:$C$35,'Team Batting vs L - L14'!$T$6:$T$35)</f>
        <v>3.9323419591127449</v>
      </c>
      <c r="W24" s="213">
        <f t="shared" si="2"/>
        <v>20</v>
      </c>
    </row>
    <row r="25" spans="1:23" ht="15.75" customHeight="1">
      <c r="A25" s="221">
        <v>20</v>
      </c>
      <c r="B25" s="222">
        <v>2025</v>
      </c>
      <c r="C25" s="223" t="s">
        <v>56</v>
      </c>
      <c r="D25" s="221">
        <v>1685</v>
      </c>
      <c r="E25" s="172">
        <v>8.2000000000000003E-2</v>
      </c>
      <c r="F25" s="172">
        <v>0.21099999999999999</v>
      </c>
      <c r="G25" s="177">
        <v>0.4</v>
      </c>
      <c r="H25" s="177">
        <v>0.22900000000000001</v>
      </c>
      <c r="I25" s="177">
        <v>0.29899999999999999</v>
      </c>
      <c r="J25" s="177">
        <v>0.35299999999999998</v>
      </c>
      <c r="K25" s="177">
        <v>0.65200000000000002</v>
      </c>
      <c r="L25" s="177">
        <v>0.123</v>
      </c>
      <c r="M25" s="177">
        <v>0.27700000000000002</v>
      </c>
      <c r="N25" s="177">
        <v>163</v>
      </c>
      <c r="O25" s="177">
        <v>-36.6</v>
      </c>
      <c r="P25" s="177">
        <v>0.28799999999999998</v>
      </c>
      <c r="Q25" s="177">
        <v>80</v>
      </c>
      <c r="R25" s="426">
        <f t="shared" si="3"/>
        <v>0.88091381974938465</v>
      </c>
      <c r="S25" s="190">
        <f t="shared" si="4"/>
        <v>3.744211480848036</v>
      </c>
      <c r="T25" s="1">
        <f t="shared" si="0"/>
        <v>24</v>
      </c>
      <c r="U25" s="91">
        <f t="shared" si="1"/>
        <v>3.744211480848036</v>
      </c>
      <c r="V25" s="210">
        <f>$U25+_xlfn.XLOOKUP(C25,'Team Batting vs L - L14'!$C$6:$C$35,'Team Batting vs L - L14'!$T$6:$T$35)</f>
        <v>3.744211480848036</v>
      </c>
      <c r="W25" s="213">
        <f t="shared" si="2"/>
        <v>24</v>
      </c>
    </row>
    <row r="26" spans="1:23" ht="15.75" customHeight="1">
      <c r="A26" s="221">
        <v>21</v>
      </c>
      <c r="B26" s="222">
        <v>2025</v>
      </c>
      <c r="C26" s="223" t="s">
        <v>64</v>
      </c>
      <c r="D26" s="221">
        <v>1232</v>
      </c>
      <c r="E26" s="172">
        <v>8.4000000000000005E-2</v>
      </c>
      <c r="F26" s="172">
        <v>0.22</v>
      </c>
      <c r="G26" s="177">
        <v>0.4</v>
      </c>
      <c r="H26" s="177">
        <v>0.251</v>
      </c>
      <c r="I26" s="177">
        <v>0.32400000000000001</v>
      </c>
      <c r="J26" s="177">
        <v>0.41699999999999998</v>
      </c>
      <c r="K26" s="177">
        <v>0.74</v>
      </c>
      <c r="L26" s="177">
        <v>0.16500000000000001</v>
      </c>
      <c r="M26" s="177">
        <v>0.29599999999999999</v>
      </c>
      <c r="N26" s="177">
        <v>154</v>
      </c>
      <c r="O26" s="177">
        <v>8.3000000000000007</v>
      </c>
      <c r="P26" s="177">
        <v>0.32200000000000001</v>
      </c>
      <c r="Q26" s="177">
        <v>106</v>
      </c>
      <c r="R26" s="426">
        <f t="shared" si="3"/>
        <v>1.095901260201823</v>
      </c>
      <c r="S26" s="190">
        <f t="shared" si="4"/>
        <v>4.6579880895623367</v>
      </c>
      <c r="T26" s="1">
        <f t="shared" si="0"/>
        <v>9</v>
      </c>
      <c r="U26" s="91">
        <f t="shared" si="1"/>
        <v>4.6579880895623367</v>
      </c>
      <c r="V26" s="210">
        <f>$U26+_xlfn.XLOOKUP(C26,'Team Batting vs L - L14'!$C$6:$C$35,'Team Batting vs L - L14'!$T$6:$T$35)</f>
        <v>4.6579880895623367</v>
      </c>
      <c r="W26" s="213">
        <f t="shared" si="2"/>
        <v>9</v>
      </c>
    </row>
    <row r="27" spans="1:23" ht="15.75" customHeight="1">
      <c r="A27" s="221">
        <v>22</v>
      </c>
      <c r="B27" s="222">
        <v>2025</v>
      </c>
      <c r="C27" s="223" t="s">
        <v>143</v>
      </c>
      <c r="D27" s="221">
        <v>1552</v>
      </c>
      <c r="E27" s="172">
        <v>8.2000000000000003E-2</v>
      </c>
      <c r="F27" s="172">
        <v>0.219</v>
      </c>
      <c r="G27" s="177">
        <v>0.4</v>
      </c>
      <c r="H27" s="177">
        <v>0.25600000000000001</v>
      </c>
      <c r="I27" s="177">
        <v>0.32300000000000001</v>
      </c>
      <c r="J27" s="177">
        <v>0.44</v>
      </c>
      <c r="K27" s="177">
        <v>0.76300000000000001</v>
      </c>
      <c r="L27" s="177">
        <v>0.185</v>
      </c>
      <c r="M27" s="177">
        <v>0.29499999999999998</v>
      </c>
      <c r="N27" s="177">
        <v>204</v>
      </c>
      <c r="O27" s="177">
        <v>20.3</v>
      </c>
      <c r="P27" s="177">
        <v>0.33</v>
      </c>
      <c r="Q27" s="177">
        <v>112</v>
      </c>
      <c r="R27" s="426">
        <f t="shared" si="3"/>
        <v>1.1464865403082793</v>
      </c>
      <c r="S27" s="190">
        <f t="shared" si="4"/>
        <v>4.8729943504362909</v>
      </c>
      <c r="T27" s="1">
        <f t="shared" si="0"/>
        <v>4</v>
      </c>
      <c r="U27" s="91">
        <f t="shared" si="1"/>
        <v>4.8729943504362909</v>
      </c>
      <c r="V27" s="210">
        <f>$U27+_xlfn.XLOOKUP(C27,'Team Batting vs L - L14'!$C$6:$C$35,'Team Batting vs L - L14'!$T$6:$T$35)</f>
        <v>4.8729943504362909</v>
      </c>
      <c r="W27" s="213">
        <f t="shared" si="2"/>
        <v>4</v>
      </c>
    </row>
    <row r="28" spans="1:23" ht="15.75" customHeight="1">
      <c r="A28" s="221">
        <v>23</v>
      </c>
      <c r="B28" s="222">
        <v>2025</v>
      </c>
      <c r="C28" s="223" t="s">
        <v>70</v>
      </c>
      <c r="D28" s="221">
        <v>1707</v>
      </c>
      <c r="E28" s="172">
        <v>8.4000000000000005E-2</v>
      </c>
      <c r="F28" s="172">
        <v>0.19900000000000001</v>
      </c>
      <c r="G28" s="177">
        <v>0.4</v>
      </c>
      <c r="H28" s="177">
        <v>0.26800000000000002</v>
      </c>
      <c r="I28" s="177">
        <v>0.33900000000000002</v>
      </c>
      <c r="J28" s="177">
        <v>0.39600000000000002</v>
      </c>
      <c r="K28" s="177">
        <v>0.73499999999999999</v>
      </c>
      <c r="L28" s="177">
        <v>0.129</v>
      </c>
      <c r="M28" s="177">
        <v>0.32</v>
      </c>
      <c r="N28" s="177">
        <v>215</v>
      </c>
      <c r="O28" s="177">
        <v>12.4</v>
      </c>
      <c r="P28" s="177">
        <v>0.32300000000000001</v>
      </c>
      <c r="Q28" s="177">
        <v>107</v>
      </c>
      <c r="R28" s="426">
        <f t="shared" si="3"/>
        <v>1.1022244202151303</v>
      </c>
      <c r="S28" s="190">
        <f t="shared" si="4"/>
        <v>4.6848638721715821</v>
      </c>
      <c r="T28" s="1">
        <f t="shared" si="0"/>
        <v>8</v>
      </c>
      <c r="U28" s="91">
        <f t="shared" si="1"/>
        <v>4.6848638721715821</v>
      </c>
      <c r="V28" s="210">
        <f>$U28+_xlfn.XLOOKUP(C28,'Team Batting vs L - L14'!$C$6:$C$35,'Team Batting vs L - L14'!$T$6:$T$35)</f>
        <v>4.6848638721715821</v>
      </c>
      <c r="W28" s="213">
        <f t="shared" si="2"/>
        <v>8</v>
      </c>
    </row>
    <row r="29" spans="1:23" ht="15.75" customHeight="1">
      <c r="A29" s="221">
        <v>24</v>
      </c>
      <c r="B29" s="222">
        <v>2025</v>
      </c>
      <c r="C29" s="223" t="s">
        <v>58</v>
      </c>
      <c r="D29" s="221">
        <v>1552</v>
      </c>
      <c r="E29" s="172">
        <v>7.0999999999999994E-2</v>
      </c>
      <c r="F29" s="172">
        <v>0.251</v>
      </c>
      <c r="G29" s="177">
        <v>0.3</v>
      </c>
      <c r="H29" s="177">
        <v>0.22800000000000001</v>
      </c>
      <c r="I29" s="177">
        <v>0.28799999999999998</v>
      </c>
      <c r="J29" s="177">
        <v>0.35399999999999998</v>
      </c>
      <c r="K29" s="177">
        <v>0.64200000000000002</v>
      </c>
      <c r="L29" s="177">
        <v>0.126</v>
      </c>
      <c r="M29" s="177">
        <v>0.28699999999999998</v>
      </c>
      <c r="N29" s="177">
        <v>145</v>
      </c>
      <c r="O29" s="177">
        <v>-39.6</v>
      </c>
      <c r="P29" s="177">
        <v>0.28299999999999997</v>
      </c>
      <c r="Q29" s="177">
        <v>79</v>
      </c>
      <c r="R29" s="426">
        <f t="shared" si="3"/>
        <v>0.84929801968284957</v>
      </c>
      <c r="S29" s="190">
        <f t="shared" si="4"/>
        <v>3.6098325678018153</v>
      </c>
      <c r="T29" s="1">
        <f t="shared" si="0"/>
        <v>27</v>
      </c>
      <c r="U29" s="91">
        <f t="shared" si="1"/>
        <v>3.6098325678018153</v>
      </c>
      <c r="V29" s="210">
        <f>$U29+_xlfn.XLOOKUP(C29,'Team Batting vs L - L14'!$C$6:$C$35,'Team Batting vs L - L14'!$T$6:$T$35)</f>
        <v>3.6098325678018153</v>
      </c>
      <c r="W29" s="213">
        <f t="shared" si="2"/>
        <v>27</v>
      </c>
    </row>
    <row r="30" spans="1:23" ht="15.75" customHeight="1">
      <c r="A30" s="221">
        <v>25</v>
      </c>
      <c r="B30" s="222">
        <v>2025</v>
      </c>
      <c r="C30" s="223" t="s">
        <v>91</v>
      </c>
      <c r="D30" s="221">
        <v>1607</v>
      </c>
      <c r="E30" s="172">
        <v>8.6999999999999994E-2</v>
      </c>
      <c r="F30" s="172">
        <v>0.224</v>
      </c>
      <c r="G30" s="177">
        <v>0.4</v>
      </c>
      <c r="H30" s="177">
        <v>0.23599999999999999</v>
      </c>
      <c r="I30" s="177">
        <v>0.312</v>
      </c>
      <c r="J30" s="177">
        <v>0.38200000000000001</v>
      </c>
      <c r="K30" s="177">
        <v>0.69399999999999995</v>
      </c>
      <c r="L30" s="177">
        <v>0.14499999999999999</v>
      </c>
      <c r="M30" s="177">
        <v>0.28299999999999997</v>
      </c>
      <c r="N30" s="177">
        <v>178</v>
      </c>
      <c r="O30" s="177">
        <v>-12.3</v>
      </c>
      <c r="P30" s="177">
        <v>0.30499999999999999</v>
      </c>
      <c r="Q30" s="177">
        <v>97</v>
      </c>
      <c r="R30" s="426">
        <f t="shared" si="3"/>
        <v>0.98840753997560382</v>
      </c>
      <c r="S30" s="190">
        <f t="shared" si="4"/>
        <v>4.2010997852051863</v>
      </c>
      <c r="T30" s="1">
        <f t="shared" si="0"/>
        <v>16</v>
      </c>
      <c r="U30" s="91">
        <f t="shared" si="1"/>
        <v>4.2010997852051863</v>
      </c>
      <c r="V30" s="210">
        <f>$U30+_xlfn.XLOOKUP(C30,'Team Batting vs L - L14'!$C$6:$C$35,'Team Batting vs L - L14'!$T$6:$T$35)</f>
        <v>4.2010997852051863</v>
      </c>
      <c r="W30" s="213">
        <f t="shared" si="2"/>
        <v>16</v>
      </c>
    </row>
    <row r="31" spans="1:23" ht="15.75" customHeight="1">
      <c r="A31" s="221">
        <v>26</v>
      </c>
      <c r="B31" s="222">
        <v>2025</v>
      </c>
      <c r="C31" s="223" t="s">
        <v>68</v>
      </c>
      <c r="D31" s="221">
        <v>1795</v>
      </c>
      <c r="E31" s="172">
        <v>8.1000000000000003E-2</v>
      </c>
      <c r="F31" s="172">
        <v>0.23499999999999999</v>
      </c>
      <c r="G31" s="177">
        <v>0.3</v>
      </c>
      <c r="H31" s="177">
        <v>0.253</v>
      </c>
      <c r="I31" s="177">
        <v>0.32200000000000001</v>
      </c>
      <c r="J31" s="177">
        <v>0.42099999999999999</v>
      </c>
      <c r="K31" s="177">
        <v>0.74199999999999999</v>
      </c>
      <c r="L31" s="177">
        <v>0.16800000000000001</v>
      </c>
      <c r="M31" s="177">
        <v>0.30399999999999999</v>
      </c>
      <c r="N31" s="177">
        <v>227</v>
      </c>
      <c r="O31" s="177">
        <v>13.7</v>
      </c>
      <c r="P31" s="177">
        <v>0.32400000000000001</v>
      </c>
      <c r="Q31" s="177">
        <v>105</v>
      </c>
      <c r="R31" s="426">
        <f t="shared" si="3"/>
        <v>1.1085475802284372</v>
      </c>
      <c r="S31" s="190">
        <f t="shared" si="4"/>
        <v>4.7117396547808257</v>
      </c>
      <c r="T31" s="1">
        <f t="shared" si="0"/>
        <v>7</v>
      </c>
      <c r="U31" s="91">
        <f t="shared" si="1"/>
        <v>4.7117396547808257</v>
      </c>
      <c r="V31" s="210">
        <f>$U31+_xlfn.XLOOKUP(C31,'Team Batting vs L - L14'!$C$6:$C$35,'Team Batting vs L - L14'!$T$6:$T$35)</f>
        <v>4.7117396547808257</v>
      </c>
      <c r="W31" s="213">
        <f t="shared" si="2"/>
        <v>7</v>
      </c>
    </row>
    <row r="32" spans="1:23" ht="15.75" customHeight="1">
      <c r="A32" s="221">
        <v>27</v>
      </c>
      <c r="B32" s="222">
        <v>2025</v>
      </c>
      <c r="C32" s="223" t="s">
        <v>82</v>
      </c>
      <c r="D32" s="221">
        <v>1352</v>
      </c>
      <c r="E32" s="172">
        <v>9.4E-2</v>
      </c>
      <c r="F32" s="172">
        <v>0.25600000000000001</v>
      </c>
      <c r="G32" s="177">
        <v>0.4</v>
      </c>
      <c r="H32" s="177">
        <v>0.218</v>
      </c>
      <c r="I32" s="177">
        <v>0.29399999999999998</v>
      </c>
      <c r="J32" s="177">
        <v>0.34200000000000003</v>
      </c>
      <c r="K32" s="177">
        <v>0.63600000000000001</v>
      </c>
      <c r="L32" s="177">
        <v>0.124</v>
      </c>
      <c r="M32" s="177">
        <v>0.27700000000000002</v>
      </c>
      <c r="N32" s="177">
        <v>124</v>
      </c>
      <c r="O32" s="177">
        <v>-36.299999999999997</v>
      </c>
      <c r="P32" s="177">
        <v>0.28100000000000003</v>
      </c>
      <c r="Q32" s="177">
        <v>76</v>
      </c>
      <c r="R32" s="426">
        <f t="shared" si="3"/>
        <v>0.83665169965623598</v>
      </c>
      <c r="S32" s="190">
        <f t="shared" si="4"/>
        <v>3.5560810025833289</v>
      </c>
      <c r="T32" s="1">
        <f t="shared" si="0"/>
        <v>29</v>
      </c>
      <c r="U32" s="91">
        <f t="shared" si="1"/>
        <v>3.5560810025833289</v>
      </c>
      <c r="V32" s="210">
        <f>$U32+_xlfn.XLOOKUP(C32,'Team Batting vs L - L14'!$C$6:$C$35,'Team Batting vs L - L14'!$T$6:$T$35)</f>
        <v>3.5560810025833289</v>
      </c>
      <c r="W32" s="213">
        <f t="shared" si="2"/>
        <v>29</v>
      </c>
    </row>
    <row r="33" spans="1:23" ht="15.75" customHeight="1">
      <c r="A33" s="221">
        <v>28</v>
      </c>
      <c r="B33" s="222">
        <v>2025</v>
      </c>
      <c r="C33" s="223" t="s">
        <v>53</v>
      </c>
      <c r="D33" s="221">
        <v>1584</v>
      </c>
      <c r="E33" s="172">
        <v>8.3000000000000004E-2</v>
      </c>
      <c r="F33" s="172">
        <v>0.22</v>
      </c>
      <c r="G33" s="177">
        <v>0.4</v>
      </c>
      <c r="H33" s="177">
        <v>0.246</v>
      </c>
      <c r="I33" s="177">
        <v>0.317</v>
      </c>
      <c r="J33" s="177">
        <v>0.36799999999999999</v>
      </c>
      <c r="K33" s="177">
        <v>0.68400000000000005</v>
      </c>
      <c r="L33" s="177">
        <v>0.122</v>
      </c>
      <c r="M33" s="177">
        <v>0.3</v>
      </c>
      <c r="N33" s="177">
        <v>172</v>
      </c>
      <c r="O33" s="177">
        <v>-16.3</v>
      </c>
      <c r="P33" s="177">
        <v>0.30099999999999999</v>
      </c>
      <c r="Q33" s="177">
        <v>94</v>
      </c>
      <c r="R33" s="426">
        <f t="shared" si="3"/>
        <v>0.96311489992237587</v>
      </c>
      <c r="S33" s="190">
        <f t="shared" si="4"/>
        <v>4.0935966547682101</v>
      </c>
      <c r="T33" s="1">
        <f t="shared" si="0"/>
        <v>18</v>
      </c>
      <c r="U33" s="91">
        <f t="shared" si="1"/>
        <v>4.0935966547682101</v>
      </c>
      <c r="V33" s="210">
        <f>$U33+_xlfn.XLOOKUP(C33,'Team Batting vs L - L14'!$C$6:$C$35,'Team Batting vs L - L14'!$T$6:$T$35)</f>
        <v>4.0935966547682101</v>
      </c>
      <c r="W33" s="213">
        <f t="shared" si="2"/>
        <v>18</v>
      </c>
    </row>
    <row r="34" spans="1:23" ht="15.75" customHeight="1">
      <c r="A34" s="221">
        <v>29</v>
      </c>
      <c r="B34" s="222">
        <v>2025</v>
      </c>
      <c r="C34" s="223" t="s">
        <v>49</v>
      </c>
      <c r="D34" s="221">
        <v>1692</v>
      </c>
      <c r="E34" s="172">
        <v>8.6999999999999994E-2</v>
      </c>
      <c r="F34" s="172">
        <v>0.187</v>
      </c>
      <c r="G34" s="177">
        <v>0.5</v>
      </c>
      <c r="H34" s="177">
        <v>0.24199999999999999</v>
      </c>
      <c r="I34" s="177">
        <v>0.313</v>
      </c>
      <c r="J34" s="177">
        <v>0.36699999999999999</v>
      </c>
      <c r="K34" s="177">
        <v>0.68</v>
      </c>
      <c r="L34" s="177">
        <v>0.125</v>
      </c>
      <c r="M34" s="177">
        <v>0.28199999999999997</v>
      </c>
      <c r="N34" s="177">
        <v>178</v>
      </c>
      <c r="O34" s="177">
        <v>-22.7</v>
      </c>
      <c r="P34" s="177">
        <v>0.29799999999999999</v>
      </c>
      <c r="Q34" s="177">
        <v>93</v>
      </c>
      <c r="R34" s="426">
        <f t="shared" si="3"/>
        <v>0.94414541988245482</v>
      </c>
      <c r="S34" s="190">
        <f t="shared" si="4"/>
        <v>4.0129693069404775</v>
      </c>
      <c r="T34" s="1">
        <f t="shared" si="0"/>
        <v>19</v>
      </c>
      <c r="U34" s="91">
        <f t="shared" si="1"/>
        <v>4.0129693069404775</v>
      </c>
      <c r="V34" s="210">
        <f>$U34+_xlfn.XLOOKUP(C34,'Team Batting vs L - L14'!$C$6:$C$35,'Team Batting vs L - L14'!$T$6:$T$35)</f>
        <v>4.0129693069404775</v>
      </c>
      <c r="W34" s="213">
        <f t="shared" si="2"/>
        <v>19</v>
      </c>
    </row>
    <row r="35" spans="1:23" ht="15.75" customHeight="1">
      <c r="A35" s="221">
        <v>30</v>
      </c>
      <c r="B35" s="222">
        <v>2025</v>
      </c>
      <c r="C35" s="223" t="s">
        <v>126</v>
      </c>
      <c r="D35" s="221">
        <v>1499</v>
      </c>
      <c r="E35" s="172">
        <v>7.6999999999999999E-2</v>
      </c>
      <c r="F35" s="172">
        <v>0.247</v>
      </c>
      <c r="G35" s="177">
        <v>0.3</v>
      </c>
      <c r="H35" s="177">
        <v>0.215</v>
      </c>
      <c r="I35" s="177">
        <v>0.28100000000000003</v>
      </c>
      <c r="J35" s="177">
        <v>0.35299999999999998</v>
      </c>
      <c r="K35" s="177">
        <v>0.63500000000000001</v>
      </c>
      <c r="L35" s="177">
        <v>0.13800000000000001</v>
      </c>
      <c r="M35" s="177">
        <v>0.26300000000000001</v>
      </c>
      <c r="N35" s="177">
        <v>135</v>
      </c>
      <c r="O35" s="177">
        <v>-43.1</v>
      </c>
      <c r="P35" s="177">
        <v>0.27900000000000003</v>
      </c>
      <c r="Q35" s="177">
        <v>79</v>
      </c>
      <c r="R35" s="426">
        <f t="shared" si="3"/>
        <v>0.82400537962962173</v>
      </c>
      <c r="S35" s="190">
        <f t="shared" si="4"/>
        <v>3.5023294373648399</v>
      </c>
      <c r="T35" s="1">
        <f t="shared" si="0"/>
        <v>30</v>
      </c>
      <c r="U35" s="91">
        <f t="shared" si="1"/>
        <v>3.5023294373648399</v>
      </c>
      <c r="V35" s="210">
        <f>$U35+_xlfn.XLOOKUP(C35,'Team Batting vs L - L14'!$C$6:$C$35,'Team Batting vs L - L14'!$T$6:$T$35)</f>
        <v>3.5023294373648399</v>
      </c>
      <c r="W35" s="213">
        <f t="shared" si="2"/>
        <v>30</v>
      </c>
    </row>
    <row r="36" spans="1:23" ht="15.75" customHeight="1">
      <c r="A36" s="213"/>
      <c r="B36" s="213"/>
      <c r="D36" s="213"/>
      <c r="P36" s="224">
        <f>AVERAGE(P6:P35)</f>
        <v>0.3068333333333334</v>
      </c>
      <c r="Q36" s="158" t="s">
        <v>1052</v>
      </c>
      <c r="R36" s="427"/>
      <c r="S36" s="175">
        <f>AVERAGE(S6:S34)</f>
        <v>4.2761666262861784</v>
      </c>
      <c r="U36" s="91">
        <f>AVERAGE(U6:U35)</f>
        <v>4.2503720533221339</v>
      </c>
      <c r="V36" s="91"/>
      <c r="W36" s="91"/>
    </row>
  </sheetData>
  <hyperlinks>
    <hyperlink ref="U3" r:id="rId1" xr:uid="{00000000-0004-0000-2C00-000000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FF00"/>
    <outlinePr summaryBelow="0" summaryRight="0"/>
  </sheetPr>
  <dimension ref="A1:V36"/>
  <sheetViews>
    <sheetView workbookViewId="0">
      <selection activeCell="A5" sqref="A5"/>
    </sheetView>
  </sheetViews>
  <sheetFormatPr defaultColWidth="12.5703125" defaultRowHeight="15" customHeight="1"/>
  <cols>
    <col min="1" max="1" width="3" bestFit="1" customWidth="1"/>
    <col min="2" max="2" width="7.140625" bestFit="1" customWidth="1"/>
    <col min="3" max="3" width="5.140625" bestFit="1" customWidth="1"/>
    <col min="4" max="4" width="11.85546875" bestFit="1" customWidth="1"/>
    <col min="5" max="5" width="7" bestFit="1" customWidth="1"/>
    <col min="6" max="6" width="13.7109375" bestFit="1" customWidth="1"/>
    <col min="7" max="7" width="4.85546875" bestFit="1" customWidth="1"/>
    <col min="8" max="13" width="6" bestFit="1" customWidth="1"/>
    <col min="14" max="14" width="4.7109375" bestFit="1" customWidth="1"/>
    <col min="15" max="15" width="5.85546875" bestFit="1" customWidth="1"/>
    <col min="16" max="16" width="13.7109375" bestFit="1" customWidth="1"/>
    <col min="17" max="17" width="10.85546875" bestFit="1" customWidth="1"/>
    <col min="18" max="18" width="12.5703125" bestFit="1" customWidth="1"/>
    <col min="19" max="19" width="9.28515625" bestFit="1" customWidth="1"/>
    <col min="20" max="20" width="20.5703125" bestFit="1" customWidth="1"/>
    <col min="22" max="22" width="12.28515625" bestFit="1" customWidth="1"/>
  </cols>
  <sheetData>
    <row r="1" spans="1:22" ht="15.75" customHeight="1">
      <c r="P1" s="161" t="s">
        <v>1030</v>
      </c>
      <c r="R1" s="161" t="s">
        <v>3</v>
      </c>
    </row>
    <row r="2" spans="1:22" ht="15.75" customHeight="1">
      <c r="A2" s="193"/>
      <c r="B2" s="193"/>
      <c r="C2" s="193"/>
      <c r="D2" s="193" t="s">
        <v>1033</v>
      </c>
      <c r="E2" s="193"/>
      <c r="F2" s="186"/>
      <c r="G2" s="161"/>
      <c r="H2" s="194"/>
      <c r="I2" s="194"/>
      <c r="J2" s="194"/>
      <c r="K2" s="194"/>
      <c r="L2" s="194"/>
      <c r="M2" s="194"/>
      <c r="N2" s="194"/>
      <c r="O2" s="194"/>
      <c r="P2" s="187">
        <v>1186.44632080014</v>
      </c>
      <c r="Q2" s="161"/>
      <c r="R2" s="1">
        <v>-176.40624911453779</v>
      </c>
      <c r="V2" s="1" t="s">
        <v>1035</v>
      </c>
    </row>
    <row r="3" spans="1:22" ht="15.75" customHeight="1">
      <c r="A3" s="193"/>
      <c r="B3" s="193"/>
      <c r="C3" s="193"/>
      <c r="D3" s="214">
        <v>44.145554310000001</v>
      </c>
      <c r="E3" s="193"/>
      <c r="F3" s="186" t="s">
        <v>4</v>
      </c>
      <c r="G3" s="163"/>
      <c r="H3" s="194"/>
      <c r="I3" s="194"/>
      <c r="J3" s="194"/>
      <c r="K3" s="194"/>
      <c r="L3" s="194"/>
      <c r="M3" s="194"/>
      <c r="N3" s="194"/>
      <c r="O3" s="194"/>
      <c r="P3" s="163">
        <f>P2/D3</f>
        <v>26.875782609244123</v>
      </c>
      <c r="Q3" s="163"/>
      <c r="R3" s="210">
        <f>R2/D3</f>
        <v>-3.9960139106142707</v>
      </c>
      <c r="S3" s="195" t="s">
        <v>1058</v>
      </c>
      <c r="T3" s="225" t="s">
        <v>1059</v>
      </c>
      <c r="V3" s="91">
        <f>$R$3-($R$36-'RunsGame Calculations'!$G$34)</f>
        <v>-4.0417069666899827</v>
      </c>
    </row>
    <row r="4" spans="1:22" ht="15.75" customHeight="1">
      <c r="A4" s="198"/>
      <c r="B4" s="199"/>
      <c r="C4" s="199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194"/>
      <c r="S4" s="1"/>
      <c r="T4" s="195"/>
      <c r="U4" s="195"/>
      <c r="V4" s="195"/>
    </row>
    <row r="5" spans="1:22" ht="15.75" customHeight="1">
      <c r="A5" s="164" t="s">
        <v>7</v>
      </c>
      <c r="B5" s="165" t="s">
        <v>1031</v>
      </c>
      <c r="C5" s="165" t="s">
        <v>1037</v>
      </c>
      <c r="D5" s="166" t="s">
        <v>1038</v>
      </c>
      <c r="E5" s="166" t="s">
        <v>15</v>
      </c>
      <c r="F5" s="166" t="s">
        <v>14</v>
      </c>
      <c r="G5" s="166" t="s">
        <v>1039</v>
      </c>
      <c r="H5" s="166" t="s">
        <v>16</v>
      </c>
      <c r="I5" s="166" t="s">
        <v>1040</v>
      </c>
      <c r="J5" s="166" t="s">
        <v>1041</v>
      </c>
      <c r="K5" s="166" t="s">
        <v>1042</v>
      </c>
      <c r="L5" s="166" t="s">
        <v>1043</v>
      </c>
      <c r="M5" s="166" t="s">
        <v>17</v>
      </c>
      <c r="N5" s="166" t="s">
        <v>1044</v>
      </c>
      <c r="O5" s="166" t="s">
        <v>1045</v>
      </c>
      <c r="P5" s="166" t="s">
        <v>1030</v>
      </c>
      <c r="Q5" s="166" t="s">
        <v>1046</v>
      </c>
      <c r="R5" s="194" t="s">
        <v>1047</v>
      </c>
      <c r="S5" s="1" t="s">
        <v>1048</v>
      </c>
      <c r="T5" s="195" t="str">
        <f>'Team Batting vs L - Season'!C3 &amp; " Weight"</f>
        <v>0 Weight</v>
      </c>
      <c r="U5" s="195"/>
      <c r="V5" s="195"/>
    </row>
    <row r="6" spans="1:22" ht="15.75" customHeight="1">
      <c r="A6" s="169">
        <v>1</v>
      </c>
      <c r="B6" s="178">
        <v>2025</v>
      </c>
      <c r="C6" s="178" t="s">
        <v>40</v>
      </c>
      <c r="D6" s="169">
        <v>169</v>
      </c>
      <c r="E6" s="172">
        <v>0.107</v>
      </c>
      <c r="F6" s="172">
        <v>0.249</v>
      </c>
      <c r="G6" s="169">
        <v>0.4</v>
      </c>
      <c r="H6" s="169">
        <v>0.26400000000000001</v>
      </c>
      <c r="I6" s="169">
        <v>0.34899999999999998</v>
      </c>
      <c r="J6" s="169">
        <v>0.45300000000000001</v>
      </c>
      <c r="K6" s="169">
        <v>0.80200000000000005</v>
      </c>
      <c r="L6" s="169">
        <v>0.189</v>
      </c>
      <c r="M6" s="169">
        <v>0.32700000000000001</v>
      </c>
      <c r="N6" s="169">
        <v>25</v>
      </c>
      <c r="O6" s="169">
        <v>4.5999999999999996</v>
      </c>
      <c r="P6" s="169">
        <v>0.34699999999999998</v>
      </c>
      <c r="Q6" s="169">
        <v>123</v>
      </c>
      <c r="R6" s="212">
        <f t="shared" ref="R6:R35" si="0">($R$3+(P6*$P$3))</f>
        <v>5.3298826547934395</v>
      </c>
      <c r="S6" s="1">
        <f t="shared" ref="S6:S35" si="1">RANK(R6,$R$6:$R$35,0)</f>
        <v>6</v>
      </c>
      <c r="T6" s="91">
        <f>R6*'Team Batting vs L - Season'!$C$3</f>
        <v>0</v>
      </c>
      <c r="U6" s="91"/>
      <c r="V6" s="91"/>
    </row>
    <row r="7" spans="1:22" ht="15.75" customHeight="1">
      <c r="A7" s="169">
        <v>2</v>
      </c>
      <c r="B7" s="178">
        <v>2025</v>
      </c>
      <c r="C7" s="178" t="s">
        <v>72</v>
      </c>
      <c r="D7" s="169">
        <v>267</v>
      </c>
      <c r="E7" s="172">
        <v>8.5999999999999993E-2</v>
      </c>
      <c r="F7" s="172">
        <v>0.28100000000000003</v>
      </c>
      <c r="G7" s="169">
        <v>0.3</v>
      </c>
      <c r="H7" s="169">
        <v>0.23200000000000001</v>
      </c>
      <c r="I7" s="169">
        <v>0.307</v>
      </c>
      <c r="J7" s="169">
        <v>0.39400000000000002</v>
      </c>
      <c r="K7" s="169">
        <v>0.70099999999999996</v>
      </c>
      <c r="L7" s="169">
        <v>0.16200000000000001</v>
      </c>
      <c r="M7" s="169">
        <v>0.29899999999999999</v>
      </c>
      <c r="N7" s="169">
        <v>30</v>
      </c>
      <c r="O7" s="169">
        <v>-1.2</v>
      </c>
      <c r="P7" s="169">
        <v>0.308</v>
      </c>
      <c r="Q7" s="169">
        <v>98</v>
      </c>
      <c r="R7" s="212">
        <f t="shared" si="0"/>
        <v>4.281727133032919</v>
      </c>
      <c r="S7" s="1">
        <f t="shared" si="1"/>
        <v>18</v>
      </c>
      <c r="T7" s="91">
        <f>R7*'Team Batting vs L - Season'!$C$3</f>
        <v>0</v>
      </c>
      <c r="U7" s="91"/>
      <c r="V7" s="91"/>
    </row>
    <row r="8" spans="1:22" ht="15.75" customHeight="1">
      <c r="A8" s="169">
        <v>3</v>
      </c>
      <c r="B8" s="178">
        <v>2025</v>
      </c>
      <c r="C8" s="178" t="s">
        <v>51</v>
      </c>
      <c r="D8" s="169">
        <v>308</v>
      </c>
      <c r="E8" s="172">
        <v>6.8000000000000005E-2</v>
      </c>
      <c r="F8" s="172">
        <v>0.224</v>
      </c>
      <c r="G8" s="169">
        <v>0.3</v>
      </c>
      <c r="H8" s="169">
        <v>0.23300000000000001</v>
      </c>
      <c r="I8" s="169">
        <v>0.28899999999999998</v>
      </c>
      <c r="J8" s="169">
        <v>0.34599999999999997</v>
      </c>
      <c r="K8" s="169">
        <v>0.63500000000000001</v>
      </c>
      <c r="L8" s="169">
        <v>0.113</v>
      </c>
      <c r="M8" s="169">
        <v>0.28199999999999997</v>
      </c>
      <c r="N8" s="169">
        <v>27</v>
      </c>
      <c r="O8" s="169">
        <v>-9.1</v>
      </c>
      <c r="P8" s="169">
        <v>0.27800000000000002</v>
      </c>
      <c r="Q8" s="169">
        <v>72</v>
      </c>
      <c r="R8" s="212">
        <f t="shared" si="0"/>
        <v>3.4754536547555963</v>
      </c>
      <c r="S8" s="1">
        <f t="shared" si="1"/>
        <v>28</v>
      </c>
      <c r="T8" s="91">
        <f>R8*'Team Batting vs L - Season'!$C$3</f>
        <v>0</v>
      </c>
      <c r="U8" s="91"/>
      <c r="V8" s="91"/>
    </row>
    <row r="9" spans="1:22" ht="15.75" customHeight="1">
      <c r="A9" s="169">
        <v>4</v>
      </c>
      <c r="B9" s="178">
        <v>2025</v>
      </c>
      <c r="C9" s="178" t="s">
        <v>74</v>
      </c>
      <c r="D9" s="169">
        <v>258</v>
      </c>
      <c r="E9" s="172">
        <v>7.3999999999999996E-2</v>
      </c>
      <c r="F9" s="172">
        <v>0.17100000000000001</v>
      </c>
      <c r="G9" s="169">
        <v>0.4</v>
      </c>
      <c r="H9" s="169">
        <v>0.28100000000000003</v>
      </c>
      <c r="I9" s="169">
        <v>0.33700000000000002</v>
      </c>
      <c r="J9" s="169">
        <v>0.41299999999999998</v>
      </c>
      <c r="K9" s="169">
        <v>0.75</v>
      </c>
      <c r="L9" s="169">
        <v>0.13200000000000001</v>
      </c>
      <c r="M9" s="169">
        <v>0.32400000000000001</v>
      </c>
      <c r="N9" s="169">
        <v>33</v>
      </c>
      <c r="O9" s="169">
        <v>2.9</v>
      </c>
      <c r="P9" s="169">
        <v>0.32800000000000001</v>
      </c>
      <c r="Q9" s="169">
        <v>109</v>
      </c>
      <c r="R9" s="212">
        <f t="shared" si="0"/>
        <v>4.8192427852178019</v>
      </c>
      <c r="S9" s="1">
        <f t="shared" si="1"/>
        <v>11</v>
      </c>
      <c r="T9" s="91">
        <f>R9*'Team Batting vs L - Season'!$C$3</f>
        <v>0</v>
      </c>
      <c r="U9" s="91"/>
      <c r="V9" s="91"/>
    </row>
    <row r="10" spans="1:22" ht="15.75" customHeight="1">
      <c r="A10" s="169">
        <v>5</v>
      </c>
      <c r="B10" s="178">
        <v>2025</v>
      </c>
      <c r="C10" s="178" t="s">
        <v>80</v>
      </c>
      <c r="D10" s="169">
        <v>305</v>
      </c>
      <c r="E10" s="172">
        <v>7.1999999999999995E-2</v>
      </c>
      <c r="F10" s="172">
        <v>0.23599999999999999</v>
      </c>
      <c r="G10" s="169">
        <v>0.3</v>
      </c>
      <c r="H10" s="169">
        <v>0.21099999999999999</v>
      </c>
      <c r="I10" s="169">
        <v>0.27900000000000003</v>
      </c>
      <c r="J10" s="169">
        <v>0.36199999999999999</v>
      </c>
      <c r="K10" s="169">
        <v>0.64100000000000001</v>
      </c>
      <c r="L10" s="169">
        <v>0.151</v>
      </c>
      <c r="M10" s="169">
        <v>0.245</v>
      </c>
      <c r="N10" s="169">
        <v>28</v>
      </c>
      <c r="O10" s="169">
        <v>-7.8</v>
      </c>
      <c r="P10" s="169">
        <v>0.28299999999999997</v>
      </c>
      <c r="Q10" s="169">
        <v>80</v>
      </c>
      <c r="R10" s="212">
        <f t="shared" si="0"/>
        <v>3.6098325678018153</v>
      </c>
      <c r="S10" s="1">
        <f t="shared" si="1"/>
        <v>26</v>
      </c>
      <c r="T10" s="91">
        <f>R10*'Team Batting vs L - Season'!$C$3</f>
        <v>0</v>
      </c>
      <c r="U10" s="91"/>
      <c r="V10" s="91"/>
    </row>
    <row r="11" spans="1:22" ht="15.75" customHeight="1">
      <c r="A11" s="169">
        <v>6</v>
      </c>
      <c r="B11" s="178">
        <v>2025</v>
      </c>
      <c r="C11" s="178" t="s">
        <v>44</v>
      </c>
      <c r="D11" s="169">
        <v>234</v>
      </c>
      <c r="E11" s="172">
        <v>0.10299999999999999</v>
      </c>
      <c r="F11" s="172">
        <v>0.17499999999999999</v>
      </c>
      <c r="G11" s="169">
        <v>0.6</v>
      </c>
      <c r="H11" s="169">
        <v>0.314</v>
      </c>
      <c r="I11" s="169">
        <v>0.39700000000000002</v>
      </c>
      <c r="J11" s="169">
        <v>0.52900000000000003</v>
      </c>
      <c r="K11" s="169">
        <v>0.92700000000000005</v>
      </c>
      <c r="L11" s="169">
        <v>0.216</v>
      </c>
      <c r="M11" s="169">
        <v>0.35899999999999999</v>
      </c>
      <c r="N11" s="169">
        <v>43</v>
      </c>
      <c r="O11" s="169">
        <v>15.6</v>
      </c>
      <c r="P11" s="169">
        <v>0.39600000000000002</v>
      </c>
      <c r="Q11" s="169">
        <v>156</v>
      </c>
      <c r="R11" s="212">
        <f t="shared" si="0"/>
        <v>6.6467960026464032</v>
      </c>
      <c r="S11" s="1">
        <f t="shared" si="1"/>
        <v>1</v>
      </c>
      <c r="T11" s="91">
        <f>R11*'Team Batting vs L - Season'!$C$3</f>
        <v>0</v>
      </c>
      <c r="U11" s="91"/>
      <c r="V11" s="91"/>
    </row>
    <row r="12" spans="1:22" ht="15.75" customHeight="1">
      <c r="A12" s="169">
        <v>7</v>
      </c>
      <c r="B12" s="178">
        <v>2025</v>
      </c>
      <c r="C12" s="178" t="s">
        <v>46</v>
      </c>
      <c r="D12" s="169">
        <v>272</v>
      </c>
      <c r="E12" s="172">
        <v>9.6000000000000002E-2</v>
      </c>
      <c r="F12" s="172">
        <v>0.184</v>
      </c>
      <c r="G12" s="169">
        <v>0.5</v>
      </c>
      <c r="H12" s="169">
        <v>0.23899999999999999</v>
      </c>
      <c r="I12" s="169">
        <v>0.31900000000000001</v>
      </c>
      <c r="J12" s="169">
        <v>0.33600000000000002</v>
      </c>
      <c r="K12" s="169">
        <v>0.65500000000000003</v>
      </c>
      <c r="L12" s="169">
        <v>9.7000000000000003E-2</v>
      </c>
      <c r="M12" s="169">
        <v>0.28699999999999998</v>
      </c>
      <c r="N12" s="169">
        <v>27</v>
      </c>
      <c r="O12" s="169">
        <v>-4.8</v>
      </c>
      <c r="P12" s="169">
        <v>0.29199999999999998</v>
      </c>
      <c r="Q12" s="169">
        <v>82</v>
      </c>
      <c r="R12" s="212">
        <f t="shared" si="0"/>
        <v>3.8517146112850122</v>
      </c>
      <c r="S12" s="1">
        <f t="shared" si="1"/>
        <v>22</v>
      </c>
      <c r="T12" s="91">
        <f>R12*'Team Batting vs L - Season'!$C$3</f>
        <v>0</v>
      </c>
      <c r="U12" s="91"/>
      <c r="V12" s="91"/>
    </row>
    <row r="13" spans="1:22" ht="15.75" customHeight="1">
      <c r="A13" s="169">
        <v>8</v>
      </c>
      <c r="B13" s="178">
        <v>2025</v>
      </c>
      <c r="C13" s="178" t="s">
        <v>132</v>
      </c>
      <c r="D13" s="169">
        <v>302</v>
      </c>
      <c r="E13" s="172">
        <v>9.9000000000000005E-2</v>
      </c>
      <c r="F13" s="172">
        <v>0.20200000000000001</v>
      </c>
      <c r="G13" s="169">
        <v>0.5</v>
      </c>
      <c r="H13" s="169">
        <v>0.27100000000000002</v>
      </c>
      <c r="I13" s="169">
        <v>0.35199999999999998</v>
      </c>
      <c r="J13" s="169">
        <v>0.45</v>
      </c>
      <c r="K13" s="169">
        <v>0.80300000000000005</v>
      </c>
      <c r="L13" s="169">
        <v>0.17899999999999999</v>
      </c>
      <c r="M13" s="169">
        <v>0.309</v>
      </c>
      <c r="N13" s="169">
        <v>44</v>
      </c>
      <c r="O13" s="169">
        <v>8.1999999999999993</v>
      </c>
      <c r="P13" s="169">
        <v>0.34799999999999998</v>
      </c>
      <c r="Q13" s="169">
        <v>123</v>
      </c>
      <c r="R13" s="212">
        <f t="shared" si="0"/>
        <v>5.3567584374026831</v>
      </c>
      <c r="S13" s="1">
        <f t="shared" si="1"/>
        <v>4</v>
      </c>
      <c r="T13" s="91">
        <f>R13*'Team Batting vs L - Season'!$C$3</f>
        <v>0</v>
      </c>
      <c r="U13" s="91"/>
      <c r="V13" s="91"/>
    </row>
    <row r="14" spans="1:22" ht="15.75" customHeight="1">
      <c r="A14" s="169">
        <v>9</v>
      </c>
      <c r="B14" s="178">
        <v>2025</v>
      </c>
      <c r="C14" s="178" t="s">
        <v>42</v>
      </c>
      <c r="D14" s="169">
        <v>298</v>
      </c>
      <c r="E14" s="172">
        <v>8.6999999999999994E-2</v>
      </c>
      <c r="F14" s="172">
        <v>0.28199999999999997</v>
      </c>
      <c r="G14" s="169">
        <v>0.3</v>
      </c>
      <c r="H14" s="169">
        <v>0.246</v>
      </c>
      <c r="I14" s="169">
        <v>0.31</v>
      </c>
      <c r="J14" s="169">
        <v>0.48899999999999999</v>
      </c>
      <c r="K14" s="169">
        <v>0.79900000000000004</v>
      </c>
      <c r="L14" s="169">
        <v>0.24299999999999999</v>
      </c>
      <c r="M14" s="169">
        <v>0.29199999999999998</v>
      </c>
      <c r="N14" s="169">
        <v>41</v>
      </c>
      <c r="O14" s="169">
        <v>5.7</v>
      </c>
      <c r="P14" s="169">
        <v>0.33600000000000002</v>
      </c>
      <c r="Q14" s="169">
        <v>117</v>
      </c>
      <c r="R14" s="212">
        <f t="shared" si="0"/>
        <v>5.0342490460917544</v>
      </c>
      <c r="S14" s="1">
        <f t="shared" si="1"/>
        <v>9</v>
      </c>
      <c r="T14" s="91">
        <f>R14*'Team Batting vs L - Season'!$C$3</f>
        <v>0</v>
      </c>
      <c r="U14" s="91"/>
      <c r="V14" s="91"/>
    </row>
    <row r="15" spans="1:22" ht="15.75" customHeight="1">
      <c r="A15" s="169">
        <v>10</v>
      </c>
      <c r="B15" s="178">
        <v>2025</v>
      </c>
      <c r="C15" s="178" t="s">
        <v>60</v>
      </c>
      <c r="D15" s="169">
        <v>294</v>
      </c>
      <c r="E15" s="172">
        <v>6.5000000000000002E-2</v>
      </c>
      <c r="F15" s="172">
        <v>0.26200000000000001</v>
      </c>
      <c r="G15" s="169">
        <v>0.2</v>
      </c>
      <c r="H15" s="169">
        <v>0.249</v>
      </c>
      <c r="I15" s="169">
        <v>0.30499999999999999</v>
      </c>
      <c r="J15" s="169">
        <v>0.46100000000000002</v>
      </c>
      <c r="K15" s="169">
        <v>0.76600000000000001</v>
      </c>
      <c r="L15" s="169">
        <v>0.21199999999999999</v>
      </c>
      <c r="M15" s="169">
        <v>0.29599999999999999</v>
      </c>
      <c r="N15" s="169">
        <v>38</v>
      </c>
      <c r="O15" s="169">
        <v>3.2</v>
      </c>
      <c r="P15" s="169">
        <v>0.32800000000000001</v>
      </c>
      <c r="Q15" s="169">
        <v>107</v>
      </c>
      <c r="R15" s="212">
        <f t="shared" si="0"/>
        <v>4.8192427852178019</v>
      </c>
      <c r="S15" s="1">
        <f t="shared" si="1"/>
        <v>11</v>
      </c>
      <c r="T15" s="91">
        <f>R15*'Team Batting vs L - Season'!$C$3</f>
        <v>0</v>
      </c>
      <c r="U15" s="91"/>
      <c r="V15" s="91"/>
    </row>
    <row r="16" spans="1:22" ht="15.75" customHeight="1">
      <c r="A16" s="169">
        <v>11</v>
      </c>
      <c r="B16" s="178">
        <v>2025</v>
      </c>
      <c r="C16" s="178" t="s">
        <v>137</v>
      </c>
      <c r="D16" s="169">
        <v>384</v>
      </c>
      <c r="E16" s="172">
        <v>8.5999999999999993E-2</v>
      </c>
      <c r="F16" s="172">
        <v>0.247</v>
      </c>
      <c r="G16" s="169">
        <v>0.3</v>
      </c>
      <c r="H16" s="169">
        <v>0.245</v>
      </c>
      <c r="I16" s="169">
        <v>0.315</v>
      </c>
      <c r="J16" s="169">
        <v>0.42899999999999999</v>
      </c>
      <c r="K16" s="169">
        <v>0.74399999999999999</v>
      </c>
      <c r="L16" s="169">
        <v>0.184</v>
      </c>
      <c r="M16" s="169">
        <v>0.29399999999999998</v>
      </c>
      <c r="N16" s="169">
        <v>47</v>
      </c>
      <c r="O16" s="169">
        <v>1.6</v>
      </c>
      <c r="P16" s="169">
        <v>0.31900000000000001</v>
      </c>
      <c r="Q16" s="169">
        <v>110</v>
      </c>
      <c r="R16" s="212">
        <f t="shared" si="0"/>
        <v>4.5773607417346041</v>
      </c>
      <c r="S16" s="1">
        <f t="shared" si="1"/>
        <v>15</v>
      </c>
      <c r="T16" s="91">
        <f>R16*'Team Batting vs L - Season'!$C$3</f>
        <v>0</v>
      </c>
      <c r="U16" s="91"/>
      <c r="V16" s="91"/>
    </row>
    <row r="17" spans="1:22" ht="15.75" customHeight="1">
      <c r="A17" s="169">
        <v>12</v>
      </c>
      <c r="B17" s="178">
        <v>2025</v>
      </c>
      <c r="C17" s="178" t="s">
        <v>100</v>
      </c>
      <c r="D17" s="169">
        <v>321</v>
      </c>
      <c r="E17" s="172">
        <v>6.5000000000000002E-2</v>
      </c>
      <c r="F17" s="172">
        <v>0.249</v>
      </c>
      <c r="G17" s="169">
        <v>0.3</v>
      </c>
      <c r="H17" s="169">
        <v>0.253</v>
      </c>
      <c r="I17" s="169">
        <v>0.308</v>
      </c>
      <c r="J17" s="169">
        <v>0.39100000000000001</v>
      </c>
      <c r="K17" s="169">
        <v>0.69899999999999995</v>
      </c>
      <c r="L17" s="169">
        <v>0.13800000000000001</v>
      </c>
      <c r="M17" s="169">
        <v>0.311</v>
      </c>
      <c r="N17" s="169">
        <v>36</v>
      </c>
      <c r="O17" s="169">
        <v>-1.8</v>
      </c>
      <c r="P17" s="169">
        <v>0.307</v>
      </c>
      <c r="Q17" s="169">
        <v>94</v>
      </c>
      <c r="R17" s="212">
        <f t="shared" si="0"/>
        <v>4.2548513504236753</v>
      </c>
      <c r="S17" s="1">
        <f t="shared" si="1"/>
        <v>19</v>
      </c>
      <c r="T17" s="91">
        <f>R17*'Team Batting vs L - Season'!$C$3</f>
        <v>0</v>
      </c>
      <c r="U17" s="91"/>
      <c r="V17" s="91"/>
    </row>
    <row r="18" spans="1:22" ht="15.75" customHeight="1">
      <c r="A18" s="169">
        <v>13</v>
      </c>
      <c r="B18" s="178">
        <v>2025</v>
      </c>
      <c r="C18" s="178" t="s">
        <v>86</v>
      </c>
      <c r="D18" s="169">
        <v>316</v>
      </c>
      <c r="E18" s="172">
        <v>9.8000000000000004E-2</v>
      </c>
      <c r="F18" s="172">
        <v>0.17699999999999999</v>
      </c>
      <c r="G18" s="169">
        <v>0.6</v>
      </c>
      <c r="H18" s="169">
        <v>0.254</v>
      </c>
      <c r="I18" s="169">
        <v>0.33200000000000002</v>
      </c>
      <c r="J18" s="169">
        <v>0.46200000000000002</v>
      </c>
      <c r="K18" s="169">
        <v>0.79500000000000004</v>
      </c>
      <c r="L18" s="169">
        <v>0.20799999999999999</v>
      </c>
      <c r="M18" s="169">
        <v>0.27600000000000002</v>
      </c>
      <c r="N18" s="169">
        <v>45</v>
      </c>
      <c r="O18" s="169">
        <v>7.3</v>
      </c>
      <c r="P18" s="169">
        <v>0.34300000000000003</v>
      </c>
      <c r="Q18" s="169">
        <v>121</v>
      </c>
      <c r="R18" s="212">
        <f t="shared" si="0"/>
        <v>5.222379524356465</v>
      </c>
      <c r="S18" s="1">
        <f t="shared" si="1"/>
        <v>8</v>
      </c>
      <c r="T18" s="91">
        <f>R18*'Team Batting vs L - Season'!$C$3</f>
        <v>0</v>
      </c>
      <c r="U18" s="91"/>
      <c r="V18" s="91"/>
    </row>
    <row r="19" spans="1:22" ht="15.75" customHeight="1">
      <c r="A19" s="169">
        <v>14</v>
      </c>
      <c r="B19" s="178">
        <v>2025</v>
      </c>
      <c r="C19" s="178" t="s">
        <v>93</v>
      </c>
      <c r="D19" s="169">
        <v>200</v>
      </c>
      <c r="E19" s="172">
        <v>8.5000000000000006E-2</v>
      </c>
      <c r="F19" s="172">
        <v>0.185</v>
      </c>
      <c r="G19" s="169">
        <v>0.5</v>
      </c>
      <c r="H19" s="169">
        <v>0.307</v>
      </c>
      <c r="I19" s="169">
        <v>0.375</v>
      </c>
      <c r="J19" s="169">
        <v>0.48</v>
      </c>
      <c r="K19" s="169">
        <v>0.85499999999999998</v>
      </c>
      <c r="L19" s="169">
        <v>0.17299999999999999</v>
      </c>
      <c r="M19" s="169">
        <v>0.35299999999999998</v>
      </c>
      <c r="N19" s="169">
        <v>33</v>
      </c>
      <c r="O19" s="169">
        <v>8.9</v>
      </c>
      <c r="P19" s="169">
        <v>0.36699999999999999</v>
      </c>
      <c r="Q19" s="169">
        <v>138</v>
      </c>
      <c r="R19" s="212">
        <f t="shared" si="0"/>
        <v>5.8673983069783224</v>
      </c>
      <c r="S19" s="1">
        <f t="shared" si="1"/>
        <v>2</v>
      </c>
      <c r="T19" s="91">
        <f>R19*'Team Batting vs L - Season'!$C$3</f>
        <v>0</v>
      </c>
      <c r="U19" s="91"/>
      <c r="V19" s="91"/>
    </row>
    <row r="20" spans="1:22" ht="15.75" customHeight="1">
      <c r="A20" s="169">
        <v>15</v>
      </c>
      <c r="B20" s="178">
        <v>2025</v>
      </c>
      <c r="C20" s="178" t="s">
        <v>66</v>
      </c>
      <c r="D20" s="169">
        <v>292</v>
      </c>
      <c r="E20" s="172">
        <v>8.5999999999999993E-2</v>
      </c>
      <c r="F20" s="172">
        <v>0.25</v>
      </c>
      <c r="G20" s="169">
        <v>0.3</v>
      </c>
      <c r="H20" s="169">
        <v>0.27400000000000002</v>
      </c>
      <c r="I20" s="169">
        <v>0.33900000000000002</v>
      </c>
      <c r="J20" s="169">
        <v>0.46800000000000003</v>
      </c>
      <c r="K20" s="169">
        <v>0.80700000000000005</v>
      </c>
      <c r="L20" s="169">
        <v>0.19400000000000001</v>
      </c>
      <c r="M20" s="169">
        <v>0.33300000000000002</v>
      </c>
      <c r="N20" s="169">
        <v>43</v>
      </c>
      <c r="O20" s="169">
        <v>7.9</v>
      </c>
      <c r="P20" s="169">
        <v>0.34699999999999998</v>
      </c>
      <c r="Q20" s="169">
        <v>122</v>
      </c>
      <c r="R20" s="212">
        <f t="shared" si="0"/>
        <v>5.3298826547934395</v>
      </c>
      <c r="S20" s="1">
        <f t="shared" si="1"/>
        <v>6</v>
      </c>
      <c r="T20" s="91">
        <f>R20*'Team Batting vs L - Season'!$C$3</f>
        <v>0</v>
      </c>
      <c r="U20" s="91"/>
      <c r="V20" s="91"/>
    </row>
    <row r="21" spans="1:22" ht="15.75" customHeight="1">
      <c r="A21" s="169">
        <v>16</v>
      </c>
      <c r="B21" s="178">
        <v>2025</v>
      </c>
      <c r="C21" s="178" t="s">
        <v>76</v>
      </c>
      <c r="D21" s="169">
        <v>355</v>
      </c>
      <c r="E21" s="172">
        <v>7.0000000000000007E-2</v>
      </c>
      <c r="F21" s="172">
        <v>0.192</v>
      </c>
      <c r="G21" s="169">
        <v>0.4</v>
      </c>
      <c r="H21" s="169">
        <v>0.27200000000000002</v>
      </c>
      <c r="I21" s="169">
        <v>0.32500000000000001</v>
      </c>
      <c r="J21" s="169">
        <v>0.42599999999999999</v>
      </c>
      <c r="K21" s="169">
        <v>0.751</v>
      </c>
      <c r="L21" s="169">
        <v>0.154</v>
      </c>
      <c r="M21" s="169">
        <v>0.313</v>
      </c>
      <c r="N21" s="169">
        <v>45</v>
      </c>
      <c r="O21" s="169">
        <v>2.8</v>
      </c>
      <c r="P21" s="169">
        <v>0.32400000000000001</v>
      </c>
      <c r="Q21" s="169">
        <v>106</v>
      </c>
      <c r="R21" s="212">
        <f t="shared" si="0"/>
        <v>4.7117396547808257</v>
      </c>
      <c r="S21" s="1">
        <f t="shared" si="1"/>
        <v>13</v>
      </c>
      <c r="T21" s="91">
        <f>R21*'Team Batting vs L - Season'!$C$3</f>
        <v>0</v>
      </c>
      <c r="U21" s="91"/>
      <c r="V21" s="91"/>
    </row>
    <row r="22" spans="1:22" ht="15.75" customHeight="1">
      <c r="A22" s="169">
        <v>17</v>
      </c>
      <c r="B22" s="178">
        <v>2025</v>
      </c>
      <c r="C22" s="178" t="s">
        <v>88</v>
      </c>
      <c r="D22" s="169">
        <v>209</v>
      </c>
      <c r="E22" s="172">
        <v>9.6000000000000002E-2</v>
      </c>
      <c r="F22" s="172">
        <v>0.23</v>
      </c>
      <c r="G22" s="169">
        <v>0.4</v>
      </c>
      <c r="H22" s="169">
        <v>0.23</v>
      </c>
      <c r="I22" s="169">
        <v>0.30299999999999999</v>
      </c>
      <c r="J22" s="169">
        <v>0.42099999999999999</v>
      </c>
      <c r="K22" s="169">
        <v>0.72399999999999998</v>
      </c>
      <c r="L22" s="169">
        <v>0.191</v>
      </c>
      <c r="M22" s="169">
        <v>0.248</v>
      </c>
      <c r="N22" s="169">
        <v>24</v>
      </c>
      <c r="O22" s="169">
        <v>-0.4</v>
      </c>
      <c r="P22" s="169">
        <v>0.313</v>
      </c>
      <c r="Q22" s="169">
        <v>101</v>
      </c>
      <c r="R22" s="212">
        <f t="shared" si="0"/>
        <v>4.4161060460791406</v>
      </c>
      <c r="S22" s="1">
        <f t="shared" si="1"/>
        <v>16</v>
      </c>
      <c r="T22" s="91">
        <f>R22*'Team Batting vs L - Season'!$C$3</f>
        <v>0</v>
      </c>
      <c r="U22" s="91"/>
      <c r="V22" s="91"/>
    </row>
    <row r="23" spans="1:22" ht="15.75" customHeight="1">
      <c r="A23" s="169">
        <v>18</v>
      </c>
      <c r="B23" s="178">
        <v>2025</v>
      </c>
      <c r="C23" s="178" t="s">
        <v>108</v>
      </c>
      <c r="D23" s="169">
        <v>232</v>
      </c>
      <c r="E23" s="172">
        <v>8.2000000000000003E-2</v>
      </c>
      <c r="F23" s="172">
        <v>0.19400000000000001</v>
      </c>
      <c r="G23" s="169">
        <v>0.4</v>
      </c>
      <c r="H23" s="169">
        <v>0.24399999999999999</v>
      </c>
      <c r="I23" s="169">
        <v>0.30199999999999999</v>
      </c>
      <c r="J23" s="169">
        <v>0.32500000000000001</v>
      </c>
      <c r="K23" s="169">
        <v>0.627</v>
      </c>
      <c r="L23" s="169">
        <v>8.1000000000000003E-2</v>
      </c>
      <c r="M23" s="169">
        <v>0.29499999999999998</v>
      </c>
      <c r="N23" s="169">
        <v>21</v>
      </c>
      <c r="O23" s="169">
        <v>-7</v>
      </c>
      <c r="P23" s="169">
        <v>0.27700000000000002</v>
      </c>
      <c r="Q23" s="169">
        <v>70</v>
      </c>
      <c r="R23" s="212">
        <f t="shared" si="0"/>
        <v>3.4485778721463518</v>
      </c>
      <c r="S23" s="1">
        <f t="shared" si="1"/>
        <v>29</v>
      </c>
      <c r="T23" s="91">
        <f>R23*'Team Batting vs L - Season'!$C$3</f>
        <v>0</v>
      </c>
      <c r="U23" s="91"/>
      <c r="V23" s="91"/>
    </row>
    <row r="24" spans="1:22" ht="15.75" customHeight="1">
      <c r="A24" s="169">
        <v>19</v>
      </c>
      <c r="B24" s="178">
        <v>2025</v>
      </c>
      <c r="C24" s="178" t="s">
        <v>36</v>
      </c>
      <c r="D24" s="169">
        <v>232</v>
      </c>
      <c r="E24" s="172">
        <v>5.6000000000000001E-2</v>
      </c>
      <c r="F24" s="172">
        <v>0.26300000000000001</v>
      </c>
      <c r="G24" s="169">
        <v>0.2</v>
      </c>
      <c r="H24" s="169">
        <v>0.25</v>
      </c>
      <c r="I24" s="169">
        <v>0.29799999999999999</v>
      </c>
      <c r="J24" s="169">
        <v>0.35799999999999998</v>
      </c>
      <c r="K24" s="169">
        <v>0.65700000000000003</v>
      </c>
      <c r="L24" s="169">
        <v>0.108</v>
      </c>
      <c r="M24" s="169">
        <v>0.33100000000000002</v>
      </c>
      <c r="N24" s="169">
        <v>23</v>
      </c>
      <c r="O24" s="169">
        <v>-4.8</v>
      </c>
      <c r="P24" s="169">
        <v>0.28899999999999998</v>
      </c>
      <c r="Q24" s="169">
        <v>70</v>
      </c>
      <c r="R24" s="212">
        <f t="shared" si="0"/>
        <v>3.7710872634572805</v>
      </c>
      <c r="S24" s="1">
        <f t="shared" si="1"/>
        <v>24</v>
      </c>
      <c r="T24" s="91">
        <f>R24*'Team Batting vs L - Season'!$C$3</f>
        <v>0</v>
      </c>
      <c r="U24" s="91"/>
      <c r="V24" s="91"/>
    </row>
    <row r="25" spans="1:22" ht="15.75" customHeight="1">
      <c r="A25" s="169">
        <v>20</v>
      </c>
      <c r="B25" s="178">
        <v>2025</v>
      </c>
      <c r="C25" s="178" t="s">
        <v>56</v>
      </c>
      <c r="D25" s="169">
        <v>398</v>
      </c>
      <c r="E25" s="172">
        <v>7.8E-2</v>
      </c>
      <c r="F25" s="172">
        <v>0.20899999999999999</v>
      </c>
      <c r="G25" s="169">
        <v>0.4</v>
      </c>
      <c r="H25" s="169">
        <v>0.23200000000000001</v>
      </c>
      <c r="I25" s="169">
        <v>0.29899999999999999</v>
      </c>
      <c r="J25" s="169">
        <v>0.38500000000000001</v>
      </c>
      <c r="K25" s="169">
        <v>0.68400000000000005</v>
      </c>
      <c r="L25" s="169">
        <v>0.154</v>
      </c>
      <c r="M25" s="169">
        <v>0.26900000000000002</v>
      </c>
      <c r="N25" s="169">
        <v>42</v>
      </c>
      <c r="O25" s="169">
        <v>-5.0999999999999996</v>
      </c>
      <c r="P25" s="169">
        <v>0.29899999999999999</v>
      </c>
      <c r="Q25" s="169">
        <v>88</v>
      </c>
      <c r="R25" s="212">
        <f t="shared" si="0"/>
        <v>4.0398450895497211</v>
      </c>
      <c r="S25" s="1">
        <f t="shared" si="1"/>
        <v>21</v>
      </c>
      <c r="T25" s="91">
        <f>R25*'Team Batting vs L - Season'!$C$3</f>
        <v>0</v>
      </c>
      <c r="U25" s="91"/>
      <c r="V25" s="91"/>
    </row>
    <row r="26" spans="1:22" ht="15.75" customHeight="1">
      <c r="A26" s="169">
        <v>21</v>
      </c>
      <c r="B26" s="178">
        <v>2025</v>
      </c>
      <c r="C26" s="178" t="s">
        <v>64</v>
      </c>
      <c r="D26" s="169">
        <v>348</v>
      </c>
      <c r="E26" s="172">
        <v>9.8000000000000004E-2</v>
      </c>
      <c r="F26" s="172">
        <v>0.23899999999999999</v>
      </c>
      <c r="G26" s="169">
        <v>0.4</v>
      </c>
      <c r="H26" s="169">
        <v>0.22</v>
      </c>
      <c r="I26" s="169">
        <v>0.30299999999999999</v>
      </c>
      <c r="J26" s="169">
        <v>0.34300000000000003</v>
      </c>
      <c r="K26" s="169">
        <v>0.64600000000000002</v>
      </c>
      <c r="L26" s="169">
        <v>0.123</v>
      </c>
      <c r="M26" s="169">
        <v>0.27400000000000002</v>
      </c>
      <c r="N26" s="169">
        <v>33</v>
      </c>
      <c r="O26" s="169">
        <v>-8.6999999999999993</v>
      </c>
      <c r="P26" s="169">
        <v>0.28399999999999997</v>
      </c>
      <c r="Q26" s="169">
        <v>80</v>
      </c>
      <c r="R26" s="212">
        <f t="shared" si="0"/>
        <v>3.6367083504110598</v>
      </c>
      <c r="S26" s="1">
        <f t="shared" si="1"/>
        <v>25</v>
      </c>
      <c r="T26" s="91">
        <f>R26*'Team Batting vs L - Season'!$C$3</f>
        <v>0</v>
      </c>
      <c r="U26" s="91"/>
      <c r="V26" s="91"/>
    </row>
    <row r="27" spans="1:22" ht="15.75" customHeight="1">
      <c r="A27" s="169">
        <v>22</v>
      </c>
      <c r="B27" s="178">
        <v>2025</v>
      </c>
      <c r="C27" s="178" t="s">
        <v>143</v>
      </c>
      <c r="D27" s="169">
        <v>289</v>
      </c>
      <c r="E27" s="172">
        <v>0.09</v>
      </c>
      <c r="F27" s="172">
        <v>0.20100000000000001</v>
      </c>
      <c r="G27" s="169">
        <v>0.4</v>
      </c>
      <c r="H27" s="169">
        <v>0.27100000000000002</v>
      </c>
      <c r="I27" s="169">
        <v>0.34100000000000003</v>
      </c>
      <c r="J27" s="169">
        <v>0.41599999999999998</v>
      </c>
      <c r="K27" s="169">
        <v>0.75700000000000001</v>
      </c>
      <c r="L27" s="169">
        <v>0.14499999999999999</v>
      </c>
      <c r="M27" s="169">
        <v>0.32100000000000001</v>
      </c>
      <c r="N27" s="169">
        <v>38</v>
      </c>
      <c r="O27" s="169">
        <v>3.9</v>
      </c>
      <c r="P27" s="169">
        <v>0.33</v>
      </c>
      <c r="Q27" s="169">
        <v>113</v>
      </c>
      <c r="R27" s="212">
        <f t="shared" si="0"/>
        <v>4.8729943504362909</v>
      </c>
      <c r="S27" s="1">
        <f t="shared" si="1"/>
        <v>10</v>
      </c>
      <c r="T27" s="91">
        <f>R27*'Team Batting vs L - Season'!$C$3</f>
        <v>0</v>
      </c>
      <c r="U27" s="91"/>
      <c r="V27" s="91"/>
    </row>
    <row r="28" spans="1:22" ht="15.75" customHeight="1">
      <c r="A28" s="169">
        <v>23</v>
      </c>
      <c r="B28" s="178">
        <v>2025</v>
      </c>
      <c r="C28" s="178" t="s">
        <v>70</v>
      </c>
      <c r="D28" s="169">
        <v>311</v>
      </c>
      <c r="E28" s="172">
        <v>9.6000000000000002E-2</v>
      </c>
      <c r="F28" s="172">
        <v>0.17699999999999999</v>
      </c>
      <c r="G28" s="169">
        <v>0.5</v>
      </c>
      <c r="H28" s="169">
        <v>0.255</v>
      </c>
      <c r="I28" s="169">
        <v>0.33200000000000002</v>
      </c>
      <c r="J28" s="169">
        <v>0.375</v>
      </c>
      <c r="K28" s="169">
        <v>0.70699999999999996</v>
      </c>
      <c r="L28" s="169">
        <v>0.12</v>
      </c>
      <c r="M28" s="169">
        <v>0.29599999999999999</v>
      </c>
      <c r="N28" s="169">
        <v>37</v>
      </c>
      <c r="O28" s="169">
        <v>-0.4</v>
      </c>
      <c r="P28" s="169">
        <v>0.312</v>
      </c>
      <c r="Q28" s="169">
        <v>100</v>
      </c>
      <c r="R28" s="212">
        <f t="shared" si="0"/>
        <v>4.3892302634698952</v>
      </c>
      <c r="S28" s="1">
        <f t="shared" si="1"/>
        <v>17</v>
      </c>
      <c r="T28" s="91">
        <f>R28*'Team Batting vs L - Season'!$C$3</f>
        <v>0</v>
      </c>
      <c r="U28" s="91"/>
      <c r="V28" s="91"/>
    </row>
    <row r="29" spans="1:22" ht="15.75" customHeight="1">
      <c r="A29" s="169">
        <v>24</v>
      </c>
      <c r="B29" s="178">
        <v>2025</v>
      </c>
      <c r="C29" s="178" t="s">
        <v>58</v>
      </c>
      <c r="D29" s="169">
        <v>257</v>
      </c>
      <c r="E29" s="172">
        <v>5.0999999999999997E-2</v>
      </c>
      <c r="F29" s="172">
        <v>0.31900000000000001</v>
      </c>
      <c r="G29" s="169">
        <v>0.2</v>
      </c>
      <c r="H29" s="169">
        <v>0.19500000000000001</v>
      </c>
      <c r="I29" s="169">
        <v>0.247</v>
      </c>
      <c r="J29" s="169">
        <v>0.28000000000000003</v>
      </c>
      <c r="K29" s="169">
        <v>0.52700000000000002</v>
      </c>
      <c r="L29" s="169">
        <v>8.5000000000000006E-2</v>
      </c>
      <c r="M29" s="169">
        <v>0.28599999999999998</v>
      </c>
      <c r="N29" s="169">
        <v>14</v>
      </c>
      <c r="O29" s="169">
        <v>-16.2</v>
      </c>
      <c r="P29" s="169">
        <v>0.23499999999999999</v>
      </c>
      <c r="Q29" s="169">
        <v>48</v>
      </c>
      <c r="R29" s="212">
        <f t="shared" si="0"/>
        <v>2.3197950025580978</v>
      </c>
      <c r="S29" s="1">
        <f t="shared" si="1"/>
        <v>30</v>
      </c>
      <c r="T29" s="91">
        <f>R29*'Team Batting vs L - Season'!$C$3</f>
        <v>0</v>
      </c>
      <c r="U29" s="91"/>
      <c r="V29" s="91"/>
    </row>
    <row r="30" spans="1:22" ht="15.75" customHeight="1">
      <c r="A30" s="169">
        <v>25</v>
      </c>
      <c r="B30" s="178">
        <v>2025</v>
      </c>
      <c r="C30" s="178" t="s">
        <v>91</v>
      </c>
      <c r="D30" s="169">
        <v>358</v>
      </c>
      <c r="E30" s="172">
        <v>8.6999999999999994E-2</v>
      </c>
      <c r="F30" s="172">
        <v>0.24</v>
      </c>
      <c r="G30" s="169">
        <v>0.4</v>
      </c>
      <c r="H30" s="169">
        <v>0.27800000000000002</v>
      </c>
      <c r="I30" s="169">
        <v>0.34899999999999998</v>
      </c>
      <c r="J30" s="169">
        <v>0.46100000000000002</v>
      </c>
      <c r="K30" s="169">
        <v>0.81</v>
      </c>
      <c r="L30" s="169">
        <v>0.183</v>
      </c>
      <c r="M30" s="169">
        <v>0.33800000000000002</v>
      </c>
      <c r="N30" s="169">
        <v>53</v>
      </c>
      <c r="O30" s="169">
        <v>10.6</v>
      </c>
      <c r="P30" s="169">
        <v>0.35</v>
      </c>
      <c r="Q30" s="169">
        <v>129</v>
      </c>
      <c r="R30" s="212">
        <f t="shared" si="0"/>
        <v>5.4105100026211721</v>
      </c>
      <c r="S30" s="1">
        <f t="shared" si="1"/>
        <v>3</v>
      </c>
      <c r="T30" s="91">
        <f>R30*'Team Batting vs L - Season'!$C$3</f>
        <v>0</v>
      </c>
      <c r="U30" s="91"/>
      <c r="V30" s="91"/>
    </row>
    <row r="31" spans="1:22" ht="15.75" customHeight="1">
      <c r="A31" s="169">
        <v>26</v>
      </c>
      <c r="B31" s="178">
        <v>2025</v>
      </c>
      <c r="C31" s="178" t="s">
        <v>68</v>
      </c>
      <c r="D31" s="169">
        <v>359</v>
      </c>
      <c r="E31" s="172">
        <v>7.8E-2</v>
      </c>
      <c r="F31" s="172">
        <v>0.24</v>
      </c>
      <c r="G31" s="169">
        <v>0.3</v>
      </c>
      <c r="H31" s="169">
        <v>0.26800000000000002</v>
      </c>
      <c r="I31" s="169">
        <v>0.34</v>
      </c>
      <c r="J31" s="169">
        <v>0.46400000000000002</v>
      </c>
      <c r="K31" s="169">
        <v>0.80400000000000005</v>
      </c>
      <c r="L31" s="169">
        <v>0.19600000000000001</v>
      </c>
      <c r="M31" s="169">
        <v>0.32</v>
      </c>
      <c r="N31" s="169">
        <v>53</v>
      </c>
      <c r="O31" s="169">
        <v>10</v>
      </c>
      <c r="P31" s="169">
        <v>0.34799999999999998</v>
      </c>
      <c r="Q31" s="169">
        <v>122</v>
      </c>
      <c r="R31" s="212">
        <f t="shared" si="0"/>
        <v>5.3567584374026831</v>
      </c>
      <c r="S31" s="1">
        <f t="shared" si="1"/>
        <v>4</v>
      </c>
      <c r="T31" s="91">
        <f>R31*'Team Batting vs L - Season'!$C$3</f>
        <v>0</v>
      </c>
      <c r="U31" s="91"/>
      <c r="V31" s="91"/>
    </row>
    <row r="32" spans="1:22" ht="15.75" customHeight="1">
      <c r="A32" s="169">
        <v>27</v>
      </c>
      <c r="B32" s="178">
        <v>2025</v>
      </c>
      <c r="C32" s="178" t="s">
        <v>82</v>
      </c>
      <c r="D32" s="169">
        <v>273</v>
      </c>
      <c r="E32" s="172">
        <v>0.128</v>
      </c>
      <c r="F32" s="172">
        <v>0.249</v>
      </c>
      <c r="G32" s="169">
        <v>0.5</v>
      </c>
      <c r="H32" s="169">
        <v>0.22</v>
      </c>
      <c r="I32" s="169">
        <v>0.32200000000000001</v>
      </c>
      <c r="J32" s="169">
        <v>0.36</v>
      </c>
      <c r="K32" s="169">
        <v>0.68300000000000005</v>
      </c>
      <c r="L32" s="169">
        <v>0.14000000000000001</v>
      </c>
      <c r="M32" s="169">
        <v>0.28199999999999997</v>
      </c>
      <c r="N32" s="169">
        <v>29</v>
      </c>
      <c r="O32" s="169">
        <v>-3</v>
      </c>
      <c r="P32" s="169">
        <v>0.30099999999999999</v>
      </c>
      <c r="Q32" s="169">
        <v>89</v>
      </c>
      <c r="R32" s="212">
        <f t="shared" si="0"/>
        <v>4.0935966547682101</v>
      </c>
      <c r="S32" s="1">
        <f t="shared" si="1"/>
        <v>20</v>
      </c>
      <c r="T32" s="91">
        <f>R32*'Team Batting vs L - Season'!$C$3</f>
        <v>0</v>
      </c>
      <c r="U32" s="91"/>
      <c r="V32" s="91"/>
    </row>
    <row r="33" spans="1:22" ht="15.75" customHeight="1">
      <c r="A33" s="169">
        <v>28</v>
      </c>
      <c r="B33" s="178">
        <v>2025</v>
      </c>
      <c r="C33" s="178" t="s">
        <v>53</v>
      </c>
      <c r="D33" s="169">
        <v>200</v>
      </c>
      <c r="E33" s="172">
        <v>7.4999999999999997E-2</v>
      </c>
      <c r="F33" s="172">
        <v>0.23499999999999999</v>
      </c>
      <c r="G33" s="169">
        <v>0.3</v>
      </c>
      <c r="H33" s="169">
        <v>0.23300000000000001</v>
      </c>
      <c r="I33" s="169">
        <v>0.30299999999999999</v>
      </c>
      <c r="J33" s="169">
        <v>0.35199999999999998</v>
      </c>
      <c r="K33" s="169">
        <v>0.65500000000000003</v>
      </c>
      <c r="L33" s="169">
        <v>0.11899999999999999</v>
      </c>
      <c r="M33" s="169">
        <v>0.28899999999999998</v>
      </c>
      <c r="N33" s="169">
        <v>20</v>
      </c>
      <c r="O33" s="169">
        <v>-3.7</v>
      </c>
      <c r="P33" s="169">
        <v>0.28999999999999998</v>
      </c>
      <c r="Q33" s="169">
        <v>87</v>
      </c>
      <c r="R33" s="212">
        <f t="shared" si="0"/>
        <v>3.7979630460665241</v>
      </c>
      <c r="S33" s="1">
        <f t="shared" si="1"/>
        <v>23</v>
      </c>
      <c r="T33" s="91">
        <f>R33*'Team Batting vs L - Season'!$C$3</f>
        <v>0</v>
      </c>
      <c r="U33" s="91"/>
      <c r="V33" s="91"/>
    </row>
    <row r="34" spans="1:22" ht="15.75" customHeight="1">
      <c r="A34" s="169">
        <v>29</v>
      </c>
      <c r="B34" s="178">
        <v>2025</v>
      </c>
      <c r="C34" s="178" t="s">
        <v>49</v>
      </c>
      <c r="D34" s="169">
        <v>272</v>
      </c>
      <c r="E34" s="172">
        <v>7.0000000000000007E-2</v>
      </c>
      <c r="F34" s="172">
        <v>0.20200000000000001</v>
      </c>
      <c r="G34" s="169">
        <v>0.3</v>
      </c>
      <c r="H34" s="169">
        <v>0.217</v>
      </c>
      <c r="I34" s="169">
        <v>0.28100000000000003</v>
      </c>
      <c r="J34" s="169">
        <v>0.36099999999999999</v>
      </c>
      <c r="K34" s="169">
        <v>0.64200000000000002</v>
      </c>
      <c r="L34" s="169">
        <v>0.14299999999999999</v>
      </c>
      <c r="M34" s="169">
        <v>0.251</v>
      </c>
      <c r="N34" s="169">
        <v>24</v>
      </c>
      <c r="O34" s="169">
        <v>-8</v>
      </c>
      <c r="P34" s="169">
        <v>0.28100000000000003</v>
      </c>
      <c r="Q34" s="169">
        <v>80</v>
      </c>
      <c r="R34" s="212">
        <f t="shared" si="0"/>
        <v>3.5560810025833289</v>
      </c>
      <c r="S34" s="1">
        <f t="shared" si="1"/>
        <v>27</v>
      </c>
      <c r="T34" s="91">
        <f>R34*'Team Batting vs L - Season'!$C$3</f>
        <v>0</v>
      </c>
      <c r="U34" s="91"/>
      <c r="V34" s="91"/>
    </row>
    <row r="35" spans="1:22" ht="15.75" customHeight="1">
      <c r="A35" s="169">
        <v>30</v>
      </c>
      <c r="B35" s="178">
        <v>2025</v>
      </c>
      <c r="C35" s="178" t="s">
        <v>126</v>
      </c>
      <c r="D35" s="169">
        <v>303</v>
      </c>
      <c r="E35" s="172">
        <v>9.9000000000000005E-2</v>
      </c>
      <c r="F35" s="172">
        <v>0.20499999999999999</v>
      </c>
      <c r="G35" s="169">
        <v>0.5</v>
      </c>
      <c r="H35" s="169">
        <v>0.23200000000000001</v>
      </c>
      <c r="I35" s="169">
        <v>0.31</v>
      </c>
      <c r="J35" s="169">
        <v>0.438</v>
      </c>
      <c r="K35" s="169">
        <v>0.748</v>
      </c>
      <c r="L35" s="169">
        <v>0.20599999999999999</v>
      </c>
      <c r="M35" s="169">
        <v>0.24199999999999999</v>
      </c>
      <c r="N35" s="169">
        <v>38</v>
      </c>
      <c r="O35" s="169">
        <v>2.1</v>
      </c>
      <c r="P35" s="169">
        <v>0.32300000000000001</v>
      </c>
      <c r="Q35" s="169">
        <v>109</v>
      </c>
      <c r="R35" s="212">
        <f t="shared" si="0"/>
        <v>4.6848638721715821</v>
      </c>
      <c r="S35" s="1">
        <f t="shared" si="1"/>
        <v>14</v>
      </c>
      <c r="T35" s="91">
        <f>R35*'Team Batting vs L - Season'!$C$3</f>
        <v>0</v>
      </c>
      <c r="U35" s="91"/>
      <c r="V35" s="91"/>
    </row>
    <row r="36" spans="1:22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226">
        <f>AVERAGE(P6:P35)</f>
        <v>0.31609999999999999</v>
      </c>
      <c r="Q36" s="193" t="s">
        <v>1052</v>
      </c>
      <c r="R36" s="209">
        <f>AVERAGE(R5:R34)</f>
        <v>4.4930263894090441</v>
      </c>
      <c r="T36" s="91">
        <f>AVERAGE(T6:T35)</f>
        <v>0</v>
      </c>
      <c r="U36" s="91"/>
      <c r="V36" s="91"/>
    </row>
  </sheetData>
  <hyperlinks>
    <hyperlink ref="T3" r:id="rId1" xr:uid="{00000000-0004-0000-2D00-000000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U94"/>
  <sheetViews>
    <sheetView workbookViewId="0">
      <selection activeCell="A5" sqref="A5"/>
    </sheetView>
  </sheetViews>
  <sheetFormatPr defaultColWidth="12.5703125" defaultRowHeight="15" customHeight="1"/>
  <sheetData>
    <row r="1" spans="1:21" ht="15" customHeight="1">
      <c r="A1" s="227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9"/>
      <c r="U1" s="229"/>
    </row>
    <row r="2" spans="1:21" ht="15" customHeight="1">
      <c r="A2" s="230"/>
      <c r="B2" s="413" t="s">
        <v>1060</v>
      </c>
      <c r="C2" s="377"/>
      <c r="D2" s="377"/>
      <c r="E2" s="377"/>
      <c r="F2" s="377"/>
      <c r="G2" s="377"/>
      <c r="H2" s="414"/>
      <c r="I2" s="413" t="s">
        <v>1061</v>
      </c>
      <c r="J2" s="377"/>
      <c r="K2" s="377"/>
      <c r="L2" s="414"/>
      <c r="M2" s="415" t="s">
        <v>1062</v>
      </c>
      <c r="N2" s="377"/>
      <c r="O2" s="377"/>
      <c r="P2" s="377"/>
      <c r="Q2" s="377"/>
      <c r="R2" s="377"/>
      <c r="S2" s="377"/>
      <c r="T2" s="229"/>
      <c r="U2" s="229"/>
    </row>
    <row r="3" spans="1:21" ht="15" customHeight="1">
      <c r="A3" s="227" t="s">
        <v>9</v>
      </c>
      <c r="B3" s="228" t="s">
        <v>937</v>
      </c>
      <c r="C3" s="228" t="s">
        <v>350</v>
      </c>
      <c r="D3" s="228" t="s">
        <v>311</v>
      </c>
      <c r="E3" s="228" t="s">
        <v>1063</v>
      </c>
      <c r="F3" s="228" t="s">
        <v>1064</v>
      </c>
      <c r="G3" s="228" t="s">
        <v>1065</v>
      </c>
      <c r="H3" s="231" t="s">
        <v>1066</v>
      </c>
      <c r="I3" s="228" t="s">
        <v>350</v>
      </c>
      <c r="J3" s="228" t="s">
        <v>311</v>
      </c>
      <c r="K3" s="228" t="s">
        <v>1063</v>
      </c>
      <c r="L3" s="231" t="s">
        <v>1067</v>
      </c>
      <c r="M3" s="228" t="s">
        <v>350</v>
      </c>
      <c r="N3" s="228" t="s">
        <v>311</v>
      </c>
      <c r="O3" s="228" t="s">
        <v>1063</v>
      </c>
      <c r="P3" s="228" t="s">
        <v>1067</v>
      </c>
      <c r="Q3" s="228" t="s">
        <v>1064</v>
      </c>
      <c r="R3" s="228" t="s">
        <v>1065</v>
      </c>
      <c r="S3" s="228" t="s">
        <v>1066</v>
      </c>
      <c r="T3" s="232">
        <v>5.2</v>
      </c>
      <c r="U3" s="232">
        <v>4.22</v>
      </c>
    </row>
    <row r="4" spans="1:21" ht="15" customHeight="1">
      <c r="A4" s="233" t="s">
        <v>788</v>
      </c>
      <c r="B4" s="234">
        <v>162</v>
      </c>
      <c r="C4" s="234">
        <v>94</v>
      </c>
      <c r="D4" s="234">
        <v>68</v>
      </c>
      <c r="E4" s="234">
        <v>0.57999999999999996</v>
      </c>
      <c r="F4" s="234">
        <v>164</v>
      </c>
      <c r="G4" s="234">
        <v>5.24</v>
      </c>
      <c r="H4" s="235">
        <v>4.2300000000000004</v>
      </c>
      <c r="I4" s="234">
        <v>97</v>
      </c>
      <c r="J4" s="234">
        <v>65</v>
      </c>
      <c r="K4" s="234">
        <v>0.60099999999999998</v>
      </c>
      <c r="L4" s="235">
        <v>-3</v>
      </c>
      <c r="M4" s="234">
        <v>100</v>
      </c>
      <c r="N4" s="234">
        <v>62</v>
      </c>
      <c r="O4" s="234">
        <v>0.61599999999999999</v>
      </c>
      <c r="P4" s="234">
        <v>-6</v>
      </c>
      <c r="Q4" s="234">
        <v>187</v>
      </c>
      <c r="R4" s="234">
        <v>5.24</v>
      </c>
      <c r="S4" s="234">
        <v>4.08</v>
      </c>
      <c r="T4" s="232">
        <v>4.71</v>
      </c>
      <c r="U4" s="232">
        <v>4.1500000000000004</v>
      </c>
    </row>
    <row r="5" spans="1:21" ht="15" customHeight="1">
      <c r="A5" s="233" t="s">
        <v>757</v>
      </c>
      <c r="B5" s="234">
        <v>162</v>
      </c>
      <c r="C5" s="234">
        <v>97</v>
      </c>
      <c r="D5" s="234">
        <v>65</v>
      </c>
      <c r="E5" s="234">
        <v>0.59899999999999998</v>
      </c>
      <c r="F5" s="234">
        <v>172</v>
      </c>
      <c r="G5" s="234">
        <v>4.9800000000000004</v>
      </c>
      <c r="H5" s="235">
        <v>3.91</v>
      </c>
      <c r="I5" s="234">
        <v>99</v>
      </c>
      <c r="J5" s="234">
        <v>63</v>
      </c>
      <c r="K5" s="234">
        <v>0.61</v>
      </c>
      <c r="L5" s="235">
        <v>-2</v>
      </c>
      <c r="M5" s="234">
        <v>95</v>
      </c>
      <c r="N5" s="234">
        <v>67</v>
      </c>
      <c r="O5" s="234">
        <v>0.58799999999999997</v>
      </c>
      <c r="P5" s="234">
        <f>2</f>
        <v>2</v>
      </c>
      <c r="Q5" s="234">
        <v>134</v>
      </c>
      <c r="R5" s="234">
        <v>4.7699999999999996</v>
      </c>
      <c r="S5" s="234">
        <v>3.94</v>
      </c>
      <c r="T5" s="232">
        <v>5.04</v>
      </c>
      <c r="U5" s="232">
        <v>4.1100000000000003</v>
      </c>
    </row>
    <row r="6" spans="1:21" ht="15" customHeight="1">
      <c r="A6" s="233" t="s">
        <v>760</v>
      </c>
      <c r="B6" s="234">
        <v>162</v>
      </c>
      <c r="C6" s="234">
        <v>92</v>
      </c>
      <c r="D6" s="234">
        <v>70</v>
      </c>
      <c r="E6" s="234">
        <v>0.56799999999999995</v>
      </c>
      <c r="F6" s="234">
        <v>144</v>
      </c>
      <c r="G6" s="234">
        <v>4.9000000000000004</v>
      </c>
      <c r="H6" s="235">
        <v>4.01</v>
      </c>
      <c r="I6" s="234">
        <v>96</v>
      </c>
      <c r="J6" s="234">
        <v>66</v>
      </c>
      <c r="K6" s="234">
        <v>0.59299999999999997</v>
      </c>
      <c r="L6" s="235">
        <v>-4</v>
      </c>
      <c r="M6" s="234">
        <v>95</v>
      </c>
      <c r="N6" s="234">
        <v>67</v>
      </c>
      <c r="O6" s="234">
        <v>0.58599999999999997</v>
      </c>
      <c r="P6" s="234">
        <v>-3</v>
      </c>
      <c r="Q6" s="234">
        <v>136</v>
      </c>
      <c r="R6" s="234">
        <v>4.95</v>
      </c>
      <c r="S6" s="234">
        <v>4.12</v>
      </c>
      <c r="T6" s="232">
        <v>4.62</v>
      </c>
      <c r="U6" s="232">
        <v>3.97</v>
      </c>
    </row>
    <row r="7" spans="1:21" ht="15" customHeight="1">
      <c r="A7" s="233" t="s">
        <v>763</v>
      </c>
      <c r="B7" s="234">
        <v>162</v>
      </c>
      <c r="C7" s="234">
        <v>93</v>
      </c>
      <c r="D7" s="234">
        <v>69</v>
      </c>
      <c r="E7" s="234">
        <v>0.57399999999999995</v>
      </c>
      <c r="F7" s="234">
        <v>142</v>
      </c>
      <c r="G7" s="234">
        <v>5.09</v>
      </c>
      <c r="H7" s="235">
        <v>4.22</v>
      </c>
      <c r="I7" s="234">
        <v>95</v>
      </c>
      <c r="J7" s="234">
        <v>67</v>
      </c>
      <c r="K7" s="234">
        <v>0.58899999999999997</v>
      </c>
      <c r="L7" s="235">
        <v>-2</v>
      </c>
      <c r="M7" s="234">
        <v>94</v>
      </c>
      <c r="N7" s="234">
        <v>68</v>
      </c>
      <c r="O7" s="234">
        <v>0.58099999999999996</v>
      </c>
      <c r="P7" s="234">
        <v>-1</v>
      </c>
      <c r="Q7" s="234">
        <v>129</v>
      </c>
      <c r="R7" s="234">
        <v>5.01</v>
      </c>
      <c r="S7" s="234">
        <v>4.22</v>
      </c>
      <c r="T7" s="232">
        <v>4.5599999999999996</v>
      </c>
      <c r="U7" s="232">
        <v>3.96</v>
      </c>
    </row>
    <row r="8" spans="1:21" ht="15" customHeight="1">
      <c r="A8" s="233" t="s">
        <v>775</v>
      </c>
      <c r="B8" s="234">
        <v>162</v>
      </c>
      <c r="C8" s="234">
        <v>96</v>
      </c>
      <c r="D8" s="234">
        <v>66</v>
      </c>
      <c r="E8" s="234">
        <v>0.59299999999999997</v>
      </c>
      <c r="F8" s="234">
        <v>130</v>
      </c>
      <c r="G8" s="234">
        <v>4.8</v>
      </c>
      <c r="H8" s="235">
        <v>4</v>
      </c>
      <c r="I8" s="234">
        <v>95</v>
      </c>
      <c r="J8" s="234">
        <v>67</v>
      </c>
      <c r="K8" s="234">
        <v>0.58499999999999996</v>
      </c>
      <c r="L8" s="235">
        <f>1</f>
        <v>1</v>
      </c>
      <c r="M8" s="234">
        <v>94</v>
      </c>
      <c r="N8" s="234">
        <v>68</v>
      </c>
      <c r="O8" s="234">
        <v>0.57899999999999996</v>
      </c>
      <c r="P8" s="234">
        <f>2</f>
        <v>2</v>
      </c>
      <c r="Q8" s="234">
        <v>125</v>
      </c>
      <c r="R8" s="234">
        <v>4.96</v>
      </c>
      <c r="S8" s="234">
        <v>4.1900000000000004</v>
      </c>
      <c r="T8" s="232">
        <v>4.57</v>
      </c>
      <c r="U8" s="232">
        <v>4.0599999999999996</v>
      </c>
    </row>
    <row r="9" spans="1:21" ht="15" customHeight="1">
      <c r="A9" s="233" t="s">
        <v>780</v>
      </c>
      <c r="B9" s="234">
        <v>162</v>
      </c>
      <c r="C9" s="234">
        <v>89</v>
      </c>
      <c r="D9" s="234">
        <v>73</v>
      </c>
      <c r="E9" s="234">
        <v>0.54900000000000004</v>
      </c>
      <c r="F9" s="234">
        <v>110</v>
      </c>
      <c r="G9" s="234">
        <v>4.8499999999999996</v>
      </c>
      <c r="H9" s="235">
        <v>4.17</v>
      </c>
      <c r="I9" s="234">
        <v>92</v>
      </c>
      <c r="J9" s="234">
        <v>70</v>
      </c>
      <c r="K9" s="234">
        <v>0.56999999999999995</v>
      </c>
      <c r="L9" s="235">
        <v>-3</v>
      </c>
      <c r="M9" s="234">
        <v>93</v>
      </c>
      <c r="N9" s="234">
        <v>69</v>
      </c>
      <c r="O9" s="234">
        <v>0.57399999999999995</v>
      </c>
      <c r="P9" s="234">
        <v>-4</v>
      </c>
      <c r="Q9" s="234">
        <v>115</v>
      </c>
      <c r="R9" s="234">
        <v>4.8099999999999996</v>
      </c>
      <c r="S9" s="234">
        <v>4.0999999999999996</v>
      </c>
      <c r="T9" s="232">
        <v>5</v>
      </c>
      <c r="U9" s="232">
        <v>4.3499999999999996</v>
      </c>
    </row>
    <row r="10" spans="1:21" ht="15" customHeight="1">
      <c r="A10" s="233" t="s">
        <v>769</v>
      </c>
      <c r="B10" s="234">
        <v>162</v>
      </c>
      <c r="C10" s="234">
        <v>83</v>
      </c>
      <c r="D10" s="234">
        <v>79</v>
      </c>
      <c r="E10" s="234">
        <v>0.51200000000000001</v>
      </c>
      <c r="F10" s="234">
        <v>51</v>
      </c>
      <c r="G10" s="234">
        <v>4.7300000000000004</v>
      </c>
      <c r="H10" s="235">
        <v>4.41</v>
      </c>
      <c r="I10" s="234">
        <v>86</v>
      </c>
      <c r="J10" s="234">
        <v>76</v>
      </c>
      <c r="K10" s="234">
        <v>0.53200000000000003</v>
      </c>
      <c r="L10" s="235">
        <v>-3</v>
      </c>
      <c r="M10" s="234">
        <v>92</v>
      </c>
      <c r="N10" s="234">
        <v>70</v>
      </c>
      <c r="O10" s="234">
        <v>0.56599999999999995</v>
      </c>
      <c r="P10" s="234">
        <v>-9</v>
      </c>
      <c r="Q10" s="234">
        <v>105</v>
      </c>
      <c r="R10" s="234">
        <v>4.92</v>
      </c>
      <c r="S10" s="234">
        <v>4.2699999999999996</v>
      </c>
      <c r="T10" s="232">
        <v>4.4000000000000004</v>
      </c>
      <c r="U10" s="232">
        <v>4.09</v>
      </c>
    </row>
    <row r="11" spans="1:21" ht="15" customHeight="1">
      <c r="A11" s="233" t="s">
        <v>767</v>
      </c>
      <c r="B11" s="234">
        <v>162</v>
      </c>
      <c r="C11" s="234">
        <v>90</v>
      </c>
      <c r="D11" s="234">
        <v>72</v>
      </c>
      <c r="E11" s="234">
        <v>0.55600000000000005</v>
      </c>
      <c r="F11" s="234">
        <v>72</v>
      </c>
      <c r="G11" s="234">
        <v>4.7300000000000004</v>
      </c>
      <c r="H11" s="235">
        <v>4.28</v>
      </c>
      <c r="I11" s="234">
        <v>88</v>
      </c>
      <c r="J11" s="234">
        <v>74</v>
      </c>
      <c r="K11" s="234">
        <v>0.54600000000000004</v>
      </c>
      <c r="L11" s="235">
        <f>2</f>
        <v>2</v>
      </c>
      <c r="M11" s="234">
        <v>90</v>
      </c>
      <c r="N11" s="234">
        <v>72</v>
      </c>
      <c r="O11" s="234">
        <v>0.55500000000000005</v>
      </c>
      <c r="P11" s="234">
        <f>0</f>
        <v>0</v>
      </c>
      <c r="Q11" s="234">
        <v>86</v>
      </c>
      <c r="R11" s="234">
        <v>4.78</v>
      </c>
      <c r="S11" s="234">
        <v>4.25</v>
      </c>
      <c r="T11" s="232">
        <v>4.3600000000000003</v>
      </c>
      <c r="U11" s="232">
        <v>3.99</v>
      </c>
    </row>
    <row r="12" spans="1:21" ht="15" customHeight="1">
      <c r="A12" s="233" t="s">
        <v>773</v>
      </c>
      <c r="B12" s="234">
        <v>162</v>
      </c>
      <c r="C12" s="234">
        <v>90</v>
      </c>
      <c r="D12" s="234">
        <v>72</v>
      </c>
      <c r="E12" s="234">
        <v>0.55600000000000005</v>
      </c>
      <c r="F12" s="234">
        <v>81</v>
      </c>
      <c r="G12" s="234">
        <v>4.33</v>
      </c>
      <c r="H12" s="235">
        <v>3.83</v>
      </c>
      <c r="I12" s="234">
        <v>90</v>
      </c>
      <c r="J12" s="234">
        <v>72</v>
      </c>
      <c r="K12" s="234">
        <v>0.55600000000000005</v>
      </c>
      <c r="L12" s="235">
        <v>0</v>
      </c>
      <c r="M12" s="234">
        <v>88</v>
      </c>
      <c r="N12" s="234">
        <v>74</v>
      </c>
      <c r="O12" s="234">
        <v>0.54600000000000004</v>
      </c>
      <c r="P12" s="234">
        <f>2</f>
        <v>2</v>
      </c>
      <c r="Q12" s="234">
        <v>67</v>
      </c>
      <c r="R12" s="234">
        <v>4.34</v>
      </c>
      <c r="S12" s="234">
        <v>3.92</v>
      </c>
      <c r="T12" s="232">
        <v>4.32</v>
      </c>
      <c r="U12" s="232">
        <v>4.1100000000000003</v>
      </c>
    </row>
    <row r="13" spans="1:21" ht="15" customHeight="1">
      <c r="A13" s="233" t="s">
        <v>785</v>
      </c>
      <c r="B13" s="234">
        <v>162</v>
      </c>
      <c r="C13" s="234">
        <v>87</v>
      </c>
      <c r="D13" s="234">
        <v>75</v>
      </c>
      <c r="E13" s="234">
        <v>0.53700000000000003</v>
      </c>
      <c r="F13" s="234">
        <v>67</v>
      </c>
      <c r="G13" s="234">
        <v>4.68</v>
      </c>
      <c r="H13" s="235">
        <v>4.2699999999999996</v>
      </c>
      <c r="I13" s="234">
        <v>88</v>
      </c>
      <c r="J13" s="234">
        <v>74</v>
      </c>
      <c r="K13" s="234">
        <v>0.54300000000000004</v>
      </c>
      <c r="L13" s="235">
        <v>-1</v>
      </c>
      <c r="M13" s="234">
        <v>87</v>
      </c>
      <c r="N13" s="234">
        <v>75</v>
      </c>
      <c r="O13" s="234">
        <v>0.53700000000000003</v>
      </c>
      <c r="P13" s="234">
        <v>0</v>
      </c>
      <c r="Q13" s="234">
        <v>57</v>
      </c>
      <c r="R13" s="234">
        <v>4.54</v>
      </c>
      <c r="S13" s="234">
        <v>4.1900000000000004</v>
      </c>
      <c r="T13" s="232">
        <v>4.78</v>
      </c>
      <c r="U13" s="232">
        <v>4.54</v>
      </c>
    </row>
    <row r="14" spans="1:21" ht="15" customHeight="1">
      <c r="A14" s="233" t="s">
        <v>753</v>
      </c>
      <c r="B14" s="234">
        <v>162</v>
      </c>
      <c r="C14" s="234">
        <v>94</v>
      </c>
      <c r="D14" s="234">
        <v>68</v>
      </c>
      <c r="E14" s="234">
        <v>0.57999999999999996</v>
      </c>
      <c r="F14" s="234">
        <v>77</v>
      </c>
      <c r="G14" s="234">
        <v>4.93</v>
      </c>
      <c r="H14" s="235">
        <v>4.45</v>
      </c>
      <c r="I14" s="234">
        <v>89</v>
      </c>
      <c r="J14" s="234">
        <v>73</v>
      </c>
      <c r="K14" s="234">
        <v>0.54800000000000004</v>
      </c>
      <c r="L14" s="235">
        <f>5</f>
        <v>5</v>
      </c>
      <c r="M14" s="234">
        <v>87</v>
      </c>
      <c r="N14" s="234">
        <v>75</v>
      </c>
      <c r="O14" s="234">
        <v>0.53500000000000003</v>
      </c>
      <c r="P14" s="234">
        <f>7</f>
        <v>7</v>
      </c>
      <c r="Q14" s="234">
        <v>56</v>
      </c>
      <c r="R14" s="234">
        <v>4.82</v>
      </c>
      <c r="S14" s="234">
        <v>4.47</v>
      </c>
      <c r="T14" s="232">
        <v>4.26</v>
      </c>
      <c r="U14" s="232">
        <v>3.96</v>
      </c>
    </row>
    <row r="15" spans="1:21" ht="15" customHeight="1">
      <c r="A15" s="233" t="s">
        <v>777</v>
      </c>
      <c r="B15" s="234">
        <v>162</v>
      </c>
      <c r="C15" s="234">
        <v>81</v>
      </c>
      <c r="D15" s="234">
        <v>81</v>
      </c>
      <c r="E15" s="234">
        <v>0.5</v>
      </c>
      <c r="F15" s="234">
        <v>79</v>
      </c>
      <c r="G15" s="234">
        <v>4.22</v>
      </c>
      <c r="H15" s="235">
        <v>3.73</v>
      </c>
      <c r="I15" s="234">
        <v>90</v>
      </c>
      <c r="J15" s="234">
        <v>72</v>
      </c>
      <c r="K15" s="234">
        <v>0.55500000000000005</v>
      </c>
      <c r="L15" s="235">
        <v>-9</v>
      </c>
      <c r="M15" s="234">
        <v>86</v>
      </c>
      <c r="N15" s="234">
        <v>76</v>
      </c>
      <c r="O15" s="234">
        <v>0.52900000000000003</v>
      </c>
      <c r="P15" s="234">
        <v>-5</v>
      </c>
      <c r="Q15" s="234">
        <v>42</v>
      </c>
      <c r="R15" s="234">
        <v>4.09</v>
      </c>
      <c r="S15" s="234">
        <v>3.83</v>
      </c>
      <c r="T15" s="232">
        <v>4.04</v>
      </c>
      <c r="U15" s="232">
        <v>4.01</v>
      </c>
    </row>
    <row r="16" spans="1:21" ht="15" customHeight="1">
      <c r="A16" s="233" t="s">
        <v>778</v>
      </c>
      <c r="B16" s="234">
        <v>162</v>
      </c>
      <c r="C16" s="234">
        <v>77</v>
      </c>
      <c r="D16" s="234">
        <v>85</v>
      </c>
      <c r="E16" s="234">
        <v>0.47499999999999998</v>
      </c>
      <c r="F16" s="234">
        <v>31</v>
      </c>
      <c r="G16" s="234">
        <v>4.41</v>
      </c>
      <c r="H16" s="235">
        <v>4.22</v>
      </c>
      <c r="I16" s="234">
        <v>84</v>
      </c>
      <c r="J16" s="234">
        <v>78</v>
      </c>
      <c r="K16" s="234">
        <v>0.52100000000000002</v>
      </c>
      <c r="L16" s="235">
        <v>-7</v>
      </c>
      <c r="M16" s="234">
        <v>84</v>
      </c>
      <c r="N16" s="234">
        <v>78</v>
      </c>
      <c r="O16" s="234">
        <v>0.52100000000000002</v>
      </c>
      <c r="P16" s="234">
        <v>-7</v>
      </c>
      <c r="Q16" s="234">
        <v>31</v>
      </c>
      <c r="R16" s="234">
        <v>4.4000000000000004</v>
      </c>
      <c r="S16" s="234">
        <v>4.21</v>
      </c>
      <c r="T16" s="232">
        <v>4.3</v>
      </c>
      <c r="U16" s="232">
        <v>4.1100000000000003</v>
      </c>
    </row>
    <row r="17" spans="1:21" ht="15" customHeight="1">
      <c r="A17" s="233" t="s">
        <v>783</v>
      </c>
      <c r="B17" s="234">
        <v>162</v>
      </c>
      <c r="C17" s="234">
        <v>82</v>
      </c>
      <c r="D17" s="234">
        <v>80</v>
      </c>
      <c r="E17" s="234">
        <v>0.50600000000000001</v>
      </c>
      <c r="F17" s="234">
        <v>14</v>
      </c>
      <c r="G17" s="234">
        <v>4.0199999999999996</v>
      </c>
      <c r="H17" s="235">
        <v>3.93</v>
      </c>
      <c r="I17" s="234">
        <v>83</v>
      </c>
      <c r="J17" s="234">
        <v>79</v>
      </c>
      <c r="K17" s="234">
        <v>0.51</v>
      </c>
      <c r="L17" s="235">
        <v>-1</v>
      </c>
      <c r="M17" s="234">
        <v>84</v>
      </c>
      <c r="N17" s="234">
        <v>78</v>
      </c>
      <c r="O17" s="234">
        <v>0.51800000000000002</v>
      </c>
      <c r="P17" s="234">
        <v>-2</v>
      </c>
      <c r="Q17" s="234">
        <v>27</v>
      </c>
      <c r="R17" s="234">
        <v>4.2</v>
      </c>
      <c r="S17" s="234">
        <v>4.03</v>
      </c>
      <c r="T17" s="232">
        <v>4.46</v>
      </c>
      <c r="U17" s="232">
        <v>4.25</v>
      </c>
    </row>
    <row r="18" spans="1:21" ht="15" customHeight="1">
      <c r="A18" s="233" t="s">
        <v>761</v>
      </c>
      <c r="B18" s="234">
        <v>162</v>
      </c>
      <c r="C18" s="234">
        <v>80</v>
      </c>
      <c r="D18" s="234">
        <v>82</v>
      </c>
      <c r="E18" s="234">
        <v>0.49399999999999999</v>
      </c>
      <c r="F18" s="234">
        <v>6</v>
      </c>
      <c r="G18" s="234">
        <v>4.88</v>
      </c>
      <c r="H18" s="235">
        <v>4.8499999999999996</v>
      </c>
      <c r="I18" s="234">
        <v>82</v>
      </c>
      <c r="J18" s="234">
        <v>80</v>
      </c>
      <c r="K18" s="234">
        <v>0.504</v>
      </c>
      <c r="L18" s="235">
        <v>-2</v>
      </c>
      <c r="M18" s="234">
        <v>83</v>
      </c>
      <c r="N18" s="234">
        <v>79</v>
      </c>
      <c r="O18" s="234">
        <v>0.51400000000000001</v>
      </c>
      <c r="P18" s="234">
        <v>-3</v>
      </c>
      <c r="Q18" s="234">
        <v>22</v>
      </c>
      <c r="R18" s="234">
        <v>4.92</v>
      </c>
      <c r="S18" s="234">
        <v>4.78</v>
      </c>
      <c r="T18" s="232">
        <v>4.55</v>
      </c>
      <c r="U18" s="232">
        <v>4.41</v>
      </c>
    </row>
    <row r="19" spans="1:21" ht="15" customHeight="1">
      <c r="A19" s="233" t="s">
        <v>752</v>
      </c>
      <c r="B19" s="234">
        <v>162</v>
      </c>
      <c r="C19" s="234">
        <v>87</v>
      </c>
      <c r="D19" s="234">
        <v>75</v>
      </c>
      <c r="E19" s="234">
        <v>0.53700000000000003</v>
      </c>
      <c r="F19" s="234">
        <v>21</v>
      </c>
      <c r="G19" s="234">
        <v>4.2300000000000004</v>
      </c>
      <c r="H19" s="235">
        <v>4.0999999999999996</v>
      </c>
      <c r="I19" s="234">
        <v>83</v>
      </c>
      <c r="J19" s="234">
        <v>79</v>
      </c>
      <c r="K19" s="234">
        <v>0.51400000000000001</v>
      </c>
      <c r="L19" s="235">
        <f>4</f>
        <v>4</v>
      </c>
      <c r="M19" s="234">
        <v>82</v>
      </c>
      <c r="N19" s="234">
        <v>80</v>
      </c>
      <c r="O19" s="234">
        <v>0.505</v>
      </c>
      <c r="P19" s="234">
        <f>5</f>
        <v>5</v>
      </c>
      <c r="Q19" s="234">
        <v>7</v>
      </c>
      <c r="R19" s="234">
        <v>4.3099999999999996</v>
      </c>
      <c r="S19" s="234">
        <v>4.2699999999999996</v>
      </c>
      <c r="T19" s="232">
        <v>4.13</v>
      </c>
      <c r="U19" s="232">
        <v>4.0999999999999996</v>
      </c>
    </row>
    <row r="20" spans="1:21" ht="15" customHeight="1">
      <c r="A20" s="233" t="s">
        <v>781</v>
      </c>
      <c r="B20" s="234">
        <v>162</v>
      </c>
      <c r="C20" s="234">
        <v>83</v>
      </c>
      <c r="D20" s="234">
        <v>79</v>
      </c>
      <c r="E20" s="234">
        <v>0.51200000000000001</v>
      </c>
      <c r="F20" s="234">
        <v>35</v>
      </c>
      <c r="G20" s="234">
        <v>4.42</v>
      </c>
      <c r="H20" s="235">
        <v>4.2</v>
      </c>
      <c r="I20" s="234">
        <v>85</v>
      </c>
      <c r="J20" s="234">
        <v>77</v>
      </c>
      <c r="K20" s="234">
        <v>0.52300000000000002</v>
      </c>
      <c r="L20" s="235">
        <v>-2</v>
      </c>
      <c r="M20" s="234">
        <v>81</v>
      </c>
      <c r="N20" s="234">
        <v>81</v>
      </c>
      <c r="O20" s="234">
        <v>0.502</v>
      </c>
      <c r="P20" s="234">
        <f>2</f>
        <v>2</v>
      </c>
      <c r="Q20" s="234">
        <v>3</v>
      </c>
      <c r="R20" s="234">
        <v>4.3099999999999996</v>
      </c>
      <c r="S20" s="234">
        <v>4.29</v>
      </c>
      <c r="T20" s="232">
        <v>4.3499999999999996</v>
      </c>
      <c r="U20" s="232">
        <v>4.37</v>
      </c>
    </row>
    <row r="21" spans="1:21" ht="15" customHeight="1">
      <c r="A21" s="233" t="s">
        <v>764</v>
      </c>
      <c r="B21" s="234">
        <v>162</v>
      </c>
      <c r="C21" s="234">
        <v>81</v>
      </c>
      <c r="D21" s="234">
        <v>81</v>
      </c>
      <c r="E21" s="234">
        <v>0.5</v>
      </c>
      <c r="F21" s="234">
        <v>21</v>
      </c>
      <c r="G21" s="234">
        <v>4.3499999999999996</v>
      </c>
      <c r="H21" s="235">
        <v>4.22</v>
      </c>
      <c r="I21" s="234">
        <v>83</v>
      </c>
      <c r="J21" s="234">
        <v>79</v>
      </c>
      <c r="K21" s="234">
        <v>0.51400000000000001</v>
      </c>
      <c r="L21" s="235">
        <v>-2</v>
      </c>
      <c r="M21" s="234">
        <v>81</v>
      </c>
      <c r="N21" s="234">
        <v>81</v>
      </c>
      <c r="O21" s="234">
        <v>0.498</v>
      </c>
      <c r="P21" s="234">
        <f>0</f>
        <v>0</v>
      </c>
      <c r="Q21" s="234">
        <v>-3</v>
      </c>
      <c r="R21" s="234">
        <v>4.2</v>
      </c>
      <c r="S21" s="234">
        <v>4.21</v>
      </c>
      <c r="T21" s="232">
        <v>4.18</v>
      </c>
      <c r="U21" s="232">
        <v>4.37</v>
      </c>
    </row>
    <row r="22" spans="1:21" ht="15" customHeight="1">
      <c r="A22" s="233" t="s">
        <v>755</v>
      </c>
      <c r="B22" s="234">
        <v>162</v>
      </c>
      <c r="C22" s="234">
        <v>76</v>
      </c>
      <c r="D22" s="234">
        <v>86</v>
      </c>
      <c r="E22" s="234">
        <v>0.46899999999999997</v>
      </c>
      <c r="F22" s="234">
        <v>-10</v>
      </c>
      <c r="G22" s="234">
        <v>4.47</v>
      </c>
      <c r="H22" s="235">
        <v>4.53</v>
      </c>
      <c r="I22" s="234">
        <v>80</v>
      </c>
      <c r="J22" s="234">
        <v>82</v>
      </c>
      <c r="K22" s="234">
        <v>0.49399999999999999</v>
      </c>
      <c r="L22" s="235">
        <v>-4</v>
      </c>
      <c r="M22" s="234">
        <v>79</v>
      </c>
      <c r="N22" s="234">
        <v>83</v>
      </c>
      <c r="O22" s="234">
        <v>0.48799999999999999</v>
      </c>
      <c r="P22" s="234">
        <v>-3</v>
      </c>
      <c r="Q22" s="234">
        <v>-19</v>
      </c>
      <c r="R22" s="234">
        <v>4.54</v>
      </c>
      <c r="S22" s="234">
        <v>4.6500000000000004</v>
      </c>
      <c r="T22" s="232">
        <v>4.3</v>
      </c>
      <c r="U22" s="232">
        <v>4.3600000000000003</v>
      </c>
    </row>
    <row r="23" spans="1:21" ht="15" customHeight="1">
      <c r="A23" s="233" t="s">
        <v>766</v>
      </c>
      <c r="B23" s="234">
        <v>162</v>
      </c>
      <c r="C23" s="234">
        <v>88</v>
      </c>
      <c r="D23" s="234">
        <v>74</v>
      </c>
      <c r="E23" s="234">
        <v>0.54300000000000004</v>
      </c>
      <c r="F23" s="234">
        <v>-6</v>
      </c>
      <c r="G23" s="234">
        <v>3.97</v>
      </c>
      <c r="H23" s="235">
        <v>4.01</v>
      </c>
      <c r="I23" s="234">
        <v>80</v>
      </c>
      <c r="J23" s="234">
        <v>82</v>
      </c>
      <c r="K23" s="234">
        <v>0.496</v>
      </c>
      <c r="L23" s="235">
        <f>8</f>
        <v>8</v>
      </c>
      <c r="M23" s="234">
        <v>77</v>
      </c>
      <c r="N23" s="234">
        <v>85</v>
      </c>
      <c r="O23" s="234">
        <v>0.47499999999999998</v>
      </c>
      <c r="P23" s="234">
        <f>11</f>
        <v>11</v>
      </c>
      <c r="Q23" s="234">
        <v>-36</v>
      </c>
      <c r="R23" s="234">
        <v>3.88</v>
      </c>
      <c r="S23" s="234">
        <v>4.0999999999999996</v>
      </c>
      <c r="T23" s="232">
        <v>4.21</v>
      </c>
      <c r="U23" s="232">
        <v>4.3</v>
      </c>
    </row>
    <row r="24" spans="1:21" ht="15" customHeight="1">
      <c r="A24" s="233" t="s">
        <v>397</v>
      </c>
      <c r="B24" s="234">
        <v>162</v>
      </c>
      <c r="C24" s="234">
        <v>76</v>
      </c>
      <c r="D24" s="234">
        <v>86</v>
      </c>
      <c r="E24" s="234">
        <v>0.46899999999999997</v>
      </c>
      <c r="F24" s="234">
        <v>-84</v>
      </c>
      <c r="G24" s="234">
        <v>4.5199999999999996</v>
      </c>
      <c r="H24" s="235">
        <v>5.04</v>
      </c>
      <c r="I24" s="234">
        <v>73</v>
      </c>
      <c r="J24" s="234">
        <v>89</v>
      </c>
      <c r="K24" s="234">
        <v>0.44800000000000001</v>
      </c>
      <c r="L24" s="235">
        <f>3</f>
        <v>3</v>
      </c>
      <c r="M24" s="234">
        <v>76</v>
      </c>
      <c r="N24" s="234">
        <v>86</v>
      </c>
      <c r="O24" s="234">
        <v>0.47</v>
      </c>
      <c r="P24" s="234">
        <v>0</v>
      </c>
      <c r="Q24" s="234">
        <v>-50</v>
      </c>
      <c r="R24" s="234">
        <v>4.72</v>
      </c>
      <c r="S24" s="234">
        <v>5.03</v>
      </c>
      <c r="T24" s="232">
        <v>4.46</v>
      </c>
      <c r="U24" s="232">
        <v>4.3899999999999997</v>
      </c>
    </row>
    <row r="25" spans="1:21" ht="15" customHeight="1">
      <c r="A25" s="233" t="s">
        <v>786</v>
      </c>
      <c r="B25" s="234">
        <v>162</v>
      </c>
      <c r="C25" s="234">
        <v>70</v>
      </c>
      <c r="D25" s="234">
        <v>92</v>
      </c>
      <c r="E25" s="234">
        <v>0.432</v>
      </c>
      <c r="F25" s="234">
        <v>-95</v>
      </c>
      <c r="G25" s="234">
        <v>4.1900000000000004</v>
      </c>
      <c r="H25" s="235">
        <v>4.7699999999999996</v>
      </c>
      <c r="I25" s="234">
        <v>71</v>
      </c>
      <c r="J25" s="234">
        <v>91</v>
      </c>
      <c r="K25" s="234">
        <v>0.439</v>
      </c>
      <c r="L25" s="235">
        <v>-1</v>
      </c>
      <c r="M25" s="234">
        <v>75</v>
      </c>
      <c r="N25" s="234">
        <v>87</v>
      </c>
      <c r="O25" s="234">
        <v>0.46500000000000002</v>
      </c>
      <c r="P25" s="234">
        <v>-5</v>
      </c>
      <c r="Q25" s="234">
        <v>-53</v>
      </c>
      <c r="R25" s="234">
        <v>4.3099999999999996</v>
      </c>
      <c r="S25" s="234">
        <v>4.6399999999999997</v>
      </c>
      <c r="T25" s="232">
        <v>4.38</v>
      </c>
      <c r="U25" s="232">
        <v>4.97</v>
      </c>
    </row>
    <row r="26" spans="1:21" ht="15" customHeight="1">
      <c r="A26" s="233" t="s">
        <v>776</v>
      </c>
      <c r="B26" s="234">
        <v>162</v>
      </c>
      <c r="C26" s="234">
        <v>71</v>
      </c>
      <c r="D26" s="234">
        <v>91</v>
      </c>
      <c r="E26" s="234">
        <v>0.438</v>
      </c>
      <c r="F26" s="234">
        <v>-62</v>
      </c>
      <c r="G26" s="234">
        <v>3.6</v>
      </c>
      <c r="H26" s="235">
        <v>3.98</v>
      </c>
      <c r="I26" s="234">
        <v>74</v>
      </c>
      <c r="J26" s="234">
        <v>88</v>
      </c>
      <c r="K26" s="234">
        <v>0.45500000000000002</v>
      </c>
      <c r="L26" s="235">
        <v>-3</v>
      </c>
      <c r="M26" s="234">
        <v>75</v>
      </c>
      <c r="N26" s="234">
        <v>87</v>
      </c>
      <c r="O26" s="234">
        <v>0.46500000000000002</v>
      </c>
      <c r="P26" s="234">
        <v>-4</v>
      </c>
      <c r="Q26" s="234">
        <v>-49</v>
      </c>
      <c r="R26" s="234">
        <v>3.71</v>
      </c>
      <c r="S26" s="234">
        <v>4.01</v>
      </c>
      <c r="T26" s="232">
        <v>4.2300000000000004</v>
      </c>
      <c r="U26" s="232">
        <v>4.79</v>
      </c>
    </row>
    <row r="27" spans="1:21" ht="15" customHeight="1">
      <c r="A27" s="233" t="s">
        <v>768</v>
      </c>
      <c r="B27" s="234">
        <v>162</v>
      </c>
      <c r="C27" s="234">
        <v>79</v>
      </c>
      <c r="D27" s="234">
        <v>83</v>
      </c>
      <c r="E27" s="234">
        <v>0.48799999999999999</v>
      </c>
      <c r="F27" s="234">
        <v>-89</v>
      </c>
      <c r="G27" s="234">
        <v>4.38</v>
      </c>
      <c r="H27" s="235">
        <v>4.93</v>
      </c>
      <c r="I27" s="234">
        <v>72</v>
      </c>
      <c r="J27" s="234">
        <v>90</v>
      </c>
      <c r="K27" s="234">
        <v>0.44400000000000001</v>
      </c>
      <c r="L27" s="235">
        <f>7</f>
        <v>7</v>
      </c>
      <c r="M27" s="234">
        <v>74</v>
      </c>
      <c r="N27" s="234">
        <v>88</v>
      </c>
      <c r="O27" s="234">
        <v>0.45700000000000002</v>
      </c>
      <c r="P27" s="234">
        <f>5</f>
        <v>5</v>
      </c>
      <c r="Q27" s="234">
        <v>-67</v>
      </c>
      <c r="R27" s="234">
        <v>4.3899999999999997</v>
      </c>
      <c r="S27" s="234">
        <v>4.8099999999999996</v>
      </c>
      <c r="T27" s="232">
        <v>4.29</v>
      </c>
      <c r="U27" s="232">
        <v>4.99</v>
      </c>
    </row>
    <row r="28" spans="1:21" ht="15" customHeight="1">
      <c r="A28" s="233" t="s">
        <v>759</v>
      </c>
      <c r="B28" s="234">
        <v>162</v>
      </c>
      <c r="C28" s="234">
        <v>78</v>
      </c>
      <c r="D28" s="234">
        <v>84</v>
      </c>
      <c r="E28" s="234">
        <v>0.48099999999999998</v>
      </c>
      <c r="F28" s="234">
        <v>-65</v>
      </c>
      <c r="G28" s="234">
        <v>4.25</v>
      </c>
      <c r="H28" s="235">
        <v>4.6500000000000004</v>
      </c>
      <c r="I28" s="234">
        <v>74</v>
      </c>
      <c r="J28" s="234">
        <v>88</v>
      </c>
      <c r="K28" s="234">
        <v>0.45800000000000002</v>
      </c>
      <c r="L28" s="235">
        <f>4</f>
        <v>4</v>
      </c>
      <c r="M28" s="234">
        <v>73</v>
      </c>
      <c r="N28" s="234">
        <v>89</v>
      </c>
      <c r="O28" s="234">
        <v>0.45100000000000001</v>
      </c>
      <c r="P28" s="234">
        <f>5</f>
        <v>5</v>
      </c>
      <c r="Q28" s="234">
        <v>-75</v>
      </c>
      <c r="R28" s="234">
        <v>4.12</v>
      </c>
      <c r="S28" s="234">
        <v>4.58</v>
      </c>
      <c r="T28" s="232">
        <v>4.32</v>
      </c>
      <c r="U28" s="232">
        <v>4.8499999999999996</v>
      </c>
    </row>
    <row r="29" spans="1:21" ht="15" customHeight="1">
      <c r="A29" s="233" t="s">
        <v>772</v>
      </c>
      <c r="B29" s="234">
        <v>162</v>
      </c>
      <c r="C29" s="234">
        <v>75</v>
      </c>
      <c r="D29" s="234">
        <v>87</v>
      </c>
      <c r="E29" s="234">
        <v>0.46300000000000002</v>
      </c>
      <c r="F29" s="234">
        <v>-111</v>
      </c>
      <c r="G29" s="234">
        <v>4.18</v>
      </c>
      <c r="H29" s="235">
        <v>4.8600000000000003</v>
      </c>
      <c r="I29" s="234">
        <v>70</v>
      </c>
      <c r="J29" s="234">
        <v>92</v>
      </c>
      <c r="K29" s="234">
        <v>0.42899999999999999</v>
      </c>
      <c r="L29" s="235">
        <f>5</f>
        <v>5</v>
      </c>
      <c r="M29" s="234">
        <v>70</v>
      </c>
      <c r="N29" s="234">
        <v>92</v>
      </c>
      <c r="O29" s="234">
        <v>0.43</v>
      </c>
      <c r="P29" s="234">
        <f>5</f>
        <v>5</v>
      </c>
      <c r="Q29" s="234">
        <v>-110</v>
      </c>
      <c r="R29" s="234">
        <v>4.2</v>
      </c>
      <c r="S29" s="234">
        <v>4.88</v>
      </c>
      <c r="T29" s="232">
        <v>3.78</v>
      </c>
      <c r="U29" s="232">
        <v>4.34</v>
      </c>
    </row>
    <row r="30" spans="1:21" ht="15" customHeight="1">
      <c r="A30" s="233" t="s">
        <v>787</v>
      </c>
      <c r="B30" s="234">
        <v>162</v>
      </c>
      <c r="C30" s="234">
        <v>60</v>
      </c>
      <c r="D30" s="234">
        <v>102</v>
      </c>
      <c r="E30" s="234">
        <v>0.37</v>
      </c>
      <c r="F30" s="234">
        <v>-95</v>
      </c>
      <c r="G30" s="234">
        <v>3.99</v>
      </c>
      <c r="H30" s="235">
        <v>4.58</v>
      </c>
      <c r="I30" s="234">
        <v>71</v>
      </c>
      <c r="J30" s="234">
        <v>91</v>
      </c>
      <c r="K30" s="234">
        <v>0.437</v>
      </c>
      <c r="L30" s="235">
        <v>-11</v>
      </c>
      <c r="M30" s="234">
        <v>67</v>
      </c>
      <c r="N30" s="234">
        <v>95</v>
      </c>
      <c r="O30" s="234">
        <v>0.41499999999999998</v>
      </c>
      <c r="P30" s="234">
        <v>-7</v>
      </c>
      <c r="Q30" s="234">
        <v>-128</v>
      </c>
      <c r="R30" s="234">
        <v>3.9</v>
      </c>
      <c r="S30" s="234">
        <v>4.6900000000000004</v>
      </c>
      <c r="T30" s="232">
        <v>4.1100000000000003</v>
      </c>
      <c r="U30" s="232">
        <v>4.99</v>
      </c>
    </row>
    <row r="31" spans="1:21" ht="15" customHeight="1">
      <c r="A31" s="233" t="s">
        <v>750</v>
      </c>
      <c r="B31" s="234">
        <v>162</v>
      </c>
      <c r="C31" s="234">
        <v>72</v>
      </c>
      <c r="D31" s="234">
        <v>90</v>
      </c>
      <c r="E31" s="234">
        <v>0.44400000000000001</v>
      </c>
      <c r="F31" s="234">
        <v>-164</v>
      </c>
      <c r="G31" s="234">
        <v>4.1500000000000004</v>
      </c>
      <c r="H31" s="235">
        <v>5.17</v>
      </c>
      <c r="I31" s="234">
        <v>64</v>
      </c>
      <c r="J31" s="234">
        <v>98</v>
      </c>
      <c r="K31" s="234">
        <v>0.39800000000000002</v>
      </c>
      <c r="L31" s="235">
        <f>8</f>
        <v>8</v>
      </c>
      <c r="M31" s="234">
        <v>66</v>
      </c>
      <c r="N31" s="234">
        <v>96</v>
      </c>
      <c r="O31" s="234">
        <v>0.40600000000000003</v>
      </c>
      <c r="P31" s="234">
        <f>6</f>
        <v>6</v>
      </c>
      <c r="Q31" s="234">
        <v>-149</v>
      </c>
      <c r="R31" s="234">
        <v>4.13</v>
      </c>
      <c r="S31" s="234">
        <v>5.05</v>
      </c>
      <c r="T31" s="232">
        <v>3.78</v>
      </c>
      <c r="U31" s="232">
        <v>4.87</v>
      </c>
    </row>
    <row r="32" spans="1:21" ht="15" customHeight="1">
      <c r="A32" s="233" t="s">
        <v>770</v>
      </c>
      <c r="B32" s="234">
        <v>162</v>
      </c>
      <c r="C32" s="234">
        <v>66</v>
      </c>
      <c r="D32" s="234">
        <v>96</v>
      </c>
      <c r="E32" s="234">
        <v>0.40699999999999997</v>
      </c>
      <c r="F32" s="234">
        <v>-212</v>
      </c>
      <c r="G32" s="234">
        <v>4.24</v>
      </c>
      <c r="H32" s="235">
        <v>5.55</v>
      </c>
      <c r="I32" s="234">
        <v>60</v>
      </c>
      <c r="J32" s="234">
        <v>102</v>
      </c>
      <c r="K32" s="234">
        <v>0.373</v>
      </c>
      <c r="L32" s="235">
        <f>6</f>
        <v>6</v>
      </c>
      <c r="M32" s="234">
        <v>61</v>
      </c>
      <c r="N32" s="234">
        <v>101</v>
      </c>
      <c r="O32" s="234">
        <v>0.379</v>
      </c>
      <c r="P32" s="234">
        <f>5</f>
        <v>5</v>
      </c>
      <c r="Q32" s="234">
        <v>-197</v>
      </c>
      <c r="R32" s="234">
        <v>4.1100000000000003</v>
      </c>
      <c r="S32" s="234">
        <v>5.33</v>
      </c>
      <c r="T32" s="232">
        <v>3.96</v>
      </c>
      <c r="U32" s="232">
        <v>5.67</v>
      </c>
    </row>
    <row r="33" spans="1:21" ht="14.25" customHeight="1">
      <c r="A33" s="233" t="s">
        <v>782</v>
      </c>
      <c r="B33" s="234">
        <v>162</v>
      </c>
      <c r="C33" s="234">
        <v>43</v>
      </c>
      <c r="D33" s="234">
        <v>119</v>
      </c>
      <c r="E33" s="234">
        <v>0.26500000000000001</v>
      </c>
      <c r="F33" s="234">
        <v>-424</v>
      </c>
      <c r="G33" s="234">
        <v>3.69</v>
      </c>
      <c r="H33" s="235">
        <v>6.3</v>
      </c>
      <c r="I33" s="234">
        <v>42</v>
      </c>
      <c r="J33" s="234">
        <v>120</v>
      </c>
      <c r="K33" s="234">
        <v>0.26100000000000001</v>
      </c>
      <c r="L33" s="235">
        <f>1</f>
        <v>1</v>
      </c>
      <c r="M33" s="234">
        <v>45</v>
      </c>
      <c r="N33" s="234">
        <v>117</v>
      </c>
      <c r="O33" s="234">
        <v>0.28000000000000003</v>
      </c>
      <c r="P33" s="234">
        <v>-2</v>
      </c>
      <c r="Q33" s="234">
        <v>-392</v>
      </c>
      <c r="R33" s="234">
        <v>3.86</v>
      </c>
      <c r="S33" s="234">
        <v>6.28</v>
      </c>
    </row>
    <row r="34" spans="1:21" ht="19.5" customHeight="1">
      <c r="A34" s="236"/>
      <c r="G34" s="1">
        <f>AVERAGE(G4:G33)</f>
        <v>4.447333333333332</v>
      </c>
      <c r="H34" s="1">
        <f>AVERAGE(H4:H33)</f>
        <v>4.4466666666666681</v>
      </c>
    </row>
    <row r="35" spans="1:21" ht="19.5" customHeight="1">
      <c r="A35" s="236"/>
      <c r="G35" s="1">
        <f>AVERAGE(G34:H34)</f>
        <v>4.4470000000000001</v>
      </c>
    </row>
    <row r="36" spans="1:21" ht="19.5" customHeight="1">
      <c r="A36" s="237" t="s">
        <v>1068</v>
      </c>
    </row>
    <row r="37" spans="1:21" ht="19.5" customHeight="1">
      <c r="A37" s="238"/>
      <c r="B37" s="408" t="s">
        <v>1060</v>
      </c>
      <c r="C37" s="409"/>
      <c r="D37" s="409"/>
      <c r="E37" s="409"/>
      <c r="F37" s="409"/>
      <c r="G37" s="409"/>
      <c r="H37" s="410"/>
      <c r="I37" s="408" t="s">
        <v>1069</v>
      </c>
      <c r="J37" s="409"/>
      <c r="K37" s="409"/>
      <c r="L37" s="409"/>
      <c r="M37" s="409"/>
      <c r="N37" s="409"/>
      <c r="O37" s="410"/>
      <c r="P37" s="411" t="s">
        <v>1070</v>
      </c>
      <c r="Q37" s="409"/>
      <c r="R37" s="409"/>
      <c r="S37" s="409"/>
      <c r="T37" s="409"/>
      <c r="U37" s="412"/>
    </row>
    <row r="38" spans="1:21" ht="19.5" customHeight="1">
      <c r="A38" s="239" t="s">
        <v>9</v>
      </c>
      <c r="B38" s="240" t="s">
        <v>937</v>
      </c>
      <c r="C38" s="240" t="s">
        <v>350</v>
      </c>
      <c r="D38" s="240" t="s">
        <v>311</v>
      </c>
      <c r="E38" s="240" t="s">
        <v>1063</v>
      </c>
      <c r="F38" s="240" t="s">
        <v>1064</v>
      </c>
      <c r="G38" s="240" t="s">
        <v>1065</v>
      </c>
      <c r="H38" s="241" t="s">
        <v>1066</v>
      </c>
      <c r="I38" s="240" t="s">
        <v>937</v>
      </c>
      <c r="J38" s="240" t="s">
        <v>350</v>
      </c>
      <c r="K38" s="240" t="s">
        <v>311</v>
      </c>
      <c r="L38" s="240" t="s">
        <v>1063</v>
      </c>
      <c r="M38" s="240" t="s">
        <v>1064</v>
      </c>
      <c r="N38" s="240" t="s">
        <v>1065</v>
      </c>
      <c r="O38" s="241" t="s">
        <v>1066</v>
      </c>
      <c r="P38" s="240" t="s">
        <v>350</v>
      </c>
      <c r="Q38" s="240" t="s">
        <v>311</v>
      </c>
      <c r="R38" s="240" t="s">
        <v>1063</v>
      </c>
      <c r="S38" s="240" t="s">
        <v>1064</v>
      </c>
      <c r="T38" s="240" t="s">
        <v>1065</v>
      </c>
      <c r="U38" s="240" t="s">
        <v>1066</v>
      </c>
    </row>
    <row r="39" spans="1:21" ht="19.5" customHeight="1">
      <c r="A39" s="242" t="s">
        <v>788</v>
      </c>
      <c r="B39" s="232">
        <v>48</v>
      </c>
      <c r="C39" s="232">
        <v>29</v>
      </c>
      <c r="D39" s="232">
        <v>19</v>
      </c>
      <c r="E39" s="232">
        <v>0.60399999999999998</v>
      </c>
      <c r="F39" s="232">
        <v>94</v>
      </c>
      <c r="G39" s="232">
        <v>5.73</v>
      </c>
      <c r="H39" s="243">
        <v>3.77</v>
      </c>
      <c r="I39" s="232">
        <v>114</v>
      </c>
      <c r="J39" s="232">
        <v>63</v>
      </c>
      <c r="K39" s="232">
        <v>51</v>
      </c>
      <c r="L39" s="232">
        <v>0.55200000000000005</v>
      </c>
      <c r="M39" s="232">
        <v>57</v>
      </c>
      <c r="N39" s="232">
        <v>4.75</v>
      </c>
      <c r="O39" s="243">
        <v>4.25</v>
      </c>
      <c r="P39" s="232">
        <v>92</v>
      </c>
      <c r="Q39" s="232">
        <v>70</v>
      </c>
      <c r="R39" s="232">
        <v>0.56699999999999995</v>
      </c>
      <c r="S39" s="232">
        <v>151</v>
      </c>
      <c r="T39" s="232">
        <v>5.04</v>
      </c>
      <c r="U39" s="232">
        <v>4.1100000000000003</v>
      </c>
    </row>
    <row r="40" spans="1:21" ht="19.5" customHeight="1">
      <c r="A40" s="242" t="s">
        <v>780</v>
      </c>
      <c r="B40" s="232">
        <v>51</v>
      </c>
      <c r="C40" s="232">
        <v>25</v>
      </c>
      <c r="D40" s="232">
        <v>26</v>
      </c>
      <c r="E40" s="232">
        <v>0.49</v>
      </c>
      <c r="F40" s="232">
        <v>8</v>
      </c>
      <c r="G40" s="232">
        <v>4.71</v>
      </c>
      <c r="H40" s="243">
        <v>4.55</v>
      </c>
      <c r="I40" s="232">
        <v>111</v>
      </c>
      <c r="J40" s="232">
        <v>57</v>
      </c>
      <c r="K40" s="232">
        <v>54</v>
      </c>
      <c r="L40" s="232">
        <v>0.51400000000000001</v>
      </c>
      <c r="M40" s="232">
        <v>14</v>
      </c>
      <c r="N40" s="232">
        <v>4.4800000000000004</v>
      </c>
      <c r="O40" s="243">
        <v>4.3499999999999996</v>
      </c>
      <c r="P40" s="232">
        <v>82</v>
      </c>
      <c r="Q40" s="232">
        <v>80</v>
      </c>
      <c r="R40" s="232">
        <v>0.50600000000000001</v>
      </c>
      <c r="S40" s="232">
        <v>22</v>
      </c>
      <c r="T40" s="232">
        <v>4.55</v>
      </c>
      <c r="U40" s="232">
        <v>4.41</v>
      </c>
    </row>
    <row r="41" spans="1:21" ht="19.5" customHeight="1">
      <c r="A41" s="242" t="s">
        <v>753</v>
      </c>
      <c r="B41" s="232">
        <v>48</v>
      </c>
      <c r="C41" s="232">
        <v>24</v>
      </c>
      <c r="D41" s="232">
        <v>24</v>
      </c>
      <c r="E41" s="232">
        <v>0.5</v>
      </c>
      <c r="F41" s="232">
        <v>-11</v>
      </c>
      <c r="G41" s="232">
        <v>4.08</v>
      </c>
      <c r="H41" s="243">
        <v>4.3099999999999996</v>
      </c>
      <c r="I41" s="232">
        <v>114</v>
      </c>
      <c r="J41" s="232">
        <v>58</v>
      </c>
      <c r="K41" s="232">
        <v>56</v>
      </c>
      <c r="L41" s="232">
        <v>0.50600000000000001</v>
      </c>
      <c r="M41" s="232">
        <v>7</v>
      </c>
      <c r="N41" s="232">
        <v>4.46</v>
      </c>
      <c r="O41" s="243">
        <v>4.4000000000000004</v>
      </c>
      <c r="P41" s="232">
        <v>82</v>
      </c>
      <c r="Q41" s="232">
        <v>80</v>
      </c>
      <c r="R41" s="232">
        <v>0.504</v>
      </c>
      <c r="S41" s="232">
        <v>-4</v>
      </c>
      <c r="T41" s="232">
        <v>4.3499999999999996</v>
      </c>
      <c r="U41" s="232">
        <v>4.37</v>
      </c>
    </row>
    <row r="42" spans="1:21" ht="19.5" customHeight="1">
      <c r="A42" s="242" t="s">
        <v>778</v>
      </c>
      <c r="B42" s="232">
        <v>49</v>
      </c>
      <c r="C42" s="232">
        <v>23</v>
      </c>
      <c r="D42" s="232">
        <v>26</v>
      </c>
      <c r="E42" s="232">
        <v>0.46899999999999997</v>
      </c>
      <c r="F42" s="232">
        <v>-5</v>
      </c>
      <c r="G42" s="232">
        <v>3.94</v>
      </c>
      <c r="H42" s="243">
        <v>4.04</v>
      </c>
      <c r="I42" s="232">
        <v>113</v>
      </c>
      <c r="J42" s="232">
        <v>55</v>
      </c>
      <c r="K42" s="232">
        <v>58</v>
      </c>
      <c r="L42" s="232">
        <v>0.49099999999999999</v>
      </c>
      <c r="M42" s="232">
        <v>-9</v>
      </c>
      <c r="N42" s="232">
        <v>4.33</v>
      </c>
      <c r="O42" s="243">
        <v>4.41</v>
      </c>
      <c r="P42" s="232">
        <v>78</v>
      </c>
      <c r="Q42" s="232">
        <v>84</v>
      </c>
      <c r="R42" s="232">
        <v>0.48499999999999999</v>
      </c>
      <c r="S42" s="232">
        <v>-14</v>
      </c>
      <c r="T42" s="232">
        <v>4.21</v>
      </c>
      <c r="U42" s="232">
        <v>4.3</v>
      </c>
    </row>
    <row r="43" spans="1:21" ht="19.5" customHeight="1">
      <c r="A43" s="242" t="s">
        <v>772</v>
      </c>
      <c r="B43" s="232">
        <v>48</v>
      </c>
      <c r="C43" s="232">
        <v>16</v>
      </c>
      <c r="D43" s="232">
        <v>32</v>
      </c>
      <c r="E43" s="232">
        <v>0.33300000000000002</v>
      </c>
      <c r="F43" s="232">
        <v>-85</v>
      </c>
      <c r="G43" s="232">
        <v>3.81</v>
      </c>
      <c r="H43" s="243">
        <v>5.58</v>
      </c>
      <c r="I43" s="232">
        <v>114</v>
      </c>
      <c r="J43" s="232">
        <v>57</v>
      </c>
      <c r="K43" s="232">
        <v>57</v>
      </c>
      <c r="L43" s="232">
        <v>0.498</v>
      </c>
      <c r="M43" s="232">
        <v>-2</v>
      </c>
      <c r="N43" s="232">
        <v>4.53</v>
      </c>
      <c r="O43" s="243">
        <v>4.54</v>
      </c>
      <c r="P43" s="232">
        <v>73</v>
      </c>
      <c r="Q43" s="232">
        <v>89</v>
      </c>
      <c r="R43" s="232">
        <v>0.44900000000000001</v>
      </c>
      <c r="S43" s="232">
        <v>-87</v>
      </c>
      <c r="T43" s="232">
        <v>4.32</v>
      </c>
      <c r="U43" s="232">
        <v>4.8499999999999996</v>
      </c>
    </row>
    <row r="44" spans="1:21" ht="19.5" customHeight="1">
      <c r="A44" s="236"/>
    </row>
    <row r="45" spans="1:21" ht="19.5" customHeight="1">
      <c r="A45" s="236"/>
    </row>
    <row r="46" spans="1:21" ht="19.5" customHeight="1">
      <c r="A46" s="237" t="s">
        <v>1071</v>
      </c>
    </row>
    <row r="47" spans="1:21" ht="19.5" customHeight="1">
      <c r="A47" s="238"/>
      <c r="B47" s="408" t="s">
        <v>1060</v>
      </c>
      <c r="C47" s="409"/>
      <c r="D47" s="409"/>
      <c r="E47" s="409"/>
      <c r="F47" s="409"/>
      <c r="G47" s="409"/>
      <c r="H47" s="410"/>
      <c r="I47" s="408" t="s">
        <v>1069</v>
      </c>
      <c r="J47" s="409"/>
      <c r="K47" s="409"/>
      <c r="L47" s="409"/>
      <c r="M47" s="409"/>
      <c r="N47" s="409"/>
      <c r="O47" s="410"/>
      <c r="P47" s="411" t="s">
        <v>1070</v>
      </c>
      <c r="Q47" s="409"/>
      <c r="R47" s="409"/>
      <c r="S47" s="409"/>
      <c r="T47" s="409"/>
      <c r="U47" s="412"/>
    </row>
    <row r="48" spans="1:21" ht="19.5" customHeight="1">
      <c r="A48" s="239" t="s">
        <v>9</v>
      </c>
      <c r="B48" s="240" t="s">
        <v>937</v>
      </c>
      <c r="C48" s="240" t="s">
        <v>350</v>
      </c>
      <c r="D48" s="240" t="s">
        <v>311</v>
      </c>
      <c r="E48" s="240" t="s">
        <v>1063</v>
      </c>
      <c r="F48" s="240" t="s">
        <v>1064</v>
      </c>
      <c r="G48" s="240" t="s">
        <v>1065</v>
      </c>
      <c r="H48" s="241" t="s">
        <v>1066</v>
      </c>
      <c r="I48" s="240" t="s">
        <v>937</v>
      </c>
      <c r="J48" s="240" t="s">
        <v>350</v>
      </c>
      <c r="K48" s="240" t="s">
        <v>311</v>
      </c>
      <c r="L48" s="240" t="s">
        <v>1063</v>
      </c>
      <c r="M48" s="240" t="s">
        <v>1064</v>
      </c>
      <c r="N48" s="240" t="s">
        <v>1065</v>
      </c>
      <c r="O48" s="241" t="s">
        <v>1066</v>
      </c>
      <c r="P48" s="240" t="s">
        <v>350</v>
      </c>
      <c r="Q48" s="240" t="s">
        <v>311</v>
      </c>
      <c r="R48" s="240" t="s">
        <v>1063</v>
      </c>
      <c r="S48" s="240" t="s">
        <v>1064</v>
      </c>
      <c r="T48" s="240" t="s">
        <v>1065</v>
      </c>
      <c r="U48" s="240" t="s">
        <v>1066</v>
      </c>
    </row>
    <row r="49" spans="1:21" ht="19.5" customHeight="1">
      <c r="A49" s="242" t="s">
        <v>785</v>
      </c>
      <c r="B49" s="232">
        <v>50</v>
      </c>
      <c r="C49" s="232">
        <v>33</v>
      </c>
      <c r="D49" s="232">
        <v>17</v>
      </c>
      <c r="E49" s="232">
        <v>0.66</v>
      </c>
      <c r="F49" s="232">
        <v>85</v>
      </c>
      <c r="G49" s="232">
        <v>5.34</v>
      </c>
      <c r="H49" s="243">
        <v>3.64</v>
      </c>
      <c r="I49" s="232">
        <v>112</v>
      </c>
      <c r="J49" s="232">
        <v>58</v>
      </c>
      <c r="K49" s="232">
        <v>54</v>
      </c>
      <c r="L49" s="232">
        <v>0.52</v>
      </c>
      <c r="M49" s="232">
        <v>21</v>
      </c>
      <c r="N49" s="232">
        <v>4.3</v>
      </c>
      <c r="O49" s="243">
        <v>4.12</v>
      </c>
      <c r="P49" s="232">
        <v>91</v>
      </c>
      <c r="Q49" s="232">
        <v>71</v>
      </c>
      <c r="R49" s="232">
        <v>0.56399999999999995</v>
      </c>
      <c r="S49" s="232">
        <v>106</v>
      </c>
      <c r="T49" s="232">
        <v>4.62</v>
      </c>
      <c r="U49" s="232">
        <v>3.97</v>
      </c>
    </row>
    <row r="50" spans="1:21" ht="19.5" customHeight="1">
      <c r="A50" s="242" t="s">
        <v>786</v>
      </c>
      <c r="B50" s="232">
        <v>49</v>
      </c>
      <c r="C50" s="232">
        <v>27</v>
      </c>
      <c r="D50" s="232">
        <v>22</v>
      </c>
      <c r="E50" s="232">
        <v>0.55100000000000005</v>
      </c>
      <c r="F50" s="232">
        <v>32</v>
      </c>
      <c r="G50" s="232">
        <v>4.0999999999999996</v>
      </c>
      <c r="H50" s="243">
        <v>3.45</v>
      </c>
      <c r="I50" s="232">
        <v>113</v>
      </c>
      <c r="J50" s="232">
        <v>58</v>
      </c>
      <c r="K50" s="232">
        <v>55</v>
      </c>
      <c r="L50" s="232">
        <v>0.51600000000000001</v>
      </c>
      <c r="M50" s="232">
        <v>17</v>
      </c>
      <c r="N50" s="232">
        <v>4.33</v>
      </c>
      <c r="O50" s="243">
        <v>4.18</v>
      </c>
      <c r="P50" s="232">
        <v>85</v>
      </c>
      <c r="Q50" s="232">
        <v>77</v>
      </c>
      <c r="R50" s="232">
        <v>0.52700000000000002</v>
      </c>
      <c r="S50" s="232">
        <v>49</v>
      </c>
      <c r="T50" s="232">
        <v>4.26</v>
      </c>
      <c r="U50" s="232">
        <v>3.96</v>
      </c>
    </row>
    <row r="51" spans="1:21" ht="19.5" customHeight="1">
      <c r="A51" s="242" t="s">
        <v>783</v>
      </c>
      <c r="B51" s="232">
        <v>51</v>
      </c>
      <c r="C51" s="232">
        <v>28</v>
      </c>
      <c r="D51" s="232">
        <v>23</v>
      </c>
      <c r="E51" s="232">
        <v>0.54900000000000004</v>
      </c>
      <c r="F51" s="232">
        <v>4</v>
      </c>
      <c r="G51" s="232">
        <v>3.37</v>
      </c>
      <c r="H51" s="243">
        <v>3.29</v>
      </c>
      <c r="I51" s="232">
        <v>111</v>
      </c>
      <c r="J51" s="232">
        <v>56</v>
      </c>
      <c r="K51" s="232">
        <v>55</v>
      </c>
      <c r="L51" s="232">
        <v>0.5</v>
      </c>
      <c r="M51" s="232">
        <v>0</v>
      </c>
      <c r="N51" s="232">
        <v>4.34</v>
      </c>
      <c r="O51" s="243">
        <v>4.34</v>
      </c>
      <c r="P51" s="232">
        <v>84</v>
      </c>
      <c r="Q51" s="232">
        <v>78</v>
      </c>
      <c r="R51" s="232">
        <v>0.51600000000000001</v>
      </c>
      <c r="S51" s="232">
        <v>4</v>
      </c>
      <c r="T51" s="232">
        <v>4.04</v>
      </c>
      <c r="U51" s="232">
        <v>4.01</v>
      </c>
    </row>
    <row r="52" spans="1:21" ht="19.5" customHeight="1">
      <c r="A52" s="242" t="s">
        <v>766</v>
      </c>
      <c r="B52" s="232">
        <v>48</v>
      </c>
      <c r="C52" s="232">
        <v>26</v>
      </c>
      <c r="D52" s="232">
        <v>22</v>
      </c>
      <c r="E52" s="232">
        <v>0.54200000000000004</v>
      </c>
      <c r="F52" s="232">
        <v>-17</v>
      </c>
      <c r="G52" s="232">
        <v>4</v>
      </c>
      <c r="H52" s="243">
        <v>4.3499999999999996</v>
      </c>
      <c r="I52" s="232">
        <v>114</v>
      </c>
      <c r="J52" s="232">
        <v>56</v>
      </c>
      <c r="K52" s="232">
        <v>58</v>
      </c>
      <c r="L52" s="232">
        <v>0.48699999999999999</v>
      </c>
      <c r="M52" s="232">
        <v>-14</v>
      </c>
      <c r="N52" s="232">
        <v>4.26</v>
      </c>
      <c r="O52" s="243">
        <v>4.38</v>
      </c>
      <c r="P52" s="232">
        <v>82</v>
      </c>
      <c r="Q52" s="232">
        <v>80</v>
      </c>
      <c r="R52" s="232">
        <v>0.503</v>
      </c>
      <c r="S52" s="232">
        <v>-31</v>
      </c>
      <c r="T52" s="232">
        <v>4.18</v>
      </c>
      <c r="U52" s="232">
        <v>4.37</v>
      </c>
    </row>
    <row r="53" spans="1:21" ht="19.5" customHeight="1">
      <c r="A53" s="242" t="s">
        <v>787</v>
      </c>
      <c r="B53" s="232">
        <v>50</v>
      </c>
      <c r="C53" s="232">
        <v>15</v>
      </c>
      <c r="D53" s="232">
        <v>35</v>
      </c>
      <c r="E53" s="232">
        <v>0.3</v>
      </c>
      <c r="F53" s="232">
        <v>-57</v>
      </c>
      <c r="G53" s="232">
        <v>3.28</v>
      </c>
      <c r="H53" s="243">
        <v>4.42</v>
      </c>
      <c r="I53" s="232">
        <v>112</v>
      </c>
      <c r="J53" s="232">
        <v>44</v>
      </c>
      <c r="K53" s="232">
        <v>68</v>
      </c>
      <c r="L53" s="232">
        <v>0.39</v>
      </c>
      <c r="M53" s="232">
        <v>-120</v>
      </c>
      <c r="N53" s="232">
        <v>4.01</v>
      </c>
      <c r="O53" s="243">
        <v>5.08</v>
      </c>
      <c r="P53" s="232">
        <v>59</v>
      </c>
      <c r="Q53" s="232">
        <v>103</v>
      </c>
      <c r="R53" s="232">
        <v>0.36299999999999999</v>
      </c>
      <c r="S53" s="232">
        <v>-177</v>
      </c>
      <c r="T53" s="232">
        <v>3.78</v>
      </c>
      <c r="U53" s="232">
        <v>4.87</v>
      </c>
    </row>
    <row r="54" spans="1:21" ht="19.5" customHeight="1">
      <c r="A54" s="236"/>
    </row>
    <row r="55" spans="1:21" ht="19.5" customHeight="1">
      <c r="A55" s="236"/>
    </row>
    <row r="56" spans="1:21" ht="19.5" customHeight="1">
      <c r="A56" s="237" t="s">
        <v>1072</v>
      </c>
    </row>
    <row r="57" spans="1:21" ht="19.5" customHeight="1">
      <c r="A57" s="238"/>
      <c r="B57" s="408" t="s">
        <v>1060</v>
      </c>
      <c r="C57" s="409"/>
      <c r="D57" s="409"/>
      <c r="E57" s="409"/>
      <c r="F57" s="409"/>
      <c r="G57" s="409"/>
      <c r="H57" s="410"/>
      <c r="I57" s="408" t="s">
        <v>1069</v>
      </c>
      <c r="J57" s="409"/>
      <c r="K57" s="409"/>
      <c r="L57" s="409"/>
      <c r="M57" s="409"/>
      <c r="N57" s="409"/>
      <c r="O57" s="410"/>
      <c r="P57" s="411" t="s">
        <v>1070</v>
      </c>
      <c r="Q57" s="409"/>
      <c r="R57" s="409"/>
      <c r="S57" s="409"/>
      <c r="T57" s="409"/>
      <c r="U57" s="412"/>
    </row>
    <row r="58" spans="1:21" ht="19.5" customHeight="1">
      <c r="A58" s="239" t="s">
        <v>9</v>
      </c>
      <c r="B58" s="240" t="s">
        <v>937</v>
      </c>
      <c r="C58" s="240" t="s">
        <v>350</v>
      </c>
      <c r="D58" s="240" t="s">
        <v>311</v>
      </c>
      <c r="E58" s="240" t="s">
        <v>1063</v>
      </c>
      <c r="F58" s="240" t="s">
        <v>1064</v>
      </c>
      <c r="G58" s="240" t="s">
        <v>1065</v>
      </c>
      <c r="H58" s="241" t="s">
        <v>1066</v>
      </c>
      <c r="I58" s="240" t="s">
        <v>937</v>
      </c>
      <c r="J58" s="240" t="s">
        <v>350</v>
      </c>
      <c r="K58" s="240" t="s">
        <v>311</v>
      </c>
      <c r="L58" s="240" t="s">
        <v>1063</v>
      </c>
      <c r="M58" s="240" t="s">
        <v>1064</v>
      </c>
      <c r="N58" s="240" t="s">
        <v>1065</v>
      </c>
      <c r="O58" s="241" t="s">
        <v>1066</v>
      </c>
      <c r="P58" s="240" t="s">
        <v>350</v>
      </c>
      <c r="Q58" s="240" t="s">
        <v>311</v>
      </c>
      <c r="R58" s="240" t="s">
        <v>1063</v>
      </c>
      <c r="S58" s="240" t="s">
        <v>1064</v>
      </c>
      <c r="T58" s="240" t="s">
        <v>1065</v>
      </c>
      <c r="U58" s="240" t="s">
        <v>1066</v>
      </c>
    </row>
    <row r="59" spans="1:21" ht="19.5" customHeight="1">
      <c r="A59" s="242" t="s">
        <v>767</v>
      </c>
      <c r="B59" s="232">
        <v>48</v>
      </c>
      <c r="C59" s="232">
        <v>28</v>
      </c>
      <c r="D59" s="232">
        <v>20</v>
      </c>
      <c r="E59" s="232">
        <v>0.58299999999999996</v>
      </c>
      <c r="F59" s="232">
        <v>27</v>
      </c>
      <c r="G59" s="232">
        <v>4.7300000000000004</v>
      </c>
      <c r="H59" s="243">
        <v>4.17</v>
      </c>
      <c r="I59" s="232">
        <v>114</v>
      </c>
      <c r="J59" s="232">
        <v>60</v>
      </c>
      <c r="K59" s="232">
        <v>54</v>
      </c>
      <c r="L59" s="232">
        <v>0.52300000000000002</v>
      </c>
      <c r="M59" s="232">
        <v>24</v>
      </c>
      <c r="N59" s="232">
        <v>4.2699999999999996</v>
      </c>
      <c r="O59" s="243">
        <v>4.0599999999999996</v>
      </c>
      <c r="P59" s="232">
        <v>88</v>
      </c>
      <c r="Q59" s="232">
        <v>74</v>
      </c>
      <c r="R59" s="232">
        <v>0.54100000000000004</v>
      </c>
      <c r="S59" s="232">
        <v>51</v>
      </c>
      <c r="T59" s="232">
        <v>4.4000000000000004</v>
      </c>
      <c r="U59" s="232">
        <v>4.09</v>
      </c>
    </row>
    <row r="60" spans="1:21" ht="19.5" customHeight="1">
      <c r="A60" s="242" t="s">
        <v>752</v>
      </c>
      <c r="B60" s="232">
        <v>49</v>
      </c>
      <c r="C60" s="232">
        <v>25</v>
      </c>
      <c r="D60" s="232">
        <v>24</v>
      </c>
      <c r="E60" s="232">
        <v>0.51</v>
      </c>
      <c r="F60" s="232">
        <v>16</v>
      </c>
      <c r="G60" s="232">
        <v>3.98</v>
      </c>
      <c r="H60" s="243">
        <v>3.65</v>
      </c>
      <c r="I60" s="232">
        <v>113</v>
      </c>
      <c r="J60" s="232">
        <v>58</v>
      </c>
      <c r="K60" s="232">
        <v>55</v>
      </c>
      <c r="L60" s="232">
        <v>0.51400000000000001</v>
      </c>
      <c r="M60" s="232">
        <v>15</v>
      </c>
      <c r="N60" s="232">
        <v>4.4400000000000004</v>
      </c>
      <c r="O60" s="243">
        <v>4.3099999999999996</v>
      </c>
      <c r="P60" s="232">
        <v>83</v>
      </c>
      <c r="Q60" s="232">
        <v>79</v>
      </c>
      <c r="R60" s="232">
        <v>0.51300000000000001</v>
      </c>
      <c r="S60" s="232">
        <v>31</v>
      </c>
      <c r="T60" s="232">
        <v>4.3</v>
      </c>
      <c r="U60" s="232">
        <v>4.1100000000000003</v>
      </c>
    </row>
    <row r="61" spans="1:21" ht="19.5" customHeight="1">
      <c r="A61" s="242" t="s">
        <v>777</v>
      </c>
      <c r="B61" s="232">
        <v>50</v>
      </c>
      <c r="C61" s="232">
        <v>25</v>
      </c>
      <c r="D61" s="232">
        <v>25</v>
      </c>
      <c r="E61" s="232">
        <v>0.5</v>
      </c>
      <c r="F61" s="232">
        <v>-3</v>
      </c>
      <c r="G61" s="232">
        <v>3.42</v>
      </c>
      <c r="H61" s="243">
        <v>3.48</v>
      </c>
      <c r="I61" s="232">
        <v>112</v>
      </c>
      <c r="J61" s="232">
        <v>57</v>
      </c>
      <c r="K61" s="232">
        <v>55</v>
      </c>
      <c r="L61" s="232">
        <v>0.50700000000000001</v>
      </c>
      <c r="M61" s="232">
        <v>7</v>
      </c>
      <c r="N61" s="232">
        <v>4.4400000000000004</v>
      </c>
      <c r="O61" s="243">
        <v>4.38</v>
      </c>
      <c r="P61" s="232">
        <v>82</v>
      </c>
      <c r="Q61" s="232">
        <v>80</v>
      </c>
      <c r="R61" s="232">
        <v>0.505</v>
      </c>
      <c r="S61" s="232">
        <v>4</v>
      </c>
      <c r="T61" s="232">
        <v>4.13</v>
      </c>
      <c r="U61" s="232">
        <v>4.0999999999999996</v>
      </c>
    </row>
    <row r="62" spans="1:21" ht="19.5" customHeight="1">
      <c r="A62" s="242" t="s">
        <v>397</v>
      </c>
      <c r="B62" s="232">
        <v>50</v>
      </c>
      <c r="C62" s="232">
        <v>22</v>
      </c>
      <c r="D62" s="232">
        <v>28</v>
      </c>
      <c r="E62" s="232">
        <v>0.44</v>
      </c>
      <c r="F62" s="232">
        <v>-69</v>
      </c>
      <c r="G62" s="232">
        <v>4.24</v>
      </c>
      <c r="H62" s="243">
        <v>5.62</v>
      </c>
      <c r="I62" s="232">
        <v>112</v>
      </c>
      <c r="J62" s="232">
        <v>53</v>
      </c>
      <c r="K62" s="232">
        <v>59</v>
      </c>
      <c r="L62" s="232">
        <v>0.47599999999999998</v>
      </c>
      <c r="M62" s="232">
        <v>-26</v>
      </c>
      <c r="N62" s="232">
        <v>4.4400000000000004</v>
      </c>
      <c r="O62" s="243">
        <v>4.67</v>
      </c>
      <c r="P62" s="232">
        <v>75</v>
      </c>
      <c r="Q62" s="232">
        <v>87</v>
      </c>
      <c r="R62" s="232">
        <v>0.46500000000000002</v>
      </c>
      <c r="S62" s="232">
        <v>-95</v>
      </c>
      <c r="T62" s="232">
        <v>4.38</v>
      </c>
      <c r="U62" s="232">
        <v>4.97</v>
      </c>
    </row>
    <row r="63" spans="1:21" ht="19.5" customHeight="1">
      <c r="A63" s="242" t="s">
        <v>750</v>
      </c>
      <c r="B63" s="232">
        <v>48</v>
      </c>
      <c r="C63" s="232">
        <v>23</v>
      </c>
      <c r="D63" s="232">
        <v>25</v>
      </c>
      <c r="E63" s="232">
        <v>0.47899999999999998</v>
      </c>
      <c r="F63" s="232">
        <v>-51</v>
      </c>
      <c r="G63" s="232">
        <v>4.21</v>
      </c>
      <c r="H63" s="243">
        <v>5.27</v>
      </c>
      <c r="I63" s="232">
        <v>114</v>
      </c>
      <c r="J63" s="232">
        <v>51</v>
      </c>
      <c r="K63" s="232">
        <v>63</v>
      </c>
      <c r="L63" s="232">
        <v>0.44400000000000001</v>
      </c>
      <c r="M63" s="232">
        <v>-62</v>
      </c>
      <c r="N63" s="232">
        <v>4.33</v>
      </c>
      <c r="O63" s="243">
        <v>4.88</v>
      </c>
      <c r="P63" s="232">
        <v>74</v>
      </c>
      <c r="Q63" s="232">
        <v>88</v>
      </c>
      <c r="R63" s="232">
        <v>0.45400000000000001</v>
      </c>
      <c r="S63" s="232">
        <v>-113</v>
      </c>
      <c r="T63" s="232">
        <v>4.29</v>
      </c>
      <c r="U63" s="232">
        <v>4.99</v>
      </c>
    </row>
    <row r="64" spans="1:21" ht="19.5" customHeight="1">
      <c r="A64" s="236"/>
    </row>
    <row r="65" spans="1:21" ht="19.5" customHeight="1">
      <c r="A65" s="236"/>
    </row>
    <row r="66" spans="1:21" ht="19.5" customHeight="1">
      <c r="A66" s="237" t="s">
        <v>1073</v>
      </c>
    </row>
    <row r="67" spans="1:21" ht="19.5" customHeight="1">
      <c r="A67" s="238"/>
      <c r="B67" s="408" t="s">
        <v>1060</v>
      </c>
      <c r="C67" s="409"/>
      <c r="D67" s="409"/>
      <c r="E67" s="409"/>
      <c r="F67" s="409"/>
      <c r="G67" s="409"/>
      <c r="H67" s="410"/>
      <c r="I67" s="408" t="s">
        <v>1069</v>
      </c>
      <c r="J67" s="409"/>
      <c r="K67" s="409"/>
      <c r="L67" s="409"/>
      <c r="M67" s="409"/>
      <c r="N67" s="409"/>
      <c r="O67" s="410"/>
      <c r="P67" s="411" t="s">
        <v>1070</v>
      </c>
      <c r="Q67" s="409"/>
      <c r="R67" s="409"/>
      <c r="S67" s="409"/>
      <c r="T67" s="409"/>
      <c r="U67" s="412"/>
    </row>
    <row r="68" spans="1:21" ht="19.5" customHeight="1">
      <c r="A68" s="239" t="s">
        <v>9</v>
      </c>
      <c r="B68" s="240" t="s">
        <v>937</v>
      </c>
      <c r="C68" s="240" t="s">
        <v>350</v>
      </c>
      <c r="D68" s="240" t="s">
        <v>311</v>
      </c>
      <c r="E68" s="240" t="s">
        <v>1063</v>
      </c>
      <c r="F68" s="240" t="s">
        <v>1064</v>
      </c>
      <c r="G68" s="240" t="s">
        <v>1065</v>
      </c>
      <c r="H68" s="241" t="s">
        <v>1066</v>
      </c>
      <c r="I68" s="240" t="s">
        <v>937</v>
      </c>
      <c r="J68" s="240" t="s">
        <v>350</v>
      </c>
      <c r="K68" s="240" t="s">
        <v>311</v>
      </c>
      <c r="L68" s="240" t="s">
        <v>1063</v>
      </c>
      <c r="M68" s="240" t="s">
        <v>1064</v>
      </c>
      <c r="N68" s="240" t="s">
        <v>1065</v>
      </c>
      <c r="O68" s="241" t="s">
        <v>1066</v>
      </c>
      <c r="P68" s="240" t="s">
        <v>350</v>
      </c>
      <c r="Q68" s="240" t="s">
        <v>311</v>
      </c>
      <c r="R68" s="240" t="s">
        <v>1063</v>
      </c>
      <c r="S68" s="240" t="s">
        <v>1064</v>
      </c>
      <c r="T68" s="240" t="s">
        <v>1065</v>
      </c>
      <c r="U68" s="240" t="s">
        <v>1066</v>
      </c>
    </row>
    <row r="69" spans="1:21" ht="19.5" customHeight="1">
      <c r="A69" s="242" t="s">
        <v>775</v>
      </c>
      <c r="B69" s="232">
        <v>49</v>
      </c>
      <c r="C69" s="232">
        <v>31</v>
      </c>
      <c r="D69" s="232">
        <v>18</v>
      </c>
      <c r="E69" s="232">
        <v>0.63300000000000001</v>
      </c>
      <c r="F69" s="232">
        <v>37</v>
      </c>
      <c r="G69" s="232">
        <v>4.92</v>
      </c>
      <c r="H69" s="243">
        <v>4.16</v>
      </c>
      <c r="I69" s="232">
        <v>113</v>
      </c>
      <c r="J69" s="232">
        <v>62</v>
      </c>
      <c r="K69" s="232">
        <v>51</v>
      </c>
      <c r="L69" s="232">
        <v>0.55100000000000005</v>
      </c>
      <c r="M69" s="232">
        <v>54</v>
      </c>
      <c r="N69" s="232">
        <v>4.62</v>
      </c>
      <c r="O69" s="243">
        <v>4.1399999999999997</v>
      </c>
      <c r="P69" s="232">
        <v>93</v>
      </c>
      <c r="Q69" s="232">
        <v>69</v>
      </c>
      <c r="R69" s="232">
        <v>0.57599999999999996</v>
      </c>
      <c r="S69" s="232">
        <v>91</v>
      </c>
      <c r="T69" s="232">
        <v>4.71</v>
      </c>
      <c r="U69" s="232">
        <v>4.1500000000000004</v>
      </c>
    </row>
    <row r="70" spans="1:21" ht="19.5" customHeight="1">
      <c r="A70" s="242" t="s">
        <v>769</v>
      </c>
      <c r="B70" s="232">
        <v>50</v>
      </c>
      <c r="C70" s="232">
        <v>30</v>
      </c>
      <c r="D70" s="232">
        <v>20</v>
      </c>
      <c r="E70" s="232">
        <v>0.6</v>
      </c>
      <c r="F70" s="232">
        <v>56</v>
      </c>
      <c r="G70" s="232">
        <v>4.3600000000000003</v>
      </c>
      <c r="H70" s="243">
        <v>3.24</v>
      </c>
      <c r="I70" s="232">
        <v>112</v>
      </c>
      <c r="J70" s="232">
        <v>60</v>
      </c>
      <c r="K70" s="232">
        <v>52</v>
      </c>
      <c r="L70" s="232">
        <v>0.53800000000000003</v>
      </c>
      <c r="M70" s="232">
        <v>41</v>
      </c>
      <c r="N70" s="232">
        <v>4.6500000000000004</v>
      </c>
      <c r="O70" s="243">
        <v>4.28</v>
      </c>
      <c r="P70" s="232">
        <v>90</v>
      </c>
      <c r="Q70" s="232">
        <v>72</v>
      </c>
      <c r="R70" s="232">
        <v>0.55700000000000005</v>
      </c>
      <c r="S70" s="232">
        <v>97</v>
      </c>
      <c r="T70" s="232">
        <v>4.5599999999999996</v>
      </c>
      <c r="U70" s="232">
        <v>3.96</v>
      </c>
    </row>
    <row r="71" spans="1:21" ht="19.5" customHeight="1">
      <c r="A71" s="242" t="s">
        <v>755</v>
      </c>
      <c r="B71" s="232">
        <v>48</v>
      </c>
      <c r="C71" s="232">
        <v>24</v>
      </c>
      <c r="D71" s="232">
        <v>24</v>
      </c>
      <c r="E71" s="232">
        <v>0.5</v>
      </c>
      <c r="F71" s="232">
        <v>9</v>
      </c>
      <c r="G71" s="232">
        <v>4.13</v>
      </c>
      <c r="H71" s="243">
        <v>3.94</v>
      </c>
      <c r="I71" s="232">
        <v>114</v>
      </c>
      <c r="J71" s="232">
        <v>65</v>
      </c>
      <c r="K71" s="232">
        <v>49</v>
      </c>
      <c r="L71" s="232">
        <v>0.56699999999999995</v>
      </c>
      <c r="M71" s="232">
        <v>73</v>
      </c>
      <c r="N71" s="232">
        <v>4.76</v>
      </c>
      <c r="O71" s="243">
        <v>4.12</v>
      </c>
      <c r="P71" s="232">
        <v>89</v>
      </c>
      <c r="Q71" s="232">
        <v>73</v>
      </c>
      <c r="R71" s="232">
        <v>0.54700000000000004</v>
      </c>
      <c r="S71" s="232">
        <v>82</v>
      </c>
      <c r="T71" s="232">
        <v>4.57</v>
      </c>
      <c r="U71" s="232">
        <v>4.0599999999999996</v>
      </c>
    </row>
    <row r="72" spans="1:21" ht="19.5" customHeight="1">
      <c r="A72" s="242" t="s">
        <v>770</v>
      </c>
      <c r="B72" s="232">
        <v>49</v>
      </c>
      <c r="C72" s="232">
        <v>22</v>
      </c>
      <c r="D72" s="232">
        <v>27</v>
      </c>
      <c r="E72" s="232">
        <v>0.44900000000000001</v>
      </c>
      <c r="F72" s="232">
        <v>-47</v>
      </c>
      <c r="G72" s="232">
        <v>4.33</v>
      </c>
      <c r="H72" s="243">
        <v>5.29</v>
      </c>
      <c r="I72" s="232">
        <v>113</v>
      </c>
      <c r="J72" s="232">
        <v>52</v>
      </c>
      <c r="K72" s="232">
        <v>61</v>
      </c>
      <c r="L72" s="232">
        <v>0.45800000000000002</v>
      </c>
      <c r="M72" s="232">
        <v>-45</v>
      </c>
      <c r="N72" s="232">
        <v>4.18</v>
      </c>
      <c r="O72" s="243">
        <v>4.58</v>
      </c>
      <c r="P72" s="232">
        <v>74</v>
      </c>
      <c r="Q72" s="232">
        <v>88</v>
      </c>
      <c r="R72" s="232">
        <v>0.45500000000000002</v>
      </c>
      <c r="S72" s="232">
        <v>-92</v>
      </c>
      <c r="T72" s="232">
        <v>4.2300000000000004</v>
      </c>
      <c r="U72" s="232">
        <v>4.79</v>
      </c>
    </row>
    <row r="73" spans="1:21" ht="19.5" customHeight="1">
      <c r="A73" s="242" t="s">
        <v>768</v>
      </c>
      <c r="B73" s="232">
        <v>48</v>
      </c>
      <c r="C73" s="232">
        <v>19</v>
      </c>
      <c r="D73" s="232">
        <v>29</v>
      </c>
      <c r="E73" s="232">
        <v>0.39600000000000002</v>
      </c>
      <c r="F73" s="232">
        <v>-79</v>
      </c>
      <c r="G73" s="232">
        <v>4.0999999999999996</v>
      </c>
      <c r="H73" s="243">
        <v>5.75</v>
      </c>
      <c r="I73" s="232">
        <v>114</v>
      </c>
      <c r="J73" s="232">
        <v>50</v>
      </c>
      <c r="K73" s="232">
        <v>64</v>
      </c>
      <c r="L73" s="232">
        <v>0.441</v>
      </c>
      <c r="M73" s="232">
        <v>-63</v>
      </c>
      <c r="N73" s="232">
        <v>4.12</v>
      </c>
      <c r="O73" s="243">
        <v>4.67</v>
      </c>
      <c r="P73" s="232">
        <v>69</v>
      </c>
      <c r="Q73" s="232">
        <v>93</v>
      </c>
      <c r="R73" s="232">
        <v>0.42799999999999999</v>
      </c>
      <c r="S73" s="232">
        <v>-142</v>
      </c>
      <c r="T73" s="232">
        <v>4.1100000000000003</v>
      </c>
      <c r="U73" s="232">
        <v>4.99</v>
      </c>
    </row>
    <row r="74" spans="1:21" ht="19.5" customHeight="1">
      <c r="A74" s="236"/>
    </row>
    <row r="75" spans="1:21" ht="19.5" customHeight="1">
      <c r="A75" s="236"/>
    </row>
    <row r="76" spans="1:21" ht="19.5" customHeight="1">
      <c r="A76" s="237" t="s">
        <v>1074</v>
      </c>
    </row>
    <row r="77" spans="1:21" ht="19.5" customHeight="1">
      <c r="A77" s="238"/>
      <c r="B77" s="408" t="s">
        <v>1060</v>
      </c>
      <c r="C77" s="409"/>
      <c r="D77" s="409"/>
      <c r="E77" s="409"/>
      <c r="F77" s="409"/>
      <c r="G77" s="409"/>
      <c r="H77" s="410"/>
      <c r="I77" s="408" t="s">
        <v>1069</v>
      </c>
      <c r="J77" s="409"/>
      <c r="K77" s="409"/>
      <c r="L77" s="409"/>
      <c r="M77" s="409"/>
      <c r="N77" s="409"/>
      <c r="O77" s="410"/>
      <c r="P77" s="411" t="s">
        <v>1070</v>
      </c>
      <c r="Q77" s="409"/>
      <c r="R77" s="409"/>
      <c r="S77" s="409"/>
      <c r="T77" s="409"/>
      <c r="U77" s="412"/>
    </row>
    <row r="78" spans="1:21" ht="19.5" customHeight="1">
      <c r="A78" s="239" t="s">
        <v>9</v>
      </c>
      <c r="B78" s="240" t="s">
        <v>937</v>
      </c>
      <c r="C78" s="240" t="s">
        <v>350</v>
      </c>
      <c r="D78" s="240" t="s">
        <v>311</v>
      </c>
      <c r="E78" s="240" t="s">
        <v>1063</v>
      </c>
      <c r="F78" s="240" t="s">
        <v>1064</v>
      </c>
      <c r="G78" s="240" t="s">
        <v>1065</v>
      </c>
      <c r="H78" s="241" t="s">
        <v>1066</v>
      </c>
      <c r="I78" s="240" t="s">
        <v>937</v>
      </c>
      <c r="J78" s="240" t="s">
        <v>350</v>
      </c>
      <c r="K78" s="240" t="s">
        <v>311</v>
      </c>
      <c r="L78" s="240" t="s">
        <v>1063</v>
      </c>
      <c r="M78" s="240" t="s">
        <v>1064</v>
      </c>
      <c r="N78" s="240" t="s">
        <v>1065</v>
      </c>
      <c r="O78" s="241" t="s">
        <v>1066</v>
      </c>
      <c r="P78" s="240" t="s">
        <v>350</v>
      </c>
      <c r="Q78" s="240" t="s">
        <v>311</v>
      </c>
      <c r="R78" s="240" t="s">
        <v>1063</v>
      </c>
      <c r="S78" s="240" t="s">
        <v>1064</v>
      </c>
      <c r="T78" s="240" t="s">
        <v>1065</v>
      </c>
      <c r="U78" s="240" t="s">
        <v>1066</v>
      </c>
    </row>
    <row r="79" spans="1:21" ht="19.5" customHeight="1">
      <c r="A79" s="242" t="s">
        <v>760</v>
      </c>
      <c r="B79" s="232">
        <v>50</v>
      </c>
      <c r="C79" s="232">
        <v>30</v>
      </c>
      <c r="D79" s="232">
        <v>20</v>
      </c>
      <c r="E79" s="232">
        <v>0.6</v>
      </c>
      <c r="F79" s="232">
        <v>83</v>
      </c>
      <c r="G79" s="232">
        <v>5.86</v>
      </c>
      <c r="H79" s="243">
        <v>4.2</v>
      </c>
      <c r="I79" s="232">
        <v>112</v>
      </c>
      <c r="J79" s="232">
        <v>58</v>
      </c>
      <c r="K79" s="232">
        <v>54</v>
      </c>
      <c r="L79" s="232">
        <v>0.52</v>
      </c>
      <c r="M79" s="232">
        <v>22</v>
      </c>
      <c r="N79" s="232">
        <v>4.6100000000000003</v>
      </c>
      <c r="O79" s="243">
        <v>4.42</v>
      </c>
      <c r="P79" s="232">
        <v>88</v>
      </c>
      <c r="Q79" s="232">
        <v>74</v>
      </c>
      <c r="R79" s="232">
        <v>0.54500000000000004</v>
      </c>
      <c r="S79" s="232">
        <v>105</v>
      </c>
      <c r="T79" s="232">
        <v>5</v>
      </c>
      <c r="U79" s="232">
        <v>4.3499999999999996</v>
      </c>
    </row>
    <row r="80" spans="1:21" ht="19.5" customHeight="1">
      <c r="A80" s="242" t="s">
        <v>759</v>
      </c>
      <c r="B80" s="232">
        <v>50</v>
      </c>
      <c r="C80" s="232">
        <v>27</v>
      </c>
      <c r="D80" s="232">
        <v>23</v>
      </c>
      <c r="E80" s="232">
        <v>0.54</v>
      </c>
      <c r="F80" s="232">
        <v>40</v>
      </c>
      <c r="G80" s="232">
        <v>4.8</v>
      </c>
      <c r="H80" s="243">
        <v>4</v>
      </c>
      <c r="I80" s="232">
        <v>112</v>
      </c>
      <c r="J80" s="232">
        <v>55</v>
      </c>
      <c r="K80" s="232">
        <v>57</v>
      </c>
      <c r="L80" s="232">
        <v>0.495</v>
      </c>
      <c r="M80" s="232">
        <v>-6</v>
      </c>
      <c r="N80" s="232">
        <v>4.3099999999999996</v>
      </c>
      <c r="O80" s="243">
        <v>4.3600000000000003</v>
      </c>
      <c r="P80" s="232">
        <v>82</v>
      </c>
      <c r="Q80" s="232">
        <v>80</v>
      </c>
      <c r="R80" s="232">
        <v>0.50900000000000001</v>
      </c>
      <c r="S80" s="232">
        <v>34</v>
      </c>
      <c r="T80" s="232">
        <v>4.46</v>
      </c>
      <c r="U80" s="232">
        <v>4.25</v>
      </c>
    </row>
    <row r="81" spans="1:21" ht="19.5" customHeight="1">
      <c r="A81" s="242" t="s">
        <v>757</v>
      </c>
      <c r="B81" s="232">
        <v>50</v>
      </c>
      <c r="C81" s="232">
        <v>24</v>
      </c>
      <c r="D81" s="232">
        <v>26</v>
      </c>
      <c r="E81" s="232">
        <v>0.48</v>
      </c>
      <c r="F81" s="232">
        <v>-7</v>
      </c>
      <c r="G81" s="232">
        <v>4.24</v>
      </c>
      <c r="H81" s="243">
        <v>4.38</v>
      </c>
      <c r="I81" s="232">
        <v>112</v>
      </c>
      <c r="J81" s="232">
        <v>56</v>
      </c>
      <c r="K81" s="232">
        <v>56</v>
      </c>
      <c r="L81" s="232">
        <v>0.498</v>
      </c>
      <c r="M81" s="232">
        <v>-2</v>
      </c>
      <c r="N81" s="232">
        <v>4.33</v>
      </c>
      <c r="O81" s="243">
        <v>4.3499999999999996</v>
      </c>
      <c r="P81" s="232">
        <v>80</v>
      </c>
      <c r="Q81" s="232">
        <v>82</v>
      </c>
      <c r="R81" s="232">
        <v>0.49299999999999999</v>
      </c>
      <c r="S81" s="232">
        <v>-9</v>
      </c>
      <c r="T81" s="232">
        <v>4.3</v>
      </c>
      <c r="U81" s="232">
        <v>4.3600000000000003</v>
      </c>
    </row>
    <row r="82" spans="1:21" ht="19.5" customHeight="1">
      <c r="A82" s="242" t="s">
        <v>781</v>
      </c>
      <c r="B82" s="232">
        <v>51</v>
      </c>
      <c r="C82" s="232">
        <v>25</v>
      </c>
      <c r="D82" s="232">
        <v>26</v>
      </c>
      <c r="E82" s="232">
        <v>0.49</v>
      </c>
      <c r="F82" s="232">
        <v>33</v>
      </c>
      <c r="G82" s="232">
        <v>4.47</v>
      </c>
      <c r="H82" s="243">
        <v>3.82</v>
      </c>
      <c r="I82" s="232">
        <v>111</v>
      </c>
      <c r="J82" s="232">
        <v>53</v>
      </c>
      <c r="K82" s="232">
        <v>58</v>
      </c>
      <c r="L82" s="232">
        <v>0.47899999999999998</v>
      </c>
      <c r="M82" s="232">
        <v>-23</v>
      </c>
      <c r="N82" s="232">
        <v>4.45</v>
      </c>
      <c r="O82" s="243">
        <v>4.6500000000000004</v>
      </c>
      <c r="P82" s="232">
        <v>78</v>
      </c>
      <c r="Q82" s="232">
        <v>84</v>
      </c>
      <c r="R82" s="232">
        <v>0.48199999999999998</v>
      </c>
      <c r="S82" s="232">
        <v>10</v>
      </c>
      <c r="T82" s="232">
        <v>4.46</v>
      </c>
      <c r="U82" s="232">
        <v>4.3899999999999997</v>
      </c>
    </row>
    <row r="83" spans="1:21" ht="19.5" customHeight="1">
      <c r="A83" s="242" t="s">
        <v>776</v>
      </c>
      <c r="B83" s="232">
        <v>50</v>
      </c>
      <c r="C83" s="232">
        <v>17</v>
      </c>
      <c r="D83" s="232">
        <v>33</v>
      </c>
      <c r="E83" s="232">
        <v>0.34</v>
      </c>
      <c r="F83" s="232">
        <v>-65</v>
      </c>
      <c r="G83" s="232">
        <v>2.92</v>
      </c>
      <c r="H83" s="243">
        <v>4.22</v>
      </c>
      <c r="I83" s="232">
        <v>112</v>
      </c>
      <c r="J83" s="232">
        <v>53</v>
      </c>
      <c r="K83" s="232">
        <v>59</v>
      </c>
      <c r="L83" s="232">
        <v>0.47599999999999998</v>
      </c>
      <c r="M83" s="232">
        <v>-25</v>
      </c>
      <c r="N83" s="232">
        <v>4.16</v>
      </c>
      <c r="O83" s="243">
        <v>4.3899999999999997</v>
      </c>
      <c r="P83" s="232">
        <v>70</v>
      </c>
      <c r="Q83" s="232">
        <v>92</v>
      </c>
      <c r="R83" s="232">
        <v>0.434</v>
      </c>
      <c r="S83" s="232">
        <v>-90</v>
      </c>
      <c r="T83" s="232">
        <v>3.78</v>
      </c>
      <c r="U83" s="232">
        <v>4.34</v>
      </c>
    </row>
    <row r="84" spans="1:21" ht="19.5" customHeight="1">
      <c r="A84" s="236"/>
    </row>
    <row r="85" spans="1:21" ht="19.5" customHeight="1">
      <c r="A85" s="236"/>
    </row>
    <row r="86" spans="1:21" ht="19.5" customHeight="1">
      <c r="A86" s="237" t="s">
        <v>1075</v>
      </c>
    </row>
    <row r="87" spans="1:21" ht="19.5" customHeight="1">
      <c r="A87" s="238"/>
      <c r="B87" s="408" t="s">
        <v>1060</v>
      </c>
      <c r="C87" s="409"/>
      <c r="D87" s="409"/>
      <c r="E87" s="409"/>
      <c r="F87" s="409"/>
      <c r="G87" s="409"/>
      <c r="H87" s="410"/>
      <c r="I87" s="408" t="s">
        <v>1069</v>
      </c>
      <c r="J87" s="409"/>
      <c r="K87" s="409"/>
      <c r="L87" s="409"/>
      <c r="M87" s="409"/>
      <c r="N87" s="409"/>
      <c r="O87" s="410"/>
      <c r="P87" s="411" t="s">
        <v>1070</v>
      </c>
      <c r="Q87" s="409"/>
      <c r="R87" s="409"/>
      <c r="S87" s="409"/>
      <c r="T87" s="409"/>
      <c r="U87" s="412"/>
    </row>
    <row r="88" spans="1:21" ht="19.5" customHeight="1">
      <c r="A88" s="239" t="s">
        <v>9</v>
      </c>
      <c r="B88" s="240" t="s">
        <v>937</v>
      </c>
      <c r="C88" s="240" t="s">
        <v>350</v>
      </c>
      <c r="D88" s="240" t="s">
        <v>311</v>
      </c>
      <c r="E88" s="240" t="s">
        <v>1063</v>
      </c>
      <c r="F88" s="240" t="s">
        <v>1064</v>
      </c>
      <c r="G88" s="240" t="s">
        <v>1065</v>
      </c>
      <c r="H88" s="241" t="s">
        <v>1066</v>
      </c>
      <c r="I88" s="240" t="s">
        <v>937</v>
      </c>
      <c r="J88" s="240" t="s">
        <v>350</v>
      </c>
      <c r="K88" s="240" t="s">
        <v>311</v>
      </c>
      <c r="L88" s="240" t="s">
        <v>1063</v>
      </c>
      <c r="M88" s="240" t="s">
        <v>1064</v>
      </c>
      <c r="N88" s="240" t="s">
        <v>1065</v>
      </c>
      <c r="O88" s="241" t="s">
        <v>1066</v>
      </c>
      <c r="P88" s="240" t="s">
        <v>350</v>
      </c>
      <c r="Q88" s="240" t="s">
        <v>311</v>
      </c>
      <c r="R88" s="240" t="s">
        <v>1063</v>
      </c>
      <c r="S88" s="240" t="s">
        <v>1064</v>
      </c>
      <c r="T88" s="240" t="s">
        <v>1065</v>
      </c>
      <c r="U88" s="240" t="s">
        <v>1066</v>
      </c>
    </row>
    <row r="89" spans="1:21" ht="19.5" customHeight="1">
      <c r="A89" s="242" t="s">
        <v>763</v>
      </c>
      <c r="B89" s="232">
        <v>50</v>
      </c>
      <c r="C89" s="232">
        <v>31</v>
      </c>
      <c r="D89" s="232">
        <v>19</v>
      </c>
      <c r="E89" s="232">
        <v>0.62</v>
      </c>
      <c r="F89" s="232">
        <v>62</v>
      </c>
      <c r="G89" s="232">
        <v>5.68</v>
      </c>
      <c r="H89" s="243">
        <v>4.4400000000000004</v>
      </c>
      <c r="I89" s="232">
        <v>112</v>
      </c>
      <c r="J89" s="232">
        <v>66</v>
      </c>
      <c r="K89" s="232">
        <v>46</v>
      </c>
      <c r="L89" s="232">
        <v>0.58899999999999997</v>
      </c>
      <c r="M89" s="232">
        <v>97</v>
      </c>
      <c r="N89" s="232">
        <v>4.99</v>
      </c>
      <c r="O89" s="243">
        <v>4.13</v>
      </c>
      <c r="P89" s="232">
        <v>97</v>
      </c>
      <c r="Q89" s="232">
        <v>65</v>
      </c>
      <c r="R89" s="232">
        <v>0.59799999999999998</v>
      </c>
      <c r="S89" s="232">
        <v>159</v>
      </c>
      <c r="T89" s="232">
        <v>5.2</v>
      </c>
      <c r="U89" s="232">
        <v>4.22</v>
      </c>
    </row>
    <row r="90" spans="1:21" ht="19.5" customHeight="1">
      <c r="A90" s="242" t="s">
        <v>764</v>
      </c>
      <c r="B90" s="232">
        <v>50</v>
      </c>
      <c r="C90" s="232">
        <v>29</v>
      </c>
      <c r="D90" s="232">
        <v>21</v>
      </c>
      <c r="E90" s="232">
        <v>0.57999999999999996</v>
      </c>
      <c r="F90" s="232">
        <v>42</v>
      </c>
      <c r="G90" s="232">
        <v>4.5999999999999996</v>
      </c>
      <c r="H90" s="243">
        <v>3.76</v>
      </c>
      <c r="I90" s="232">
        <v>112</v>
      </c>
      <c r="J90" s="232">
        <v>58</v>
      </c>
      <c r="K90" s="232">
        <v>54</v>
      </c>
      <c r="L90" s="232">
        <v>0.51800000000000002</v>
      </c>
      <c r="M90" s="232">
        <v>18</v>
      </c>
      <c r="N90" s="232">
        <v>4.26</v>
      </c>
      <c r="O90" s="243">
        <v>4.0999999999999996</v>
      </c>
      <c r="P90" s="232">
        <v>87</v>
      </c>
      <c r="Q90" s="232">
        <v>75</v>
      </c>
      <c r="R90" s="232">
        <v>0.53700000000000003</v>
      </c>
      <c r="S90" s="232">
        <v>60</v>
      </c>
      <c r="T90" s="232">
        <v>4.3600000000000003</v>
      </c>
      <c r="U90" s="232">
        <v>3.99</v>
      </c>
    </row>
    <row r="91" spans="1:21" ht="19.5" customHeight="1">
      <c r="A91" s="242" t="s">
        <v>773</v>
      </c>
      <c r="B91" s="232">
        <v>47</v>
      </c>
      <c r="C91" s="232">
        <v>27</v>
      </c>
      <c r="D91" s="232">
        <v>20</v>
      </c>
      <c r="E91" s="232">
        <v>0.57399999999999995</v>
      </c>
      <c r="F91" s="232">
        <v>21</v>
      </c>
      <c r="G91" s="232">
        <v>4.2300000000000004</v>
      </c>
      <c r="H91" s="243">
        <v>3.79</v>
      </c>
      <c r="I91" s="232">
        <v>115</v>
      </c>
      <c r="J91" s="232">
        <v>59</v>
      </c>
      <c r="K91" s="232">
        <v>56</v>
      </c>
      <c r="L91" s="232">
        <v>0.51300000000000001</v>
      </c>
      <c r="M91" s="232">
        <v>13</v>
      </c>
      <c r="N91" s="232">
        <v>4.3499999999999996</v>
      </c>
      <c r="O91" s="243">
        <v>4.24</v>
      </c>
      <c r="P91" s="232">
        <v>86</v>
      </c>
      <c r="Q91" s="232">
        <v>76</v>
      </c>
      <c r="R91" s="232">
        <v>0.53</v>
      </c>
      <c r="S91" s="232">
        <v>34</v>
      </c>
      <c r="T91" s="232">
        <v>4.32</v>
      </c>
      <c r="U91" s="232">
        <v>4.1100000000000003</v>
      </c>
    </row>
    <row r="92" spans="1:21" ht="19.5" customHeight="1">
      <c r="A92" s="242" t="s">
        <v>761</v>
      </c>
      <c r="B92" s="232">
        <v>50</v>
      </c>
      <c r="C92" s="232">
        <v>26</v>
      </c>
      <c r="D92" s="232">
        <v>24</v>
      </c>
      <c r="E92" s="232">
        <v>0.52</v>
      </c>
      <c r="F92" s="232">
        <v>4</v>
      </c>
      <c r="G92" s="232">
        <v>5.12</v>
      </c>
      <c r="H92" s="243">
        <v>5.04</v>
      </c>
      <c r="I92" s="232">
        <v>112</v>
      </c>
      <c r="J92" s="232">
        <v>60</v>
      </c>
      <c r="K92" s="232">
        <v>52</v>
      </c>
      <c r="L92" s="232">
        <v>0.53300000000000003</v>
      </c>
      <c r="M92" s="232">
        <v>35</v>
      </c>
      <c r="N92" s="232">
        <v>4.63</v>
      </c>
      <c r="O92" s="243">
        <v>4.3099999999999996</v>
      </c>
      <c r="P92" s="232">
        <v>86</v>
      </c>
      <c r="Q92" s="232">
        <v>76</v>
      </c>
      <c r="R92" s="232">
        <v>0.52900000000000003</v>
      </c>
      <c r="S92" s="232">
        <v>39</v>
      </c>
      <c r="T92" s="232">
        <v>4.78</v>
      </c>
      <c r="U92" s="232">
        <v>4.54</v>
      </c>
    </row>
    <row r="93" spans="1:21" ht="19.5" customHeight="1">
      <c r="A93" s="242" t="s">
        <v>782</v>
      </c>
      <c r="B93" s="232">
        <v>49</v>
      </c>
      <c r="C93" s="232">
        <v>8</v>
      </c>
      <c r="D93" s="232">
        <v>41</v>
      </c>
      <c r="E93" s="232">
        <v>0.16300000000000001</v>
      </c>
      <c r="F93" s="232">
        <v>-157</v>
      </c>
      <c r="G93" s="232">
        <v>3.35</v>
      </c>
      <c r="H93" s="243">
        <v>6.55</v>
      </c>
      <c r="I93" s="232">
        <v>113</v>
      </c>
      <c r="J93" s="232">
        <v>45</v>
      </c>
      <c r="K93" s="232">
        <v>68</v>
      </c>
      <c r="L93" s="232">
        <v>0.39600000000000002</v>
      </c>
      <c r="M93" s="232">
        <v>-119</v>
      </c>
      <c r="N93" s="232">
        <v>4.2300000000000004</v>
      </c>
      <c r="O93" s="243">
        <v>5.28</v>
      </c>
      <c r="P93" s="232">
        <v>53</v>
      </c>
      <c r="Q93" s="232">
        <v>109</v>
      </c>
      <c r="R93" s="232">
        <v>0.32500000000000001</v>
      </c>
      <c r="S93" s="232">
        <v>-276</v>
      </c>
      <c r="T93" s="232">
        <v>3.96</v>
      </c>
      <c r="U93" s="232">
        <v>5.67</v>
      </c>
    </row>
    <row r="94" spans="1:21" ht="19.5" customHeight="1">
      <c r="A94" s="236"/>
    </row>
  </sheetData>
  <mergeCells count="21">
    <mergeCell ref="B47:H47"/>
    <mergeCell ref="I77:O77"/>
    <mergeCell ref="I2:L2"/>
    <mergeCell ref="P47:U47"/>
    <mergeCell ref="P87:U87"/>
    <mergeCell ref="B77:H77"/>
    <mergeCell ref="I57:O57"/>
    <mergeCell ref="M2:S2"/>
    <mergeCell ref="B2:H2"/>
    <mergeCell ref="I47:O47"/>
    <mergeCell ref="B67:H67"/>
    <mergeCell ref="I37:O37"/>
    <mergeCell ref="B57:H57"/>
    <mergeCell ref="I87:O87"/>
    <mergeCell ref="B87:H87"/>
    <mergeCell ref="B37:H37"/>
    <mergeCell ref="I67:O67"/>
    <mergeCell ref="P67:U67"/>
    <mergeCell ref="P77:U77"/>
    <mergeCell ref="P57:U57"/>
    <mergeCell ref="P37:U37"/>
  </mergeCells>
  <hyperlinks>
    <hyperlink ref="A4" r:id="rId1" xr:uid="{00000000-0004-0000-2E00-000000000000}"/>
    <hyperlink ref="A5" r:id="rId2" xr:uid="{00000000-0004-0000-2E00-000001000000}"/>
    <hyperlink ref="A6" r:id="rId3" xr:uid="{00000000-0004-0000-2E00-000002000000}"/>
    <hyperlink ref="A7" r:id="rId4" xr:uid="{00000000-0004-0000-2E00-000003000000}"/>
    <hyperlink ref="A8" r:id="rId5" xr:uid="{00000000-0004-0000-2E00-000004000000}"/>
    <hyperlink ref="A9" r:id="rId6" xr:uid="{00000000-0004-0000-2E00-000005000000}"/>
    <hyperlink ref="A10" r:id="rId7" xr:uid="{00000000-0004-0000-2E00-000006000000}"/>
    <hyperlink ref="A11" r:id="rId8" xr:uid="{00000000-0004-0000-2E00-000007000000}"/>
    <hyperlink ref="A12" r:id="rId9" xr:uid="{00000000-0004-0000-2E00-000008000000}"/>
    <hyperlink ref="A13" r:id="rId10" xr:uid="{00000000-0004-0000-2E00-000009000000}"/>
    <hyperlink ref="A14" r:id="rId11" xr:uid="{00000000-0004-0000-2E00-00000A000000}"/>
    <hyperlink ref="A15" r:id="rId12" xr:uid="{00000000-0004-0000-2E00-00000B000000}"/>
    <hyperlink ref="A16" r:id="rId13" xr:uid="{00000000-0004-0000-2E00-00000C000000}"/>
    <hyperlink ref="A17" r:id="rId14" xr:uid="{00000000-0004-0000-2E00-00000D000000}"/>
    <hyperlink ref="A18" r:id="rId15" xr:uid="{00000000-0004-0000-2E00-00000E000000}"/>
    <hyperlink ref="A19" r:id="rId16" xr:uid="{00000000-0004-0000-2E00-00000F000000}"/>
    <hyperlink ref="A20" r:id="rId17" xr:uid="{00000000-0004-0000-2E00-000010000000}"/>
    <hyperlink ref="A21" r:id="rId18" xr:uid="{00000000-0004-0000-2E00-000011000000}"/>
    <hyperlink ref="A22" r:id="rId19" xr:uid="{00000000-0004-0000-2E00-000012000000}"/>
    <hyperlink ref="A23" r:id="rId20" xr:uid="{00000000-0004-0000-2E00-000013000000}"/>
    <hyperlink ref="A24" r:id="rId21" xr:uid="{00000000-0004-0000-2E00-000014000000}"/>
    <hyperlink ref="A25" r:id="rId22" xr:uid="{00000000-0004-0000-2E00-000015000000}"/>
    <hyperlink ref="A26" r:id="rId23" xr:uid="{00000000-0004-0000-2E00-000016000000}"/>
    <hyperlink ref="A27" r:id="rId24" xr:uid="{00000000-0004-0000-2E00-000017000000}"/>
    <hyperlink ref="A28" r:id="rId25" xr:uid="{00000000-0004-0000-2E00-000018000000}"/>
    <hyperlink ref="A29" r:id="rId26" xr:uid="{00000000-0004-0000-2E00-000019000000}"/>
    <hyperlink ref="A30" r:id="rId27" xr:uid="{00000000-0004-0000-2E00-00001A000000}"/>
    <hyperlink ref="A31" r:id="rId28" xr:uid="{00000000-0004-0000-2E00-00001B000000}"/>
    <hyperlink ref="A32" r:id="rId29" xr:uid="{00000000-0004-0000-2E00-00001C000000}"/>
    <hyperlink ref="A33" r:id="rId30" xr:uid="{00000000-0004-0000-2E00-00001D000000}"/>
    <hyperlink ref="A36" r:id="rId31" location="AL-E" xr:uid="{00000000-0004-0000-2E00-00001E000000}"/>
    <hyperlink ref="A39" r:id="rId32" xr:uid="{00000000-0004-0000-2E00-00001F000000}"/>
    <hyperlink ref="A40" r:id="rId33" xr:uid="{00000000-0004-0000-2E00-000020000000}"/>
    <hyperlink ref="A41" r:id="rId34" xr:uid="{00000000-0004-0000-2E00-000021000000}"/>
    <hyperlink ref="A42" r:id="rId35" xr:uid="{00000000-0004-0000-2E00-000022000000}"/>
    <hyperlink ref="A43" r:id="rId36" xr:uid="{00000000-0004-0000-2E00-000023000000}"/>
    <hyperlink ref="A46" r:id="rId37" location="AL-C" xr:uid="{00000000-0004-0000-2E00-000024000000}"/>
    <hyperlink ref="A49" r:id="rId38" xr:uid="{00000000-0004-0000-2E00-000025000000}"/>
    <hyperlink ref="A50" r:id="rId39" xr:uid="{00000000-0004-0000-2E00-000026000000}"/>
    <hyperlink ref="A51" r:id="rId40" xr:uid="{00000000-0004-0000-2E00-000027000000}"/>
    <hyperlink ref="A52" r:id="rId41" xr:uid="{00000000-0004-0000-2E00-000028000000}"/>
    <hyperlink ref="A53" r:id="rId42" xr:uid="{00000000-0004-0000-2E00-000029000000}"/>
    <hyperlink ref="A56" r:id="rId43" location="AL-W" xr:uid="{00000000-0004-0000-2E00-00002A000000}"/>
    <hyperlink ref="A59" r:id="rId44" xr:uid="{00000000-0004-0000-2E00-00002B000000}"/>
    <hyperlink ref="A60" r:id="rId45" xr:uid="{00000000-0004-0000-2E00-00002C000000}"/>
    <hyperlink ref="A61" r:id="rId46" xr:uid="{00000000-0004-0000-2E00-00002D000000}"/>
    <hyperlink ref="A62" r:id="rId47" xr:uid="{00000000-0004-0000-2E00-00002E000000}"/>
    <hyperlink ref="A63" r:id="rId48" xr:uid="{00000000-0004-0000-2E00-00002F000000}"/>
    <hyperlink ref="A66" r:id="rId49" location="NL-E" xr:uid="{00000000-0004-0000-2E00-000030000000}"/>
    <hyperlink ref="A69" r:id="rId50" xr:uid="{00000000-0004-0000-2E00-000031000000}"/>
    <hyperlink ref="A70" r:id="rId51" xr:uid="{00000000-0004-0000-2E00-000032000000}"/>
    <hyperlink ref="A71" r:id="rId52" xr:uid="{00000000-0004-0000-2E00-000033000000}"/>
    <hyperlink ref="A72" r:id="rId53" xr:uid="{00000000-0004-0000-2E00-000034000000}"/>
    <hyperlink ref="A73" r:id="rId54" xr:uid="{00000000-0004-0000-2E00-000035000000}"/>
    <hyperlink ref="A76" r:id="rId55" location="NL-C" xr:uid="{00000000-0004-0000-2E00-000036000000}"/>
    <hyperlink ref="A79" r:id="rId56" xr:uid="{00000000-0004-0000-2E00-000037000000}"/>
    <hyperlink ref="A80" r:id="rId57" xr:uid="{00000000-0004-0000-2E00-000038000000}"/>
    <hyperlink ref="A81" r:id="rId58" xr:uid="{00000000-0004-0000-2E00-000039000000}"/>
    <hyperlink ref="A82" r:id="rId59" xr:uid="{00000000-0004-0000-2E00-00003A000000}"/>
    <hyperlink ref="A83" r:id="rId60" xr:uid="{00000000-0004-0000-2E00-00003B000000}"/>
    <hyperlink ref="A86" r:id="rId61" location="NL-W" xr:uid="{00000000-0004-0000-2E00-00003C000000}"/>
    <hyperlink ref="A89" r:id="rId62" xr:uid="{00000000-0004-0000-2E00-00003D000000}"/>
    <hyperlink ref="A90" r:id="rId63" xr:uid="{00000000-0004-0000-2E00-00003E000000}"/>
    <hyperlink ref="A91" r:id="rId64" xr:uid="{00000000-0004-0000-2E00-00003F000000}"/>
    <hyperlink ref="A92" r:id="rId65" xr:uid="{00000000-0004-0000-2E00-000040000000}"/>
    <hyperlink ref="A93" r:id="rId66" xr:uid="{00000000-0004-0000-2E00-000041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AD1000"/>
  <sheetViews>
    <sheetView workbookViewId="0">
      <selection activeCell="A5" sqref="A5"/>
    </sheetView>
  </sheetViews>
  <sheetFormatPr defaultColWidth="12.5703125" defaultRowHeight="15" customHeight="1"/>
  <sheetData>
    <row r="1" spans="1:30">
      <c r="A1" s="244" t="s">
        <v>1076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</row>
    <row r="2" spans="1:30">
      <c r="A2" s="245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</row>
    <row r="3" spans="1:30">
      <c r="A3" s="245"/>
      <c r="B3" s="246" t="s">
        <v>1077</v>
      </c>
      <c r="C3" s="247" t="s">
        <v>937</v>
      </c>
      <c r="D3" s="247" t="s">
        <v>938</v>
      </c>
      <c r="E3" s="247" t="s">
        <v>1038</v>
      </c>
      <c r="F3" s="247" t="s">
        <v>1078</v>
      </c>
      <c r="G3" s="247" t="s">
        <v>310</v>
      </c>
      <c r="H3" s="247" t="s">
        <v>739</v>
      </c>
      <c r="I3" s="247" t="s">
        <v>1079</v>
      </c>
      <c r="J3" s="247" t="s">
        <v>1080</v>
      </c>
      <c r="K3" s="247" t="s">
        <v>1081</v>
      </c>
      <c r="L3" s="247" t="s">
        <v>1082</v>
      </c>
      <c r="M3" s="247" t="s">
        <v>1083</v>
      </c>
      <c r="N3" s="247" t="s">
        <v>1084</v>
      </c>
      <c r="O3" s="247" t="s">
        <v>1085</v>
      </c>
      <c r="P3" s="247" t="s">
        <v>1086</v>
      </c>
      <c r="Q3" s="247" t="s">
        <v>1087</v>
      </c>
      <c r="R3" s="247" t="s">
        <v>1040</v>
      </c>
      <c r="S3" s="247" t="s">
        <v>1041</v>
      </c>
      <c r="T3" s="247" t="s">
        <v>1042</v>
      </c>
      <c r="U3" s="247" t="s">
        <v>779</v>
      </c>
      <c r="V3" s="247" t="s">
        <v>1088</v>
      </c>
      <c r="W3" s="247" t="s">
        <v>1089</v>
      </c>
      <c r="X3" s="247" t="s">
        <v>1090</v>
      </c>
      <c r="Y3" s="247" t="s">
        <v>765</v>
      </c>
      <c r="Z3" s="247" t="s">
        <v>1091</v>
      </c>
      <c r="AA3" s="247" t="s">
        <v>1092</v>
      </c>
      <c r="AB3" s="247" t="s">
        <v>1093</v>
      </c>
      <c r="AC3" s="247" t="s">
        <v>1094</v>
      </c>
      <c r="AD3" s="247" t="s">
        <v>1095</v>
      </c>
    </row>
    <row r="4" spans="1:30">
      <c r="A4" s="245"/>
      <c r="B4" s="248" t="s">
        <v>1096</v>
      </c>
      <c r="C4" s="249">
        <v>4860</v>
      </c>
      <c r="D4" s="249"/>
      <c r="E4" s="249">
        <v>20797</v>
      </c>
      <c r="F4" s="249">
        <v>18640</v>
      </c>
      <c r="G4" s="249">
        <v>2586</v>
      </c>
      <c r="H4" s="249">
        <v>4719</v>
      </c>
      <c r="I4" s="249">
        <v>906</v>
      </c>
      <c r="J4" s="249">
        <v>63</v>
      </c>
      <c r="K4" s="249">
        <v>774</v>
      </c>
      <c r="L4" s="249">
        <v>2489</v>
      </c>
      <c r="M4" s="249">
        <v>407</v>
      </c>
      <c r="N4" s="249">
        <v>129</v>
      </c>
      <c r="O4" s="249">
        <v>1776</v>
      </c>
      <c r="P4" s="249">
        <v>4828</v>
      </c>
      <c r="Q4" s="249">
        <v>0.253</v>
      </c>
      <c r="R4" s="249">
        <v>0.32200000000000001</v>
      </c>
      <c r="S4" s="249">
        <v>0.433</v>
      </c>
      <c r="T4" s="249">
        <v>0.75600000000000001</v>
      </c>
      <c r="U4" s="249">
        <v>8073</v>
      </c>
      <c r="V4" s="249">
        <v>369</v>
      </c>
      <c r="W4" s="249">
        <v>203</v>
      </c>
      <c r="X4" s="249">
        <v>17</v>
      </c>
      <c r="Y4" s="249">
        <v>152</v>
      </c>
      <c r="Z4" s="249">
        <v>4</v>
      </c>
      <c r="AA4" s="249">
        <v>111</v>
      </c>
      <c r="AB4" s="249">
        <v>0.29899999999999999</v>
      </c>
      <c r="AC4" s="249">
        <v>109</v>
      </c>
      <c r="AD4" s="249">
        <v>100</v>
      </c>
    </row>
    <row r="5" spans="1:30">
      <c r="A5" s="245"/>
      <c r="B5" s="248" t="s">
        <v>1097</v>
      </c>
      <c r="C5" s="249">
        <v>4860</v>
      </c>
      <c r="D5" s="249"/>
      <c r="E5" s="249">
        <v>20190</v>
      </c>
      <c r="F5" s="249">
        <v>18233</v>
      </c>
      <c r="G5" s="249">
        <v>2174</v>
      </c>
      <c r="H5" s="249">
        <v>4293</v>
      </c>
      <c r="I5" s="249">
        <v>819</v>
      </c>
      <c r="J5" s="249">
        <v>64</v>
      </c>
      <c r="K5" s="249">
        <v>601</v>
      </c>
      <c r="L5" s="249">
        <v>2085</v>
      </c>
      <c r="M5" s="249">
        <v>359</v>
      </c>
      <c r="N5" s="249">
        <v>141</v>
      </c>
      <c r="O5" s="249">
        <v>1580</v>
      </c>
      <c r="P5" s="249">
        <v>4752</v>
      </c>
      <c r="Q5" s="249">
        <v>0.23499999999999999</v>
      </c>
      <c r="R5" s="249">
        <v>0.30099999999999999</v>
      </c>
      <c r="S5" s="249">
        <v>0.38600000000000001</v>
      </c>
      <c r="T5" s="249">
        <v>0.68700000000000006</v>
      </c>
      <c r="U5" s="249">
        <v>7043</v>
      </c>
      <c r="V5" s="249">
        <v>340</v>
      </c>
      <c r="W5" s="249">
        <v>192</v>
      </c>
      <c r="X5" s="249">
        <v>44</v>
      </c>
      <c r="Y5" s="249">
        <v>130</v>
      </c>
      <c r="Z5" s="249">
        <v>11</v>
      </c>
      <c r="AA5" s="249">
        <v>102</v>
      </c>
      <c r="AB5" s="249">
        <v>0.28399999999999997</v>
      </c>
      <c r="AC5" s="249">
        <v>91</v>
      </c>
      <c r="AD5" s="249">
        <v>100</v>
      </c>
    </row>
    <row r="6" spans="1:30">
      <c r="A6" s="245"/>
      <c r="B6" s="248" t="s">
        <v>1098</v>
      </c>
      <c r="C6" s="249">
        <v>4860</v>
      </c>
      <c r="D6" s="249"/>
      <c r="E6" s="249">
        <v>20592</v>
      </c>
      <c r="F6" s="249">
        <v>18498</v>
      </c>
      <c r="G6" s="249">
        <v>2477</v>
      </c>
      <c r="H6" s="249">
        <v>4615</v>
      </c>
      <c r="I6" s="249">
        <v>903</v>
      </c>
      <c r="J6" s="249">
        <v>72</v>
      </c>
      <c r="K6" s="249">
        <v>678</v>
      </c>
      <c r="L6" s="249">
        <v>2371</v>
      </c>
      <c r="M6" s="249">
        <v>446</v>
      </c>
      <c r="N6" s="249">
        <v>107</v>
      </c>
      <c r="O6" s="249">
        <v>1683</v>
      </c>
      <c r="P6" s="249">
        <v>4279</v>
      </c>
      <c r="Q6" s="249">
        <v>0.249</v>
      </c>
      <c r="R6" s="249">
        <v>0.316</v>
      </c>
      <c r="S6" s="249">
        <v>0.41599999999999998</v>
      </c>
      <c r="T6" s="249">
        <v>0.73199999999999998</v>
      </c>
      <c r="U6" s="249">
        <v>7696</v>
      </c>
      <c r="V6" s="249">
        <v>366</v>
      </c>
      <c r="W6" s="249">
        <v>189</v>
      </c>
      <c r="X6" s="249">
        <v>47</v>
      </c>
      <c r="Y6" s="249">
        <v>160</v>
      </c>
      <c r="Z6" s="249">
        <v>14</v>
      </c>
      <c r="AA6" s="249">
        <v>91</v>
      </c>
      <c r="AB6" s="249">
        <v>0.28699999999999998</v>
      </c>
      <c r="AC6" s="249">
        <v>103</v>
      </c>
      <c r="AD6" s="249">
        <v>100</v>
      </c>
    </row>
    <row r="7" spans="1:30">
      <c r="A7" s="245"/>
      <c r="B7" s="248" t="s">
        <v>1099</v>
      </c>
      <c r="C7" s="249">
        <v>4860</v>
      </c>
      <c r="D7" s="249"/>
      <c r="E7" s="249">
        <v>20531</v>
      </c>
      <c r="F7" s="249">
        <v>18585</v>
      </c>
      <c r="G7" s="249">
        <v>2453</v>
      </c>
      <c r="H7" s="249">
        <v>4698</v>
      </c>
      <c r="I7" s="249">
        <v>921</v>
      </c>
      <c r="J7" s="249">
        <v>75</v>
      </c>
      <c r="K7" s="249">
        <v>680</v>
      </c>
      <c r="L7" s="249">
        <v>2368</v>
      </c>
      <c r="M7" s="249">
        <v>396</v>
      </c>
      <c r="N7" s="249">
        <v>123</v>
      </c>
      <c r="O7" s="249">
        <v>1514</v>
      </c>
      <c r="P7" s="249">
        <v>4362</v>
      </c>
      <c r="Q7" s="249">
        <v>0.253</v>
      </c>
      <c r="R7" s="249">
        <v>0.314</v>
      </c>
      <c r="S7" s="249">
        <v>0.42</v>
      </c>
      <c r="T7" s="249">
        <v>0.73399999999999999</v>
      </c>
      <c r="U7" s="249">
        <v>7809</v>
      </c>
      <c r="V7" s="249">
        <v>344</v>
      </c>
      <c r="W7" s="249">
        <v>211</v>
      </c>
      <c r="X7" s="249">
        <v>53</v>
      </c>
      <c r="Y7" s="249">
        <v>160</v>
      </c>
      <c r="Z7" s="249">
        <v>17</v>
      </c>
      <c r="AA7" s="249">
        <v>107</v>
      </c>
      <c r="AB7" s="249">
        <v>0.29299999999999998</v>
      </c>
      <c r="AC7" s="249">
        <v>104</v>
      </c>
      <c r="AD7" s="249">
        <v>100</v>
      </c>
    </row>
    <row r="8" spans="1:30">
      <c r="A8" s="245"/>
      <c r="B8" s="248" t="s">
        <v>1100</v>
      </c>
      <c r="C8" s="249">
        <v>4860</v>
      </c>
      <c r="D8" s="249"/>
      <c r="E8" s="249">
        <v>20713</v>
      </c>
      <c r="F8" s="249">
        <v>18614</v>
      </c>
      <c r="G8" s="249">
        <v>2468</v>
      </c>
      <c r="H8" s="249">
        <v>4661</v>
      </c>
      <c r="I8" s="249">
        <v>929</v>
      </c>
      <c r="J8" s="249">
        <v>81</v>
      </c>
      <c r="K8" s="249">
        <v>624</v>
      </c>
      <c r="L8" s="249">
        <v>2366</v>
      </c>
      <c r="M8" s="249">
        <v>391</v>
      </c>
      <c r="N8" s="249">
        <v>118</v>
      </c>
      <c r="O8" s="249">
        <v>1666</v>
      </c>
      <c r="P8" s="249">
        <v>4329</v>
      </c>
      <c r="Q8" s="249">
        <v>0.25</v>
      </c>
      <c r="R8" s="249">
        <v>0.317</v>
      </c>
      <c r="S8" s="249">
        <v>0.41</v>
      </c>
      <c r="T8" s="249">
        <v>0.72599999999999998</v>
      </c>
      <c r="U8" s="249">
        <v>7624</v>
      </c>
      <c r="V8" s="249">
        <v>333</v>
      </c>
      <c r="W8" s="249">
        <v>209</v>
      </c>
      <c r="X8" s="249">
        <v>76</v>
      </c>
      <c r="Y8" s="249">
        <v>140</v>
      </c>
      <c r="Z8" s="249">
        <v>47</v>
      </c>
      <c r="AA8" s="249">
        <v>131</v>
      </c>
      <c r="AB8" s="249">
        <v>0.29299999999999998</v>
      </c>
      <c r="AC8" s="249">
        <v>102</v>
      </c>
      <c r="AD8" s="249">
        <v>100</v>
      </c>
    </row>
    <row r="9" spans="1:30">
      <c r="A9" s="245"/>
      <c r="B9" s="248" t="s">
        <v>1101</v>
      </c>
      <c r="C9" s="249">
        <v>4859</v>
      </c>
      <c r="D9" s="249"/>
      <c r="E9" s="249">
        <v>20789</v>
      </c>
      <c r="F9" s="249">
        <v>18640</v>
      </c>
      <c r="G9" s="249">
        <v>2461</v>
      </c>
      <c r="H9" s="249">
        <v>4639</v>
      </c>
      <c r="I9" s="249">
        <v>883</v>
      </c>
      <c r="J9" s="249">
        <v>78</v>
      </c>
      <c r="K9" s="249">
        <v>636</v>
      </c>
      <c r="L9" s="249">
        <v>2354</v>
      </c>
      <c r="M9" s="249">
        <v>360</v>
      </c>
      <c r="N9" s="249">
        <v>101</v>
      </c>
      <c r="O9" s="249">
        <v>1736</v>
      </c>
      <c r="P9" s="249">
        <v>4501</v>
      </c>
      <c r="Q9" s="249">
        <v>0.249</v>
      </c>
      <c r="R9" s="249">
        <v>0.31900000000000001</v>
      </c>
      <c r="S9" s="249">
        <v>0.40699999999999997</v>
      </c>
      <c r="T9" s="249">
        <v>0.72599999999999998</v>
      </c>
      <c r="U9" s="249">
        <v>7586</v>
      </c>
      <c r="V9" s="249">
        <v>364</v>
      </c>
      <c r="W9" s="249">
        <v>230</v>
      </c>
      <c r="X9" s="249">
        <v>56</v>
      </c>
      <c r="Y9" s="249">
        <v>121</v>
      </c>
      <c r="Z9" s="249">
        <v>44</v>
      </c>
      <c r="AA9" s="249">
        <v>145</v>
      </c>
      <c r="AB9" s="249">
        <v>0.29399999999999998</v>
      </c>
      <c r="AC9" s="249">
        <v>102</v>
      </c>
      <c r="AD9" s="249">
        <v>100</v>
      </c>
    </row>
    <row r="10" spans="1:30">
      <c r="A10" s="245"/>
      <c r="B10" s="248" t="s">
        <v>1102</v>
      </c>
      <c r="C10" s="249">
        <v>4854</v>
      </c>
      <c r="D10" s="249"/>
      <c r="E10" s="249">
        <v>20599</v>
      </c>
      <c r="F10" s="249">
        <v>18331</v>
      </c>
      <c r="G10" s="249">
        <v>2389</v>
      </c>
      <c r="H10" s="249">
        <v>4390</v>
      </c>
      <c r="I10" s="249">
        <v>839</v>
      </c>
      <c r="J10" s="249">
        <v>63</v>
      </c>
      <c r="K10" s="249">
        <v>628</v>
      </c>
      <c r="L10" s="249">
        <v>2307</v>
      </c>
      <c r="M10" s="249">
        <v>387</v>
      </c>
      <c r="N10" s="249">
        <v>91</v>
      </c>
      <c r="O10" s="249">
        <v>1794</v>
      </c>
      <c r="P10" s="249">
        <v>4643</v>
      </c>
      <c r="Q10" s="249">
        <v>0.23899999999999999</v>
      </c>
      <c r="R10" s="249">
        <v>0.314</v>
      </c>
      <c r="S10" s="249">
        <v>0.39500000000000002</v>
      </c>
      <c r="T10" s="249">
        <v>0.70899999999999996</v>
      </c>
      <c r="U10" s="249">
        <v>7239</v>
      </c>
      <c r="V10" s="249">
        <v>372</v>
      </c>
      <c r="W10" s="249">
        <v>253</v>
      </c>
      <c r="X10" s="249">
        <v>80</v>
      </c>
      <c r="Y10" s="249">
        <v>133</v>
      </c>
      <c r="Z10" s="249">
        <v>73</v>
      </c>
      <c r="AA10" s="249">
        <v>127</v>
      </c>
      <c r="AB10" s="249">
        <v>0.28499999999999998</v>
      </c>
      <c r="AC10" s="249">
        <v>98</v>
      </c>
      <c r="AD10" s="249">
        <v>100</v>
      </c>
    </row>
    <row r="11" spans="1:30">
      <c r="A11" s="245"/>
      <c r="B11" s="248" t="s">
        <v>1103</v>
      </c>
      <c r="C11" s="249">
        <v>4850</v>
      </c>
      <c r="D11" s="249"/>
      <c r="E11" s="249">
        <v>20737</v>
      </c>
      <c r="F11" s="249">
        <v>18337</v>
      </c>
      <c r="G11" s="249">
        <v>2355</v>
      </c>
      <c r="H11" s="249">
        <v>4387</v>
      </c>
      <c r="I11" s="249">
        <v>826</v>
      </c>
      <c r="J11" s="249">
        <v>70</v>
      </c>
      <c r="K11" s="249">
        <v>568</v>
      </c>
      <c r="L11" s="249">
        <v>2251</v>
      </c>
      <c r="M11" s="249">
        <v>377</v>
      </c>
      <c r="N11" s="249">
        <v>99</v>
      </c>
      <c r="O11" s="249">
        <v>1941</v>
      </c>
      <c r="P11" s="249">
        <v>4804</v>
      </c>
      <c r="Q11" s="249">
        <v>0.23899999999999999</v>
      </c>
      <c r="R11" s="249">
        <v>0.318</v>
      </c>
      <c r="S11" s="249">
        <v>0.38500000000000001</v>
      </c>
      <c r="T11" s="249">
        <v>0.70299999999999996</v>
      </c>
      <c r="U11" s="249">
        <v>7057</v>
      </c>
      <c r="V11" s="249">
        <v>344</v>
      </c>
      <c r="W11" s="249">
        <v>240</v>
      </c>
      <c r="X11" s="249">
        <v>66</v>
      </c>
      <c r="Y11" s="249">
        <v>141</v>
      </c>
      <c r="Z11" s="249">
        <v>105</v>
      </c>
      <c r="AA11" s="249">
        <v>99</v>
      </c>
      <c r="AB11" s="249">
        <v>0.29099999999999998</v>
      </c>
      <c r="AC11" s="249">
        <v>96</v>
      </c>
      <c r="AD11" s="249">
        <v>100</v>
      </c>
    </row>
    <row r="12" spans="1:30">
      <c r="A12" s="245"/>
      <c r="B12" s="248" t="s">
        <v>1104</v>
      </c>
      <c r="C12" s="249">
        <v>3755</v>
      </c>
      <c r="D12" s="249"/>
      <c r="E12" s="249">
        <v>15620</v>
      </c>
      <c r="F12" s="249">
        <v>13946</v>
      </c>
      <c r="G12" s="249">
        <v>1705</v>
      </c>
      <c r="H12" s="249">
        <v>3288</v>
      </c>
      <c r="I12" s="249">
        <v>646</v>
      </c>
      <c r="J12" s="249">
        <v>52</v>
      </c>
      <c r="K12" s="249">
        <v>409</v>
      </c>
      <c r="L12" s="249">
        <v>1631</v>
      </c>
      <c r="M12" s="249">
        <v>258</v>
      </c>
      <c r="N12" s="249">
        <v>67</v>
      </c>
      <c r="O12" s="249">
        <v>1331</v>
      </c>
      <c r="P12" s="249">
        <v>3713</v>
      </c>
      <c r="Q12" s="249">
        <v>0.23599999999999999</v>
      </c>
      <c r="R12" s="249">
        <v>0.308</v>
      </c>
      <c r="S12" s="249">
        <v>0.378</v>
      </c>
      <c r="T12" s="249">
        <v>0.68600000000000005</v>
      </c>
      <c r="U12" s="249">
        <v>5265</v>
      </c>
      <c r="V12" s="249">
        <v>242</v>
      </c>
      <c r="W12" s="249">
        <v>179</v>
      </c>
      <c r="X12" s="249">
        <v>42</v>
      </c>
      <c r="Y12" s="249">
        <v>114</v>
      </c>
      <c r="Z12" s="249">
        <v>78</v>
      </c>
      <c r="AA12" s="249">
        <v>96</v>
      </c>
      <c r="AB12" s="249">
        <v>0.28999999999999998</v>
      </c>
      <c r="AC12" s="249">
        <v>91</v>
      </c>
      <c r="AD12" s="249">
        <v>100</v>
      </c>
    </row>
    <row r="13" spans="1:30">
      <c r="A13" s="245"/>
      <c r="B13" s="248" t="s">
        <v>1105</v>
      </c>
      <c r="C13" s="249">
        <v>418</v>
      </c>
      <c r="D13" s="249"/>
      <c r="E13" s="249">
        <v>2358</v>
      </c>
      <c r="F13" s="249">
        <v>1840</v>
      </c>
      <c r="G13" s="249">
        <v>546</v>
      </c>
      <c r="H13" s="249">
        <v>448</v>
      </c>
      <c r="I13" s="249">
        <v>73</v>
      </c>
      <c r="J13" s="249">
        <v>10</v>
      </c>
      <c r="K13" s="249">
        <v>52</v>
      </c>
      <c r="L13" s="249">
        <v>518</v>
      </c>
      <c r="M13" s="249">
        <v>59</v>
      </c>
      <c r="N13" s="249">
        <v>13</v>
      </c>
      <c r="O13" s="249">
        <v>358</v>
      </c>
      <c r="P13" s="249">
        <v>434</v>
      </c>
      <c r="Q13" s="249">
        <v>0.24299999999999999</v>
      </c>
      <c r="R13" s="249">
        <v>0.36399999999999999</v>
      </c>
      <c r="S13" s="249">
        <v>0.379</v>
      </c>
      <c r="T13" s="249">
        <v>0.74299999999999999</v>
      </c>
      <c r="U13" s="249">
        <v>697</v>
      </c>
      <c r="V13" s="249">
        <v>48</v>
      </c>
      <c r="W13" s="249">
        <v>22</v>
      </c>
      <c r="X13" s="249">
        <v>79</v>
      </c>
      <c r="Y13" s="249">
        <v>56</v>
      </c>
      <c r="Z13" s="249">
        <v>163</v>
      </c>
      <c r="AA13" s="249">
        <v>9</v>
      </c>
      <c r="AB13" s="249">
        <v>0.28100000000000003</v>
      </c>
      <c r="AC13" s="249">
        <v>109</v>
      </c>
      <c r="AD13" s="249">
        <v>100</v>
      </c>
    </row>
    <row r="14" spans="1:30">
      <c r="A14" s="245"/>
      <c r="B14" s="248" t="s">
        <v>1106</v>
      </c>
      <c r="C14" s="249">
        <v>4860</v>
      </c>
      <c r="D14" s="249"/>
      <c r="E14" s="249">
        <v>61579</v>
      </c>
      <c r="F14" s="249">
        <v>55371</v>
      </c>
      <c r="G14" s="249">
        <v>7237</v>
      </c>
      <c r="H14" s="249">
        <v>13627</v>
      </c>
      <c r="I14" s="249">
        <v>2628</v>
      </c>
      <c r="J14" s="249">
        <v>199</v>
      </c>
      <c r="K14" s="249">
        <v>2053</v>
      </c>
      <c r="L14" s="249">
        <v>6945</v>
      </c>
      <c r="M14" s="249">
        <v>1212</v>
      </c>
      <c r="N14" s="249">
        <v>377</v>
      </c>
      <c r="O14" s="249">
        <v>5039</v>
      </c>
      <c r="P14" s="249">
        <v>13859</v>
      </c>
      <c r="Q14" s="249">
        <v>0.246</v>
      </c>
      <c r="R14" s="249">
        <v>0.313</v>
      </c>
      <c r="S14" s="249">
        <v>0.41199999999999998</v>
      </c>
      <c r="T14" s="249">
        <v>0.72499999999999998</v>
      </c>
      <c r="U14" s="249">
        <v>22812</v>
      </c>
      <c r="V14" s="249">
        <v>1075</v>
      </c>
      <c r="W14" s="249">
        <v>584</v>
      </c>
      <c r="X14" s="249">
        <v>108</v>
      </c>
      <c r="Y14" s="249">
        <v>442</v>
      </c>
      <c r="Z14" s="249">
        <v>29</v>
      </c>
      <c r="AA14" s="249">
        <v>304</v>
      </c>
      <c r="AB14" s="249">
        <v>0.28999999999999998</v>
      </c>
      <c r="AC14" s="249">
        <v>101</v>
      </c>
      <c r="AD14" s="249">
        <v>100</v>
      </c>
    </row>
    <row r="15" spans="1:30">
      <c r="A15" s="245"/>
      <c r="B15" s="250" t="s">
        <v>1107</v>
      </c>
      <c r="C15" s="251">
        <v>4860</v>
      </c>
      <c r="D15" s="251"/>
      <c r="E15" s="251">
        <v>62033</v>
      </c>
      <c r="F15" s="251">
        <v>55839</v>
      </c>
      <c r="G15" s="251">
        <v>7382</v>
      </c>
      <c r="H15" s="251">
        <v>13998</v>
      </c>
      <c r="I15" s="251">
        <v>2733</v>
      </c>
      <c r="J15" s="251">
        <v>234</v>
      </c>
      <c r="K15" s="251">
        <v>1940</v>
      </c>
      <c r="L15" s="251">
        <v>7088</v>
      </c>
      <c r="M15" s="251">
        <v>1147</v>
      </c>
      <c r="N15" s="251">
        <v>342</v>
      </c>
      <c r="O15" s="251">
        <v>4916</v>
      </c>
      <c r="P15" s="251">
        <v>13192</v>
      </c>
      <c r="Q15" s="251">
        <v>0.251</v>
      </c>
      <c r="R15" s="251">
        <v>0.316</v>
      </c>
      <c r="S15" s="251">
        <v>0.41199999999999998</v>
      </c>
      <c r="T15" s="251">
        <v>0.72899999999999998</v>
      </c>
      <c r="U15" s="251">
        <v>23019</v>
      </c>
      <c r="V15" s="251">
        <v>1041</v>
      </c>
      <c r="W15" s="251">
        <v>650</v>
      </c>
      <c r="X15" s="251">
        <v>185</v>
      </c>
      <c r="Y15" s="251">
        <v>421</v>
      </c>
      <c r="Z15" s="251">
        <v>108</v>
      </c>
      <c r="AA15" s="251">
        <v>383</v>
      </c>
      <c r="AB15" s="251">
        <v>0.29299999999999998</v>
      </c>
      <c r="AC15" s="251">
        <v>102</v>
      </c>
      <c r="AD15" s="251">
        <v>100</v>
      </c>
    </row>
    <row r="16" spans="1:30">
      <c r="A16" s="245"/>
      <c r="B16" s="252" t="s">
        <v>1108</v>
      </c>
      <c r="C16" s="253">
        <v>4854</v>
      </c>
      <c r="D16" s="253"/>
      <c r="E16" s="253">
        <v>56956</v>
      </c>
      <c r="F16" s="253">
        <v>50614</v>
      </c>
      <c r="G16" s="253">
        <v>6449</v>
      </c>
      <c r="H16" s="253">
        <v>12065</v>
      </c>
      <c r="I16" s="253">
        <v>2311</v>
      </c>
      <c r="J16" s="253">
        <v>185</v>
      </c>
      <c r="K16" s="253">
        <v>1605</v>
      </c>
      <c r="L16" s="253">
        <v>6189</v>
      </c>
      <c r="M16" s="253">
        <v>1022</v>
      </c>
      <c r="N16" s="253">
        <v>257</v>
      </c>
      <c r="O16" s="253">
        <v>5066</v>
      </c>
      <c r="P16" s="253">
        <v>13160</v>
      </c>
      <c r="Q16" s="253">
        <v>0.23799999999999999</v>
      </c>
      <c r="R16" s="253">
        <v>0.314</v>
      </c>
      <c r="S16" s="253">
        <v>0.38600000000000001</v>
      </c>
      <c r="T16" s="253">
        <v>0.7</v>
      </c>
      <c r="U16" s="253">
        <v>19561</v>
      </c>
      <c r="V16" s="253">
        <v>958</v>
      </c>
      <c r="W16" s="253">
        <v>672</v>
      </c>
      <c r="X16" s="253">
        <v>188</v>
      </c>
      <c r="Y16" s="253">
        <v>388</v>
      </c>
      <c r="Z16" s="253">
        <v>256</v>
      </c>
      <c r="AA16" s="253">
        <v>322</v>
      </c>
      <c r="AB16" s="253">
        <v>0.28899999999999998</v>
      </c>
      <c r="AC16" s="253">
        <v>95</v>
      </c>
      <c r="AD16" s="253">
        <v>100</v>
      </c>
    </row>
    <row r="17" spans="1:30">
      <c r="A17" s="245"/>
      <c r="B17" s="245"/>
      <c r="C17" s="245"/>
      <c r="D17" s="245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  <c r="AA17" s="245"/>
      <c r="AB17" s="245"/>
      <c r="AC17" s="245"/>
      <c r="AD17" s="245"/>
    </row>
    <row r="18" spans="1:30">
      <c r="A18" s="245"/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  <c r="AB18" s="245"/>
      <c r="AC18" s="245"/>
      <c r="AD18" s="245"/>
    </row>
    <row r="19" spans="1:30">
      <c r="A19" s="245"/>
      <c r="B19" s="245"/>
      <c r="C19" s="245"/>
      <c r="D19" s="245"/>
      <c r="E19" s="245"/>
      <c r="F19" s="245" t="s">
        <v>1109</v>
      </c>
      <c r="G19" s="254">
        <f>(SUM(G4:G8))/(SUM(G4:G13))</f>
        <v>0.56250578328860923</v>
      </c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  <c r="AA19" s="245"/>
      <c r="AB19" s="245"/>
      <c r="AC19" s="245"/>
      <c r="AD19" s="245"/>
    </row>
    <row r="20" spans="1:30">
      <c r="A20" s="245"/>
      <c r="B20" s="245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  <c r="AA20" s="245"/>
      <c r="AB20" s="245"/>
      <c r="AC20" s="245"/>
      <c r="AD20" s="245"/>
    </row>
    <row r="21" spans="1:30">
      <c r="A21" s="245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  <c r="AA21" s="245"/>
      <c r="AB21" s="245"/>
      <c r="AC21" s="245"/>
      <c r="AD21" s="245"/>
    </row>
    <row r="22" spans="1:30">
      <c r="A22" s="245"/>
      <c r="B22" s="245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  <c r="AA22" s="245"/>
      <c r="AB22" s="245"/>
      <c r="AC22" s="245"/>
      <c r="AD22" s="245"/>
    </row>
    <row r="23" spans="1:30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</row>
    <row r="24" spans="1:30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</row>
    <row r="25" spans="1:30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  <c r="AA25" s="245"/>
      <c r="AB25" s="245"/>
      <c r="AC25" s="245"/>
      <c r="AD25" s="245"/>
    </row>
    <row r="26" spans="1:30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  <c r="AA26" s="245"/>
      <c r="AB26" s="245"/>
      <c r="AC26" s="245"/>
      <c r="AD26" s="245"/>
    </row>
    <row r="27" spans="1:30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  <c r="AA27" s="245"/>
      <c r="AB27" s="245"/>
      <c r="AC27" s="245"/>
      <c r="AD27" s="245"/>
    </row>
    <row r="28" spans="1:30">
      <c r="A28" s="245"/>
      <c r="B28" s="245"/>
      <c r="C28" s="245"/>
      <c r="D28" s="245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  <c r="AA28" s="245"/>
      <c r="AB28" s="245"/>
      <c r="AC28" s="245"/>
      <c r="AD28" s="245"/>
    </row>
    <row r="29" spans="1:30">
      <c r="A29" s="245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5"/>
      <c r="AB29" s="245"/>
      <c r="AC29" s="245"/>
      <c r="AD29" s="245"/>
    </row>
    <row r="30" spans="1:30">
      <c r="A30" s="245"/>
      <c r="B30" s="245"/>
      <c r="C30" s="245"/>
      <c r="D30" s="245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</row>
    <row r="31" spans="1:30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</row>
    <row r="32" spans="1:30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</row>
    <row r="33" spans="1:30">
      <c r="A33" s="245"/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  <c r="AA33" s="245"/>
      <c r="AB33" s="245"/>
      <c r="AC33" s="245"/>
      <c r="AD33" s="245"/>
    </row>
    <row r="34" spans="1:30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</row>
    <row r="35" spans="1:30">
      <c r="A35" s="245"/>
      <c r="B35" s="245"/>
      <c r="C35" s="245"/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</row>
    <row r="36" spans="1:30">
      <c r="A36" s="24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</row>
    <row r="37" spans="1:30">
      <c r="A37" s="245"/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</row>
    <row r="38" spans="1:30">
      <c r="A38" s="245"/>
      <c r="B38" s="245"/>
      <c r="C38" s="245"/>
      <c r="D38" s="245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</row>
    <row r="39" spans="1:30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  <c r="AA39" s="245"/>
      <c r="AB39" s="245"/>
      <c r="AC39" s="245"/>
      <c r="AD39" s="245"/>
    </row>
    <row r="40" spans="1:30">
      <c r="A40" s="245"/>
      <c r="B40" s="245"/>
      <c r="C40" s="245"/>
      <c r="D40" s="245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  <c r="AA40" s="245"/>
      <c r="AB40" s="245"/>
      <c r="AC40" s="245"/>
      <c r="AD40" s="245"/>
    </row>
    <row r="41" spans="1:30">
      <c r="A41" s="245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  <c r="AA41" s="245"/>
      <c r="AB41" s="245"/>
      <c r="AC41" s="245"/>
      <c r="AD41" s="245"/>
    </row>
    <row r="42" spans="1:30">
      <c r="A42" s="245"/>
      <c r="B42" s="245"/>
      <c r="C42" s="245"/>
      <c r="D42" s="245"/>
      <c r="E42" s="245"/>
      <c r="F42" s="245"/>
      <c r="G42" s="245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  <c r="AA42" s="245"/>
      <c r="AB42" s="245"/>
      <c r="AC42" s="245"/>
      <c r="AD42" s="245"/>
    </row>
    <row r="43" spans="1:30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  <c r="AA43" s="245"/>
      <c r="AB43" s="245"/>
      <c r="AC43" s="245"/>
      <c r="AD43" s="245"/>
    </row>
    <row r="44" spans="1:30">
      <c r="A44" s="245"/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  <c r="AA44" s="245"/>
      <c r="AB44" s="245"/>
      <c r="AC44" s="245"/>
      <c r="AD44" s="245"/>
    </row>
    <row r="45" spans="1:30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</row>
    <row r="46" spans="1:30">
      <c r="A46" s="245"/>
      <c r="B46" s="245"/>
      <c r="C46" s="245"/>
      <c r="D46" s="245"/>
      <c r="E46" s="245"/>
      <c r="F46" s="245"/>
      <c r="G46" s="245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  <c r="AA46" s="245"/>
      <c r="AB46" s="245"/>
      <c r="AC46" s="245"/>
      <c r="AD46" s="245"/>
    </row>
    <row r="47" spans="1:30">
      <c r="A47" s="245"/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</row>
    <row r="48" spans="1:30">
      <c r="A48" s="245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</row>
    <row r="49" spans="1:30">
      <c r="A49" s="245"/>
      <c r="B49" s="245"/>
      <c r="C49" s="245"/>
      <c r="D49" s="245"/>
      <c r="E49" s="245"/>
      <c r="F49" s="245"/>
      <c r="G49" s="245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</row>
    <row r="50" spans="1:30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</row>
    <row r="51" spans="1:30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  <c r="AA51" s="245"/>
      <c r="AB51" s="245"/>
      <c r="AC51" s="245"/>
      <c r="AD51" s="245"/>
    </row>
    <row r="52" spans="1:30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  <c r="AA52" s="245"/>
      <c r="AB52" s="245"/>
      <c r="AC52" s="245"/>
      <c r="AD52" s="245"/>
    </row>
    <row r="53" spans="1:30">
      <c r="A53" s="245"/>
      <c r="B53" s="245"/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  <c r="AA53" s="245"/>
      <c r="AB53" s="245"/>
      <c r="AC53" s="245"/>
      <c r="AD53" s="245"/>
    </row>
    <row r="54" spans="1:30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  <c r="AA54" s="245"/>
      <c r="AB54" s="245"/>
      <c r="AC54" s="245"/>
      <c r="AD54" s="245"/>
    </row>
    <row r="55" spans="1:30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</row>
    <row r="56" spans="1:30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</row>
    <row r="57" spans="1:30">
      <c r="A57" s="245"/>
      <c r="B57" s="245"/>
      <c r="C57" s="245"/>
      <c r="D57" s="245"/>
      <c r="E57" s="245"/>
      <c r="F57" s="245"/>
      <c r="G57" s="245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</row>
    <row r="58" spans="1:30">
      <c r="A58" s="245"/>
      <c r="B58" s="245"/>
      <c r="C58" s="245"/>
      <c r="D58" s="245"/>
      <c r="E58" s="245"/>
      <c r="F58" s="245"/>
      <c r="G58" s="245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</row>
    <row r="59" spans="1:30">
      <c r="A59" s="245"/>
      <c r="B59" s="245"/>
      <c r="C59" s="245"/>
      <c r="D59" s="245"/>
      <c r="E59" s="245"/>
      <c r="F59" s="245"/>
      <c r="G59" s="245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</row>
    <row r="60" spans="1:30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</row>
    <row r="61" spans="1:30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</row>
    <row r="62" spans="1:30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</row>
    <row r="63" spans="1:30">
      <c r="A63" s="245"/>
      <c r="B63" s="245"/>
      <c r="C63" s="245"/>
      <c r="D63" s="245"/>
      <c r="E63" s="245"/>
      <c r="F63" s="245"/>
      <c r="G63" s="245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</row>
    <row r="64" spans="1:30">
      <c r="A64" s="245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</row>
    <row r="65" spans="1:30">
      <c r="A65" s="245"/>
      <c r="B65" s="245"/>
      <c r="C65" s="245"/>
      <c r="D65" s="245"/>
      <c r="E65" s="245"/>
      <c r="F65" s="245"/>
      <c r="G65" s="245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  <c r="AA65" s="245"/>
      <c r="AB65" s="245"/>
      <c r="AC65" s="245"/>
      <c r="AD65" s="245"/>
    </row>
    <row r="66" spans="1:30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</row>
    <row r="67" spans="1:30">
      <c r="A67" s="245"/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</row>
    <row r="68" spans="1:30">
      <c r="A68" s="245"/>
      <c r="B68" s="245"/>
      <c r="C68" s="245"/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</row>
    <row r="69" spans="1:30">
      <c r="A69" s="245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  <c r="AA69" s="245"/>
      <c r="AB69" s="245"/>
      <c r="AC69" s="245"/>
      <c r="AD69" s="245"/>
    </row>
    <row r="70" spans="1:30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  <c r="AA70" s="245"/>
      <c r="AB70" s="245"/>
      <c r="AC70" s="245"/>
      <c r="AD70" s="245"/>
    </row>
    <row r="71" spans="1:30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  <c r="AA71" s="245"/>
      <c r="AB71" s="245"/>
      <c r="AC71" s="245"/>
      <c r="AD71" s="245"/>
    </row>
    <row r="72" spans="1:30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  <c r="AA72" s="245"/>
      <c r="AB72" s="245"/>
      <c r="AC72" s="245"/>
      <c r="AD72" s="245"/>
    </row>
    <row r="73" spans="1:30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  <c r="AA73" s="245"/>
      <c r="AB73" s="245"/>
      <c r="AC73" s="245"/>
      <c r="AD73" s="245"/>
    </row>
    <row r="74" spans="1:30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</row>
    <row r="75" spans="1:30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</row>
    <row r="76" spans="1:30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</row>
    <row r="77" spans="1:30">
      <c r="A77" s="245"/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</row>
    <row r="78" spans="1:30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</row>
    <row r="79" spans="1:30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</row>
    <row r="80" spans="1:30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</row>
    <row r="81" spans="1:30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</row>
    <row r="82" spans="1:30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</row>
    <row r="83" spans="1:30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</row>
    <row r="84" spans="1:30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</row>
    <row r="85" spans="1:30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</row>
    <row r="86" spans="1:30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</row>
    <row r="87" spans="1:30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</row>
    <row r="88" spans="1:30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</row>
    <row r="89" spans="1:30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</row>
    <row r="90" spans="1:30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</row>
    <row r="91" spans="1:30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</row>
    <row r="92" spans="1:30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</row>
    <row r="93" spans="1:30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</row>
    <row r="94" spans="1:30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</row>
    <row r="95" spans="1:30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</row>
    <row r="96" spans="1:30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</row>
    <row r="97" spans="1:30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</row>
    <row r="98" spans="1:30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</row>
    <row r="99" spans="1:30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</row>
    <row r="100" spans="1:30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</row>
    <row r="101" spans="1:30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</row>
    <row r="102" spans="1:30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</row>
    <row r="103" spans="1:30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  <c r="AA103" s="245"/>
      <c r="AB103" s="245"/>
      <c r="AC103" s="245"/>
      <c r="AD103" s="245"/>
    </row>
    <row r="104" spans="1:30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  <c r="AA104" s="245"/>
      <c r="AB104" s="245"/>
      <c r="AC104" s="245"/>
      <c r="AD104" s="245"/>
    </row>
    <row r="105" spans="1:30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  <c r="AA105" s="245"/>
      <c r="AB105" s="245"/>
      <c r="AC105" s="245"/>
      <c r="AD105" s="245"/>
    </row>
    <row r="106" spans="1:30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  <c r="AA106" s="245"/>
      <c r="AB106" s="245"/>
      <c r="AC106" s="245"/>
      <c r="AD106" s="245"/>
    </row>
    <row r="107" spans="1:30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  <c r="AA107" s="245"/>
      <c r="AB107" s="245"/>
      <c r="AC107" s="245"/>
      <c r="AD107" s="245"/>
    </row>
    <row r="108" spans="1:30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  <c r="AA108" s="245"/>
      <c r="AB108" s="245"/>
      <c r="AC108" s="245"/>
      <c r="AD108" s="245"/>
    </row>
    <row r="109" spans="1:30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  <c r="AA109" s="245"/>
      <c r="AB109" s="245"/>
      <c r="AC109" s="245"/>
      <c r="AD109" s="245"/>
    </row>
    <row r="110" spans="1:30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  <c r="AA110" s="245"/>
      <c r="AB110" s="245"/>
      <c r="AC110" s="245"/>
      <c r="AD110" s="245"/>
    </row>
    <row r="111" spans="1:30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  <c r="AA111" s="245"/>
      <c r="AB111" s="245"/>
      <c r="AC111" s="245"/>
      <c r="AD111" s="245"/>
    </row>
    <row r="112" spans="1:30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  <c r="AA112" s="245"/>
      <c r="AB112" s="245"/>
      <c r="AC112" s="245"/>
      <c r="AD112" s="245"/>
    </row>
    <row r="113" spans="1:30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  <c r="AA113" s="245"/>
      <c r="AB113" s="245"/>
      <c r="AC113" s="245"/>
      <c r="AD113" s="245"/>
    </row>
    <row r="114" spans="1:30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</row>
    <row r="115" spans="1:30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  <c r="AA115" s="245"/>
      <c r="AB115" s="245"/>
      <c r="AC115" s="245"/>
      <c r="AD115" s="245"/>
    </row>
    <row r="116" spans="1:30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  <c r="AA116" s="245"/>
      <c r="AB116" s="245"/>
      <c r="AC116" s="245"/>
      <c r="AD116" s="245"/>
    </row>
    <row r="117" spans="1:30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  <c r="AA117" s="245"/>
      <c r="AB117" s="245"/>
      <c r="AC117" s="245"/>
      <c r="AD117" s="245"/>
    </row>
    <row r="118" spans="1:30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  <c r="AA118" s="245"/>
      <c r="AB118" s="245"/>
      <c r="AC118" s="245"/>
      <c r="AD118" s="245"/>
    </row>
    <row r="119" spans="1:30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  <c r="AA119" s="245"/>
      <c r="AB119" s="245"/>
      <c r="AC119" s="245"/>
      <c r="AD119" s="245"/>
    </row>
    <row r="120" spans="1:30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  <c r="AA120" s="245"/>
      <c r="AB120" s="245"/>
      <c r="AC120" s="245"/>
      <c r="AD120" s="245"/>
    </row>
    <row r="121" spans="1:30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  <c r="AA121" s="245"/>
      <c r="AB121" s="245"/>
      <c r="AC121" s="245"/>
      <c r="AD121" s="245"/>
    </row>
    <row r="122" spans="1:30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  <c r="AA122" s="245"/>
      <c r="AB122" s="245"/>
      <c r="AC122" s="245"/>
      <c r="AD122" s="245"/>
    </row>
    <row r="123" spans="1:30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  <c r="AA123" s="245"/>
      <c r="AB123" s="245"/>
      <c r="AC123" s="245"/>
      <c r="AD123" s="245"/>
    </row>
    <row r="124" spans="1:30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  <c r="AA124" s="245"/>
      <c r="AB124" s="245"/>
      <c r="AC124" s="245"/>
      <c r="AD124" s="245"/>
    </row>
    <row r="125" spans="1:30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  <c r="AA125" s="245"/>
      <c r="AB125" s="245"/>
      <c r="AC125" s="245"/>
      <c r="AD125" s="245"/>
    </row>
    <row r="126" spans="1:30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  <c r="AA126" s="245"/>
      <c r="AB126" s="245"/>
      <c r="AC126" s="245"/>
      <c r="AD126" s="245"/>
    </row>
    <row r="127" spans="1:30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  <c r="AA127" s="245"/>
      <c r="AB127" s="245"/>
      <c r="AC127" s="245"/>
      <c r="AD127" s="245"/>
    </row>
    <row r="128" spans="1:30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  <c r="AA128" s="245"/>
      <c r="AB128" s="245"/>
      <c r="AC128" s="245"/>
      <c r="AD128" s="245"/>
    </row>
    <row r="129" spans="1:30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  <c r="AA129" s="245"/>
      <c r="AB129" s="245"/>
      <c r="AC129" s="245"/>
      <c r="AD129" s="245"/>
    </row>
    <row r="130" spans="1:30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  <c r="AA130" s="245"/>
      <c r="AB130" s="245"/>
      <c r="AC130" s="245"/>
      <c r="AD130" s="245"/>
    </row>
    <row r="131" spans="1:30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  <c r="AA131" s="245"/>
      <c r="AB131" s="245"/>
      <c r="AC131" s="245"/>
      <c r="AD131" s="245"/>
    </row>
    <row r="132" spans="1:30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  <c r="AA132" s="245"/>
      <c r="AB132" s="245"/>
      <c r="AC132" s="245"/>
      <c r="AD132" s="245"/>
    </row>
    <row r="133" spans="1:30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  <c r="AA133" s="245"/>
      <c r="AB133" s="245"/>
      <c r="AC133" s="245"/>
      <c r="AD133" s="245"/>
    </row>
    <row r="134" spans="1:30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</row>
    <row r="135" spans="1:30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  <c r="AA135" s="245"/>
      <c r="AB135" s="245"/>
      <c r="AC135" s="245"/>
      <c r="AD135" s="245"/>
    </row>
    <row r="136" spans="1:30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  <c r="AA136" s="245"/>
      <c r="AB136" s="245"/>
      <c r="AC136" s="245"/>
      <c r="AD136" s="245"/>
    </row>
    <row r="137" spans="1:30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  <c r="AA137" s="245"/>
      <c r="AB137" s="245"/>
      <c r="AC137" s="245"/>
      <c r="AD137" s="245"/>
    </row>
    <row r="138" spans="1:30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  <c r="AA138" s="245"/>
      <c r="AB138" s="245"/>
      <c r="AC138" s="245"/>
      <c r="AD138" s="245"/>
    </row>
    <row r="139" spans="1:30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  <c r="AA139" s="245"/>
      <c r="AB139" s="245"/>
      <c r="AC139" s="245"/>
      <c r="AD139" s="245"/>
    </row>
    <row r="140" spans="1:30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  <c r="AA140" s="245"/>
      <c r="AB140" s="245"/>
      <c r="AC140" s="245"/>
      <c r="AD140" s="245"/>
    </row>
    <row r="141" spans="1:30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  <c r="AA141" s="245"/>
      <c r="AB141" s="245"/>
      <c r="AC141" s="245"/>
      <c r="AD141" s="245"/>
    </row>
    <row r="142" spans="1:30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  <c r="AA142" s="245"/>
      <c r="AB142" s="245"/>
      <c r="AC142" s="245"/>
      <c r="AD142" s="245"/>
    </row>
    <row r="143" spans="1:30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  <c r="AA143" s="245"/>
      <c r="AB143" s="245"/>
      <c r="AC143" s="245"/>
      <c r="AD143" s="245"/>
    </row>
    <row r="144" spans="1:30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  <c r="AA144" s="245"/>
      <c r="AB144" s="245"/>
      <c r="AC144" s="245"/>
      <c r="AD144" s="245"/>
    </row>
    <row r="145" spans="1:30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  <c r="AA145" s="245"/>
      <c r="AB145" s="245"/>
      <c r="AC145" s="245"/>
      <c r="AD145" s="245"/>
    </row>
    <row r="146" spans="1:30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  <c r="AA146" s="245"/>
      <c r="AB146" s="245"/>
      <c r="AC146" s="245"/>
      <c r="AD146" s="245"/>
    </row>
    <row r="147" spans="1:30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  <c r="AA147" s="245"/>
      <c r="AB147" s="245"/>
      <c r="AC147" s="245"/>
      <c r="AD147" s="245"/>
    </row>
    <row r="148" spans="1:30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  <c r="AA148" s="245"/>
      <c r="AB148" s="245"/>
      <c r="AC148" s="245"/>
      <c r="AD148" s="245"/>
    </row>
    <row r="149" spans="1:30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  <c r="AA149" s="245"/>
      <c r="AB149" s="245"/>
      <c r="AC149" s="245"/>
      <c r="AD149" s="245"/>
    </row>
    <row r="150" spans="1:30">
      <c r="A150" s="245"/>
      <c r="B150" s="245"/>
      <c r="C150" s="245"/>
      <c r="D150" s="245"/>
      <c r="E150" s="245"/>
      <c r="F150" s="245"/>
      <c r="G150" s="245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  <c r="AA150" s="245"/>
      <c r="AB150" s="245"/>
      <c r="AC150" s="245"/>
      <c r="AD150" s="245"/>
    </row>
    <row r="151" spans="1:30">
      <c r="A151" s="245"/>
      <c r="B151" s="245"/>
      <c r="C151" s="245"/>
      <c r="D151" s="245"/>
      <c r="E151" s="245"/>
      <c r="F151" s="245"/>
      <c r="G151" s="245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  <c r="AA151" s="245"/>
      <c r="AB151" s="245"/>
      <c r="AC151" s="245"/>
      <c r="AD151" s="245"/>
    </row>
    <row r="152" spans="1:30">
      <c r="A152" s="245"/>
      <c r="B152" s="245"/>
      <c r="C152" s="245"/>
      <c r="D152" s="245"/>
      <c r="E152" s="245"/>
      <c r="F152" s="245"/>
      <c r="G152" s="245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  <c r="AA152" s="245"/>
      <c r="AB152" s="245"/>
      <c r="AC152" s="245"/>
      <c r="AD152" s="245"/>
    </row>
    <row r="153" spans="1:30">
      <c r="A153" s="245"/>
      <c r="B153" s="245"/>
      <c r="C153" s="245"/>
      <c r="D153" s="245"/>
      <c r="E153" s="245"/>
      <c r="F153" s="245"/>
      <c r="G153" s="245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  <c r="AA153" s="245"/>
      <c r="AB153" s="245"/>
      <c r="AC153" s="245"/>
      <c r="AD153" s="245"/>
    </row>
    <row r="154" spans="1:30">
      <c r="A154" s="245"/>
      <c r="B154" s="245"/>
      <c r="C154" s="245"/>
      <c r="D154" s="245"/>
      <c r="E154" s="245"/>
      <c r="F154" s="245"/>
      <c r="G154" s="245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  <c r="AA154" s="245"/>
      <c r="AB154" s="245"/>
      <c r="AC154" s="245"/>
      <c r="AD154" s="245"/>
    </row>
    <row r="155" spans="1:30">
      <c r="A155" s="245"/>
      <c r="B155" s="245"/>
      <c r="C155" s="245"/>
      <c r="D155" s="245"/>
      <c r="E155" s="245"/>
      <c r="F155" s="245"/>
      <c r="G155" s="245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  <c r="AA155" s="245"/>
      <c r="AB155" s="245"/>
      <c r="AC155" s="245"/>
      <c r="AD155" s="245"/>
    </row>
    <row r="156" spans="1:30">
      <c r="A156" s="245"/>
      <c r="B156" s="245"/>
      <c r="C156" s="245"/>
      <c r="D156" s="245"/>
      <c r="E156" s="245"/>
      <c r="F156" s="245"/>
      <c r="G156" s="245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  <c r="AA156" s="245"/>
      <c r="AB156" s="245"/>
      <c r="AC156" s="245"/>
      <c r="AD156" s="245"/>
    </row>
    <row r="157" spans="1:30">
      <c r="A157" s="245"/>
      <c r="B157" s="245"/>
      <c r="C157" s="245"/>
      <c r="D157" s="245"/>
      <c r="E157" s="245"/>
      <c r="F157" s="245"/>
      <c r="G157" s="245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  <c r="AA157" s="245"/>
      <c r="AB157" s="245"/>
      <c r="AC157" s="245"/>
      <c r="AD157" s="245"/>
    </row>
    <row r="158" spans="1:30">
      <c r="A158" s="245"/>
      <c r="B158" s="245"/>
      <c r="C158" s="245"/>
      <c r="D158" s="245"/>
      <c r="E158" s="245"/>
      <c r="F158" s="245"/>
      <c r="G158" s="245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  <c r="AA158" s="245"/>
      <c r="AB158" s="245"/>
      <c r="AC158" s="245"/>
      <c r="AD158" s="245"/>
    </row>
    <row r="159" spans="1:30">
      <c r="A159" s="245"/>
      <c r="B159" s="245"/>
      <c r="C159" s="245"/>
      <c r="D159" s="245"/>
      <c r="E159" s="245"/>
      <c r="F159" s="245"/>
      <c r="G159" s="245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  <c r="AA159" s="245"/>
      <c r="AB159" s="245"/>
      <c r="AC159" s="245"/>
      <c r="AD159" s="245"/>
    </row>
    <row r="160" spans="1:30">
      <c r="A160" s="245"/>
      <c r="B160" s="245"/>
      <c r="C160" s="245"/>
      <c r="D160" s="245"/>
      <c r="E160" s="245"/>
      <c r="F160" s="245"/>
      <c r="G160" s="245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  <c r="AA160" s="245"/>
      <c r="AB160" s="245"/>
      <c r="AC160" s="245"/>
      <c r="AD160" s="245"/>
    </row>
    <row r="161" spans="1:30">
      <c r="A161" s="245"/>
      <c r="B161" s="245"/>
      <c r="C161" s="245"/>
      <c r="D161" s="245"/>
      <c r="E161" s="245"/>
      <c r="F161" s="245"/>
      <c r="G161" s="245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  <c r="AA161" s="245"/>
      <c r="AB161" s="245"/>
      <c r="AC161" s="245"/>
      <c r="AD161" s="245"/>
    </row>
    <row r="162" spans="1:30">
      <c r="A162" s="245"/>
      <c r="B162" s="245"/>
      <c r="C162" s="245"/>
      <c r="D162" s="245"/>
      <c r="E162" s="245"/>
      <c r="F162" s="245"/>
      <c r="G162" s="245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  <c r="AA162" s="245"/>
      <c r="AB162" s="245"/>
      <c r="AC162" s="245"/>
      <c r="AD162" s="245"/>
    </row>
    <row r="163" spans="1:30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  <c r="AA163" s="245"/>
      <c r="AB163" s="245"/>
      <c r="AC163" s="245"/>
      <c r="AD163" s="245"/>
    </row>
    <row r="164" spans="1:30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  <c r="AA164" s="245"/>
      <c r="AB164" s="245"/>
      <c r="AC164" s="245"/>
      <c r="AD164" s="245"/>
    </row>
    <row r="165" spans="1:30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  <c r="AA165" s="245"/>
      <c r="AB165" s="245"/>
      <c r="AC165" s="245"/>
      <c r="AD165" s="245"/>
    </row>
    <row r="166" spans="1:30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  <c r="AA166" s="245"/>
      <c r="AB166" s="245"/>
      <c r="AC166" s="245"/>
      <c r="AD166" s="245"/>
    </row>
    <row r="167" spans="1:30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  <c r="AA167" s="245"/>
      <c r="AB167" s="245"/>
      <c r="AC167" s="245"/>
      <c r="AD167" s="245"/>
    </row>
    <row r="168" spans="1:30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</row>
    <row r="169" spans="1:30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  <c r="AA169" s="245"/>
      <c r="AB169" s="245"/>
      <c r="AC169" s="245"/>
      <c r="AD169" s="245"/>
    </row>
    <row r="170" spans="1:30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  <c r="AA170" s="245"/>
      <c r="AB170" s="245"/>
      <c r="AC170" s="245"/>
      <c r="AD170" s="245"/>
    </row>
    <row r="171" spans="1:30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</row>
    <row r="172" spans="1:30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  <c r="AA172" s="245"/>
      <c r="AB172" s="245"/>
      <c r="AC172" s="245"/>
      <c r="AD172" s="245"/>
    </row>
    <row r="173" spans="1:30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  <c r="AA173" s="245"/>
      <c r="AB173" s="245"/>
      <c r="AC173" s="245"/>
      <c r="AD173" s="245"/>
    </row>
    <row r="174" spans="1:30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  <c r="AA174" s="245"/>
      <c r="AB174" s="245"/>
      <c r="AC174" s="245"/>
      <c r="AD174" s="245"/>
    </row>
    <row r="175" spans="1:30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  <c r="AA175" s="245"/>
      <c r="AB175" s="245"/>
      <c r="AC175" s="245"/>
      <c r="AD175" s="245"/>
    </row>
    <row r="176" spans="1:30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  <c r="AA176" s="245"/>
      <c r="AB176" s="245"/>
      <c r="AC176" s="245"/>
      <c r="AD176" s="245"/>
    </row>
    <row r="177" spans="1:30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  <c r="AA177" s="245"/>
      <c r="AB177" s="245"/>
      <c r="AC177" s="245"/>
      <c r="AD177" s="245"/>
    </row>
    <row r="178" spans="1:30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</row>
    <row r="179" spans="1:30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  <c r="AA179" s="245"/>
      <c r="AB179" s="245"/>
      <c r="AC179" s="245"/>
      <c r="AD179" s="245"/>
    </row>
    <row r="180" spans="1:30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  <c r="AA180" s="245"/>
      <c r="AB180" s="245"/>
      <c r="AC180" s="245"/>
      <c r="AD180" s="245"/>
    </row>
    <row r="181" spans="1:30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  <c r="AA181" s="245"/>
      <c r="AB181" s="245"/>
      <c r="AC181" s="245"/>
      <c r="AD181" s="245"/>
    </row>
    <row r="182" spans="1:30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  <c r="AA182" s="245"/>
      <c r="AB182" s="245"/>
      <c r="AC182" s="245"/>
      <c r="AD182" s="245"/>
    </row>
    <row r="183" spans="1:30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  <c r="AA183" s="245"/>
      <c r="AB183" s="245"/>
      <c r="AC183" s="245"/>
      <c r="AD183" s="245"/>
    </row>
    <row r="184" spans="1:30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  <c r="AA184" s="245"/>
      <c r="AB184" s="245"/>
      <c r="AC184" s="245"/>
      <c r="AD184" s="245"/>
    </row>
    <row r="185" spans="1:30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  <c r="AA185" s="245"/>
      <c r="AB185" s="245"/>
      <c r="AC185" s="245"/>
      <c r="AD185" s="245"/>
    </row>
    <row r="186" spans="1:30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  <c r="AA186" s="245"/>
      <c r="AB186" s="245"/>
      <c r="AC186" s="245"/>
      <c r="AD186" s="245"/>
    </row>
    <row r="187" spans="1:30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  <c r="AA187" s="245"/>
      <c r="AB187" s="245"/>
      <c r="AC187" s="245"/>
      <c r="AD187" s="245"/>
    </row>
    <row r="188" spans="1:30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  <c r="AA188" s="245"/>
      <c r="AB188" s="245"/>
      <c r="AC188" s="245"/>
      <c r="AD188" s="245"/>
    </row>
    <row r="189" spans="1:30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  <c r="AA189" s="245"/>
      <c r="AB189" s="245"/>
      <c r="AC189" s="245"/>
      <c r="AD189" s="245"/>
    </row>
    <row r="190" spans="1:30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  <c r="AA190" s="245"/>
      <c r="AB190" s="245"/>
      <c r="AC190" s="245"/>
      <c r="AD190" s="245"/>
    </row>
    <row r="191" spans="1:30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  <c r="AA191" s="245"/>
      <c r="AB191" s="245"/>
      <c r="AC191" s="245"/>
      <c r="AD191" s="245"/>
    </row>
    <row r="192" spans="1:30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  <c r="AA192" s="245"/>
      <c r="AB192" s="245"/>
      <c r="AC192" s="245"/>
      <c r="AD192" s="245"/>
    </row>
    <row r="193" spans="1:30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  <c r="AA193" s="245"/>
      <c r="AB193" s="245"/>
      <c r="AC193" s="245"/>
      <c r="AD193" s="245"/>
    </row>
    <row r="194" spans="1:30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  <c r="AA194" s="245"/>
      <c r="AB194" s="245"/>
      <c r="AC194" s="245"/>
      <c r="AD194" s="245"/>
    </row>
    <row r="195" spans="1:30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  <c r="AA195" s="245"/>
      <c r="AB195" s="245"/>
      <c r="AC195" s="245"/>
      <c r="AD195" s="245"/>
    </row>
    <row r="196" spans="1:30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  <c r="AA196" s="245"/>
      <c r="AB196" s="245"/>
      <c r="AC196" s="245"/>
      <c r="AD196" s="245"/>
    </row>
    <row r="197" spans="1:30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  <c r="AA197" s="245"/>
      <c r="AB197" s="245"/>
      <c r="AC197" s="245"/>
      <c r="AD197" s="245"/>
    </row>
    <row r="198" spans="1:30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  <c r="AA198" s="245"/>
      <c r="AB198" s="245"/>
      <c r="AC198" s="245"/>
      <c r="AD198" s="245"/>
    </row>
    <row r="199" spans="1:30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  <c r="AA199" s="245"/>
      <c r="AB199" s="245"/>
      <c r="AC199" s="245"/>
      <c r="AD199" s="245"/>
    </row>
    <row r="200" spans="1:30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  <c r="AA200" s="245"/>
      <c r="AB200" s="245"/>
      <c r="AC200" s="245"/>
      <c r="AD200" s="245"/>
    </row>
    <row r="201" spans="1:30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  <c r="AA201" s="245"/>
      <c r="AB201" s="245"/>
      <c r="AC201" s="245"/>
      <c r="AD201" s="245"/>
    </row>
    <row r="202" spans="1:30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  <c r="AA202" s="245"/>
      <c r="AB202" s="245"/>
      <c r="AC202" s="245"/>
      <c r="AD202" s="245"/>
    </row>
    <row r="203" spans="1:30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  <c r="AA203" s="245"/>
      <c r="AB203" s="245"/>
      <c r="AC203" s="245"/>
      <c r="AD203" s="245"/>
    </row>
    <row r="204" spans="1:30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  <c r="AA204" s="245"/>
      <c r="AB204" s="245"/>
      <c r="AC204" s="245"/>
      <c r="AD204" s="245"/>
    </row>
    <row r="205" spans="1:30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  <c r="AA205" s="245"/>
      <c r="AB205" s="245"/>
      <c r="AC205" s="245"/>
      <c r="AD205" s="245"/>
    </row>
    <row r="206" spans="1:30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  <c r="AA206" s="245"/>
      <c r="AB206" s="245"/>
      <c r="AC206" s="245"/>
      <c r="AD206" s="245"/>
    </row>
    <row r="207" spans="1:30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  <c r="AA207" s="245"/>
      <c r="AB207" s="245"/>
      <c r="AC207" s="245"/>
      <c r="AD207" s="245"/>
    </row>
    <row r="208" spans="1:30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  <c r="AA208" s="245"/>
      <c r="AB208" s="245"/>
      <c r="AC208" s="245"/>
      <c r="AD208" s="245"/>
    </row>
    <row r="209" spans="1:30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  <c r="AA209" s="245"/>
      <c r="AB209" s="245"/>
      <c r="AC209" s="245"/>
      <c r="AD209" s="245"/>
    </row>
    <row r="210" spans="1:30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  <c r="AA210" s="245"/>
      <c r="AB210" s="245"/>
      <c r="AC210" s="245"/>
      <c r="AD210" s="245"/>
    </row>
    <row r="211" spans="1:30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  <c r="AA211" s="245"/>
      <c r="AB211" s="245"/>
      <c r="AC211" s="245"/>
      <c r="AD211" s="245"/>
    </row>
    <row r="212" spans="1:30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  <c r="AA212" s="245"/>
      <c r="AB212" s="245"/>
      <c r="AC212" s="245"/>
      <c r="AD212" s="245"/>
    </row>
    <row r="213" spans="1:30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  <c r="AA213" s="245"/>
      <c r="AB213" s="245"/>
      <c r="AC213" s="245"/>
      <c r="AD213" s="245"/>
    </row>
    <row r="214" spans="1:30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  <c r="AA214" s="245"/>
      <c r="AB214" s="245"/>
      <c r="AC214" s="245"/>
      <c r="AD214" s="245"/>
    </row>
    <row r="215" spans="1:30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  <c r="AA215" s="245"/>
      <c r="AB215" s="245"/>
      <c r="AC215" s="245"/>
      <c r="AD215" s="245"/>
    </row>
    <row r="216" spans="1:30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</row>
    <row r="217" spans="1:30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  <c r="AA217" s="245"/>
      <c r="AB217" s="245"/>
      <c r="AC217" s="245"/>
      <c r="AD217" s="245"/>
    </row>
    <row r="218" spans="1:30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  <c r="AA218" s="245"/>
      <c r="AB218" s="245"/>
      <c r="AC218" s="245"/>
      <c r="AD218" s="245"/>
    </row>
    <row r="219" spans="1:30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</row>
    <row r="220" spans="1:30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  <c r="AA220" s="245"/>
      <c r="AB220" s="245"/>
      <c r="AC220" s="245"/>
      <c r="AD220" s="245"/>
    </row>
    <row r="221" spans="1:30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  <c r="AA221" s="245"/>
      <c r="AB221" s="245"/>
      <c r="AC221" s="245"/>
      <c r="AD221" s="245"/>
    </row>
    <row r="222" spans="1:30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  <c r="AA222" s="245"/>
      <c r="AB222" s="245"/>
      <c r="AC222" s="245"/>
      <c r="AD222" s="245"/>
    </row>
    <row r="223" spans="1:30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  <c r="AA223" s="245"/>
      <c r="AB223" s="245"/>
      <c r="AC223" s="245"/>
      <c r="AD223" s="245"/>
    </row>
    <row r="224" spans="1:30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  <c r="AA224" s="245"/>
      <c r="AB224" s="245"/>
      <c r="AC224" s="245"/>
      <c r="AD224" s="245"/>
    </row>
    <row r="225" spans="1:30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  <c r="AA225" s="245"/>
      <c r="AB225" s="245"/>
      <c r="AC225" s="245"/>
      <c r="AD225" s="245"/>
    </row>
    <row r="226" spans="1:30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  <c r="AA226" s="245"/>
      <c r="AB226" s="245"/>
      <c r="AC226" s="245"/>
      <c r="AD226" s="245"/>
    </row>
    <row r="227" spans="1:30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  <c r="AA227" s="245"/>
      <c r="AB227" s="245"/>
      <c r="AC227" s="245"/>
      <c r="AD227" s="245"/>
    </row>
    <row r="228" spans="1:30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  <c r="AA228" s="245"/>
      <c r="AB228" s="245"/>
      <c r="AC228" s="245"/>
      <c r="AD228" s="245"/>
    </row>
    <row r="229" spans="1:30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  <c r="AA229" s="245"/>
      <c r="AB229" s="245"/>
      <c r="AC229" s="245"/>
      <c r="AD229" s="245"/>
    </row>
    <row r="230" spans="1:30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  <c r="AA230" s="245"/>
      <c r="AB230" s="245"/>
      <c r="AC230" s="245"/>
      <c r="AD230" s="245"/>
    </row>
    <row r="231" spans="1:30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  <c r="AA231" s="245"/>
      <c r="AB231" s="245"/>
      <c r="AC231" s="245"/>
      <c r="AD231" s="245"/>
    </row>
    <row r="232" spans="1:30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  <c r="AA232" s="245"/>
      <c r="AB232" s="245"/>
      <c r="AC232" s="245"/>
      <c r="AD232" s="245"/>
    </row>
    <row r="233" spans="1:30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  <c r="AA233" s="245"/>
      <c r="AB233" s="245"/>
      <c r="AC233" s="245"/>
      <c r="AD233" s="245"/>
    </row>
    <row r="234" spans="1:30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  <c r="AA234" s="245"/>
      <c r="AB234" s="245"/>
      <c r="AC234" s="245"/>
      <c r="AD234" s="245"/>
    </row>
    <row r="235" spans="1:30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  <c r="AA235" s="245"/>
      <c r="AB235" s="245"/>
      <c r="AC235" s="245"/>
      <c r="AD235" s="245"/>
    </row>
    <row r="236" spans="1:30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  <c r="AA236" s="245"/>
      <c r="AB236" s="245"/>
      <c r="AC236" s="245"/>
      <c r="AD236" s="245"/>
    </row>
    <row r="237" spans="1:30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  <c r="AA237" s="245"/>
      <c r="AB237" s="245"/>
      <c r="AC237" s="245"/>
      <c r="AD237" s="245"/>
    </row>
    <row r="238" spans="1:30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  <c r="AA238" s="245"/>
      <c r="AB238" s="245"/>
      <c r="AC238" s="245"/>
      <c r="AD238" s="245"/>
    </row>
    <row r="239" spans="1:30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  <c r="AA239" s="245"/>
      <c r="AB239" s="245"/>
      <c r="AC239" s="245"/>
      <c r="AD239" s="245"/>
    </row>
    <row r="240" spans="1:30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  <c r="AA240" s="245"/>
      <c r="AB240" s="245"/>
      <c r="AC240" s="245"/>
      <c r="AD240" s="245"/>
    </row>
    <row r="241" spans="1:30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  <c r="AA241" s="245"/>
      <c r="AB241" s="245"/>
      <c r="AC241" s="245"/>
      <c r="AD241" s="245"/>
    </row>
    <row r="242" spans="1:30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</row>
    <row r="243" spans="1:30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  <c r="AA243" s="245"/>
      <c r="AB243" s="245"/>
      <c r="AC243" s="245"/>
      <c r="AD243" s="245"/>
    </row>
    <row r="244" spans="1:30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  <c r="AA244" s="245"/>
      <c r="AB244" s="245"/>
      <c r="AC244" s="245"/>
      <c r="AD244" s="245"/>
    </row>
    <row r="245" spans="1:30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  <c r="AA245" s="245"/>
      <c r="AB245" s="245"/>
      <c r="AC245" s="245"/>
      <c r="AD245" s="245"/>
    </row>
    <row r="246" spans="1:30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  <c r="AA246" s="245"/>
      <c r="AB246" s="245"/>
      <c r="AC246" s="245"/>
      <c r="AD246" s="245"/>
    </row>
    <row r="247" spans="1:30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  <c r="AA247" s="245"/>
      <c r="AB247" s="245"/>
      <c r="AC247" s="245"/>
      <c r="AD247" s="245"/>
    </row>
    <row r="248" spans="1:30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  <c r="AA248" s="245"/>
      <c r="AB248" s="245"/>
      <c r="AC248" s="245"/>
      <c r="AD248" s="245"/>
    </row>
    <row r="249" spans="1:30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  <c r="AA249" s="245"/>
      <c r="AB249" s="245"/>
      <c r="AC249" s="245"/>
      <c r="AD249" s="245"/>
    </row>
    <row r="250" spans="1:30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  <c r="AA250" s="245"/>
      <c r="AB250" s="245"/>
      <c r="AC250" s="245"/>
      <c r="AD250" s="245"/>
    </row>
    <row r="251" spans="1:30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  <c r="AA251" s="245"/>
      <c r="AB251" s="245"/>
      <c r="AC251" s="245"/>
      <c r="AD251" s="245"/>
    </row>
    <row r="252" spans="1:30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  <c r="AA252" s="245"/>
      <c r="AB252" s="245"/>
      <c r="AC252" s="245"/>
      <c r="AD252" s="245"/>
    </row>
    <row r="253" spans="1:30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  <c r="AA253" s="245"/>
      <c r="AB253" s="245"/>
      <c r="AC253" s="245"/>
      <c r="AD253" s="245"/>
    </row>
    <row r="254" spans="1:30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  <c r="AA254" s="245"/>
      <c r="AB254" s="245"/>
      <c r="AC254" s="245"/>
      <c r="AD254" s="245"/>
    </row>
    <row r="255" spans="1:30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  <c r="AA255" s="245"/>
      <c r="AB255" s="245"/>
      <c r="AC255" s="245"/>
      <c r="AD255" s="245"/>
    </row>
    <row r="256" spans="1:30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  <c r="AA256" s="245"/>
      <c r="AB256" s="245"/>
      <c r="AC256" s="245"/>
      <c r="AD256" s="245"/>
    </row>
    <row r="257" spans="1:30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</row>
    <row r="258" spans="1:30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  <c r="AA258" s="245"/>
      <c r="AB258" s="245"/>
      <c r="AC258" s="245"/>
      <c r="AD258" s="245"/>
    </row>
    <row r="259" spans="1:30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  <c r="AA259" s="245"/>
      <c r="AB259" s="245"/>
      <c r="AC259" s="245"/>
      <c r="AD259" s="245"/>
    </row>
    <row r="260" spans="1:30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  <c r="AA260" s="245"/>
      <c r="AB260" s="245"/>
      <c r="AC260" s="245"/>
      <c r="AD260" s="245"/>
    </row>
    <row r="261" spans="1:30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  <c r="AA261" s="245"/>
      <c r="AB261" s="245"/>
      <c r="AC261" s="245"/>
      <c r="AD261" s="245"/>
    </row>
    <row r="262" spans="1:30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  <c r="AA262" s="245"/>
      <c r="AB262" s="245"/>
      <c r="AC262" s="245"/>
      <c r="AD262" s="245"/>
    </row>
    <row r="263" spans="1:30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  <c r="AA263" s="245"/>
      <c r="AB263" s="245"/>
      <c r="AC263" s="245"/>
      <c r="AD263" s="245"/>
    </row>
    <row r="264" spans="1:30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  <c r="AA264" s="245"/>
      <c r="AB264" s="245"/>
      <c r="AC264" s="245"/>
      <c r="AD264" s="245"/>
    </row>
    <row r="265" spans="1:30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  <c r="AA265" s="245"/>
      <c r="AB265" s="245"/>
      <c r="AC265" s="245"/>
      <c r="AD265" s="245"/>
    </row>
    <row r="266" spans="1:30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  <c r="AA266" s="245"/>
      <c r="AB266" s="245"/>
      <c r="AC266" s="245"/>
      <c r="AD266" s="245"/>
    </row>
    <row r="267" spans="1:30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  <c r="AA267" s="245"/>
      <c r="AB267" s="245"/>
      <c r="AC267" s="245"/>
      <c r="AD267" s="245"/>
    </row>
    <row r="268" spans="1:30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  <c r="AA268" s="245"/>
      <c r="AB268" s="245"/>
      <c r="AC268" s="245"/>
      <c r="AD268" s="245"/>
    </row>
    <row r="269" spans="1:30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  <c r="AA269" s="245"/>
      <c r="AB269" s="245"/>
      <c r="AC269" s="245"/>
      <c r="AD269" s="245"/>
    </row>
    <row r="270" spans="1:30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  <c r="AA270" s="245"/>
      <c r="AB270" s="245"/>
      <c r="AC270" s="245"/>
      <c r="AD270" s="245"/>
    </row>
    <row r="271" spans="1:30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  <c r="AA271" s="245"/>
      <c r="AB271" s="245"/>
      <c r="AC271" s="245"/>
      <c r="AD271" s="245"/>
    </row>
    <row r="272" spans="1:30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  <c r="AA272" s="245"/>
      <c r="AB272" s="245"/>
      <c r="AC272" s="245"/>
      <c r="AD272" s="245"/>
    </row>
    <row r="273" spans="1:30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  <c r="AA273" s="245"/>
      <c r="AB273" s="245"/>
      <c r="AC273" s="245"/>
      <c r="AD273" s="245"/>
    </row>
    <row r="274" spans="1:30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  <c r="AA274" s="245"/>
      <c r="AB274" s="245"/>
      <c r="AC274" s="245"/>
      <c r="AD274" s="245"/>
    </row>
    <row r="275" spans="1:30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</row>
    <row r="276" spans="1:30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  <c r="AA276" s="245"/>
      <c r="AB276" s="245"/>
      <c r="AC276" s="245"/>
      <c r="AD276" s="245"/>
    </row>
    <row r="277" spans="1:30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  <c r="AA277" s="245"/>
      <c r="AB277" s="245"/>
      <c r="AC277" s="245"/>
      <c r="AD277" s="245"/>
    </row>
    <row r="278" spans="1:30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  <c r="AA278" s="245"/>
      <c r="AB278" s="245"/>
      <c r="AC278" s="245"/>
      <c r="AD278" s="245"/>
    </row>
    <row r="279" spans="1:30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  <c r="AA279" s="245"/>
      <c r="AB279" s="245"/>
      <c r="AC279" s="245"/>
      <c r="AD279" s="245"/>
    </row>
    <row r="280" spans="1:30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  <c r="AA280" s="245"/>
      <c r="AB280" s="245"/>
      <c r="AC280" s="245"/>
      <c r="AD280" s="245"/>
    </row>
    <row r="281" spans="1:30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  <c r="AA281" s="245"/>
      <c r="AB281" s="245"/>
      <c r="AC281" s="245"/>
      <c r="AD281" s="245"/>
    </row>
    <row r="282" spans="1:30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  <c r="AA282" s="245"/>
      <c r="AB282" s="245"/>
      <c r="AC282" s="245"/>
      <c r="AD282" s="245"/>
    </row>
    <row r="283" spans="1:30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  <c r="AA283" s="245"/>
      <c r="AB283" s="245"/>
      <c r="AC283" s="245"/>
      <c r="AD283" s="245"/>
    </row>
    <row r="284" spans="1:30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  <c r="AA284" s="245"/>
      <c r="AB284" s="245"/>
      <c r="AC284" s="245"/>
      <c r="AD284" s="245"/>
    </row>
    <row r="285" spans="1:30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  <c r="AA285" s="245"/>
      <c r="AB285" s="245"/>
      <c r="AC285" s="245"/>
      <c r="AD285" s="245"/>
    </row>
    <row r="286" spans="1:30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  <c r="AA286" s="245"/>
      <c r="AB286" s="245"/>
      <c r="AC286" s="245"/>
      <c r="AD286" s="245"/>
    </row>
    <row r="287" spans="1:30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  <c r="AA287" s="245"/>
      <c r="AB287" s="245"/>
      <c r="AC287" s="245"/>
      <c r="AD287" s="245"/>
    </row>
    <row r="288" spans="1:30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  <c r="AA288" s="245"/>
      <c r="AB288" s="245"/>
      <c r="AC288" s="245"/>
      <c r="AD288" s="245"/>
    </row>
    <row r="289" spans="1:30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  <c r="AA289" s="245"/>
      <c r="AB289" s="245"/>
      <c r="AC289" s="245"/>
      <c r="AD289" s="245"/>
    </row>
    <row r="290" spans="1:30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  <c r="AA290" s="245"/>
      <c r="AB290" s="245"/>
      <c r="AC290" s="245"/>
      <c r="AD290" s="245"/>
    </row>
    <row r="291" spans="1:30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  <c r="AA291" s="245"/>
      <c r="AB291" s="245"/>
      <c r="AC291" s="245"/>
      <c r="AD291" s="245"/>
    </row>
    <row r="292" spans="1:30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  <c r="AA292" s="245"/>
      <c r="AB292" s="245"/>
      <c r="AC292" s="245"/>
      <c r="AD292" s="245"/>
    </row>
    <row r="293" spans="1:30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  <c r="AA293" s="245"/>
      <c r="AB293" s="245"/>
      <c r="AC293" s="245"/>
      <c r="AD293" s="245"/>
    </row>
    <row r="294" spans="1:30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  <c r="AA294" s="245"/>
      <c r="AB294" s="245"/>
      <c r="AC294" s="245"/>
      <c r="AD294" s="245"/>
    </row>
    <row r="295" spans="1:30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  <c r="AA295" s="245"/>
      <c r="AB295" s="245"/>
      <c r="AC295" s="245"/>
      <c r="AD295" s="245"/>
    </row>
    <row r="296" spans="1:30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  <c r="AA296" s="245"/>
      <c r="AB296" s="245"/>
      <c r="AC296" s="245"/>
      <c r="AD296" s="245"/>
    </row>
    <row r="297" spans="1:30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</row>
    <row r="298" spans="1:30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  <c r="AA298" s="245"/>
      <c r="AB298" s="245"/>
      <c r="AC298" s="245"/>
      <c r="AD298" s="245"/>
    </row>
    <row r="299" spans="1:30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  <c r="AA299" s="245"/>
      <c r="AB299" s="245"/>
      <c r="AC299" s="245"/>
      <c r="AD299" s="245"/>
    </row>
    <row r="300" spans="1:30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  <c r="AA300" s="245"/>
      <c r="AB300" s="245"/>
      <c r="AC300" s="245"/>
      <c r="AD300" s="245"/>
    </row>
    <row r="301" spans="1:30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  <c r="AA301" s="245"/>
      <c r="AB301" s="245"/>
      <c r="AC301" s="245"/>
      <c r="AD301" s="245"/>
    </row>
    <row r="302" spans="1:30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  <c r="AA302" s="245"/>
      <c r="AB302" s="245"/>
      <c r="AC302" s="245"/>
      <c r="AD302" s="245"/>
    </row>
    <row r="303" spans="1:30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  <c r="AA303" s="245"/>
      <c r="AB303" s="245"/>
      <c r="AC303" s="245"/>
      <c r="AD303" s="245"/>
    </row>
    <row r="304" spans="1:30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  <c r="AA304" s="245"/>
      <c r="AB304" s="245"/>
      <c r="AC304" s="245"/>
      <c r="AD304" s="245"/>
    </row>
    <row r="305" spans="1:30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  <c r="AA305" s="245"/>
      <c r="AB305" s="245"/>
      <c r="AC305" s="245"/>
      <c r="AD305" s="245"/>
    </row>
    <row r="306" spans="1:30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  <c r="AA306" s="245"/>
      <c r="AB306" s="245"/>
      <c r="AC306" s="245"/>
      <c r="AD306" s="245"/>
    </row>
    <row r="307" spans="1:30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  <c r="AA307" s="245"/>
      <c r="AB307" s="245"/>
      <c r="AC307" s="245"/>
      <c r="AD307" s="245"/>
    </row>
    <row r="308" spans="1:30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  <c r="AA308" s="245"/>
      <c r="AB308" s="245"/>
      <c r="AC308" s="245"/>
      <c r="AD308" s="245"/>
    </row>
    <row r="309" spans="1:30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  <c r="AA309" s="245"/>
      <c r="AB309" s="245"/>
      <c r="AC309" s="245"/>
      <c r="AD309" s="245"/>
    </row>
    <row r="310" spans="1:30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  <c r="AA310" s="245"/>
      <c r="AB310" s="245"/>
      <c r="AC310" s="245"/>
      <c r="AD310" s="245"/>
    </row>
    <row r="311" spans="1:30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  <c r="AA311" s="245"/>
      <c r="AB311" s="245"/>
      <c r="AC311" s="245"/>
      <c r="AD311" s="245"/>
    </row>
    <row r="312" spans="1:30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  <c r="AA312" s="245"/>
      <c r="AB312" s="245"/>
      <c r="AC312" s="245"/>
      <c r="AD312" s="245"/>
    </row>
    <row r="313" spans="1:30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  <c r="AA313" s="245"/>
      <c r="AB313" s="245"/>
      <c r="AC313" s="245"/>
      <c r="AD313" s="245"/>
    </row>
    <row r="314" spans="1:30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  <c r="AA314" s="245"/>
      <c r="AB314" s="245"/>
      <c r="AC314" s="245"/>
      <c r="AD314" s="245"/>
    </row>
    <row r="315" spans="1:30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  <c r="AA315" s="245"/>
      <c r="AB315" s="245"/>
      <c r="AC315" s="245"/>
      <c r="AD315" s="245"/>
    </row>
    <row r="316" spans="1:30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  <c r="AA316" s="245"/>
      <c r="AB316" s="245"/>
      <c r="AC316" s="245"/>
      <c r="AD316" s="245"/>
    </row>
    <row r="317" spans="1:30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  <c r="AA317" s="245"/>
      <c r="AB317" s="245"/>
      <c r="AC317" s="245"/>
      <c r="AD317" s="245"/>
    </row>
    <row r="318" spans="1:30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  <c r="AA318" s="245"/>
      <c r="AB318" s="245"/>
      <c r="AC318" s="245"/>
      <c r="AD318" s="245"/>
    </row>
    <row r="319" spans="1:30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  <c r="AA319" s="245"/>
      <c r="AB319" s="245"/>
      <c r="AC319" s="245"/>
      <c r="AD319" s="245"/>
    </row>
    <row r="320" spans="1:30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  <c r="AA320" s="245"/>
      <c r="AB320" s="245"/>
      <c r="AC320" s="245"/>
      <c r="AD320" s="245"/>
    </row>
    <row r="321" spans="1:30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  <c r="AA321" s="245"/>
      <c r="AB321" s="245"/>
      <c r="AC321" s="245"/>
      <c r="AD321" s="245"/>
    </row>
    <row r="322" spans="1:30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  <c r="AA322" s="245"/>
      <c r="AB322" s="245"/>
      <c r="AC322" s="245"/>
      <c r="AD322" s="245"/>
    </row>
    <row r="323" spans="1:30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  <c r="AA323" s="245"/>
      <c r="AB323" s="245"/>
      <c r="AC323" s="245"/>
      <c r="AD323" s="245"/>
    </row>
    <row r="324" spans="1:30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  <c r="AA324" s="245"/>
      <c r="AB324" s="245"/>
      <c r="AC324" s="245"/>
      <c r="AD324" s="245"/>
    </row>
    <row r="325" spans="1:30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  <c r="AA325" s="245"/>
      <c r="AB325" s="245"/>
      <c r="AC325" s="245"/>
      <c r="AD325" s="245"/>
    </row>
    <row r="326" spans="1:30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  <c r="AA326" s="245"/>
      <c r="AB326" s="245"/>
      <c r="AC326" s="245"/>
      <c r="AD326" s="245"/>
    </row>
    <row r="327" spans="1:30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  <c r="AA327" s="245"/>
      <c r="AB327" s="245"/>
      <c r="AC327" s="245"/>
      <c r="AD327" s="245"/>
    </row>
    <row r="328" spans="1:30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  <c r="AA328" s="245"/>
      <c r="AB328" s="245"/>
      <c r="AC328" s="245"/>
      <c r="AD328" s="245"/>
    </row>
    <row r="329" spans="1:30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  <c r="AA329" s="245"/>
      <c r="AB329" s="245"/>
      <c r="AC329" s="245"/>
      <c r="AD329" s="245"/>
    </row>
    <row r="330" spans="1:30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  <c r="AA330" s="245"/>
      <c r="AB330" s="245"/>
      <c r="AC330" s="245"/>
      <c r="AD330" s="245"/>
    </row>
    <row r="331" spans="1:30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  <c r="AA331" s="245"/>
      <c r="AB331" s="245"/>
      <c r="AC331" s="245"/>
      <c r="AD331" s="245"/>
    </row>
    <row r="332" spans="1:30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  <c r="AA332" s="245"/>
      <c r="AB332" s="245"/>
      <c r="AC332" s="245"/>
      <c r="AD332" s="245"/>
    </row>
    <row r="333" spans="1:30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  <c r="AA333" s="245"/>
      <c r="AB333" s="245"/>
      <c r="AC333" s="245"/>
      <c r="AD333" s="245"/>
    </row>
    <row r="334" spans="1:30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  <c r="AA334" s="245"/>
      <c r="AB334" s="245"/>
      <c r="AC334" s="245"/>
      <c r="AD334" s="245"/>
    </row>
    <row r="335" spans="1:30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  <c r="AA335" s="245"/>
      <c r="AB335" s="245"/>
      <c r="AC335" s="245"/>
      <c r="AD335" s="245"/>
    </row>
    <row r="336" spans="1:30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  <c r="AA336" s="245"/>
      <c r="AB336" s="245"/>
      <c r="AC336" s="245"/>
      <c r="AD336" s="245"/>
    </row>
    <row r="337" spans="1:30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  <c r="AA337" s="245"/>
      <c r="AB337" s="245"/>
      <c r="AC337" s="245"/>
      <c r="AD337" s="245"/>
    </row>
    <row r="338" spans="1:30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  <c r="AA338" s="245"/>
      <c r="AB338" s="245"/>
      <c r="AC338" s="245"/>
      <c r="AD338" s="245"/>
    </row>
    <row r="339" spans="1:30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  <c r="AA339" s="245"/>
      <c r="AB339" s="245"/>
      <c r="AC339" s="245"/>
      <c r="AD339" s="245"/>
    </row>
    <row r="340" spans="1:30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  <c r="AA340" s="245"/>
      <c r="AB340" s="245"/>
      <c r="AC340" s="245"/>
      <c r="AD340" s="245"/>
    </row>
    <row r="341" spans="1:30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  <c r="AA341" s="245"/>
      <c r="AB341" s="245"/>
      <c r="AC341" s="245"/>
      <c r="AD341" s="245"/>
    </row>
    <row r="342" spans="1:30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  <c r="AA342" s="245"/>
      <c r="AB342" s="245"/>
      <c r="AC342" s="245"/>
      <c r="AD342" s="245"/>
    </row>
    <row r="343" spans="1:30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  <c r="AA343" s="245"/>
      <c r="AB343" s="245"/>
      <c r="AC343" s="245"/>
      <c r="AD343" s="245"/>
    </row>
    <row r="344" spans="1:30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  <c r="AA344" s="245"/>
      <c r="AB344" s="245"/>
      <c r="AC344" s="245"/>
      <c r="AD344" s="245"/>
    </row>
    <row r="345" spans="1:30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  <c r="AA345" s="245"/>
      <c r="AB345" s="245"/>
      <c r="AC345" s="245"/>
      <c r="AD345" s="245"/>
    </row>
    <row r="346" spans="1:30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  <c r="AA346" s="245"/>
      <c r="AB346" s="245"/>
      <c r="AC346" s="245"/>
      <c r="AD346" s="245"/>
    </row>
    <row r="347" spans="1:30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  <c r="AA347" s="245"/>
      <c r="AB347" s="245"/>
      <c r="AC347" s="245"/>
      <c r="AD347" s="245"/>
    </row>
    <row r="348" spans="1:30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  <c r="AA348" s="245"/>
      <c r="AB348" s="245"/>
      <c r="AC348" s="245"/>
      <c r="AD348" s="245"/>
    </row>
    <row r="349" spans="1:30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  <c r="AA349" s="245"/>
      <c r="AB349" s="245"/>
      <c r="AC349" s="245"/>
      <c r="AD349" s="245"/>
    </row>
    <row r="350" spans="1:30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  <c r="AA350" s="245"/>
      <c r="AB350" s="245"/>
      <c r="AC350" s="245"/>
      <c r="AD350" s="245"/>
    </row>
    <row r="351" spans="1:30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  <c r="AA351" s="245"/>
      <c r="AB351" s="245"/>
      <c r="AC351" s="245"/>
      <c r="AD351" s="245"/>
    </row>
    <row r="352" spans="1:30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  <c r="AA352" s="245"/>
      <c r="AB352" s="245"/>
      <c r="AC352" s="245"/>
      <c r="AD352" s="245"/>
    </row>
    <row r="353" spans="1:30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  <c r="AA353" s="245"/>
      <c r="AB353" s="245"/>
      <c r="AC353" s="245"/>
      <c r="AD353" s="245"/>
    </row>
    <row r="354" spans="1:30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  <c r="AA354" s="245"/>
      <c r="AB354" s="245"/>
      <c r="AC354" s="245"/>
      <c r="AD354" s="245"/>
    </row>
    <row r="355" spans="1:30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  <c r="AA355" s="245"/>
      <c r="AB355" s="245"/>
      <c r="AC355" s="245"/>
      <c r="AD355" s="245"/>
    </row>
    <row r="356" spans="1:30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  <c r="AA356" s="245"/>
      <c r="AB356" s="245"/>
      <c r="AC356" s="245"/>
      <c r="AD356" s="245"/>
    </row>
    <row r="357" spans="1:30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  <c r="AA357" s="245"/>
      <c r="AB357" s="245"/>
      <c r="AC357" s="245"/>
      <c r="AD357" s="245"/>
    </row>
    <row r="358" spans="1:30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</row>
    <row r="359" spans="1:30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  <c r="AA359" s="245"/>
      <c r="AB359" s="245"/>
      <c r="AC359" s="245"/>
      <c r="AD359" s="245"/>
    </row>
    <row r="360" spans="1:30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  <c r="AA360" s="245"/>
      <c r="AB360" s="245"/>
      <c r="AC360" s="245"/>
      <c r="AD360" s="245"/>
    </row>
    <row r="361" spans="1:30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  <c r="AA361" s="245"/>
      <c r="AB361" s="245"/>
      <c r="AC361" s="245"/>
      <c r="AD361" s="245"/>
    </row>
    <row r="362" spans="1:30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  <c r="AA362" s="245"/>
      <c r="AB362" s="245"/>
      <c r="AC362" s="245"/>
      <c r="AD362" s="245"/>
    </row>
    <row r="363" spans="1:30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  <c r="AA363" s="245"/>
      <c r="AB363" s="245"/>
      <c r="AC363" s="245"/>
      <c r="AD363" s="245"/>
    </row>
    <row r="364" spans="1:30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  <c r="AA364" s="245"/>
      <c r="AB364" s="245"/>
      <c r="AC364" s="245"/>
      <c r="AD364" s="245"/>
    </row>
    <row r="365" spans="1:30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  <c r="AA365" s="245"/>
      <c r="AB365" s="245"/>
      <c r="AC365" s="245"/>
      <c r="AD365" s="245"/>
    </row>
    <row r="366" spans="1:30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  <c r="AA366" s="245"/>
      <c r="AB366" s="245"/>
      <c r="AC366" s="245"/>
      <c r="AD366" s="245"/>
    </row>
    <row r="367" spans="1:30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  <c r="AA367" s="245"/>
      <c r="AB367" s="245"/>
      <c r="AC367" s="245"/>
      <c r="AD367" s="245"/>
    </row>
    <row r="368" spans="1:30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  <c r="AA368" s="245"/>
      <c r="AB368" s="245"/>
      <c r="AC368" s="245"/>
      <c r="AD368" s="245"/>
    </row>
    <row r="369" spans="1:30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  <c r="AA369" s="245"/>
      <c r="AB369" s="245"/>
      <c r="AC369" s="245"/>
      <c r="AD369" s="245"/>
    </row>
    <row r="370" spans="1:30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  <c r="AA370" s="245"/>
      <c r="AB370" s="245"/>
      <c r="AC370" s="245"/>
      <c r="AD370" s="245"/>
    </row>
    <row r="371" spans="1:30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  <c r="AA371" s="245"/>
      <c r="AB371" s="245"/>
      <c r="AC371" s="245"/>
      <c r="AD371" s="245"/>
    </row>
    <row r="372" spans="1:30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  <c r="AA372" s="245"/>
      <c r="AB372" s="245"/>
      <c r="AC372" s="245"/>
      <c r="AD372" s="245"/>
    </row>
    <row r="373" spans="1:30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  <c r="AA373" s="245"/>
      <c r="AB373" s="245"/>
      <c r="AC373" s="245"/>
      <c r="AD373" s="245"/>
    </row>
    <row r="374" spans="1:30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  <c r="AA374" s="245"/>
      <c r="AB374" s="245"/>
      <c r="AC374" s="245"/>
      <c r="AD374" s="245"/>
    </row>
    <row r="375" spans="1:30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  <c r="AA375" s="245"/>
      <c r="AB375" s="245"/>
      <c r="AC375" s="245"/>
      <c r="AD375" s="245"/>
    </row>
    <row r="376" spans="1:30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  <c r="AA376" s="245"/>
      <c r="AB376" s="245"/>
      <c r="AC376" s="245"/>
      <c r="AD376" s="245"/>
    </row>
    <row r="377" spans="1:30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  <c r="AA377" s="245"/>
      <c r="AB377" s="245"/>
      <c r="AC377" s="245"/>
      <c r="AD377" s="245"/>
    </row>
    <row r="378" spans="1:30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  <c r="AA378" s="245"/>
      <c r="AB378" s="245"/>
      <c r="AC378" s="245"/>
      <c r="AD378" s="245"/>
    </row>
    <row r="379" spans="1:30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  <c r="AA379" s="245"/>
      <c r="AB379" s="245"/>
      <c r="AC379" s="245"/>
      <c r="AD379" s="245"/>
    </row>
    <row r="380" spans="1:30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  <c r="AA380" s="245"/>
      <c r="AB380" s="245"/>
      <c r="AC380" s="245"/>
      <c r="AD380" s="245"/>
    </row>
    <row r="381" spans="1:30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  <c r="AA381" s="245"/>
      <c r="AB381" s="245"/>
      <c r="AC381" s="245"/>
      <c r="AD381" s="245"/>
    </row>
    <row r="382" spans="1:30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  <c r="AA382" s="245"/>
      <c r="AB382" s="245"/>
      <c r="AC382" s="245"/>
      <c r="AD382" s="245"/>
    </row>
    <row r="383" spans="1:30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  <c r="AA383" s="245"/>
      <c r="AB383" s="245"/>
      <c r="AC383" s="245"/>
      <c r="AD383" s="245"/>
    </row>
    <row r="384" spans="1:30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  <c r="AA384" s="245"/>
      <c r="AB384" s="245"/>
      <c r="AC384" s="245"/>
      <c r="AD384" s="245"/>
    </row>
    <row r="385" spans="1:30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  <c r="AA385" s="245"/>
      <c r="AB385" s="245"/>
      <c r="AC385" s="245"/>
      <c r="AD385" s="245"/>
    </row>
    <row r="386" spans="1:30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  <c r="AA386" s="245"/>
      <c r="AB386" s="245"/>
      <c r="AC386" s="245"/>
      <c r="AD386" s="245"/>
    </row>
    <row r="387" spans="1:30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  <c r="AA387" s="245"/>
      <c r="AB387" s="245"/>
      <c r="AC387" s="245"/>
      <c r="AD387" s="245"/>
    </row>
    <row r="388" spans="1:30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  <c r="AA388" s="245"/>
      <c r="AB388" s="245"/>
      <c r="AC388" s="245"/>
      <c r="AD388" s="245"/>
    </row>
    <row r="389" spans="1:30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  <c r="AA389" s="245"/>
      <c r="AB389" s="245"/>
      <c r="AC389" s="245"/>
      <c r="AD389" s="245"/>
    </row>
    <row r="390" spans="1:30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  <c r="AA390" s="245"/>
      <c r="AB390" s="245"/>
      <c r="AC390" s="245"/>
      <c r="AD390" s="245"/>
    </row>
    <row r="391" spans="1:30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  <c r="AA391" s="245"/>
      <c r="AB391" s="245"/>
      <c r="AC391" s="245"/>
      <c r="AD391" s="245"/>
    </row>
    <row r="392" spans="1:30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  <c r="AA392" s="245"/>
      <c r="AB392" s="245"/>
      <c r="AC392" s="245"/>
      <c r="AD392" s="245"/>
    </row>
    <row r="393" spans="1:30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  <c r="AA393" s="245"/>
      <c r="AB393" s="245"/>
      <c r="AC393" s="245"/>
      <c r="AD393" s="245"/>
    </row>
    <row r="394" spans="1:30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  <c r="AA394" s="245"/>
      <c r="AB394" s="245"/>
      <c r="AC394" s="245"/>
      <c r="AD394" s="245"/>
    </row>
    <row r="395" spans="1:30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  <c r="AA395" s="245"/>
      <c r="AB395" s="245"/>
      <c r="AC395" s="245"/>
      <c r="AD395" s="245"/>
    </row>
    <row r="396" spans="1:30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  <c r="AA396" s="245"/>
      <c r="AB396" s="245"/>
      <c r="AC396" s="245"/>
      <c r="AD396" s="245"/>
    </row>
    <row r="397" spans="1:30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  <c r="AA397" s="245"/>
      <c r="AB397" s="245"/>
      <c r="AC397" s="245"/>
      <c r="AD397" s="245"/>
    </row>
    <row r="398" spans="1:30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  <c r="AA398" s="245"/>
      <c r="AB398" s="245"/>
      <c r="AC398" s="245"/>
      <c r="AD398" s="245"/>
    </row>
    <row r="399" spans="1:30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  <c r="AA399" s="245"/>
      <c r="AB399" s="245"/>
      <c r="AC399" s="245"/>
      <c r="AD399" s="245"/>
    </row>
    <row r="400" spans="1:30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  <c r="AA400" s="245"/>
      <c r="AB400" s="245"/>
      <c r="AC400" s="245"/>
      <c r="AD400" s="245"/>
    </row>
    <row r="401" spans="1:30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  <c r="AA401" s="245"/>
      <c r="AB401" s="245"/>
      <c r="AC401" s="245"/>
      <c r="AD401" s="245"/>
    </row>
    <row r="402" spans="1:30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  <c r="AA402" s="245"/>
      <c r="AB402" s="245"/>
      <c r="AC402" s="245"/>
      <c r="AD402" s="245"/>
    </row>
    <row r="403" spans="1:30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  <c r="AA403" s="245"/>
      <c r="AB403" s="245"/>
      <c r="AC403" s="245"/>
      <c r="AD403" s="245"/>
    </row>
    <row r="404" spans="1:30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  <c r="AA404" s="245"/>
      <c r="AB404" s="245"/>
      <c r="AC404" s="245"/>
      <c r="AD404" s="245"/>
    </row>
    <row r="405" spans="1:30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  <c r="AA405" s="245"/>
      <c r="AB405" s="245"/>
      <c r="AC405" s="245"/>
      <c r="AD405" s="245"/>
    </row>
    <row r="406" spans="1:30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  <c r="AA406" s="245"/>
      <c r="AB406" s="245"/>
      <c r="AC406" s="245"/>
      <c r="AD406" s="245"/>
    </row>
    <row r="407" spans="1:30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  <c r="AA407" s="245"/>
      <c r="AB407" s="245"/>
      <c r="AC407" s="245"/>
      <c r="AD407" s="245"/>
    </row>
    <row r="408" spans="1:30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  <c r="AA408" s="245"/>
      <c r="AB408" s="245"/>
      <c r="AC408" s="245"/>
      <c r="AD408" s="245"/>
    </row>
    <row r="409" spans="1:30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  <c r="AA409" s="245"/>
      <c r="AB409" s="245"/>
      <c r="AC409" s="245"/>
      <c r="AD409" s="245"/>
    </row>
    <row r="410" spans="1:30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</row>
    <row r="411" spans="1:30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  <c r="AA411" s="245"/>
      <c r="AB411" s="245"/>
      <c r="AC411" s="245"/>
      <c r="AD411" s="245"/>
    </row>
    <row r="412" spans="1:30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  <c r="AA412" s="245"/>
      <c r="AB412" s="245"/>
      <c r="AC412" s="245"/>
      <c r="AD412" s="245"/>
    </row>
    <row r="413" spans="1:30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  <c r="AA413" s="245"/>
      <c r="AB413" s="245"/>
      <c r="AC413" s="245"/>
      <c r="AD413" s="245"/>
    </row>
    <row r="414" spans="1:30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  <c r="AA414" s="245"/>
      <c r="AB414" s="245"/>
      <c r="AC414" s="245"/>
      <c r="AD414" s="245"/>
    </row>
    <row r="415" spans="1:30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  <c r="AA415" s="245"/>
      <c r="AB415" s="245"/>
      <c r="AC415" s="245"/>
      <c r="AD415" s="245"/>
    </row>
    <row r="416" spans="1:30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  <c r="AA416" s="245"/>
      <c r="AB416" s="245"/>
      <c r="AC416" s="245"/>
      <c r="AD416" s="245"/>
    </row>
    <row r="417" spans="1:30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  <c r="AA417" s="245"/>
      <c r="AB417" s="245"/>
      <c r="AC417" s="245"/>
      <c r="AD417" s="245"/>
    </row>
    <row r="418" spans="1:30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  <c r="AA418" s="245"/>
      <c r="AB418" s="245"/>
      <c r="AC418" s="245"/>
      <c r="AD418" s="245"/>
    </row>
    <row r="419" spans="1:30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  <c r="AA419" s="245"/>
      <c r="AB419" s="245"/>
      <c r="AC419" s="245"/>
      <c r="AD419" s="245"/>
    </row>
    <row r="420" spans="1:30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  <c r="AA420" s="245"/>
      <c r="AB420" s="245"/>
      <c r="AC420" s="245"/>
      <c r="AD420" s="245"/>
    </row>
    <row r="421" spans="1:30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  <c r="AA421" s="245"/>
      <c r="AB421" s="245"/>
      <c r="AC421" s="245"/>
      <c r="AD421" s="245"/>
    </row>
    <row r="422" spans="1:30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  <c r="AA422" s="245"/>
      <c r="AB422" s="245"/>
      <c r="AC422" s="245"/>
      <c r="AD422" s="245"/>
    </row>
    <row r="423" spans="1:30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  <c r="AA423" s="245"/>
      <c r="AB423" s="245"/>
      <c r="AC423" s="245"/>
      <c r="AD423" s="245"/>
    </row>
    <row r="424" spans="1:30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  <c r="AA424" s="245"/>
      <c r="AB424" s="245"/>
      <c r="AC424" s="245"/>
      <c r="AD424" s="245"/>
    </row>
    <row r="425" spans="1:30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  <c r="AA425" s="245"/>
      <c r="AB425" s="245"/>
      <c r="AC425" s="245"/>
      <c r="AD425" s="245"/>
    </row>
    <row r="426" spans="1:30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  <c r="AA426" s="245"/>
      <c r="AB426" s="245"/>
      <c r="AC426" s="245"/>
      <c r="AD426" s="245"/>
    </row>
    <row r="427" spans="1:30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  <c r="AA427" s="245"/>
      <c r="AB427" s="245"/>
      <c r="AC427" s="245"/>
      <c r="AD427" s="245"/>
    </row>
    <row r="428" spans="1:30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  <c r="AA428" s="245"/>
      <c r="AB428" s="245"/>
      <c r="AC428" s="245"/>
      <c r="AD428" s="245"/>
    </row>
    <row r="429" spans="1:30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  <c r="AA429" s="245"/>
      <c r="AB429" s="245"/>
      <c r="AC429" s="245"/>
      <c r="AD429" s="245"/>
    </row>
    <row r="430" spans="1:30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  <c r="AA430" s="245"/>
      <c r="AB430" s="245"/>
      <c r="AC430" s="245"/>
      <c r="AD430" s="245"/>
    </row>
    <row r="431" spans="1:30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  <c r="AA431" s="245"/>
      <c r="AB431" s="245"/>
      <c r="AC431" s="245"/>
      <c r="AD431" s="245"/>
    </row>
    <row r="432" spans="1:30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  <c r="AA432" s="245"/>
      <c r="AB432" s="245"/>
      <c r="AC432" s="245"/>
      <c r="AD432" s="245"/>
    </row>
    <row r="433" spans="1:30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  <c r="AA433" s="245"/>
      <c r="AB433" s="245"/>
      <c r="AC433" s="245"/>
      <c r="AD433" s="245"/>
    </row>
    <row r="434" spans="1:30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  <c r="AA434" s="245"/>
      <c r="AB434" s="245"/>
      <c r="AC434" s="245"/>
      <c r="AD434" s="245"/>
    </row>
    <row r="435" spans="1:30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  <c r="AA435" s="245"/>
      <c r="AB435" s="245"/>
      <c r="AC435" s="245"/>
      <c r="AD435" s="245"/>
    </row>
    <row r="436" spans="1:30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  <c r="AA436" s="245"/>
      <c r="AB436" s="245"/>
      <c r="AC436" s="245"/>
      <c r="AD436" s="245"/>
    </row>
    <row r="437" spans="1:30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  <c r="AA437" s="245"/>
      <c r="AB437" s="245"/>
      <c r="AC437" s="245"/>
      <c r="AD437" s="245"/>
    </row>
    <row r="438" spans="1:30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  <c r="AA438" s="245"/>
      <c r="AB438" s="245"/>
      <c r="AC438" s="245"/>
      <c r="AD438" s="245"/>
    </row>
    <row r="439" spans="1:30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  <c r="AA439" s="245"/>
      <c r="AB439" s="245"/>
      <c r="AC439" s="245"/>
      <c r="AD439" s="245"/>
    </row>
    <row r="440" spans="1:30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  <c r="AA440" s="245"/>
      <c r="AB440" s="245"/>
      <c r="AC440" s="245"/>
      <c r="AD440" s="245"/>
    </row>
    <row r="441" spans="1:30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  <c r="AA441" s="245"/>
      <c r="AB441" s="245"/>
      <c r="AC441" s="245"/>
      <c r="AD441" s="245"/>
    </row>
    <row r="442" spans="1:30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  <c r="AA442" s="245"/>
      <c r="AB442" s="245"/>
      <c r="AC442" s="245"/>
      <c r="AD442" s="245"/>
    </row>
    <row r="443" spans="1:30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  <c r="AA443" s="245"/>
      <c r="AB443" s="245"/>
      <c r="AC443" s="245"/>
      <c r="AD443" s="245"/>
    </row>
    <row r="444" spans="1:30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  <c r="AA444" s="245"/>
      <c r="AB444" s="245"/>
      <c r="AC444" s="245"/>
      <c r="AD444" s="245"/>
    </row>
    <row r="445" spans="1:30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  <c r="AA445" s="245"/>
      <c r="AB445" s="245"/>
      <c r="AC445" s="245"/>
      <c r="AD445" s="245"/>
    </row>
    <row r="446" spans="1:30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  <c r="AA446" s="245"/>
      <c r="AB446" s="245"/>
      <c r="AC446" s="245"/>
      <c r="AD446" s="245"/>
    </row>
    <row r="447" spans="1:30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  <c r="AA447" s="245"/>
      <c r="AB447" s="245"/>
      <c r="AC447" s="245"/>
      <c r="AD447" s="245"/>
    </row>
    <row r="448" spans="1:30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  <c r="AA448" s="245"/>
      <c r="AB448" s="245"/>
      <c r="AC448" s="245"/>
      <c r="AD448" s="245"/>
    </row>
    <row r="449" spans="1:30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  <c r="AA449" s="245"/>
      <c r="AB449" s="245"/>
      <c r="AC449" s="245"/>
      <c r="AD449" s="245"/>
    </row>
    <row r="450" spans="1:30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  <c r="AA450" s="245"/>
      <c r="AB450" s="245"/>
      <c r="AC450" s="245"/>
      <c r="AD450" s="245"/>
    </row>
    <row r="451" spans="1:30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  <c r="AA451" s="245"/>
      <c r="AB451" s="245"/>
      <c r="AC451" s="245"/>
      <c r="AD451" s="245"/>
    </row>
    <row r="452" spans="1:30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  <c r="AA452" s="245"/>
      <c r="AB452" s="245"/>
      <c r="AC452" s="245"/>
      <c r="AD452" s="245"/>
    </row>
    <row r="453" spans="1:30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  <c r="AA453" s="245"/>
      <c r="AB453" s="245"/>
      <c r="AC453" s="245"/>
      <c r="AD453" s="245"/>
    </row>
    <row r="454" spans="1:30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  <c r="AA454" s="245"/>
      <c r="AB454" s="245"/>
      <c r="AC454" s="245"/>
      <c r="AD454" s="245"/>
    </row>
    <row r="455" spans="1:30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  <c r="AA455" s="245"/>
      <c r="AB455" s="245"/>
      <c r="AC455" s="245"/>
      <c r="AD455" s="245"/>
    </row>
    <row r="456" spans="1:30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  <c r="AA456" s="245"/>
      <c r="AB456" s="245"/>
      <c r="AC456" s="245"/>
      <c r="AD456" s="245"/>
    </row>
    <row r="457" spans="1:30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  <c r="AA457" s="245"/>
      <c r="AB457" s="245"/>
      <c r="AC457" s="245"/>
      <c r="AD457" s="245"/>
    </row>
    <row r="458" spans="1:30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  <c r="AA458" s="245"/>
      <c r="AB458" s="245"/>
      <c r="AC458" s="245"/>
      <c r="AD458" s="245"/>
    </row>
    <row r="459" spans="1:30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  <c r="AA459" s="245"/>
      <c r="AB459" s="245"/>
      <c r="AC459" s="245"/>
      <c r="AD459" s="245"/>
    </row>
    <row r="460" spans="1:30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  <c r="AA460" s="245"/>
      <c r="AB460" s="245"/>
      <c r="AC460" s="245"/>
      <c r="AD460" s="245"/>
    </row>
    <row r="461" spans="1:30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  <c r="AA461" s="245"/>
      <c r="AB461" s="245"/>
      <c r="AC461" s="245"/>
      <c r="AD461" s="245"/>
    </row>
    <row r="462" spans="1:30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  <c r="AA462" s="245"/>
      <c r="AB462" s="245"/>
      <c r="AC462" s="245"/>
      <c r="AD462" s="245"/>
    </row>
    <row r="463" spans="1:30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  <c r="AD463" s="245"/>
    </row>
    <row r="464" spans="1:30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  <c r="AA464" s="245"/>
      <c r="AB464" s="245"/>
      <c r="AC464" s="245"/>
      <c r="AD464" s="245"/>
    </row>
    <row r="465" spans="1:30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  <c r="AA465" s="245"/>
      <c r="AB465" s="245"/>
      <c r="AC465" s="245"/>
      <c r="AD465" s="245"/>
    </row>
    <row r="466" spans="1:30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  <c r="AA466" s="245"/>
      <c r="AB466" s="245"/>
      <c r="AC466" s="245"/>
      <c r="AD466" s="245"/>
    </row>
    <row r="467" spans="1:30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  <c r="AA467" s="245"/>
      <c r="AB467" s="245"/>
      <c r="AC467" s="245"/>
      <c r="AD467" s="245"/>
    </row>
    <row r="468" spans="1:30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  <c r="AA468" s="245"/>
      <c r="AB468" s="245"/>
      <c r="AC468" s="245"/>
      <c r="AD468" s="245"/>
    </row>
    <row r="469" spans="1:30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  <c r="AA469" s="245"/>
      <c r="AB469" s="245"/>
      <c r="AC469" s="245"/>
      <c r="AD469" s="245"/>
    </row>
    <row r="470" spans="1:30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  <c r="AA470" s="245"/>
      <c r="AB470" s="245"/>
      <c r="AC470" s="245"/>
      <c r="AD470" s="245"/>
    </row>
    <row r="471" spans="1:30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  <c r="AA471" s="245"/>
      <c r="AB471" s="245"/>
      <c r="AC471" s="245"/>
      <c r="AD471" s="245"/>
    </row>
    <row r="472" spans="1:30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  <c r="AA472" s="245"/>
      <c r="AB472" s="245"/>
      <c r="AC472" s="245"/>
      <c r="AD472" s="245"/>
    </row>
    <row r="473" spans="1:30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  <c r="AA473" s="245"/>
      <c r="AB473" s="245"/>
      <c r="AC473" s="245"/>
      <c r="AD473" s="245"/>
    </row>
    <row r="474" spans="1:30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  <c r="AA474" s="245"/>
      <c r="AB474" s="245"/>
      <c r="AC474" s="245"/>
      <c r="AD474" s="245"/>
    </row>
    <row r="475" spans="1:30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  <c r="AA475" s="245"/>
      <c r="AB475" s="245"/>
      <c r="AC475" s="245"/>
      <c r="AD475" s="245"/>
    </row>
    <row r="476" spans="1:30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  <c r="AA476" s="245"/>
      <c r="AB476" s="245"/>
      <c r="AC476" s="245"/>
      <c r="AD476" s="245"/>
    </row>
    <row r="477" spans="1:30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  <c r="AA477" s="245"/>
      <c r="AB477" s="245"/>
      <c r="AC477" s="245"/>
      <c r="AD477" s="245"/>
    </row>
    <row r="478" spans="1:30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  <c r="AA478" s="245"/>
      <c r="AB478" s="245"/>
      <c r="AC478" s="245"/>
      <c r="AD478" s="245"/>
    </row>
    <row r="479" spans="1:30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  <c r="AA479" s="245"/>
      <c r="AB479" s="245"/>
      <c r="AC479" s="245"/>
      <c r="AD479" s="245"/>
    </row>
    <row r="480" spans="1:30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  <c r="AA480" s="245"/>
      <c r="AB480" s="245"/>
      <c r="AC480" s="245"/>
      <c r="AD480" s="245"/>
    </row>
    <row r="481" spans="1:30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  <c r="AA481" s="245"/>
      <c r="AB481" s="245"/>
      <c r="AC481" s="245"/>
      <c r="AD481" s="245"/>
    </row>
    <row r="482" spans="1:30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  <c r="AA482" s="245"/>
      <c r="AB482" s="245"/>
      <c r="AC482" s="245"/>
      <c r="AD482" s="245"/>
    </row>
    <row r="483" spans="1:30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  <c r="AA483" s="245"/>
      <c r="AB483" s="245"/>
      <c r="AC483" s="245"/>
      <c r="AD483" s="245"/>
    </row>
    <row r="484" spans="1:30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  <c r="AA484" s="245"/>
      <c r="AB484" s="245"/>
      <c r="AC484" s="245"/>
      <c r="AD484" s="245"/>
    </row>
    <row r="485" spans="1:30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  <c r="AA485" s="245"/>
      <c r="AB485" s="245"/>
      <c r="AC485" s="245"/>
      <c r="AD485" s="245"/>
    </row>
    <row r="486" spans="1:30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  <c r="AA486" s="245"/>
      <c r="AB486" s="245"/>
      <c r="AC486" s="245"/>
      <c r="AD486" s="245"/>
    </row>
    <row r="487" spans="1:30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  <c r="AA487" s="245"/>
      <c r="AB487" s="245"/>
      <c r="AC487" s="245"/>
      <c r="AD487" s="245"/>
    </row>
    <row r="488" spans="1:30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  <c r="AA488" s="245"/>
      <c r="AB488" s="245"/>
      <c r="AC488" s="245"/>
      <c r="AD488" s="245"/>
    </row>
    <row r="489" spans="1:30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  <c r="AA489" s="245"/>
      <c r="AB489" s="245"/>
      <c r="AC489" s="245"/>
      <c r="AD489" s="245"/>
    </row>
    <row r="490" spans="1:30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  <c r="AA490" s="245"/>
      <c r="AB490" s="245"/>
      <c r="AC490" s="245"/>
      <c r="AD490" s="245"/>
    </row>
    <row r="491" spans="1:30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  <c r="AA491" s="245"/>
      <c r="AB491" s="245"/>
      <c r="AC491" s="245"/>
      <c r="AD491" s="245"/>
    </row>
    <row r="492" spans="1:30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  <c r="AA492" s="245"/>
      <c r="AB492" s="245"/>
      <c r="AC492" s="245"/>
      <c r="AD492" s="245"/>
    </row>
    <row r="493" spans="1:30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  <c r="AA493" s="245"/>
      <c r="AB493" s="245"/>
      <c r="AC493" s="245"/>
      <c r="AD493" s="245"/>
    </row>
    <row r="494" spans="1:30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  <c r="AA494" s="245"/>
      <c r="AB494" s="245"/>
      <c r="AC494" s="245"/>
      <c r="AD494" s="245"/>
    </row>
    <row r="495" spans="1:30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  <c r="AA495" s="245"/>
      <c r="AB495" s="245"/>
      <c r="AC495" s="245"/>
      <c r="AD495" s="245"/>
    </row>
    <row r="496" spans="1:30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  <c r="AA496" s="245"/>
      <c r="AB496" s="245"/>
      <c r="AC496" s="245"/>
      <c r="AD496" s="245"/>
    </row>
    <row r="497" spans="1:30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  <c r="AA497" s="245"/>
      <c r="AB497" s="245"/>
      <c r="AC497" s="245"/>
      <c r="AD497" s="245"/>
    </row>
    <row r="498" spans="1:30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  <c r="AA498" s="245"/>
      <c r="AB498" s="245"/>
      <c r="AC498" s="245"/>
      <c r="AD498" s="245"/>
    </row>
    <row r="499" spans="1:30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  <c r="AA499" s="245"/>
      <c r="AB499" s="245"/>
      <c r="AC499" s="245"/>
      <c r="AD499" s="245"/>
    </row>
    <row r="500" spans="1:30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  <c r="AA500" s="245"/>
      <c r="AB500" s="245"/>
      <c r="AC500" s="245"/>
      <c r="AD500" s="245"/>
    </row>
    <row r="501" spans="1:30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  <c r="AA501" s="245"/>
      <c r="AB501" s="245"/>
      <c r="AC501" s="245"/>
      <c r="AD501" s="245"/>
    </row>
    <row r="502" spans="1:30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  <c r="AA502" s="245"/>
      <c r="AB502" s="245"/>
      <c r="AC502" s="245"/>
      <c r="AD502" s="245"/>
    </row>
    <row r="503" spans="1:30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  <c r="AA503" s="245"/>
      <c r="AB503" s="245"/>
      <c r="AC503" s="245"/>
      <c r="AD503" s="245"/>
    </row>
    <row r="504" spans="1:30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  <c r="AA504" s="245"/>
      <c r="AB504" s="245"/>
      <c r="AC504" s="245"/>
      <c r="AD504" s="245"/>
    </row>
    <row r="505" spans="1:30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  <c r="AA505" s="245"/>
      <c r="AB505" s="245"/>
      <c r="AC505" s="245"/>
      <c r="AD505" s="245"/>
    </row>
    <row r="506" spans="1:30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  <c r="AA506" s="245"/>
      <c r="AB506" s="245"/>
      <c r="AC506" s="245"/>
      <c r="AD506" s="245"/>
    </row>
    <row r="507" spans="1:30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  <c r="AA507" s="245"/>
      <c r="AB507" s="245"/>
      <c r="AC507" s="245"/>
      <c r="AD507" s="245"/>
    </row>
    <row r="508" spans="1:30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  <c r="AA508" s="245"/>
      <c r="AB508" s="245"/>
      <c r="AC508" s="245"/>
      <c r="AD508" s="245"/>
    </row>
    <row r="509" spans="1:30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  <c r="AA509" s="245"/>
      <c r="AB509" s="245"/>
      <c r="AC509" s="245"/>
      <c r="AD509" s="245"/>
    </row>
    <row r="510" spans="1:30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  <c r="AA510" s="245"/>
      <c r="AB510" s="245"/>
      <c r="AC510" s="245"/>
      <c r="AD510" s="245"/>
    </row>
    <row r="511" spans="1:30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</row>
    <row r="512" spans="1:30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  <c r="AA512" s="245"/>
      <c r="AB512" s="245"/>
      <c r="AC512" s="245"/>
      <c r="AD512" s="245"/>
    </row>
    <row r="513" spans="1:30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  <c r="AA513" s="245"/>
      <c r="AB513" s="245"/>
      <c r="AC513" s="245"/>
      <c r="AD513" s="245"/>
    </row>
    <row r="514" spans="1:30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  <c r="AA514" s="245"/>
      <c r="AB514" s="245"/>
      <c r="AC514" s="245"/>
      <c r="AD514" s="245"/>
    </row>
    <row r="515" spans="1:30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  <c r="AA515" s="245"/>
      <c r="AB515" s="245"/>
      <c r="AC515" s="245"/>
      <c r="AD515" s="245"/>
    </row>
    <row r="516" spans="1:30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  <c r="AA516" s="245"/>
      <c r="AB516" s="245"/>
      <c r="AC516" s="245"/>
      <c r="AD516" s="245"/>
    </row>
    <row r="517" spans="1:30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  <c r="AA517" s="245"/>
      <c r="AB517" s="245"/>
      <c r="AC517" s="245"/>
      <c r="AD517" s="245"/>
    </row>
    <row r="518" spans="1:30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  <c r="AA518" s="245"/>
      <c r="AB518" s="245"/>
      <c r="AC518" s="245"/>
      <c r="AD518" s="245"/>
    </row>
    <row r="519" spans="1:30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  <c r="AA519" s="245"/>
      <c r="AB519" s="245"/>
      <c r="AC519" s="245"/>
      <c r="AD519" s="245"/>
    </row>
    <row r="520" spans="1:30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  <c r="AA520" s="245"/>
      <c r="AB520" s="245"/>
      <c r="AC520" s="245"/>
      <c r="AD520" s="245"/>
    </row>
    <row r="521" spans="1:30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  <c r="AA521" s="245"/>
      <c r="AB521" s="245"/>
      <c r="AC521" s="245"/>
      <c r="AD521" s="245"/>
    </row>
    <row r="522" spans="1:30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  <c r="AA522" s="245"/>
      <c r="AB522" s="245"/>
      <c r="AC522" s="245"/>
      <c r="AD522" s="245"/>
    </row>
    <row r="523" spans="1:30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  <c r="AA523" s="245"/>
      <c r="AB523" s="245"/>
      <c r="AC523" s="245"/>
      <c r="AD523" s="245"/>
    </row>
    <row r="524" spans="1:30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  <c r="AA524" s="245"/>
      <c r="AB524" s="245"/>
      <c r="AC524" s="245"/>
      <c r="AD524" s="245"/>
    </row>
    <row r="525" spans="1:30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  <c r="AA525" s="245"/>
      <c r="AB525" s="245"/>
      <c r="AC525" s="245"/>
      <c r="AD525" s="245"/>
    </row>
    <row r="526" spans="1:30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  <c r="AA526" s="245"/>
      <c r="AB526" s="245"/>
      <c r="AC526" s="245"/>
      <c r="AD526" s="245"/>
    </row>
    <row r="527" spans="1:30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  <c r="AA527" s="245"/>
      <c r="AB527" s="245"/>
      <c r="AC527" s="245"/>
      <c r="AD527" s="245"/>
    </row>
    <row r="528" spans="1:30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  <c r="AA528" s="245"/>
      <c r="AB528" s="245"/>
      <c r="AC528" s="245"/>
      <c r="AD528" s="245"/>
    </row>
    <row r="529" spans="1:30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  <c r="AA529" s="245"/>
      <c r="AB529" s="245"/>
      <c r="AC529" s="245"/>
      <c r="AD529" s="245"/>
    </row>
    <row r="530" spans="1:30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  <c r="AA530" s="245"/>
      <c r="AB530" s="245"/>
      <c r="AC530" s="245"/>
      <c r="AD530" s="245"/>
    </row>
    <row r="531" spans="1:30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  <c r="AA531" s="245"/>
      <c r="AB531" s="245"/>
      <c r="AC531" s="245"/>
      <c r="AD531" s="245"/>
    </row>
    <row r="532" spans="1:30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  <c r="AA532" s="245"/>
      <c r="AB532" s="245"/>
      <c r="AC532" s="245"/>
      <c r="AD532" s="245"/>
    </row>
    <row r="533" spans="1:30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  <c r="AA533" s="245"/>
      <c r="AB533" s="245"/>
      <c r="AC533" s="245"/>
      <c r="AD533" s="245"/>
    </row>
    <row r="534" spans="1:30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  <c r="AA534" s="245"/>
      <c r="AB534" s="245"/>
      <c r="AC534" s="245"/>
      <c r="AD534" s="245"/>
    </row>
    <row r="535" spans="1:30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  <c r="AA535" s="245"/>
      <c r="AB535" s="245"/>
      <c r="AC535" s="245"/>
      <c r="AD535" s="245"/>
    </row>
    <row r="536" spans="1:30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  <c r="AA536" s="245"/>
      <c r="AB536" s="245"/>
      <c r="AC536" s="245"/>
      <c r="AD536" s="245"/>
    </row>
    <row r="537" spans="1:30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  <c r="AA537" s="245"/>
      <c r="AB537" s="245"/>
      <c r="AC537" s="245"/>
      <c r="AD537" s="245"/>
    </row>
    <row r="538" spans="1:30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  <c r="AA538" s="245"/>
      <c r="AB538" s="245"/>
      <c r="AC538" s="245"/>
      <c r="AD538" s="245"/>
    </row>
    <row r="539" spans="1:30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  <c r="AA539" s="245"/>
      <c r="AB539" s="245"/>
      <c r="AC539" s="245"/>
      <c r="AD539" s="245"/>
    </row>
    <row r="540" spans="1:30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  <c r="AA540" s="245"/>
      <c r="AB540" s="245"/>
      <c r="AC540" s="245"/>
      <c r="AD540" s="245"/>
    </row>
    <row r="541" spans="1:30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  <c r="AA541" s="245"/>
      <c r="AB541" s="245"/>
      <c r="AC541" s="245"/>
      <c r="AD541" s="245"/>
    </row>
    <row r="542" spans="1:30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  <c r="AA542" s="245"/>
      <c r="AB542" s="245"/>
      <c r="AC542" s="245"/>
      <c r="AD542" s="245"/>
    </row>
    <row r="543" spans="1:30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  <c r="AA543" s="245"/>
      <c r="AB543" s="245"/>
      <c r="AC543" s="245"/>
      <c r="AD543" s="245"/>
    </row>
    <row r="544" spans="1:30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  <c r="AA544" s="245"/>
      <c r="AB544" s="245"/>
      <c r="AC544" s="245"/>
      <c r="AD544" s="245"/>
    </row>
    <row r="545" spans="1:30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  <c r="AA545" s="245"/>
      <c r="AB545" s="245"/>
      <c r="AC545" s="245"/>
      <c r="AD545" s="245"/>
    </row>
    <row r="546" spans="1:30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  <c r="AA546" s="245"/>
      <c r="AB546" s="245"/>
      <c r="AC546" s="245"/>
      <c r="AD546" s="245"/>
    </row>
    <row r="547" spans="1:30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  <c r="AA547" s="245"/>
      <c r="AB547" s="245"/>
      <c r="AC547" s="245"/>
      <c r="AD547" s="245"/>
    </row>
    <row r="548" spans="1:30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  <c r="AA548" s="245"/>
      <c r="AB548" s="245"/>
      <c r="AC548" s="245"/>
      <c r="AD548" s="245"/>
    </row>
    <row r="549" spans="1:30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  <c r="AA549" s="245"/>
      <c r="AB549" s="245"/>
      <c r="AC549" s="245"/>
      <c r="AD549" s="245"/>
    </row>
    <row r="550" spans="1:30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  <c r="AA550" s="245"/>
      <c r="AB550" s="245"/>
      <c r="AC550" s="245"/>
      <c r="AD550" s="245"/>
    </row>
    <row r="551" spans="1:30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  <c r="AA551" s="245"/>
      <c r="AB551" s="245"/>
      <c r="AC551" s="245"/>
      <c r="AD551" s="245"/>
    </row>
    <row r="552" spans="1:30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  <c r="AA552" s="245"/>
      <c r="AB552" s="245"/>
      <c r="AC552" s="245"/>
      <c r="AD552" s="245"/>
    </row>
    <row r="553" spans="1:30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  <c r="AA553" s="245"/>
      <c r="AB553" s="245"/>
      <c r="AC553" s="245"/>
      <c r="AD553" s="245"/>
    </row>
    <row r="554" spans="1:30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  <c r="AA554" s="245"/>
      <c r="AB554" s="245"/>
      <c r="AC554" s="245"/>
      <c r="AD554" s="245"/>
    </row>
    <row r="555" spans="1:30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  <c r="AA555" s="245"/>
      <c r="AB555" s="245"/>
      <c r="AC555" s="245"/>
      <c r="AD555" s="245"/>
    </row>
    <row r="556" spans="1:30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  <c r="AA556" s="245"/>
      <c r="AB556" s="245"/>
      <c r="AC556" s="245"/>
      <c r="AD556" s="245"/>
    </row>
    <row r="557" spans="1:30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  <c r="AA557" s="245"/>
      <c r="AB557" s="245"/>
      <c r="AC557" s="245"/>
      <c r="AD557" s="245"/>
    </row>
    <row r="558" spans="1:30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  <c r="AA558" s="245"/>
      <c r="AB558" s="245"/>
      <c r="AC558" s="245"/>
      <c r="AD558" s="245"/>
    </row>
    <row r="559" spans="1:30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  <c r="AA559" s="245"/>
      <c r="AB559" s="245"/>
      <c r="AC559" s="245"/>
      <c r="AD559" s="245"/>
    </row>
    <row r="560" spans="1:30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  <c r="AA560" s="245"/>
      <c r="AB560" s="245"/>
      <c r="AC560" s="245"/>
      <c r="AD560" s="245"/>
    </row>
    <row r="561" spans="1:30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  <c r="AA561" s="245"/>
      <c r="AB561" s="245"/>
      <c r="AC561" s="245"/>
      <c r="AD561" s="245"/>
    </row>
    <row r="562" spans="1:30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  <c r="AA562" s="245"/>
      <c r="AB562" s="245"/>
      <c r="AC562" s="245"/>
      <c r="AD562" s="245"/>
    </row>
    <row r="563" spans="1:30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</row>
    <row r="564" spans="1:30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  <c r="AA564" s="245"/>
      <c r="AB564" s="245"/>
      <c r="AC564" s="245"/>
      <c r="AD564" s="245"/>
    </row>
    <row r="565" spans="1:30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  <c r="AA565" s="245"/>
      <c r="AB565" s="245"/>
      <c r="AC565" s="245"/>
      <c r="AD565" s="245"/>
    </row>
    <row r="566" spans="1:30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  <c r="AA566" s="245"/>
      <c r="AB566" s="245"/>
      <c r="AC566" s="245"/>
      <c r="AD566" s="245"/>
    </row>
    <row r="567" spans="1:30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  <c r="AA567" s="245"/>
      <c r="AB567" s="245"/>
      <c r="AC567" s="245"/>
      <c r="AD567" s="245"/>
    </row>
    <row r="568" spans="1:30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  <c r="AA568" s="245"/>
      <c r="AB568" s="245"/>
      <c r="AC568" s="245"/>
      <c r="AD568" s="245"/>
    </row>
    <row r="569" spans="1:30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  <c r="AA569" s="245"/>
      <c r="AB569" s="245"/>
      <c r="AC569" s="245"/>
      <c r="AD569" s="245"/>
    </row>
    <row r="570" spans="1:30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  <c r="AA570" s="245"/>
      <c r="AB570" s="245"/>
      <c r="AC570" s="245"/>
      <c r="AD570" s="245"/>
    </row>
    <row r="571" spans="1:30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  <c r="AA571" s="245"/>
      <c r="AB571" s="245"/>
      <c r="AC571" s="245"/>
      <c r="AD571" s="245"/>
    </row>
    <row r="572" spans="1:30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  <c r="AA572" s="245"/>
      <c r="AB572" s="245"/>
      <c r="AC572" s="245"/>
      <c r="AD572" s="245"/>
    </row>
    <row r="573" spans="1:30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  <c r="AA573" s="245"/>
      <c r="AB573" s="245"/>
      <c r="AC573" s="245"/>
      <c r="AD573" s="245"/>
    </row>
    <row r="574" spans="1:30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  <c r="AA574" s="245"/>
      <c r="AB574" s="245"/>
      <c r="AC574" s="245"/>
      <c r="AD574" s="245"/>
    </row>
    <row r="575" spans="1:30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  <c r="AA575" s="245"/>
      <c r="AB575" s="245"/>
      <c r="AC575" s="245"/>
      <c r="AD575" s="245"/>
    </row>
    <row r="576" spans="1:30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  <c r="AA576" s="245"/>
      <c r="AB576" s="245"/>
      <c r="AC576" s="245"/>
      <c r="AD576" s="245"/>
    </row>
    <row r="577" spans="1:30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  <c r="AA577" s="245"/>
      <c r="AB577" s="245"/>
      <c r="AC577" s="245"/>
      <c r="AD577" s="245"/>
    </row>
    <row r="578" spans="1:30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  <c r="AA578" s="245"/>
      <c r="AB578" s="245"/>
      <c r="AC578" s="245"/>
      <c r="AD578" s="245"/>
    </row>
    <row r="579" spans="1:30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  <c r="AA579" s="245"/>
      <c r="AB579" s="245"/>
      <c r="AC579" s="245"/>
      <c r="AD579" s="245"/>
    </row>
    <row r="580" spans="1:30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  <c r="AA580" s="245"/>
      <c r="AB580" s="245"/>
      <c r="AC580" s="245"/>
      <c r="AD580" s="245"/>
    </row>
    <row r="581" spans="1:30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  <c r="AA581" s="245"/>
      <c r="AB581" s="245"/>
      <c r="AC581" s="245"/>
      <c r="AD581" s="245"/>
    </row>
    <row r="582" spans="1:30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  <c r="AA582" s="245"/>
      <c r="AB582" s="245"/>
      <c r="AC582" s="245"/>
      <c r="AD582" s="245"/>
    </row>
    <row r="583" spans="1:30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  <c r="AA583" s="245"/>
      <c r="AB583" s="245"/>
      <c r="AC583" s="245"/>
      <c r="AD583" s="245"/>
    </row>
    <row r="584" spans="1:30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  <c r="AA584" s="245"/>
      <c r="AB584" s="245"/>
      <c r="AC584" s="245"/>
      <c r="AD584" s="245"/>
    </row>
    <row r="585" spans="1:30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  <c r="AA585" s="245"/>
      <c r="AB585" s="245"/>
      <c r="AC585" s="245"/>
      <c r="AD585" s="245"/>
    </row>
    <row r="586" spans="1:30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  <c r="AA586" s="245"/>
      <c r="AB586" s="245"/>
      <c r="AC586" s="245"/>
      <c r="AD586" s="245"/>
    </row>
    <row r="587" spans="1:30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  <c r="AA587" s="245"/>
      <c r="AB587" s="245"/>
      <c r="AC587" s="245"/>
      <c r="AD587" s="245"/>
    </row>
    <row r="588" spans="1:30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  <c r="AA588" s="245"/>
      <c r="AB588" s="245"/>
      <c r="AC588" s="245"/>
      <c r="AD588" s="245"/>
    </row>
    <row r="589" spans="1:30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  <c r="AA589" s="245"/>
      <c r="AB589" s="245"/>
      <c r="AC589" s="245"/>
      <c r="AD589" s="245"/>
    </row>
    <row r="590" spans="1:30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  <c r="AA590" s="245"/>
      <c r="AB590" s="245"/>
      <c r="AC590" s="245"/>
      <c r="AD590" s="245"/>
    </row>
    <row r="591" spans="1:30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  <c r="AA591" s="245"/>
      <c r="AB591" s="245"/>
      <c r="AC591" s="245"/>
      <c r="AD591" s="245"/>
    </row>
    <row r="592" spans="1:30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  <c r="AA592" s="245"/>
      <c r="AB592" s="245"/>
      <c r="AC592" s="245"/>
      <c r="AD592" s="245"/>
    </row>
    <row r="593" spans="1:30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  <c r="AA593" s="245"/>
      <c r="AB593" s="245"/>
      <c r="AC593" s="245"/>
      <c r="AD593" s="245"/>
    </row>
    <row r="594" spans="1:30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  <c r="AA594" s="245"/>
      <c r="AB594" s="245"/>
      <c r="AC594" s="245"/>
      <c r="AD594" s="245"/>
    </row>
    <row r="595" spans="1:30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  <c r="AA595" s="245"/>
      <c r="AB595" s="245"/>
      <c r="AC595" s="245"/>
      <c r="AD595" s="245"/>
    </row>
    <row r="596" spans="1:30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  <c r="AA596" s="245"/>
      <c r="AB596" s="245"/>
      <c r="AC596" s="245"/>
      <c r="AD596" s="245"/>
    </row>
    <row r="597" spans="1:30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  <c r="AA597" s="245"/>
      <c r="AB597" s="245"/>
      <c r="AC597" s="245"/>
      <c r="AD597" s="245"/>
    </row>
    <row r="598" spans="1:30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  <c r="AA598" s="245"/>
      <c r="AB598" s="245"/>
      <c r="AC598" s="245"/>
      <c r="AD598" s="245"/>
    </row>
    <row r="599" spans="1:30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  <c r="AA599" s="245"/>
      <c r="AB599" s="245"/>
      <c r="AC599" s="245"/>
      <c r="AD599" s="245"/>
    </row>
    <row r="600" spans="1:30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  <c r="AA600" s="245"/>
      <c r="AB600" s="245"/>
      <c r="AC600" s="245"/>
      <c r="AD600" s="245"/>
    </row>
    <row r="601" spans="1:30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  <c r="AA601" s="245"/>
      <c r="AB601" s="245"/>
      <c r="AC601" s="245"/>
      <c r="AD601" s="245"/>
    </row>
    <row r="602" spans="1:30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  <c r="AA602" s="245"/>
      <c r="AB602" s="245"/>
      <c r="AC602" s="245"/>
      <c r="AD602" s="245"/>
    </row>
    <row r="603" spans="1:30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  <c r="AA603" s="245"/>
      <c r="AB603" s="245"/>
      <c r="AC603" s="245"/>
      <c r="AD603" s="245"/>
    </row>
    <row r="604" spans="1:30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  <c r="AA604" s="245"/>
      <c r="AB604" s="245"/>
      <c r="AC604" s="245"/>
      <c r="AD604" s="245"/>
    </row>
    <row r="605" spans="1:30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  <c r="AA605" s="245"/>
      <c r="AB605" s="245"/>
      <c r="AC605" s="245"/>
      <c r="AD605" s="245"/>
    </row>
    <row r="606" spans="1:30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  <c r="AA606" s="245"/>
      <c r="AB606" s="245"/>
      <c r="AC606" s="245"/>
      <c r="AD606" s="245"/>
    </row>
    <row r="607" spans="1:30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  <c r="AA607" s="245"/>
      <c r="AB607" s="245"/>
      <c r="AC607" s="245"/>
      <c r="AD607" s="245"/>
    </row>
    <row r="608" spans="1:30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  <c r="AA608" s="245"/>
      <c r="AB608" s="245"/>
      <c r="AC608" s="245"/>
      <c r="AD608" s="245"/>
    </row>
    <row r="609" spans="1:30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  <c r="AA609" s="245"/>
      <c r="AB609" s="245"/>
      <c r="AC609" s="245"/>
      <c r="AD609" s="245"/>
    </row>
    <row r="610" spans="1:30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  <c r="AA610" s="245"/>
      <c r="AB610" s="245"/>
      <c r="AC610" s="245"/>
      <c r="AD610" s="245"/>
    </row>
    <row r="611" spans="1:30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  <c r="AA611" s="245"/>
      <c r="AB611" s="245"/>
      <c r="AC611" s="245"/>
      <c r="AD611" s="245"/>
    </row>
    <row r="612" spans="1:30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  <c r="AA612" s="245"/>
      <c r="AB612" s="245"/>
      <c r="AC612" s="245"/>
      <c r="AD612" s="245"/>
    </row>
    <row r="613" spans="1:30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  <c r="AA613" s="245"/>
      <c r="AB613" s="245"/>
      <c r="AC613" s="245"/>
      <c r="AD613" s="245"/>
    </row>
    <row r="614" spans="1:30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  <c r="AA614" s="245"/>
      <c r="AB614" s="245"/>
      <c r="AC614" s="245"/>
      <c r="AD614" s="245"/>
    </row>
    <row r="615" spans="1:30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  <c r="AA615" s="245"/>
      <c r="AB615" s="245"/>
      <c r="AC615" s="245"/>
      <c r="AD615" s="245"/>
    </row>
    <row r="616" spans="1:30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  <c r="AA616" s="245"/>
      <c r="AB616" s="245"/>
      <c r="AC616" s="245"/>
      <c r="AD616" s="245"/>
    </row>
    <row r="617" spans="1:30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</row>
    <row r="618" spans="1:30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  <c r="AA618" s="245"/>
      <c r="AB618" s="245"/>
      <c r="AC618" s="245"/>
      <c r="AD618" s="245"/>
    </row>
    <row r="619" spans="1:30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  <c r="AA619" s="245"/>
      <c r="AB619" s="245"/>
      <c r="AC619" s="245"/>
      <c r="AD619" s="245"/>
    </row>
    <row r="620" spans="1:30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  <c r="AA620" s="245"/>
      <c r="AB620" s="245"/>
      <c r="AC620" s="245"/>
      <c r="AD620" s="245"/>
    </row>
    <row r="621" spans="1:30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  <c r="AA621" s="245"/>
      <c r="AB621" s="245"/>
      <c r="AC621" s="245"/>
      <c r="AD621" s="245"/>
    </row>
    <row r="622" spans="1:30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  <c r="AA622" s="245"/>
      <c r="AB622" s="245"/>
      <c r="AC622" s="245"/>
      <c r="AD622" s="245"/>
    </row>
    <row r="623" spans="1:30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  <c r="AA623" s="245"/>
      <c r="AB623" s="245"/>
      <c r="AC623" s="245"/>
      <c r="AD623" s="245"/>
    </row>
    <row r="624" spans="1:30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  <c r="AA624" s="245"/>
      <c r="AB624" s="245"/>
      <c r="AC624" s="245"/>
      <c r="AD624" s="245"/>
    </row>
    <row r="625" spans="1:30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  <c r="AA625" s="245"/>
      <c r="AB625" s="245"/>
      <c r="AC625" s="245"/>
      <c r="AD625" s="245"/>
    </row>
    <row r="626" spans="1:30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  <c r="AA626" s="245"/>
      <c r="AB626" s="245"/>
      <c r="AC626" s="245"/>
      <c r="AD626" s="245"/>
    </row>
    <row r="627" spans="1:30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  <c r="AA627" s="245"/>
      <c r="AB627" s="245"/>
      <c r="AC627" s="245"/>
      <c r="AD627" s="245"/>
    </row>
    <row r="628" spans="1:30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  <c r="AA628" s="245"/>
      <c r="AB628" s="245"/>
      <c r="AC628" s="245"/>
      <c r="AD628" s="245"/>
    </row>
    <row r="629" spans="1:30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  <c r="AA629" s="245"/>
      <c r="AB629" s="245"/>
      <c r="AC629" s="245"/>
      <c r="AD629" s="245"/>
    </row>
    <row r="630" spans="1:30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  <c r="AA630" s="245"/>
      <c r="AB630" s="245"/>
      <c r="AC630" s="245"/>
      <c r="AD630" s="245"/>
    </row>
    <row r="631" spans="1:30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  <c r="AA631" s="245"/>
      <c r="AB631" s="245"/>
      <c r="AC631" s="245"/>
      <c r="AD631" s="245"/>
    </row>
    <row r="632" spans="1:30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  <c r="AA632" s="245"/>
      <c r="AB632" s="245"/>
      <c r="AC632" s="245"/>
      <c r="AD632" s="245"/>
    </row>
    <row r="633" spans="1:30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  <c r="AA633" s="245"/>
      <c r="AB633" s="245"/>
      <c r="AC633" s="245"/>
      <c r="AD633" s="245"/>
    </row>
    <row r="634" spans="1:30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  <c r="AA634" s="245"/>
      <c r="AB634" s="245"/>
      <c r="AC634" s="245"/>
      <c r="AD634" s="245"/>
    </row>
    <row r="635" spans="1:30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  <c r="AA635" s="245"/>
      <c r="AB635" s="245"/>
      <c r="AC635" s="245"/>
      <c r="AD635" s="245"/>
    </row>
    <row r="636" spans="1:30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  <c r="AA636" s="245"/>
      <c r="AB636" s="245"/>
      <c r="AC636" s="245"/>
      <c r="AD636" s="245"/>
    </row>
    <row r="637" spans="1:30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  <c r="AA637" s="245"/>
      <c r="AB637" s="245"/>
      <c r="AC637" s="245"/>
      <c r="AD637" s="245"/>
    </row>
    <row r="638" spans="1:30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  <c r="AA638" s="245"/>
      <c r="AB638" s="245"/>
      <c r="AC638" s="245"/>
      <c r="AD638" s="245"/>
    </row>
    <row r="639" spans="1:30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  <c r="AA639" s="245"/>
      <c r="AB639" s="245"/>
      <c r="AC639" s="245"/>
      <c r="AD639" s="245"/>
    </row>
    <row r="640" spans="1:30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  <c r="AA640" s="245"/>
      <c r="AB640" s="245"/>
      <c r="AC640" s="245"/>
      <c r="AD640" s="245"/>
    </row>
    <row r="641" spans="1:30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  <c r="AA641" s="245"/>
      <c r="AB641" s="245"/>
      <c r="AC641" s="245"/>
      <c r="AD641" s="245"/>
    </row>
    <row r="642" spans="1:30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  <c r="AA642" s="245"/>
      <c r="AB642" s="245"/>
      <c r="AC642" s="245"/>
      <c r="AD642" s="245"/>
    </row>
    <row r="643" spans="1:30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  <c r="AA643" s="245"/>
      <c r="AB643" s="245"/>
      <c r="AC643" s="245"/>
      <c r="AD643" s="245"/>
    </row>
    <row r="644" spans="1:30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  <c r="AA644" s="245"/>
      <c r="AB644" s="245"/>
      <c r="AC644" s="245"/>
      <c r="AD644" s="245"/>
    </row>
    <row r="645" spans="1:30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  <c r="AA645" s="245"/>
      <c r="AB645" s="245"/>
      <c r="AC645" s="245"/>
      <c r="AD645" s="245"/>
    </row>
    <row r="646" spans="1:30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  <c r="AA646" s="245"/>
      <c r="AB646" s="245"/>
      <c r="AC646" s="245"/>
      <c r="AD646" s="245"/>
    </row>
    <row r="647" spans="1:30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  <c r="AA647" s="245"/>
      <c r="AB647" s="245"/>
      <c r="AC647" s="245"/>
      <c r="AD647" s="245"/>
    </row>
    <row r="648" spans="1:30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  <c r="AA648" s="245"/>
      <c r="AB648" s="245"/>
      <c r="AC648" s="245"/>
      <c r="AD648" s="245"/>
    </row>
    <row r="649" spans="1:30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  <c r="AA649" s="245"/>
      <c r="AB649" s="245"/>
      <c r="AC649" s="245"/>
      <c r="AD649" s="245"/>
    </row>
    <row r="650" spans="1:30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  <c r="AA650" s="245"/>
      <c r="AB650" s="245"/>
      <c r="AC650" s="245"/>
      <c r="AD650" s="245"/>
    </row>
    <row r="651" spans="1:30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  <c r="AA651" s="245"/>
      <c r="AB651" s="245"/>
      <c r="AC651" s="245"/>
      <c r="AD651" s="245"/>
    </row>
    <row r="652" spans="1:30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  <c r="AA652" s="245"/>
      <c r="AB652" s="245"/>
      <c r="AC652" s="245"/>
      <c r="AD652" s="245"/>
    </row>
    <row r="653" spans="1:30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  <c r="AA653" s="245"/>
      <c r="AB653" s="245"/>
      <c r="AC653" s="245"/>
      <c r="AD653" s="245"/>
    </row>
    <row r="654" spans="1:30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  <c r="AA654" s="245"/>
      <c r="AB654" s="245"/>
      <c r="AC654" s="245"/>
      <c r="AD654" s="245"/>
    </row>
    <row r="655" spans="1:30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  <c r="AA655" s="245"/>
      <c r="AB655" s="245"/>
      <c r="AC655" s="245"/>
      <c r="AD655" s="245"/>
    </row>
    <row r="656" spans="1:30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  <c r="AA656" s="245"/>
      <c r="AB656" s="245"/>
      <c r="AC656" s="245"/>
      <c r="AD656" s="245"/>
    </row>
    <row r="657" spans="1:30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  <c r="AA657" s="245"/>
      <c r="AB657" s="245"/>
      <c r="AC657" s="245"/>
      <c r="AD657" s="245"/>
    </row>
    <row r="658" spans="1:30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  <c r="AA658" s="245"/>
      <c r="AB658" s="245"/>
      <c r="AC658" s="245"/>
      <c r="AD658" s="245"/>
    </row>
    <row r="659" spans="1:30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  <c r="AA659" s="245"/>
      <c r="AB659" s="245"/>
      <c r="AC659" s="245"/>
      <c r="AD659" s="245"/>
    </row>
    <row r="660" spans="1:30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  <c r="AA660" s="245"/>
      <c r="AB660" s="245"/>
      <c r="AC660" s="245"/>
      <c r="AD660" s="245"/>
    </row>
    <row r="661" spans="1:30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  <c r="AA661" s="245"/>
      <c r="AB661" s="245"/>
      <c r="AC661" s="245"/>
      <c r="AD661" s="245"/>
    </row>
    <row r="662" spans="1:30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  <c r="AA662" s="245"/>
      <c r="AB662" s="245"/>
      <c r="AC662" s="245"/>
      <c r="AD662" s="245"/>
    </row>
    <row r="663" spans="1:30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  <c r="AA663" s="245"/>
      <c r="AB663" s="245"/>
      <c r="AC663" s="245"/>
      <c r="AD663" s="245"/>
    </row>
    <row r="664" spans="1:30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  <c r="AA664" s="245"/>
      <c r="AB664" s="245"/>
      <c r="AC664" s="245"/>
      <c r="AD664" s="245"/>
    </row>
    <row r="665" spans="1:30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  <c r="AA665" s="245"/>
      <c r="AB665" s="245"/>
      <c r="AC665" s="245"/>
      <c r="AD665" s="245"/>
    </row>
    <row r="666" spans="1:30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  <c r="AA666" s="245"/>
      <c r="AB666" s="245"/>
      <c r="AC666" s="245"/>
      <c r="AD666" s="245"/>
    </row>
    <row r="667" spans="1:30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  <c r="AA667" s="245"/>
      <c r="AB667" s="245"/>
      <c r="AC667" s="245"/>
      <c r="AD667" s="245"/>
    </row>
    <row r="668" spans="1:30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</row>
    <row r="669" spans="1:30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  <c r="AA669" s="245"/>
      <c r="AB669" s="245"/>
      <c r="AC669" s="245"/>
      <c r="AD669" s="245"/>
    </row>
    <row r="670" spans="1:30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  <c r="AA670" s="245"/>
      <c r="AB670" s="245"/>
      <c r="AC670" s="245"/>
      <c r="AD670" s="245"/>
    </row>
    <row r="671" spans="1:30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  <c r="AA671" s="245"/>
      <c r="AB671" s="245"/>
      <c r="AC671" s="245"/>
      <c r="AD671" s="245"/>
    </row>
    <row r="672" spans="1:30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  <c r="AA672" s="245"/>
      <c r="AB672" s="245"/>
      <c r="AC672" s="245"/>
      <c r="AD672" s="245"/>
    </row>
    <row r="673" spans="1:30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  <c r="AA673" s="245"/>
      <c r="AB673" s="245"/>
      <c r="AC673" s="245"/>
      <c r="AD673" s="245"/>
    </row>
    <row r="674" spans="1:30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  <c r="AA674" s="245"/>
      <c r="AB674" s="245"/>
      <c r="AC674" s="245"/>
      <c r="AD674" s="245"/>
    </row>
    <row r="675" spans="1:30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  <c r="AA675" s="245"/>
      <c r="AB675" s="245"/>
      <c r="AC675" s="245"/>
      <c r="AD675" s="245"/>
    </row>
    <row r="676" spans="1:30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  <c r="AA676" s="245"/>
      <c r="AB676" s="245"/>
      <c r="AC676" s="245"/>
      <c r="AD676" s="245"/>
    </row>
    <row r="677" spans="1:30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  <c r="AA677" s="245"/>
      <c r="AB677" s="245"/>
      <c r="AC677" s="245"/>
      <c r="AD677" s="245"/>
    </row>
    <row r="678" spans="1:30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  <c r="AA678" s="245"/>
      <c r="AB678" s="245"/>
      <c r="AC678" s="245"/>
      <c r="AD678" s="245"/>
    </row>
    <row r="679" spans="1:30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  <c r="AA679" s="245"/>
      <c r="AB679" s="245"/>
      <c r="AC679" s="245"/>
      <c r="AD679" s="245"/>
    </row>
    <row r="680" spans="1:30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  <c r="AA680" s="245"/>
      <c r="AB680" s="245"/>
      <c r="AC680" s="245"/>
      <c r="AD680" s="245"/>
    </row>
    <row r="681" spans="1:30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  <c r="AA681" s="245"/>
      <c r="AB681" s="245"/>
      <c r="AC681" s="245"/>
      <c r="AD681" s="245"/>
    </row>
    <row r="682" spans="1:30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  <c r="AA682" s="245"/>
      <c r="AB682" s="245"/>
      <c r="AC682" s="245"/>
      <c r="AD682" s="245"/>
    </row>
    <row r="683" spans="1:30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  <c r="AA683" s="245"/>
      <c r="AB683" s="245"/>
      <c r="AC683" s="245"/>
      <c r="AD683" s="245"/>
    </row>
    <row r="684" spans="1:30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  <c r="AA684" s="245"/>
      <c r="AB684" s="245"/>
      <c r="AC684" s="245"/>
      <c r="AD684" s="245"/>
    </row>
    <row r="685" spans="1:30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  <c r="AA685" s="245"/>
      <c r="AB685" s="245"/>
      <c r="AC685" s="245"/>
      <c r="AD685" s="245"/>
    </row>
    <row r="686" spans="1:30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  <c r="AA686" s="245"/>
      <c r="AB686" s="245"/>
      <c r="AC686" s="245"/>
      <c r="AD686" s="245"/>
    </row>
    <row r="687" spans="1:30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  <c r="AA687" s="245"/>
      <c r="AB687" s="245"/>
      <c r="AC687" s="245"/>
      <c r="AD687" s="245"/>
    </row>
    <row r="688" spans="1:30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  <c r="AA688" s="245"/>
      <c r="AB688" s="245"/>
      <c r="AC688" s="245"/>
      <c r="AD688" s="245"/>
    </row>
    <row r="689" spans="1:30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  <c r="AA689" s="245"/>
      <c r="AB689" s="245"/>
      <c r="AC689" s="245"/>
      <c r="AD689" s="245"/>
    </row>
    <row r="690" spans="1:30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  <c r="AA690" s="245"/>
      <c r="AB690" s="245"/>
      <c r="AC690" s="245"/>
      <c r="AD690" s="245"/>
    </row>
    <row r="691" spans="1:30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  <c r="AA691" s="245"/>
      <c r="AB691" s="245"/>
      <c r="AC691" s="245"/>
      <c r="AD691" s="245"/>
    </row>
    <row r="692" spans="1:30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  <c r="AA692" s="245"/>
      <c r="AB692" s="245"/>
      <c r="AC692" s="245"/>
      <c r="AD692" s="245"/>
    </row>
    <row r="693" spans="1:30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  <c r="AA693" s="245"/>
      <c r="AB693" s="245"/>
      <c r="AC693" s="245"/>
      <c r="AD693" s="245"/>
    </row>
    <row r="694" spans="1:30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  <c r="AA694" s="245"/>
      <c r="AB694" s="245"/>
      <c r="AC694" s="245"/>
      <c r="AD694" s="245"/>
    </row>
    <row r="695" spans="1:30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  <c r="AA695" s="245"/>
      <c r="AB695" s="245"/>
      <c r="AC695" s="245"/>
      <c r="AD695" s="245"/>
    </row>
    <row r="696" spans="1:30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  <c r="AA696" s="245"/>
      <c r="AB696" s="245"/>
      <c r="AC696" s="245"/>
      <c r="AD696" s="245"/>
    </row>
    <row r="697" spans="1:30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  <c r="AA697" s="245"/>
      <c r="AB697" s="245"/>
      <c r="AC697" s="245"/>
      <c r="AD697" s="245"/>
    </row>
    <row r="698" spans="1:30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  <c r="AA698" s="245"/>
      <c r="AB698" s="245"/>
      <c r="AC698" s="245"/>
      <c r="AD698" s="245"/>
    </row>
    <row r="699" spans="1:30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  <c r="AA699" s="245"/>
      <c r="AB699" s="245"/>
      <c r="AC699" s="245"/>
      <c r="AD699" s="245"/>
    </row>
    <row r="700" spans="1:30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  <c r="AA700" s="245"/>
      <c r="AB700" s="245"/>
      <c r="AC700" s="245"/>
      <c r="AD700" s="245"/>
    </row>
    <row r="701" spans="1:30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  <c r="AA701" s="245"/>
      <c r="AB701" s="245"/>
      <c r="AC701" s="245"/>
      <c r="AD701" s="245"/>
    </row>
    <row r="702" spans="1:30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  <c r="AA702" s="245"/>
      <c r="AB702" s="245"/>
      <c r="AC702" s="245"/>
      <c r="AD702" s="245"/>
    </row>
    <row r="703" spans="1:30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  <c r="AA703" s="245"/>
      <c r="AB703" s="245"/>
      <c r="AC703" s="245"/>
      <c r="AD703" s="245"/>
    </row>
    <row r="704" spans="1:30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  <c r="AA704" s="245"/>
      <c r="AB704" s="245"/>
      <c r="AC704" s="245"/>
      <c r="AD704" s="245"/>
    </row>
    <row r="705" spans="1:30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  <c r="AA705" s="245"/>
      <c r="AB705" s="245"/>
      <c r="AC705" s="245"/>
      <c r="AD705" s="245"/>
    </row>
    <row r="706" spans="1:30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  <c r="AA706" s="245"/>
      <c r="AB706" s="245"/>
      <c r="AC706" s="245"/>
      <c r="AD706" s="245"/>
    </row>
    <row r="707" spans="1:30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  <c r="AA707" s="245"/>
      <c r="AB707" s="245"/>
      <c r="AC707" s="245"/>
      <c r="AD707" s="245"/>
    </row>
    <row r="708" spans="1:30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  <c r="AA708" s="245"/>
      <c r="AB708" s="245"/>
      <c r="AC708" s="245"/>
      <c r="AD708" s="245"/>
    </row>
    <row r="709" spans="1:30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  <c r="AA709" s="245"/>
      <c r="AB709" s="245"/>
      <c r="AC709" s="245"/>
      <c r="AD709" s="245"/>
    </row>
    <row r="710" spans="1:30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  <c r="AA710" s="245"/>
      <c r="AB710" s="245"/>
      <c r="AC710" s="245"/>
      <c r="AD710" s="245"/>
    </row>
    <row r="711" spans="1:30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  <c r="AA711" s="245"/>
      <c r="AB711" s="245"/>
      <c r="AC711" s="245"/>
      <c r="AD711" s="245"/>
    </row>
    <row r="712" spans="1:30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  <c r="AA712" s="245"/>
      <c r="AB712" s="245"/>
      <c r="AC712" s="245"/>
      <c r="AD712" s="245"/>
    </row>
    <row r="713" spans="1:30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  <c r="AA713" s="245"/>
      <c r="AB713" s="245"/>
      <c r="AC713" s="245"/>
      <c r="AD713" s="245"/>
    </row>
    <row r="714" spans="1:30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  <c r="AA714" s="245"/>
      <c r="AB714" s="245"/>
      <c r="AC714" s="245"/>
      <c r="AD714" s="245"/>
    </row>
    <row r="715" spans="1:30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  <c r="AA715" s="245"/>
      <c r="AB715" s="245"/>
      <c r="AC715" s="245"/>
      <c r="AD715" s="245"/>
    </row>
    <row r="716" spans="1:30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  <c r="AA716" s="245"/>
      <c r="AB716" s="245"/>
      <c r="AC716" s="245"/>
      <c r="AD716" s="245"/>
    </row>
    <row r="717" spans="1:30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  <c r="AA717" s="245"/>
      <c r="AB717" s="245"/>
      <c r="AC717" s="245"/>
      <c r="AD717" s="245"/>
    </row>
    <row r="718" spans="1:30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</row>
    <row r="719" spans="1:30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  <c r="AA719" s="245"/>
      <c r="AB719" s="245"/>
      <c r="AC719" s="245"/>
      <c r="AD719" s="245"/>
    </row>
    <row r="720" spans="1:30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  <c r="AA720" s="245"/>
      <c r="AB720" s="245"/>
      <c r="AC720" s="245"/>
      <c r="AD720" s="245"/>
    </row>
    <row r="721" spans="1:30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  <c r="AA721" s="245"/>
      <c r="AB721" s="245"/>
      <c r="AC721" s="245"/>
      <c r="AD721" s="245"/>
    </row>
    <row r="722" spans="1:30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  <c r="AA722" s="245"/>
      <c r="AB722" s="245"/>
      <c r="AC722" s="245"/>
      <c r="AD722" s="245"/>
    </row>
    <row r="723" spans="1:30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  <c r="AA723" s="245"/>
      <c r="AB723" s="245"/>
      <c r="AC723" s="245"/>
      <c r="AD723" s="245"/>
    </row>
    <row r="724" spans="1:30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  <c r="AA724" s="245"/>
      <c r="AB724" s="245"/>
      <c r="AC724" s="245"/>
      <c r="AD724" s="245"/>
    </row>
    <row r="725" spans="1:30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  <c r="AA725" s="245"/>
      <c r="AB725" s="245"/>
      <c r="AC725" s="245"/>
      <c r="AD725" s="245"/>
    </row>
    <row r="726" spans="1:30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  <c r="AA726" s="245"/>
      <c r="AB726" s="245"/>
      <c r="AC726" s="245"/>
      <c r="AD726" s="245"/>
    </row>
    <row r="727" spans="1:30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  <c r="AA727" s="245"/>
      <c r="AB727" s="245"/>
      <c r="AC727" s="245"/>
      <c r="AD727" s="245"/>
    </row>
    <row r="728" spans="1:30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  <c r="AA728" s="245"/>
      <c r="AB728" s="245"/>
      <c r="AC728" s="245"/>
      <c r="AD728" s="245"/>
    </row>
    <row r="729" spans="1:30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  <c r="AA729" s="245"/>
      <c r="AB729" s="245"/>
      <c r="AC729" s="245"/>
      <c r="AD729" s="245"/>
    </row>
    <row r="730" spans="1:30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  <c r="AA730" s="245"/>
      <c r="AB730" s="245"/>
      <c r="AC730" s="245"/>
      <c r="AD730" s="245"/>
    </row>
    <row r="731" spans="1:30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  <c r="AA731" s="245"/>
      <c r="AB731" s="245"/>
      <c r="AC731" s="245"/>
      <c r="AD731" s="245"/>
    </row>
    <row r="732" spans="1:30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  <c r="AA732" s="245"/>
      <c r="AB732" s="245"/>
      <c r="AC732" s="245"/>
      <c r="AD732" s="245"/>
    </row>
    <row r="733" spans="1:30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  <c r="AA733" s="245"/>
      <c r="AB733" s="245"/>
      <c r="AC733" s="245"/>
      <c r="AD733" s="245"/>
    </row>
    <row r="734" spans="1:30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  <c r="AA734" s="245"/>
      <c r="AB734" s="245"/>
      <c r="AC734" s="245"/>
      <c r="AD734" s="245"/>
    </row>
    <row r="735" spans="1:30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  <c r="AA735" s="245"/>
      <c r="AB735" s="245"/>
      <c r="AC735" s="245"/>
      <c r="AD735" s="245"/>
    </row>
    <row r="736" spans="1:30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  <c r="AA736" s="245"/>
      <c r="AB736" s="245"/>
      <c r="AC736" s="245"/>
      <c r="AD736" s="245"/>
    </row>
    <row r="737" spans="1:30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  <c r="AA737" s="245"/>
      <c r="AB737" s="245"/>
      <c r="AC737" s="245"/>
      <c r="AD737" s="245"/>
    </row>
    <row r="738" spans="1:30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  <c r="AA738" s="245"/>
      <c r="AB738" s="245"/>
      <c r="AC738" s="245"/>
      <c r="AD738" s="245"/>
    </row>
    <row r="739" spans="1:30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  <c r="AA739" s="245"/>
      <c r="AB739" s="245"/>
      <c r="AC739" s="245"/>
      <c r="AD739" s="245"/>
    </row>
    <row r="740" spans="1:30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  <c r="AA740" s="245"/>
      <c r="AB740" s="245"/>
      <c r="AC740" s="245"/>
      <c r="AD740" s="245"/>
    </row>
    <row r="741" spans="1:30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  <c r="AA741" s="245"/>
      <c r="AB741" s="245"/>
      <c r="AC741" s="245"/>
      <c r="AD741" s="245"/>
    </row>
    <row r="742" spans="1:30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  <c r="AA742" s="245"/>
      <c r="AB742" s="245"/>
      <c r="AC742" s="245"/>
      <c r="AD742" s="245"/>
    </row>
    <row r="743" spans="1:30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  <c r="AA743" s="245"/>
      <c r="AB743" s="245"/>
      <c r="AC743" s="245"/>
      <c r="AD743" s="245"/>
    </row>
    <row r="744" spans="1:30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  <c r="AA744" s="245"/>
      <c r="AB744" s="245"/>
      <c r="AC744" s="245"/>
      <c r="AD744" s="245"/>
    </row>
    <row r="745" spans="1:30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  <c r="AA745" s="245"/>
      <c r="AB745" s="245"/>
      <c r="AC745" s="245"/>
      <c r="AD745" s="245"/>
    </row>
    <row r="746" spans="1:30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  <c r="AA746" s="245"/>
      <c r="AB746" s="245"/>
      <c r="AC746" s="245"/>
      <c r="AD746" s="245"/>
    </row>
    <row r="747" spans="1:30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  <c r="AA747" s="245"/>
      <c r="AB747" s="245"/>
      <c r="AC747" s="245"/>
      <c r="AD747" s="245"/>
    </row>
    <row r="748" spans="1:30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  <c r="AA748" s="245"/>
      <c r="AB748" s="245"/>
      <c r="AC748" s="245"/>
      <c r="AD748" s="245"/>
    </row>
    <row r="749" spans="1:30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  <c r="AA749" s="245"/>
      <c r="AB749" s="245"/>
      <c r="AC749" s="245"/>
      <c r="AD749" s="245"/>
    </row>
    <row r="750" spans="1:30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  <c r="AA750" s="245"/>
      <c r="AB750" s="245"/>
      <c r="AC750" s="245"/>
      <c r="AD750" s="245"/>
    </row>
    <row r="751" spans="1:30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  <c r="AA751" s="245"/>
      <c r="AB751" s="245"/>
      <c r="AC751" s="245"/>
      <c r="AD751" s="245"/>
    </row>
    <row r="752" spans="1:30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  <c r="AA752" s="245"/>
      <c r="AB752" s="245"/>
      <c r="AC752" s="245"/>
      <c r="AD752" s="245"/>
    </row>
    <row r="753" spans="1:30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  <c r="AA753" s="245"/>
      <c r="AB753" s="245"/>
      <c r="AC753" s="245"/>
      <c r="AD753" s="245"/>
    </row>
    <row r="754" spans="1:30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  <c r="AA754" s="245"/>
      <c r="AB754" s="245"/>
      <c r="AC754" s="245"/>
      <c r="AD754" s="245"/>
    </row>
    <row r="755" spans="1:30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  <c r="AA755" s="245"/>
      <c r="AB755" s="245"/>
      <c r="AC755" s="245"/>
      <c r="AD755" s="245"/>
    </row>
    <row r="756" spans="1:30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</row>
    <row r="757" spans="1:30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  <c r="AA757" s="245"/>
      <c r="AB757" s="245"/>
      <c r="AC757" s="245"/>
      <c r="AD757" s="245"/>
    </row>
    <row r="758" spans="1:30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  <c r="AA758" s="245"/>
      <c r="AB758" s="245"/>
      <c r="AC758" s="245"/>
      <c r="AD758" s="245"/>
    </row>
    <row r="759" spans="1:30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  <c r="AA759" s="245"/>
      <c r="AB759" s="245"/>
      <c r="AC759" s="245"/>
      <c r="AD759" s="245"/>
    </row>
    <row r="760" spans="1:30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  <c r="AA760" s="245"/>
      <c r="AB760" s="245"/>
      <c r="AC760" s="245"/>
      <c r="AD760" s="245"/>
    </row>
    <row r="761" spans="1:30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  <c r="AA761" s="245"/>
      <c r="AB761" s="245"/>
      <c r="AC761" s="245"/>
      <c r="AD761" s="245"/>
    </row>
    <row r="762" spans="1:30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  <c r="AA762" s="245"/>
      <c r="AB762" s="245"/>
      <c r="AC762" s="245"/>
      <c r="AD762" s="245"/>
    </row>
    <row r="763" spans="1:30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  <c r="AA763" s="245"/>
      <c r="AB763" s="245"/>
      <c r="AC763" s="245"/>
      <c r="AD763" s="245"/>
    </row>
    <row r="764" spans="1:30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  <c r="AA764" s="245"/>
      <c r="AB764" s="245"/>
      <c r="AC764" s="245"/>
      <c r="AD764" s="245"/>
    </row>
    <row r="765" spans="1:30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  <c r="AA765" s="245"/>
      <c r="AB765" s="245"/>
      <c r="AC765" s="245"/>
      <c r="AD765" s="245"/>
    </row>
    <row r="766" spans="1:30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  <c r="AA766" s="245"/>
      <c r="AB766" s="245"/>
      <c r="AC766" s="245"/>
      <c r="AD766" s="245"/>
    </row>
    <row r="767" spans="1:30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  <c r="AA767" s="245"/>
      <c r="AB767" s="245"/>
      <c r="AC767" s="245"/>
      <c r="AD767" s="245"/>
    </row>
    <row r="768" spans="1:30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  <c r="AA768" s="245"/>
      <c r="AB768" s="245"/>
      <c r="AC768" s="245"/>
      <c r="AD768" s="245"/>
    </row>
    <row r="769" spans="1:30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  <c r="AA769" s="245"/>
      <c r="AB769" s="245"/>
      <c r="AC769" s="245"/>
      <c r="AD769" s="245"/>
    </row>
    <row r="770" spans="1:30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  <c r="AA770" s="245"/>
      <c r="AB770" s="245"/>
      <c r="AC770" s="245"/>
      <c r="AD770" s="245"/>
    </row>
    <row r="771" spans="1:30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  <c r="AA771" s="245"/>
      <c r="AB771" s="245"/>
      <c r="AC771" s="245"/>
      <c r="AD771" s="245"/>
    </row>
    <row r="772" spans="1:30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  <c r="AA772" s="245"/>
      <c r="AB772" s="245"/>
      <c r="AC772" s="245"/>
      <c r="AD772" s="245"/>
    </row>
    <row r="773" spans="1:30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  <c r="AA773" s="245"/>
      <c r="AB773" s="245"/>
      <c r="AC773" s="245"/>
      <c r="AD773" s="245"/>
    </row>
    <row r="774" spans="1:30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  <c r="AA774" s="245"/>
      <c r="AB774" s="245"/>
      <c r="AC774" s="245"/>
      <c r="AD774" s="245"/>
    </row>
    <row r="775" spans="1:30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  <c r="AA775" s="245"/>
      <c r="AB775" s="245"/>
      <c r="AC775" s="245"/>
      <c r="AD775" s="245"/>
    </row>
    <row r="776" spans="1:30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  <c r="AA776" s="245"/>
      <c r="AB776" s="245"/>
      <c r="AC776" s="245"/>
      <c r="AD776" s="245"/>
    </row>
    <row r="777" spans="1:30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  <c r="AA777" s="245"/>
      <c r="AB777" s="245"/>
      <c r="AC777" s="245"/>
      <c r="AD777" s="245"/>
    </row>
    <row r="778" spans="1:30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  <c r="AA778" s="245"/>
      <c r="AB778" s="245"/>
      <c r="AC778" s="245"/>
      <c r="AD778" s="245"/>
    </row>
    <row r="779" spans="1:30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  <c r="AA779" s="245"/>
      <c r="AB779" s="245"/>
      <c r="AC779" s="245"/>
      <c r="AD779" s="245"/>
    </row>
    <row r="780" spans="1:30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  <c r="AA780" s="245"/>
      <c r="AB780" s="245"/>
      <c r="AC780" s="245"/>
      <c r="AD780" s="245"/>
    </row>
    <row r="781" spans="1:30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  <c r="AA781" s="245"/>
      <c r="AB781" s="245"/>
      <c r="AC781" s="245"/>
      <c r="AD781" s="245"/>
    </row>
    <row r="782" spans="1:30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  <c r="AA782" s="245"/>
      <c r="AB782" s="245"/>
      <c r="AC782" s="245"/>
      <c r="AD782" s="245"/>
    </row>
    <row r="783" spans="1:30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  <c r="AA783" s="245"/>
      <c r="AB783" s="245"/>
      <c r="AC783" s="245"/>
      <c r="AD783" s="245"/>
    </row>
    <row r="784" spans="1:30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  <c r="AA784" s="245"/>
      <c r="AB784" s="245"/>
      <c r="AC784" s="245"/>
      <c r="AD784" s="245"/>
    </row>
    <row r="785" spans="1:30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  <c r="AA785" s="245"/>
      <c r="AB785" s="245"/>
      <c r="AC785" s="245"/>
      <c r="AD785" s="245"/>
    </row>
    <row r="786" spans="1:30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  <c r="AA786" s="245"/>
      <c r="AB786" s="245"/>
      <c r="AC786" s="245"/>
      <c r="AD786" s="245"/>
    </row>
    <row r="787" spans="1:30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  <c r="AA787" s="245"/>
      <c r="AB787" s="245"/>
      <c r="AC787" s="245"/>
      <c r="AD787" s="245"/>
    </row>
    <row r="788" spans="1:30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  <c r="AA788" s="245"/>
      <c r="AB788" s="245"/>
      <c r="AC788" s="245"/>
      <c r="AD788" s="245"/>
    </row>
    <row r="789" spans="1:30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  <c r="AA789" s="245"/>
      <c r="AB789" s="245"/>
      <c r="AC789" s="245"/>
      <c r="AD789" s="245"/>
    </row>
    <row r="790" spans="1:30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  <c r="AA790" s="245"/>
      <c r="AB790" s="245"/>
      <c r="AC790" s="245"/>
      <c r="AD790" s="245"/>
    </row>
    <row r="791" spans="1:30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  <c r="AA791" s="245"/>
      <c r="AB791" s="245"/>
      <c r="AC791" s="245"/>
      <c r="AD791" s="245"/>
    </row>
    <row r="792" spans="1:30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  <c r="AA792" s="245"/>
      <c r="AB792" s="245"/>
      <c r="AC792" s="245"/>
      <c r="AD792" s="245"/>
    </row>
    <row r="793" spans="1:30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  <c r="AA793" s="245"/>
      <c r="AB793" s="245"/>
      <c r="AC793" s="245"/>
      <c r="AD793" s="245"/>
    </row>
    <row r="794" spans="1:30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  <c r="AA794" s="245"/>
      <c r="AB794" s="245"/>
      <c r="AC794" s="245"/>
      <c r="AD794" s="245"/>
    </row>
    <row r="795" spans="1:30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  <c r="AA795" s="245"/>
      <c r="AB795" s="245"/>
      <c r="AC795" s="245"/>
      <c r="AD795" s="245"/>
    </row>
    <row r="796" spans="1:30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  <c r="AA796" s="245"/>
      <c r="AB796" s="245"/>
      <c r="AC796" s="245"/>
      <c r="AD796" s="245"/>
    </row>
    <row r="797" spans="1:30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  <c r="AA797" s="245"/>
      <c r="AB797" s="245"/>
      <c r="AC797" s="245"/>
      <c r="AD797" s="245"/>
    </row>
    <row r="798" spans="1:30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  <c r="AA798" s="245"/>
      <c r="AB798" s="245"/>
      <c r="AC798" s="245"/>
      <c r="AD798" s="245"/>
    </row>
    <row r="799" spans="1:30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  <c r="AA799" s="245"/>
      <c r="AB799" s="245"/>
      <c r="AC799" s="245"/>
      <c r="AD799" s="245"/>
    </row>
    <row r="800" spans="1:30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  <c r="AA800" s="245"/>
      <c r="AB800" s="245"/>
      <c r="AC800" s="245"/>
      <c r="AD800" s="245"/>
    </row>
    <row r="801" spans="1:30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  <c r="AA801" s="245"/>
      <c r="AB801" s="245"/>
      <c r="AC801" s="245"/>
      <c r="AD801" s="245"/>
    </row>
    <row r="802" spans="1:30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  <c r="AA802" s="245"/>
      <c r="AB802" s="245"/>
      <c r="AC802" s="245"/>
      <c r="AD802" s="245"/>
    </row>
    <row r="803" spans="1:30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  <c r="AA803" s="245"/>
      <c r="AB803" s="245"/>
      <c r="AC803" s="245"/>
      <c r="AD803" s="245"/>
    </row>
    <row r="804" spans="1:30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  <c r="AA804" s="245"/>
      <c r="AB804" s="245"/>
      <c r="AC804" s="245"/>
      <c r="AD804" s="245"/>
    </row>
    <row r="805" spans="1:30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  <c r="AA805" s="245"/>
      <c r="AB805" s="245"/>
      <c r="AC805" s="245"/>
      <c r="AD805" s="245"/>
    </row>
    <row r="806" spans="1:30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  <c r="AA806" s="245"/>
      <c r="AB806" s="245"/>
      <c r="AC806" s="245"/>
      <c r="AD806" s="245"/>
    </row>
    <row r="807" spans="1:30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  <c r="AA807" s="245"/>
      <c r="AB807" s="245"/>
      <c r="AC807" s="245"/>
      <c r="AD807" s="245"/>
    </row>
    <row r="808" spans="1:30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  <c r="AA808" s="245"/>
      <c r="AB808" s="245"/>
      <c r="AC808" s="245"/>
      <c r="AD808" s="245"/>
    </row>
    <row r="809" spans="1:30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</row>
    <row r="810" spans="1:30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  <c r="AA810" s="245"/>
      <c r="AB810" s="245"/>
      <c r="AC810" s="245"/>
      <c r="AD810" s="245"/>
    </row>
    <row r="811" spans="1:30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  <c r="AA811" s="245"/>
      <c r="AB811" s="245"/>
      <c r="AC811" s="245"/>
      <c r="AD811" s="245"/>
    </row>
    <row r="812" spans="1:30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  <c r="AA812" s="245"/>
      <c r="AB812" s="245"/>
      <c r="AC812" s="245"/>
      <c r="AD812" s="245"/>
    </row>
    <row r="813" spans="1:30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  <c r="AA813" s="245"/>
      <c r="AB813" s="245"/>
      <c r="AC813" s="245"/>
      <c r="AD813" s="245"/>
    </row>
    <row r="814" spans="1:30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  <c r="AA814" s="245"/>
      <c r="AB814" s="245"/>
      <c r="AC814" s="245"/>
      <c r="AD814" s="245"/>
    </row>
    <row r="815" spans="1:30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  <c r="AA815" s="245"/>
      <c r="AB815" s="245"/>
      <c r="AC815" s="245"/>
      <c r="AD815" s="245"/>
    </row>
    <row r="816" spans="1:30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  <c r="AA816" s="245"/>
      <c r="AB816" s="245"/>
      <c r="AC816" s="245"/>
      <c r="AD816" s="245"/>
    </row>
    <row r="817" spans="1:30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  <c r="AA817" s="245"/>
      <c r="AB817" s="245"/>
      <c r="AC817" s="245"/>
      <c r="AD817" s="245"/>
    </row>
    <row r="818" spans="1:30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  <c r="AA818" s="245"/>
      <c r="AB818" s="245"/>
      <c r="AC818" s="245"/>
      <c r="AD818" s="245"/>
    </row>
    <row r="819" spans="1:30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  <c r="AA819" s="245"/>
      <c r="AB819" s="245"/>
      <c r="AC819" s="245"/>
      <c r="AD819" s="245"/>
    </row>
    <row r="820" spans="1:30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  <c r="AA820" s="245"/>
      <c r="AB820" s="245"/>
      <c r="AC820" s="245"/>
      <c r="AD820" s="245"/>
    </row>
    <row r="821" spans="1:30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  <c r="AA821" s="245"/>
      <c r="AB821" s="245"/>
      <c r="AC821" s="245"/>
      <c r="AD821" s="245"/>
    </row>
    <row r="822" spans="1:30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  <c r="AA822" s="245"/>
      <c r="AB822" s="245"/>
      <c r="AC822" s="245"/>
      <c r="AD822" s="245"/>
    </row>
    <row r="823" spans="1:30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  <c r="AA823" s="245"/>
      <c r="AB823" s="245"/>
      <c r="AC823" s="245"/>
      <c r="AD823" s="245"/>
    </row>
    <row r="824" spans="1:30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  <c r="AA824" s="245"/>
      <c r="AB824" s="245"/>
      <c r="AC824" s="245"/>
      <c r="AD824" s="245"/>
    </row>
    <row r="825" spans="1:30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  <c r="AA825" s="245"/>
      <c r="AB825" s="245"/>
      <c r="AC825" s="245"/>
      <c r="AD825" s="245"/>
    </row>
    <row r="826" spans="1:30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  <c r="AA826" s="245"/>
      <c r="AB826" s="245"/>
      <c r="AC826" s="245"/>
      <c r="AD826" s="245"/>
    </row>
    <row r="827" spans="1:30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  <c r="AA827" s="245"/>
      <c r="AB827" s="245"/>
      <c r="AC827" s="245"/>
      <c r="AD827" s="245"/>
    </row>
    <row r="828" spans="1:30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  <c r="AA828" s="245"/>
      <c r="AB828" s="245"/>
      <c r="AC828" s="245"/>
      <c r="AD828" s="245"/>
    </row>
    <row r="829" spans="1:30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  <c r="AA829" s="245"/>
      <c r="AB829" s="245"/>
      <c r="AC829" s="245"/>
      <c r="AD829" s="245"/>
    </row>
    <row r="830" spans="1:30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  <c r="AA830" s="245"/>
      <c r="AB830" s="245"/>
      <c r="AC830" s="245"/>
      <c r="AD830" s="245"/>
    </row>
    <row r="831" spans="1:30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  <c r="AA831" s="245"/>
      <c r="AB831" s="245"/>
      <c r="AC831" s="245"/>
      <c r="AD831" s="245"/>
    </row>
    <row r="832" spans="1:30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  <c r="AA832" s="245"/>
      <c r="AB832" s="245"/>
      <c r="AC832" s="245"/>
      <c r="AD832" s="245"/>
    </row>
    <row r="833" spans="1:30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  <c r="AA833" s="245"/>
      <c r="AB833" s="245"/>
      <c r="AC833" s="245"/>
      <c r="AD833" s="245"/>
    </row>
    <row r="834" spans="1:30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  <c r="AA834" s="245"/>
      <c r="AB834" s="245"/>
      <c r="AC834" s="245"/>
      <c r="AD834" s="245"/>
    </row>
    <row r="835" spans="1:30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  <c r="AA835" s="245"/>
      <c r="AB835" s="245"/>
      <c r="AC835" s="245"/>
      <c r="AD835" s="245"/>
    </row>
    <row r="836" spans="1:30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  <c r="AA836" s="245"/>
      <c r="AB836" s="245"/>
      <c r="AC836" s="245"/>
      <c r="AD836" s="245"/>
    </row>
    <row r="837" spans="1:30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  <c r="AA837" s="245"/>
      <c r="AB837" s="245"/>
      <c r="AC837" s="245"/>
      <c r="AD837" s="245"/>
    </row>
    <row r="838" spans="1:30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  <c r="AA838" s="245"/>
      <c r="AB838" s="245"/>
      <c r="AC838" s="245"/>
      <c r="AD838" s="245"/>
    </row>
    <row r="839" spans="1:30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  <c r="AA839" s="245"/>
      <c r="AB839" s="245"/>
      <c r="AC839" s="245"/>
      <c r="AD839" s="245"/>
    </row>
    <row r="840" spans="1:30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  <c r="AA840" s="245"/>
      <c r="AB840" s="245"/>
      <c r="AC840" s="245"/>
      <c r="AD840" s="245"/>
    </row>
    <row r="841" spans="1:30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  <c r="AA841" s="245"/>
      <c r="AB841" s="245"/>
      <c r="AC841" s="245"/>
      <c r="AD841" s="245"/>
    </row>
    <row r="842" spans="1:30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  <c r="AA842" s="245"/>
      <c r="AB842" s="245"/>
      <c r="AC842" s="245"/>
      <c r="AD842" s="245"/>
    </row>
    <row r="843" spans="1:30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  <c r="AA843" s="245"/>
      <c r="AB843" s="245"/>
      <c r="AC843" s="245"/>
      <c r="AD843" s="245"/>
    </row>
    <row r="844" spans="1:30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  <c r="AA844" s="245"/>
      <c r="AB844" s="245"/>
      <c r="AC844" s="245"/>
      <c r="AD844" s="245"/>
    </row>
    <row r="845" spans="1:30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  <c r="AA845" s="245"/>
      <c r="AB845" s="245"/>
      <c r="AC845" s="245"/>
      <c r="AD845" s="245"/>
    </row>
    <row r="846" spans="1:30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  <c r="AA846" s="245"/>
      <c r="AB846" s="245"/>
      <c r="AC846" s="245"/>
      <c r="AD846" s="245"/>
    </row>
    <row r="847" spans="1:30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  <c r="AA847" s="245"/>
      <c r="AB847" s="245"/>
      <c r="AC847" s="245"/>
      <c r="AD847" s="245"/>
    </row>
    <row r="848" spans="1:30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  <c r="AA848" s="245"/>
      <c r="AB848" s="245"/>
      <c r="AC848" s="245"/>
      <c r="AD848" s="245"/>
    </row>
    <row r="849" spans="1:30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  <c r="AA849" s="245"/>
      <c r="AB849" s="245"/>
      <c r="AC849" s="245"/>
      <c r="AD849" s="245"/>
    </row>
    <row r="850" spans="1:30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  <c r="AA850" s="245"/>
      <c r="AB850" s="245"/>
      <c r="AC850" s="245"/>
      <c r="AD850" s="245"/>
    </row>
    <row r="851" spans="1:30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  <c r="AA851" s="245"/>
      <c r="AB851" s="245"/>
      <c r="AC851" s="245"/>
      <c r="AD851" s="245"/>
    </row>
    <row r="852" spans="1:30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  <c r="AA852" s="245"/>
      <c r="AB852" s="245"/>
      <c r="AC852" s="245"/>
      <c r="AD852" s="245"/>
    </row>
    <row r="853" spans="1:30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  <c r="AA853" s="245"/>
      <c r="AB853" s="245"/>
      <c r="AC853" s="245"/>
      <c r="AD853" s="245"/>
    </row>
    <row r="854" spans="1:30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  <c r="AA854" s="245"/>
      <c r="AB854" s="245"/>
      <c r="AC854" s="245"/>
      <c r="AD854" s="245"/>
    </row>
    <row r="855" spans="1:30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  <c r="AA855" s="245"/>
      <c r="AB855" s="245"/>
      <c r="AC855" s="245"/>
      <c r="AD855" s="245"/>
    </row>
    <row r="856" spans="1:30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  <c r="AA856" s="245"/>
      <c r="AB856" s="245"/>
      <c r="AC856" s="245"/>
      <c r="AD856" s="245"/>
    </row>
    <row r="857" spans="1:30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  <c r="AA857" s="245"/>
      <c r="AB857" s="245"/>
      <c r="AC857" s="245"/>
      <c r="AD857" s="245"/>
    </row>
    <row r="858" spans="1:30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  <c r="AA858" s="245"/>
      <c r="AB858" s="245"/>
      <c r="AC858" s="245"/>
      <c r="AD858" s="245"/>
    </row>
    <row r="859" spans="1:30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  <c r="AA859" s="245"/>
      <c r="AB859" s="245"/>
      <c r="AC859" s="245"/>
      <c r="AD859" s="245"/>
    </row>
    <row r="860" spans="1:30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  <c r="AA860" s="245"/>
      <c r="AB860" s="245"/>
      <c r="AC860" s="245"/>
      <c r="AD860" s="245"/>
    </row>
    <row r="861" spans="1:30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</row>
    <row r="862" spans="1:30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  <c r="AA862" s="245"/>
      <c r="AB862" s="245"/>
      <c r="AC862" s="245"/>
      <c r="AD862" s="245"/>
    </row>
    <row r="863" spans="1:30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  <c r="AA863" s="245"/>
      <c r="AB863" s="245"/>
      <c r="AC863" s="245"/>
      <c r="AD863" s="245"/>
    </row>
    <row r="864" spans="1:30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  <c r="AA864" s="245"/>
      <c r="AB864" s="245"/>
      <c r="AC864" s="245"/>
      <c r="AD864" s="245"/>
    </row>
    <row r="865" spans="1:30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  <c r="AA865" s="245"/>
      <c r="AB865" s="245"/>
      <c r="AC865" s="245"/>
      <c r="AD865" s="245"/>
    </row>
    <row r="866" spans="1:30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  <c r="AA866" s="245"/>
      <c r="AB866" s="245"/>
      <c r="AC866" s="245"/>
      <c r="AD866" s="245"/>
    </row>
    <row r="867" spans="1:30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  <c r="AA867" s="245"/>
      <c r="AB867" s="245"/>
      <c r="AC867" s="245"/>
      <c r="AD867" s="245"/>
    </row>
    <row r="868" spans="1:30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  <c r="AA868" s="245"/>
      <c r="AB868" s="245"/>
      <c r="AC868" s="245"/>
      <c r="AD868" s="245"/>
    </row>
    <row r="869" spans="1:30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  <c r="AA869" s="245"/>
      <c r="AB869" s="245"/>
      <c r="AC869" s="245"/>
      <c r="AD869" s="245"/>
    </row>
    <row r="870" spans="1:30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  <c r="AA870" s="245"/>
      <c r="AB870" s="245"/>
      <c r="AC870" s="245"/>
      <c r="AD870" s="245"/>
    </row>
    <row r="871" spans="1:30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  <c r="AA871" s="245"/>
      <c r="AB871" s="245"/>
      <c r="AC871" s="245"/>
      <c r="AD871" s="245"/>
    </row>
    <row r="872" spans="1:30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  <c r="AA872" s="245"/>
      <c r="AB872" s="245"/>
      <c r="AC872" s="245"/>
      <c r="AD872" s="245"/>
    </row>
    <row r="873" spans="1:30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  <c r="AA873" s="245"/>
      <c r="AB873" s="245"/>
      <c r="AC873" s="245"/>
      <c r="AD873" s="245"/>
    </row>
    <row r="874" spans="1:30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  <c r="AA874" s="245"/>
      <c r="AB874" s="245"/>
      <c r="AC874" s="245"/>
      <c r="AD874" s="245"/>
    </row>
    <row r="875" spans="1:30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  <c r="AA875" s="245"/>
      <c r="AB875" s="245"/>
      <c r="AC875" s="245"/>
      <c r="AD875" s="245"/>
    </row>
    <row r="876" spans="1:30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  <c r="AA876" s="245"/>
      <c r="AB876" s="245"/>
      <c r="AC876" s="245"/>
      <c r="AD876" s="245"/>
    </row>
    <row r="877" spans="1:30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  <c r="AA877" s="245"/>
      <c r="AB877" s="245"/>
      <c r="AC877" s="245"/>
      <c r="AD877" s="245"/>
    </row>
    <row r="878" spans="1:30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  <c r="AA878" s="245"/>
      <c r="AB878" s="245"/>
      <c r="AC878" s="245"/>
      <c r="AD878" s="245"/>
    </row>
    <row r="879" spans="1:30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  <c r="AA879" s="245"/>
      <c r="AB879" s="245"/>
      <c r="AC879" s="245"/>
      <c r="AD879" s="245"/>
    </row>
    <row r="880" spans="1:30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  <c r="AA880" s="245"/>
      <c r="AB880" s="245"/>
      <c r="AC880" s="245"/>
      <c r="AD880" s="245"/>
    </row>
    <row r="881" spans="1:30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  <c r="AA881" s="245"/>
      <c r="AB881" s="245"/>
      <c r="AC881" s="245"/>
      <c r="AD881" s="245"/>
    </row>
    <row r="882" spans="1:30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  <c r="AA882" s="245"/>
      <c r="AB882" s="245"/>
      <c r="AC882" s="245"/>
      <c r="AD882" s="245"/>
    </row>
    <row r="883" spans="1:30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  <c r="AA883" s="245"/>
      <c r="AB883" s="245"/>
      <c r="AC883" s="245"/>
      <c r="AD883" s="245"/>
    </row>
    <row r="884" spans="1:30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  <c r="AA884" s="245"/>
      <c r="AB884" s="245"/>
      <c r="AC884" s="245"/>
      <c r="AD884" s="245"/>
    </row>
    <row r="885" spans="1:30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  <c r="AA885" s="245"/>
      <c r="AB885" s="245"/>
      <c r="AC885" s="245"/>
      <c r="AD885" s="245"/>
    </row>
    <row r="886" spans="1:30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  <c r="AA886" s="245"/>
      <c r="AB886" s="245"/>
      <c r="AC886" s="245"/>
      <c r="AD886" s="245"/>
    </row>
    <row r="887" spans="1:30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  <c r="AA887" s="245"/>
      <c r="AB887" s="245"/>
      <c r="AC887" s="245"/>
      <c r="AD887" s="245"/>
    </row>
    <row r="888" spans="1:30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  <c r="AA888" s="245"/>
      <c r="AB888" s="245"/>
      <c r="AC888" s="245"/>
      <c r="AD888" s="245"/>
    </row>
    <row r="889" spans="1:30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  <c r="AA889" s="245"/>
      <c r="AB889" s="245"/>
      <c r="AC889" s="245"/>
      <c r="AD889" s="245"/>
    </row>
    <row r="890" spans="1:30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  <c r="AA890" s="245"/>
      <c r="AB890" s="245"/>
      <c r="AC890" s="245"/>
      <c r="AD890" s="245"/>
    </row>
    <row r="891" spans="1:30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  <c r="AA891" s="245"/>
      <c r="AB891" s="245"/>
      <c r="AC891" s="245"/>
      <c r="AD891" s="245"/>
    </row>
    <row r="892" spans="1:30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  <c r="AA892" s="245"/>
      <c r="AB892" s="245"/>
      <c r="AC892" s="245"/>
      <c r="AD892" s="245"/>
    </row>
    <row r="893" spans="1:30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  <c r="AA893" s="245"/>
      <c r="AB893" s="245"/>
      <c r="AC893" s="245"/>
      <c r="AD893" s="245"/>
    </row>
    <row r="894" spans="1:30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  <c r="AA894" s="245"/>
      <c r="AB894" s="245"/>
      <c r="AC894" s="245"/>
      <c r="AD894" s="245"/>
    </row>
    <row r="895" spans="1:30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  <c r="AA895" s="245"/>
      <c r="AB895" s="245"/>
      <c r="AC895" s="245"/>
      <c r="AD895" s="245"/>
    </row>
    <row r="896" spans="1:30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  <c r="AA896" s="245"/>
      <c r="AB896" s="245"/>
      <c r="AC896" s="245"/>
      <c r="AD896" s="245"/>
    </row>
    <row r="897" spans="1:30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  <c r="AA897" s="245"/>
      <c r="AB897" s="245"/>
      <c r="AC897" s="245"/>
      <c r="AD897" s="245"/>
    </row>
    <row r="898" spans="1:30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  <c r="AA898" s="245"/>
      <c r="AB898" s="245"/>
      <c r="AC898" s="245"/>
      <c r="AD898" s="245"/>
    </row>
    <row r="899" spans="1:30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  <c r="AA899" s="245"/>
      <c r="AB899" s="245"/>
      <c r="AC899" s="245"/>
      <c r="AD899" s="245"/>
    </row>
    <row r="900" spans="1:30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  <c r="AA900" s="245"/>
      <c r="AB900" s="245"/>
      <c r="AC900" s="245"/>
      <c r="AD900" s="245"/>
    </row>
    <row r="901" spans="1:30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  <c r="AA901" s="245"/>
      <c r="AB901" s="245"/>
      <c r="AC901" s="245"/>
      <c r="AD901" s="245"/>
    </row>
    <row r="902" spans="1:30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  <c r="AA902" s="245"/>
      <c r="AB902" s="245"/>
      <c r="AC902" s="245"/>
      <c r="AD902" s="245"/>
    </row>
    <row r="903" spans="1:30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  <c r="AA903" s="245"/>
      <c r="AB903" s="245"/>
      <c r="AC903" s="245"/>
      <c r="AD903" s="245"/>
    </row>
    <row r="904" spans="1:30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  <c r="AA904" s="245"/>
      <c r="AB904" s="245"/>
      <c r="AC904" s="245"/>
      <c r="AD904" s="245"/>
    </row>
    <row r="905" spans="1:30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  <c r="AA905" s="245"/>
      <c r="AB905" s="245"/>
      <c r="AC905" s="245"/>
      <c r="AD905" s="245"/>
    </row>
    <row r="906" spans="1:30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  <c r="AA906" s="245"/>
      <c r="AB906" s="245"/>
      <c r="AC906" s="245"/>
      <c r="AD906" s="245"/>
    </row>
    <row r="907" spans="1:30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  <c r="AA907" s="245"/>
      <c r="AB907" s="245"/>
      <c r="AC907" s="245"/>
      <c r="AD907" s="245"/>
    </row>
    <row r="908" spans="1:30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  <c r="AA908" s="245"/>
      <c r="AB908" s="245"/>
      <c r="AC908" s="245"/>
      <c r="AD908" s="245"/>
    </row>
    <row r="909" spans="1:30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  <c r="AA909" s="245"/>
      <c r="AB909" s="245"/>
      <c r="AC909" s="245"/>
      <c r="AD909" s="245"/>
    </row>
    <row r="910" spans="1:30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  <c r="AA910" s="245"/>
      <c r="AB910" s="245"/>
      <c r="AC910" s="245"/>
      <c r="AD910" s="245"/>
    </row>
    <row r="911" spans="1:30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  <c r="AA911" s="245"/>
      <c r="AB911" s="245"/>
      <c r="AC911" s="245"/>
      <c r="AD911" s="245"/>
    </row>
    <row r="912" spans="1:30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  <c r="AA912" s="245"/>
      <c r="AB912" s="245"/>
      <c r="AC912" s="245"/>
      <c r="AD912" s="245"/>
    </row>
    <row r="913" spans="1:30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  <c r="AA913" s="245"/>
      <c r="AB913" s="245"/>
      <c r="AC913" s="245"/>
      <c r="AD913" s="245"/>
    </row>
    <row r="914" spans="1:30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  <c r="AA914" s="245"/>
      <c r="AB914" s="245"/>
      <c r="AC914" s="245"/>
      <c r="AD914" s="245"/>
    </row>
    <row r="915" spans="1:30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  <c r="AA915" s="245"/>
      <c r="AB915" s="245"/>
      <c r="AC915" s="245"/>
      <c r="AD915" s="245"/>
    </row>
    <row r="916" spans="1:30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  <c r="AA916" s="245"/>
      <c r="AB916" s="245"/>
      <c r="AC916" s="245"/>
      <c r="AD916" s="245"/>
    </row>
    <row r="917" spans="1:30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  <c r="AA917" s="245"/>
      <c r="AB917" s="245"/>
      <c r="AC917" s="245"/>
      <c r="AD917" s="245"/>
    </row>
    <row r="918" spans="1:30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</row>
    <row r="919" spans="1:30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  <c r="AA919" s="245"/>
      <c r="AB919" s="245"/>
      <c r="AC919" s="245"/>
      <c r="AD919" s="245"/>
    </row>
    <row r="920" spans="1:30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  <c r="AA920" s="245"/>
      <c r="AB920" s="245"/>
      <c r="AC920" s="245"/>
      <c r="AD920" s="245"/>
    </row>
    <row r="921" spans="1:30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  <c r="AA921" s="245"/>
      <c r="AB921" s="245"/>
      <c r="AC921" s="245"/>
      <c r="AD921" s="245"/>
    </row>
    <row r="922" spans="1:30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  <c r="AA922" s="245"/>
      <c r="AB922" s="245"/>
      <c r="AC922" s="245"/>
      <c r="AD922" s="245"/>
    </row>
    <row r="923" spans="1:30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  <c r="AA923" s="245"/>
      <c r="AB923" s="245"/>
      <c r="AC923" s="245"/>
      <c r="AD923" s="245"/>
    </row>
    <row r="924" spans="1:30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  <c r="AA924" s="245"/>
      <c r="AB924" s="245"/>
      <c r="AC924" s="245"/>
      <c r="AD924" s="245"/>
    </row>
    <row r="925" spans="1:30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  <c r="AA925" s="245"/>
      <c r="AB925" s="245"/>
      <c r="AC925" s="245"/>
      <c r="AD925" s="245"/>
    </row>
    <row r="926" spans="1:30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  <c r="AA926" s="245"/>
      <c r="AB926" s="245"/>
      <c r="AC926" s="245"/>
      <c r="AD926" s="245"/>
    </row>
    <row r="927" spans="1:30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  <c r="AA927" s="245"/>
      <c r="AB927" s="245"/>
      <c r="AC927" s="245"/>
      <c r="AD927" s="245"/>
    </row>
    <row r="928" spans="1:30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  <c r="AA928" s="245"/>
      <c r="AB928" s="245"/>
      <c r="AC928" s="245"/>
      <c r="AD928" s="245"/>
    </row>
    <row r="929" spans="1:30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  <c r="AA929" s="245"/>
      <c r="AB929" s="245"/>
      <c r="AC929" s="245"/>
      <c r="AD929" s="245"/>
    </row>
    <row r="930" spans="1:30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  <c r="AA930" s="245"/>
      <c r="AB930" s="245"/>
      <c r="AC930" s="245"/>
      <c r="AD930" s="245"/>
    </row>
    <row r="931" spans="1:30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  <c r="AA931" s="245"/>
      <c r="AB931" s="245"/>
      <c r="AC931" s="245"/>
      <c r="AD931" s="245"/>
    </row>
    <row r="932" spans="1:30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  <c r="AA932" s="245"/>
      <c r="AB932" s="245"/>
      <c r="AC932" s="245"/>
      <c r="AD932" s="245"/>
    </row>
    <row r="933" spans="1:30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  <c r="AA933" s="245"/>
      <c r="AB933" s="245"/>
      <c r="AC933" s="245"/>
      <c r="AD933" s="245"/>
    </row>
    <row r="934" spans="1:30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  <c r="AA934" s="245"/>
      <c r="AB934" s="245"/>
      <c r="AC934" s="245"/>
      <c r="AD934" s="245"/>
    </row>
    <row r="935" spans="1:30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  <c r="AA935" s="245"/>
      <c r="AB935" s="245"/>
      <c r="AC935" s="245"/>
      <c r="AD935" s="245"/>
    </row>
    <row r="936" spans="1:30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  <c r="AA936" s="245"/>
      <c r="AB936" s="245"/>
      <c r="AC936" s="245"/>
      <c r="AD936" s="245"/>
    </row>
    <row r="937" spans="1:30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  <c r="AA937" s="245"/>
      <c r="AB937" s="245"/>
      <c r="AC937" s="245"/>
      <c r="AD937" s="245"/>
    </row>
    <row r="938" spans="1:30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  <c r="AA938" s="245"/>
      <c r="AB938" s="245"/>
      <c r="AC938" s="245"/>
      <c r="AD938" s="245"/>
    </row>
    <row r="939" spans="1:30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  <c r="AA939" s="245"/>
      <c r="AB939" s="245"/>
      <c r="AC939" s="245"/>
      <c r="AD939" s="245"/>
    </row>
    <row r="940" spans="1:30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  <c r="AA940" s="245"/>
      <c r="AB940" s="245"/>
      <c r="AC940" s="245"/>
      <c r="AD940" s="245"/>
    </row>
    <row r="941" spans="1:30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  <c r="AA941" s="245"/>
      <c r="AB941" s="245"/>
      <c r="AC941" s="245"/>
      <c r="AD941" s="245"/>
    </row>
    <row r="942" spans="1:30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  <c r="AA942" s="245"/>
      <c r="AB942" s="245"/>
      <c r="AC942" s="245"/>
      <c r="AD942" s="245"/>
    </row>
    <row r="943" spans="1:30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  <c r="AA943" s="245"/>
      <c r="AB943" s="245"/>
      <c r="AC943" s="245"/>
      <c r="AD943" s="245"/>
    </row>
    <row r="944" spans="1:30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  <c r="AA944" s="245"/>
      <c r="AB944" s="245"/>
      <c r="AC944" s="245"/>
      <c r="AD944" s="245"/>
    </row>
    <row r="945" spans="1:30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  <c r="AA945" s="245"/>
      <c r="AB945" s="245"/>
      <c r="AC945" s="245"/>
      <c r="AD945" s="245"/>
    </row>
    <row r="946" spans="1:30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  <c r="AA946" s="245"/>
      <c r="AB946" s="245"/>
      <c r="AC946" s="245"/>
      <c r="AD946" s="245"/>
    </row>
    <row r="947" spans="1:30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  <c r="AA947" s="245"/>
      <c r="AB947" s="245"/>
      <c r="AC947" s="245"/>
      <c r="AD947" s="245"/>
    </row>
    <row r="948" spans="1:30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  <c r="AA948" s="245"/>
      <c r="AB948" s="245"/>
      <c r="AC948" s="245"/>
      <c r="AD948" s="245"/>
    </row>
    <row r="949" spans="1:30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  <c r="AA949" s="245"/>
      <c r="AB949" s="245"/>
      <c r="AC949" s="245"/>
      <c r="AD949" s="245"/>
    </row>
    <row r="950" spans="1:30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  <c r="AA950" s="245"/>
      <c r="AB950" s="245"/>
      <c r="AC950" s="245"/>
      <c r="AD950" s="245"/>
    </row>
    <row r="951" spans="1:30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  <c r="AA951" s="245"/>
      <c r="AB951" s="245"/>
      <c r="AC951" s="245"/>
      <c r="AD951" s="245"/>
    </row>
    <row r="952" spans="1:30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  <c r="AA952" s="245"/>
      <c r="AB952" s="245"/>
      <c r="AC952" s="245"/>
      <c r="AD952" s="245"/>
    </row>
    <row r="953" spans="1:30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  <c r="AA953" s="245"/>
      <c r="AB953" s="245"/>
      <c r="AC953" s="245"/>
      <c r="AD953" s="245"/>
    </row>
    <row r="954" spans="1:30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  <c r="AA954" s="245"/>
      <c r="AB954" s="245"/>
      <c r="AC954" s="245"/>
      <c r="AD954" s="245"/>
    </row>
    <row r="955" spans="1:30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  <c r="AA955" s="245"/>
      <c r="AB955" s="245"/>
      <c r="AC955" s="245"/>
      <c r="AD955" s="245"/>
    </row>
    <row r="956" spans="1:30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  <c r="AA956" s="245"/>
      <c r="AB956" s="245"/>
      <c r="AC956" s="245"/>
      <c r="AD956" s="245"/>
    </row>
    <row r="957" spans="1:30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  <c r="AA957" s="245"/>
      <c r="AB957" s="245"/>
      <c r="AC957" s="245"/>
      <c r="AD957" s="245"/>
    </row>
    <row r="958" spans="1:30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  <c r="AA958" s="245"/>
      <c r="AB958" s="245"/>
      <c r="AC958" s="245"/>
      <c r="AD958" s="245"/>
    </row>
    <row r="959" spans="1:30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  <c r="AA959" s="245"/>
      <c r="AB959" s="245"/>
      <c r="AC959" s="245"/>
      <c r="AD959" s="245"/>
    </row>
    <row r="960" spans="1:30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  <c r="AA960" s="245"/>
      <c r="AB960" s="245"/>
      <c r="AC960" s="245"/>
      <c r="AD960" s="245"/>
    </row>
    <row r="961" spans="1:30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  <c r="AA961" s="245"/>
      <c r="AB961" s="245"/>
      <c r="AC961" s="245"/>
      <c r="AD961" s="245"/>
    </row>
    <row r="962" spans="1:30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  <c r="AA962" s="245"/>
      <c r="AB962" s="245"/>
      <c r="AC962" s="245"/>
      <c r="AD962" s="245"/>
    </row>
    <row r="963" spans="1:30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  <c r="AA963" s="245"/>
      <c r="AB963" s="245"/>
      <c r="AC963" s="245"/>
      <c r="AD963" s="245"/>
    </row>
    <row r="964" spans="1:30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  <c r="AA964" s="245"/>
      <c r="AB964" s="245"/>
      <c r="AC964" s="245"/>
      <c r="AD964" s="245"/>
    </row>
    <row r="965" spans="1:30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  <c r="AA965" s="245"/>
      <c r="AB965" s="245"/>
      <c r="AC965" s="245"/>
      <c r="AD965" s="245"/>
    </row>
    <row r="966" spans="1:30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  <c r="AA966" s="245"/>
      <c r="AB966" s="245"/>
      <c r="AC966" s="245"/>
      <c r="AD966" s="245"/>
    </row>
    <row r="967" spans="1:30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  <c r="AA967" s="245"/>
      <c r="AB967" s="245"/>
      <c r="AC967" s="245"/>
      <c r="AD967" s="245"/>
    </row>
    <row r="968" spans="1:30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  <c r="AA968" s="245"/>
      <c r="AB968" s="245"/>
      <c r="AC968" s="245"/>
      <c r="AD968" s="245"/>
    </row>
    <row r="969" spans="1:30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  <c r="AA969" s="245"/>
      <c r="AB969" s="245"/>
      <c r="AC969" s="245"/>
      <c r="AD969" s="245"/>
    </row>
    <row r="970" spans="1:30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</row>
    <row r="971" spans="1:30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  <c r="AA971" s="245"/>
      <c r="AB971" s="245"/>
      <c r="AC971" s="245"/>
      <c r="AD971" s="245"/>
    </row>
    <row r="972" spans="1:30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  <c r="AA972" s="245"/>
      <c r="AB972" s="245"/>
      <c r="AC972" s="245"/>
      <c r="AD972" s="245"/>
    </row>
    <row r="973" spans="1:30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  <c r="AA973" s="245"/>
      <c r="AB973" s="245"/>
      <c r="AC973" s="245"/>
      <c r="AD973" s="245"/>
    </row>
    <row r="974" spans="1:30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  <c r="AA974" s="245"/>
      <c r="AB974" s="245"/>
      <c r="AC974" s="245"/>
      <c r="AD974" s="245"/>
    </row>
    <row r="975" spans="1:30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  <c r="AA975" s="245"/>
      <c r="AB975" s="245"/>
      <c r="AC975" s="245"/>
      <c r="AD975" s="245"/>
    </row>
    <row r="976" spans="1:30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  <c r="AA976" s="245"/>
      <c r="AB976" s="245"/>
      <c r="AC976" s="245"/>
      <c r="AD976" s="245"/>
    </row>
    <row r="977" spans="1:30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  <c r="AA977" s="245"/>
      <c r="AB977" s="245"/>
      <c r="AC977" s="245"/>
      <c r="AD977" s="245"/>
    </row>
    <row r="978" spans="1:30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  <c r="AA978" s="245"/>
      <c r="AB978" s="245"/>
      <c r="AC978" s="245"/>
      <c r="AD978" s="245"/>
    </row>
    <row r="979" spans="1:30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  <c r="AA979" s="245"/>
      <c r="AB979" s="245"/>
      <c r="AC979" s="245"/>
      <c r="AD979" s="245"/>
    </row>
    <row r="980" spans="1:30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  <c r="AA980" s="245"/>
      <c r="AB980" s="245"/>
      <c r="AC980" s="245"/>
      <c r="AD980" s="245"/>
    </row>
    <row r="981" spans="1:30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  <c r="AA981" s="245"/>
      <c r="AB981" s="245"/>
      <c r="AC981" s="245"/>
      <c r="AD981" s="245"/>
    </row>
    <row r="982" spans="1:30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  <c r="AA982" s="245"/>
      <c r="AB982" s="245"/>
      <c r="AC982" s="245"/>
      <c r="AD982" s="245"/>
    </row>
    <row r="983" spans="1:30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  <c r="AA983" s="245"/>
      <c r="AB983" s="245"/>
      <c r="AC983" s="245"/>
      <c r="AD983" s="245"/>
    </row>
    <row r="984" spans="1:30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  <c r="AA984" s="245"/>
      <c r="AB984" s="245"/>
      <c r="AC984" s="245"/>
      <c r="AD984" s="245"/>
    </row>
    <row r="985" spans="1:30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  <c r="AA985" s="245"/>
      <c r="AB985" s="245"/>
      <c r="AC985" s="245"/>
      <c r="AD985" s="245"/>
    </row>
    <row r="986" spans="1:30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  <c r="AA986" s="245"/>
      <c r="AB986" s="245"/>
      <c r="AC986" s="245"/>
      <c r="AD986" s="245"/>
    </row>
    <row r="987" spans="1:30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  <c r="AA987" s="245"/>
      <c r="AB987" s="245"/>
      <c r="AC987" s="245"/>
      <c r="AD987" s="245"/>
    </row>
    <row r="988" spans="1:30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  <c r="AA988" s="245"/>
      <c r="AB988" s="245"/>
      <c r="AC988" s="245"/>
      <c r="AD988" s="245"/>
    </row>
    <row r="989" spans="1:30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  <c r="AA989" s="245"/>
      <c r="AB989" s="245"/>
      <c r="AC989" s="245"/>
      <c r="AD989" s="245"/>
    </row>
    <row r="990" spans="1:30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  <c r="AA990" s="245"/>
      <c r="AB990" s="245"/>
      <c r="AC990" s="245"/>
      <c r="AD990" s="245"/>
    </row>
    <row r="991" spans="1:30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  <c r="AA991" s="245"/>
      <c r="AB991" s="245"/>
      <c r="AC991" s="245"/>
      <c r="AD991" s="245"/>
    </row>
    <row r="992" spans="1:30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  <c r="AA992" s="245"/>
      <c r="AB992" s="245"/>
      <c r="AC992" s="245"/>
      <c r="AD992" s="245"/>
    </row>
    <row r="993" spans="1:30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  <c r="AA993" s="245"/>
      <c r="AB993" s="245"/>
      <c r="AC993" s="245"/>
      <c r="AD993" s="245"/>
    </row>
    <row r="994" spans="1:30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  <c r="AA994" s="245"/>
      <c r="AB994" s="245"/>
      <c r="AC994" s="245"/>
      <c r="AD994" s="245"/>
    </row>
    <row r="995" spans="1:30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  <c r="AA995" s="245"/>
      <c r="AB995" s="245"/>
      <c r="AC995" s="245"/>
      <c r="AD995" s="245"/>
    </row>
    <row r="996" spans="1:30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  <c r="AA996" s="245"/>
      <c r="AB996" s="245"/>
      <c r="AC996" s="245"/>
      <c r="AD996" s="245"/>
    </row>
    <row r="997" spans="1:30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  <c r="AA997" s="245"/>
      <c r="AB997" s="245"/>
      <c r="AC997" s="245"/>
      <c r="AD997" s="245"/>
    </row>
    <row r="998" spans="1:30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  <c r="AA998" s="245"/>
      <c r="AB998" s="245"/>
      <c r="AC998" s="245"/>
      <c r="AD998" s="245"/>
    </row>
    <row r="999" spans="1:30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  <c r="AA999" s="245"/>
      <c r="AB999" s="245"/>
      <c r="AC999" s="245"/>
      <c r="AD999" s="245"/>
    </row>
    <row r="1000" spans="1:30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  <c r="AA1000" s="245"/>
      <c r="AB1000" s="245"/>
      <c r="AC1000" s="245"/>
      <c r="AD1000" s="245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L1675"/>
  <sheetViews>
    <sheetView workbookViewId="0">
      <selection activeCell="A5" sqref="A5"/>
    </sheetView>
  </sheetViews>
  <sheetFormatPr defaultColWidth="12.5703125" defaultRowHeight="15" customHeight="1"/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55"/>
      <c r="C2" s="1"/>
      <c r="D2" s="1"/>
      <c r="E2" s="255"/>
      <c r="F2" s="1"/>
      <c r="G2" s="1"/>
      <c r="H2" s="1"/>
      <c r="I2" s="1"/>
      <c r="K2" s="1"/>
      <c r="L2" s="1"/>
    </row>
    <row r="3" spans="1:12">
      <c r="A3" s="1"/>
      <c r="B3" s="255"/>
      <c r="C3" s="1"/>
      <c r="D3" s="1"/>
      <c r="E3" s="255"/>
      <c r="F3" s="1"/>
      <c r="G3" s="1"/>
      <c r="H3" s="1"/>
      <c r="I3" s="1"/>
      <c r="K3" s="1"/>
      <c r="L3" s="1"/>
    </row>
    <row r="4" spans="1:12">
      <c r="A4" s="1"/>
      <c r="B4" s="255"/>
      <c r="C4" s="1"/>
      <c r="D4" s="1"/>
      <c r="E4" s="255"/>
      <c r="F4" s="1"/>
      <c r="G4" s="1"/>
      <c r="H4" s="1"/>
      <c r="I4" s="1"/>
      <c r="K4" s="1"/>
      <c r="L4" s="1"/>
    </row>
    <row r="5" spans="1:12">
      <c r="A5" s="1"/>
      <c r="B5" s="255"/>
      <c r="C5" s="1"/>
      <c r="D5" s="1"/>
      <c r="E5" s="255"/>
      <c r="F5" s="1"/>
      <c r="G5" s="1"/>
      <c r="H5" s="1"/>
      <c r="I5" s="1"/>
      <c r="K5" s="1"/>
      <c r="L5" s="1"/>
    </row>
    <row r="6" spans="1:12">
      <c r="A6" s="1"/>
      <c r="B6" s="255"/>
      <c r="C6" s="1"/>
      <c r="D6" s="1"/>
      <c r="E6" s="255"/>
      <c r="F6" s="1"/>
      <c r="G6" s="1"/>
      <c r="H6" s="1"/>
      <c r="I6" s="1"/>
      <c r="K6" s="1"/>
      <c r="L6" s="1"/>
    </row>
    <row r="7" spans="1:12">
      <c r="A7" s="1"/>
      <c r="B7" s="255"/>
      <c r="C7" s="1"/>
      <c r="D7" s="1"/>
      <c r="E7" s="255"/>
      <c r="F7" s="1"/>
      <c r="G7" s="1"/>
      <c r="H7" s="1"/>
      <c r="I7" s="1"/>
      <c r="K7" s="1"/>
      <c r="L7" s="1"/>
    </row>
    <row r="8" spans="1:12">
      <c r="A8" s="1"/>
      <c r="B8" s="255"/>
      <c r="C8" s="1"/>
      <c r="D8" s="1"/>
      <c r="E8" s="255"/>
      <c r="F8" s="1"/>
      <c r="G8" s="1"/>
      <c r="H8" s="1"/>
      <c r="I8" s="1"/>
      <c r="K8" s="1"/>
      <c r="L8" s="1"/>
    </row>
    <row r="9" spans="1:12">
      <c r="A9" s="1"/>
      <c r="B9" s="255"/>
      <c r="C9" s="1"/>
      <c r="D9" s="1"/>
      <c r="E9" s="255"/>
      <c r="F9" s="1"/>
      <c r="G9" s="1"/>
      <c r="H9" s="1"/>
      <c r="I9" s="1"/>
      <c r="K9" s="1"/>
      <c r="L9" s="1"/>
    </row>
    <row r="10" spans="1:12">
      <c r="A10" s="1"/>
      <c r="B10" s="255"/>
      <c r="C10" s="1"/>
      <c r="D10" s="1"/>
      <c r="E10" s="255"/>
      <c r="F10" s="1"/>
      <c r="G10" s="1"/>
      <c r="H10" s="1"/>
      <c r="I10" s="1"/>
      <c r="K10" s="1"/>
      <c r="L10" s="1"/>
    </row>
    <row r="11" spans="1:12">
      <c r="A11" s="1"/>
      <c r="B11" s="255"/>
      <c r="C11" s="1"/>
      <c r="D11" s="1"/>
      <c r="E11" s="255"/>
      <c r="F11" s="1"/>
      <c r="G11" s="1"/>
      <c r="H11" s="1"/>
      <c r="I11" s="1"/>
      <c r="K11" s="1"/>
      <c r="L11" s="1"/>
    </row>
    <row r="12" spans="1:12">
      <c r="A12" s="1"/>
      <c r="B12" s="255"/>
      <c r="C12" s="1"/>
      <c r="D12" s="1"/>
      <c r="E12" s="255"/>
      <c r="F12" s="1"/>
      <c r="G12" s="1"/>
      <c r="H12" s="1"/>
      <c r="I12" s="1"/>
      <c r="K12" s="1"/>
      <c r="L12" s="1"/>
    </row>
    <row r="13" spans="1:12">
      <c r="A13" s="1"/>
      <c r="B13" s="255"/>
      <c r="C13" s="1"/>
      <c r="D13" s="1"/>
      <c r="E13" s="255"/>
      <c r="F13" s="1"/>
      <c r="G13" s="1"/>
      <c r="H13" s="1"/>
      <c r="I13" s="1"/>
      <c r="K13" s="1"/>
      <c r="L13" s="1"/>
    </row>
    <row r="14" spans="1:12">
      <c r="A14" s="1"/>
      <c r="B14" s="255"/>
      <c r="C14" s="1"/>
      <c r="D14" s="256"/>
      <c r="E14" s="255"/>
      <c r="F14" s="1"/>
      <c r="G14" s="1"/>
      <c r="H14" s="1"/>
      <c r="I14" s="1"/>
      <c r="K14" s="1"/>
      <c r="L14" s="1"/>
    </row>
    <row r="15" spans="1:12">
      <c r="A15" s="1"/>
      <c r="B15" s="255"/>
      <c r="C15" s="1"/>
      <c r="D15" s="256"/>
      <c r="E15" s="255"/>
      <c r="F15" s="1"/>
      <c r="G15" s="1"/>
      <c r="H15" s="1"/>
      <c r="I15" s="1"/>
      <c r="K15" s="1"/>
      <c r="L15" s="1"/>
    </row>
    <row r="16" spans="1:12">
      <c r="A16" s="1"/>
      <c r="B16" s="255"/>
      <c r="C16" s="1"/>
      <c r="D16" s="256"/>
      <c r="E16" s="255"/>
      <c r="F16" s="1"/>
      <c r="G16" s="1"/>
      <c r="H16" s="1"/>
      <c r="I16" s="1"/>
      <c r="K16" s="1"/>
      <c r="L16" s="1"/>
    </row>
    <row r="17" spans="1:12">
      <c r="A17" s="1"/>
      <c r="B17" s="255"/>
      <c r="C17" s="1"/>
      <c r="D17" s="256"/>
      <c r="E17" s="255"/>
      <c r="F17" s="1"/>
      <c r="G17" s="1"/>
      <c r="H17" s="1"/>
      <c r="I17" s="1"/>
      <c r="K17" s="1"/>
      <c r="L17" s="1"/>
    </row>
    <row r="18" spans="1:12">
      <c r="A18" s="1"/>
      <c r="B18" s="255"/>
      <c r="C18" s="1"/>
      <c r="D18" s="1"/>
      <c r="E18" s="255"/>
      <c r="F18" s="1"/>
      <c r="G18" s="1"/>
      <c r="H18" s="1"/>
      <c r="I18" s="1"/>
      <c r="K18" s="1"/>
      <c r="L18" s="1"/>
    </row>
    <row r="19" spans="1:12">
      <c r="A19" s="1"/>
      <c r="B19" s="255"/>
      <c r="C19" s="1"/>
      <c r="D19" s="1"/>
      <c r="E19" s="255"/>
      <c r="F19" s="1"/>
      <c r="G19" s="1"/>
      <c r="H19" s="1"/>
      <c r="I19" s="1"/>
      <c r="K19" s="1"/>
      <c r="L19" s="1"/>
    </row>
    <row r="20" spans="1:12">
      <c r="A20" s="1"/>
      <c r="B20" s="255"/>
      <c r="C20" s="1"/>
      <c r="D20" s="1"/>
      <c r="E20" s="255"/>
      <c r="F20" s="1"/>
      <c r="G20" s="1"/>
      <c r="H20" s="1"/>
      <c r="I20" s="1"/>
      <c r="K20" s="1"/>
      <c r="L20" s="1"/>
    </row>
    <row r="21" spans="1:12">
      <c r="A21" s="1"/>
      <c r="B21" s="255"/>
      <c r="C21" s="1"/>
      <c r="D21" s="1"/>
      <c r="E21" s="255"/>
      <c r="F21" s="1"/>
      <c r="G21" s="1"/>
      <c r="H21" s="1"/>
      <c r="I21" s="1"/>
      <c r="K21" s="1"/>
      <c r="L21" s="1"/>
    </row>
    <row r="22" spans="1:12">
      <c r="A22" s="1"/>
      <c r="B22" s="255"/>
      <c r="C22" s="1"/>
      <c r="D22" s="1"/>
      <c r="E22" s="255"/>
      <c r="F22" s="1"/>
      <c r="G22" s="1"/>
      <c r="H22" s="1"/>
      <c r="I22" s="1"/>
      <c r="K22" s="1"/>
      <c r="L22" s="1"/>
    </row>
    <row r="23" spans="1:12">
      <c r="A23" s="1"/>
      <c r="B23" s="255"/>
      <c r="C23" s="1"/>
      <c r="D23" s="1"/>
      <c r="E23" s="255"/>
      <c r="F23" s="1"/>
      <c r="G23" s="1"/>
      <c r="H23" s="1"/>
      <c r="I23" s="1"/>
      <c r="K23" s="1"/>
      <c r="L23" s="1"/>
    </row>
    <row r="24" spans="1:12">
      <c r="A24" s="1"/>
      <c r="B24" s="255"/>
      <c r="C24" s="1"/>
      <c r="D24" s="1"/>
      <c r="E24" s="255"/>
      <c r="F24" s="1"/>
      <c r="G24" s="1"/>
      <c r="H24" s="1"/>
      <c r="I24" s="1"/>
      <c r="K24" s="1"/>
      <c r="L24" s="1"/>
    </row>
    <row r="25" spans="1:12">
      <c r="A25" s="1"/>
      <c r="B25" s="255"/>
      <c r="C25" s="1"/>
      <c r="D25" s="1"/>
      <c r="E25" s="255"/>
      <c r="F25" s="1"/>
      <c r="G25" s="1"/>
      <c r="H25" s="1"/>
      <c r="I25" s="1"/>
      <c r="K25" s="1"/>
      <c r="L25" s="1"/>
    </row>
    <row r="26" spans="1:12">
      <c r="A26" s="1"/>
      <c r="B26" s="255"/>
      <c r="C26" s="1"/>
      <c r="D26" s="1"/>
      <c r="E26" s="255"/>
      <c r="F26" s="1"/>
      <c r="G26" s="1"/>
      <c r="H26" s="1"/>
      <c r="I26" s="1"/>
      <c r="K26" s="1"/>
      <c r="L26" s="1"/>
    </row>
    <row r="27" spans="1:12">
      <c r="A27" s="1"/>
      <c r="B27" s="255"/>
      <c r="C27" s="1"/>
      <c r="D27" s="1"/>
      <c r="E27" s="255"/>
      <c r="F27" s="1"/>
      <c r="G27" s="1"/>
      <c r="H27" s="1"/>
      <c r="I27" s="1"/>
      <c r="K27" s="1"/>
      <c r="L27" s="1"/>
    </row>
    <row r="28" spans="1:12">
      <c r="A28" s="1"/>
      <c r="B28" s="255"/>
      <c r="C28" s="1"/>
      <c r="D28" s="1"/>
      <c r="E28" s="255"/>
      <c r="F28" s="1"/>
      <c r="G28" s="1"/>
      <c r="H28" s="1"/>
      <c r="I28" s="1"/>
      <c r="K28" s="1"/>
      <c r="L28" s="1"/>
    </row>
    <row r="29" spans="1:12">
      <c r="A29" s="1"/>
      <c r="B29" s="255"/>
      <c r="C29" s="1"/>
      <c r="D29" s="1"/>
      <c r="E29" s="255"/>
      <c r="F29" s="1"/>
      <c r="G29" s="1"/>
      <c r="H29" s="1"/>
      <c r="I29" s="1"/>
      <c r="K29" s="1"/>
      <c r="L29" s="1"/>
    </row>
    <row r="30" spans="1:12">
      <c r="A30" s="1"/>
      <c r="B30" s="255"/>
      <c r="C30" s="1"/>
      <c r="D30" s="1"/>
      <c r="E30" s="255"/>
      <c r="F30" s="1"/>
      <c r="G30" s="1"/>
      <c r="H30" s="1"/>
      <c r="I30" s="1"/>
      <c r="K30" s="1"/>
      <c r="L30" s="1"/>
    </row>
    <row r="31" spans="1:12">
      <c r="A31" s="1"/>
      <c r="B31" s="255"/>
      <c r="C31" s="1"/>
      <c r="D31" s="1"/>
      <c r="E31" s="255"/>
      <c r="F31" s="1"/>
      <c r="G31" s="1"/>
      <c r="H31" s="1"/>
      <c r="I31" s="1"/>
      <c r="K31" s="1"/>
      <c r="L31" s="1"/>
    </row>
    <row r="32" spans="1:12">
      <c r="A32" s="1"/>
      <c r="B32" s="255"/>
      <c r="C32" s="1"/>
      <c r="D32" s="256"/>
      <c r="E32" s="255"/>
      <c r="F32" s="1"/>
      <c r="G32" s="1"/>
      <c r="H32" s="1"/>
      <c r="I32" s="1"/>
      <c r="K32" s="1"/>
      <c r="L32" s="1"/>
    </row>
    <row r="33" spans="1:12">
      <c r="A33" s="1"/>
      <c r="B33" s="255"/>
      <c r="C33" s="1"/>
      <c r="D33" s="256"/>
      <c r="E33" s="255"/>
      <c r="F33" s="1"/>
      <c r="G33" s="1"/>
      <c r="H33" s="1"/>
      <c r="I33" s="1"/>
      <c r="K33" s="1"/>
      <c r="L33" s="1"/>
    </row>
    <row r="34" spans="1:12">
      <c r="A34" s="1"/>
      <c r="B34" s="255"/>
      <c r="C34" s="1"/>
      <c r="D34" s="256"/>
      <c r="E34" s="255"/>
      <c r="F34" s="1"/>
      <c r="G34" s="1"/>
      <c r="H34" s="1"/>
      <c r="I34" s="1"/>
      <c r="K34" s="1"/>
      <c r="L34" s="1"/>
    </row>
    <row r="35" spans="1:12">
      <c r="A35" s="1"/>
      <c r="B35" s="255"/>
      <c r="C35" s="1"/>
      <c r="D35" s="256"/>
      <c r="E35" s="255"/>
      <c r="F35" s="1"/>
      <c r="G35" s="1"/>
      <c r="H35" s="1"/>
      <c r="I35" s="1"/>
      <c r="K35" s="1"/>
      <c r="L35" s="1"/>
    </row>
    <row r="36" spans="1:12">
      <c r="A36" s="1"/>
      <c r="B36" s="255"/>
      <c r="C36" s="1"/>
      <c r="D36" s="1"/>
      <c r="E36" s="255"/>
      <c r="F36" s="1"/>
      <c r="G36" s="1"/>
      <c r="H36" s="1"/>
      <c r="I36" s="1"/>
      <c r="K36" s="1"/>
      <c r="L36" s="1"/>
    </row>
    <row r="37" spans="1:12">
      <c r="A37" s="1"/>
      <c r="B37" s="255"/>
      <c r="C37" s="1"/>
      <c r="D37" s="1"/>
      <c r="E37" s="255"/>
      <c r="F37" s="1"/>
      <c r="G37" s="1"/>
      <c r="H37" s="1"/>
      <c r="I37" s="1"/>
      <c r="K37" s="1"/>
      <c r="L37" s="1"/>
    </row>
    <row r="38" spans="1:12">
      <c r="A38" s="1"/>
      <c r="B38" s="255"/>
      <c r="C38" s="1"/>
      <c r="D38" s="1"/>
      <c r="E38" s="255"/>
      <c r="F38" s="1"/>
      <c r="G38" s="1"/>
      <c r="H38" s="1"/>
      <c r="I38" s="1"/>
      <c r="K38" s="1"/>
      <c r="L38" s="1"/>
    </row>
    <row r="39" spans="1:12">
      <c r="A39" s="1"/>
      <c r="B39" s="255"/>
      <c r="C39" s="1"/>
      <c r="D39" s="1"/>
      <c r="E39" s="255"/>
      <c r="F39" s="1"/>
      <c r="G39" s="1"/>
      <c r="H39" s="1"/>
      <c r="I39" s="1"/>
      <c r="K39" s="1"/>
      <c r="L39" s="1"/>
    </row>
    <row r="40" spans="1:12">
      <c r="A40" s="1"/>
      <c r="B40" s="255"/>
      <c r="C40" s="1"/>
      <c r="D40" s="1"/>
      <c r="E40" s="255"/>
      <c r="F40" s="1"/>
      <c r="G40" s="1"/>
      <c r="H40" s="1"/>
      <c r="I40" s="1"/>
      <c r="K40" s="1"/>
      <c r="L40" s="1"/>
    </row>
    <row r="41" spans="1:12">
      <c r="A41" s="1"/>
      <c r="B41" s="255"/>
      <c r="C41" s="1"/>
      <c r="D41" s="1"/>
      <c r="E41" s="255"/>
      <c r="F41" s="1"/>
      <c r="G41" s="1"/>
      <c r="H41" s="1"/>
      <c r="I41" s="1"/>
      <c r="K41" s="1"/>
      <c r="L41" s="1"/>
    </row>
    <row r="42" spans="1:12">
      <c r="A42" s="1"/>
      <c r="B42" s="255"/>
      <c r="C42" s="1"/>
      <c r="D42" s="1"/>
      <c r="E42" s="255"/>
      <c r="F42" s="1"/>
      <c r="G42" s="1"/>
      <c r="H42" s="1"/>
      <c r="I42" s="1"/>
      <c r="K42" s="1"/>
      <c r="L42" s="1"/>
    </row>
    <row r="43" spans="1:12">
      <c r="A43" s="1"/>
      <c r="B43" s="255"/>
      <c r="C43" s="1"/>
      <c r="D43" s="1"/>
      <c r="E43" s="255"/>
      <c r="F43" s="1"/>
      <c r="G43" s="1"/>
      <c r="H43" s="1"/>
      <c r="I43" s="1"/>
      <c r="K43" s="1"/>
      <c r="L43" s="1"/>
    </row>
    <row r="44" spans="1:12">
      <c r="A44" s="1"/>
      <c r="B44" s="255"/>
      <c r="C44" s="1"/>
      <c r="D44" s="1"/>
      <c r="E44" s="255"/>
      <c r="F44" s="1"/>
      <c r="G44" s="1"/>
      <c r="H44" s="1"/>
      <c r="I44" s="1"/>
      <c r="K44" s="1"/>
      <c r="L44" s="1"/>
    </row>
    <row r="45" spans="1:12">
      <c r="A45" s="1"/>
      <c r="B45" s="255"/>
      <c r="C45" s="1"/>
      <c r="D45" s="1"/>
      <c r="E45" s="255"/>
      <c r="F45" s="1"/>
      <c r="G45" s="1"/>
      <c r="H45" s="1"/>
      <c r="I45" s="1"/>
      <c r="K45" s="1"/>
      <c r="L45" s="1"/>
    </row>
    <row r="46" spans="1:12">
      <c r="A46" s="1"/>
      <c r="B46" s="255"/>
      <c r="C46" s="1"/>
      <c r="D46" s="1"/>
      <c r="E46" s="255"/>
      <c r="F46" s="1"/>
      <c r="G46" s="1"/>
      <c r="H46" s="1"/>
      <c r="I46" s="1"/>
      <c r="K46" s="1"/>
      <c r="L46" s="1"/>
    </row>
    <row r="47" spans="1:12">
      <c r="A47" s="1"/>
      <c r="B47" s="255"/>
      <c r="C47" s="1"/>
      <c r="D47" s="1"/>
      <c r="E47" s="255"/>
      <c r="F47" s="1"/>
      <c r="G47" s="1"/>
      <c r="H47" s="1"/>
      <c r="I47" s="1"/>
      <c r="K47" s="1"/>
      <c r="L47" s="1"/>
    </row>
    <row r="48" spans="1:12">
      <c r="A48" s="1"/>
      <c r="B48" s="255"/>
      <c r="C48" s="1"/>
      <c r="D48" s="1"/>
      <c r="E48" s="255"/>
      <c r="F48" s="1"/>
      <c r="G48" s="1"/>
      <c r="H48" s="1"/>
      <c r="I48" s="1"/>
      <c r="K48" s="1"/>
      <c r="L48" s="1"/>
    </row>
    <row r="49" spans="1:12">
      <c r="A49" s="1"/>
      <c r="B49" s="255"/>
      <c r="C49" s="1"/>
      <c r="D49" s="1"/>
      <c r="E49" s="255"/>
      <c r="F49" s="1"/>
      <c r="G49" s="1"/>
      <c r="H49" s="1"/>
      <c r="I49" s="1"/>
      <c r="K49" s="1"/>
      <c r="L49" s="1"/>
    </row>
    <row r="50" spans="1:12">
      <c r="A50" s="1"/>
      <c r="B50" s="255"/>
      <c r="C50" s="1"/>
      <c r="D50" s="256"/>
      <c r="E50" s="255"/>
      <c r="F50" s="1"/>
      <c r="G50" s="1"/>
      <c r="H50" s="1"/>
      <c r="I50" s="1"/>
      <c r="K50" s="1"/>
      <c r="L50" s="1"/>
    </row>
    <row r="51" spans="1:12">
      <c r="A51" s="1"/>
      <c r="B51" s="255"/>
      <c r="C51" s="1"/>
      <c r="D51" s="256"/>
      <c r="E51" s="255"/>
      <c r="F51" s="1"/>
      <c r="G51" s="1"/>
      <c r="H51" s="1"/>
      <c r="I51" s="1"/>
      <c r="K51" s="1"/>
      <c r="L51" s="1"/>
    </row>
    <row r="52" spans="1:12">
      <c r="A52" s="1"/>
      <c r="B52" s="255"/>
      <c r="C52" s="1"/>
      <c r="D52" s="256"/>
      <c r="E52" s="255"/>
      <c r="F52" s="1"/>
      <c r="G52" s="1"/>
      <c r="H52" s="1"/>
      <c r="I52" s="1"/>
      <c r="K52" s="1"/>
      <c r="L52" s="1"/>
    </row>
    <row r="53" spans="1:12">
      <c r="A53" s="1"/>
      <c r="B53" s="255"/>
      <c r="C53" s="1"/>
      <c r="D53" s="256"/>
      <c r="E53" s="255"/>
      <c r="F53" s="1"/>
      <c r="G53" s="1"/>
      <c r="H53" s="1"/>
      <c r="I53" s="1"/>
      <c r="K53" s="1"/>
      <c r="L53" s="1"/>
    </row>
    <row r="54" spans="1:12">
      <c r="A54" s="1"/>
      <c r="B54" s="255"/>
      <c r="C54" s="1"/>
      <c r="D54" s="1"/>
      <c r="E54" s="255"/>
      <c r="F54" s="1"/>
      <c r="G54" s="1"/>
      <c r="H54" s="1"/>
      <c r="I54" s="1"/>
      <c r="K54" s="1"/>
      <c r="L54" s="1"/>
    </row>
    <row r="55" spans="1:12">
      <c r="A55" s="1"/>
      <c r="B55" s="255"/>
      <c r="C55" s="1"/>
      <c r="D55" s="1"/>
      <c r="E55" s="255"/>
      <c r="F55" s="1"/>
      <c r="G55" s="1"/>
      <c r="H55" s="1"/>
      <c r="I55" s="1"/>
      <c r="K55" s="1"/>
      <c r="L55" s="1"/>
    </row>
    <row r="56" spans="1:12">
      <c r="A56" s="1"/>
      <c r="B56" s="255"/>
      <c r="C56" s="1"/>
      <c r="D56" s="1"/>
      <c r="E56" s="255"/>
      <c r="F56" s="1"/>
      <c r="G56" s="1"/>
      <c r="H56" s="1"/>
      <c r="I56" s="1"/>
      <c r="K56" s="1"/>
      <c r="L56" s="1"/>
    </row>
    <row r="57" spans="1:12">
      <c r="A57" s="1"/>
      <c r="B57" s="255"/>
      <c r="C57" s="1"/>
      <c r="D57" s="1"/>
      <c r="E57" s="255"/>
      <c r="F57" s="1"/>
      <c r="G57" s="1"/>
      <c r="H57" s="1"/>
      <c r="I57" s="1"/>
      <c r="K57" s="1"/>
      <c r="L57" s="1"/>
    </row>
    <row r="58" spans="1:12">
      <c r="A58" s="1"/>
      <c r="B58" s="255"/>
      <c r="C58" s="1"/>
      <c r="D58" s="1"/>
      <c r="E58" s="255"/>
      <c r="F58" s="1"/>
      <c r="G58" s="1"/>
      <c r="H58" s="1"/>
      <c r="I58" s="1"/>
      <c r="K58" s="1"/>
      <c r="L58" s="1"/>
    </row>
    <row r="59" spans="1:12">
      <c r="A59" s="1"/>
      <c r="B59" s="255"/>
      <c r="C59" s="1"/>
      <c r="D59" s="1"/>
      <c r="E59" s="255"/>
      <c r="F59" s="1"/>
      <c r="G59" s="1"/>
      <c r="H59" s="1"/>
      <c r="I59" s="1"/>
      <c r="K59" s="1"/>
      <c r="L59" s="1"/>
    </row>
    <row r="60" spans="1:12">
      <c r="A60" s="1"/>
      <c r="B60" s="255"/>
      <c r="C60" s="1"/>
      <c r="D60" s="1"/>
      <c r="E60" s="255"/>
      <c r="F60" s="1"/>
      <c r="G60" s="1"/>
      <c r="H60" s="1"/>
      <c r="I60" s="1"/>
      <c r="K60" s="1"/>
      <c r="L60" s="1"/>
    </row>
    <row r="61" spans="1:12">
      <c r="A61" s="1"/>
      <c r="B61" s="255"/>
      <c r="C61" s="1"/>
      <c r="D61" s="1"/>
      <c r="E61" s="255"/>
      <c r="F61" s="1"/>
      <c r="G61" s="1"/>
      <c r="H61" s="1"/>
      <c r="I61" s="1"/>
      <c r="K61" s="1"/>
      <c r="L61" s="1"/>
    </row>
    <row r="62" spans="1:12">
      <c r="A62" s="1"/>
      <c r="B62" s="255"/>
      <c r="C62" s="1"/>
      <c r="D62" s="1"/>
      <c r="E62" s="255"/>
      <c r="F62" s="1"/>
      <c r="G62" s="1"/>
      <c r="H62" s="1"/>
      <c r="I62" s="1"/>
      <c r="K62" s="1"/>
      <c r="L62" s="1"/>
    </row>
    <row r="63" spans="1:12">
      <c r="A63" s="1"/>
      <c r="B63" s="255"/>
      <c r="C63" s="1"/>
      <c r="D63" s="1"/>
      <c r="E63" s="255"/>
      <c r="F63" s="1"/>
      <c r="G63" s="1"/>
      <c r="H63" s="1"/>
      <c r="I63" s="1"/>
      <c r="K63" s="1"/>
      <c r="L63" s="1"/>
    </row>
    <row r="64" spans="1:12">
      <c r="A64" s="1"/>
      <c r="B64" s="255"/>
      <c r="C64" s="1"/>
      <c r="D64" s="1"/>
      <c r="E64" s="255"/>
      <c r="F64" s="1"/>
      <c r="G64" s="1"/>
      <c r="H64" s="1"/>
      <c r="I64" s="1"/>
      <c r="K64" s="1"/>
      <c r="L64" s="1"/>
    </row>
    <row r="65" spans="1:12">
      <c r="A65" s="1"/>
      <c r="B65" s="255"/>
      <c r="C65" s="1"/>
      <c r="D65" s="1"/>
      <c r="E65" s="255"/>
      <c r="F65" s="1"/>
      <c r="G65" s="1"/>
      <c r="H65" s="1"/>
      <c r="I65" s="1"/>
      <c r="K65" s="1"/>
      <c r="L65" s="1"/>
    </row>
    <row r="66" spans="1:12">
      <c r="A66" s="1"/>
      <c r="B66" s="255"/>
      <c r="C66" s="1"/>
      <c r="D66" s="1"/>
      <c r="E66" s="255"/>
      <c r="F66" s="1"/>
      <c r="G66" s="1"/>
      <c r="H66" s="1"/>
      <c r="I66" s="1"/>
      <c r="K66" s="1"/>
      <c r="L66" s="1"/>
    </row>
    <row r="67" spans="1:12">
      <c r="A67" s="1"/>
      <c r="B67" s="255"/>
      <c r="C67" s="1"/>
      <c r="D67" s="1"/>
      <c r="E67" s="255"/>
      <c r="F67" s="1"/>
      <c r="G67" s="1"/>
      <c r="H67" s="1"/>
      <c r="I67" s="1"/>
      <c r="K67" s="1"/>
      <c r="L67" s="1"/>
    </row>
    <row r="68" spans="1:12">
      <c r="A68" s="1"/>
      <c r="B68" s="255"/>
      <c r="C68" s="1"/>
      <c r="D68" s="256"/>
      <c r="E68" s="255"/>
      <c r="F68" s="1"/>
      <c r="G68" s="1"/>
      <c r="H68" s="1"/>
      <c r="I68" s="1"/>
      <c r="K68" s="1"/>
      <c r="L68" s="1"/>
    </row>
    <row r="69" spans="1:12">
      <c r="A69" s="1"/>
      <c r="B69" s="255"/>
      <c r="C69" s="1"/>
      <c r="D69" s="256"/>
      <c r="E69" s="255"/>
      <c r="F69" s="1"/>
      <c r="G69" s="1"/>
      <c r="H69" s="1"/>
      <c r="I69" s="1"/>
      <c r="K69" s="1"/>
      <c r="L69" s="1"/>
    </row>
    <row r="70" spans="1:12">
      <c r="A70" s="1"/>
      <c r="B70" s="255"/>
      <c r="C70" s="1"/>
      <c r="D70" s="256"/>
      <c r="E70" s="255"/>
      <c r="F70" s="1"/>
      <c r="G70" s="1"/>
      <c r="H70" s="1"/>
      <c r="I70" s="1"/>
      <c r="K70" s="1"/>
      <c r="L70" s="1"/>
    </row>
    <row r="71" spans="1:12">
      <c r="A71" s="1"/>
      <c r="B71" s="255"/>
      <c r="C71" s="1"/>
      <c r="D71" s="256"/>
      <c r="E71" s="255"/>
      <c r="F71" s="1"/>
      <c r="G71" s="1"/>
      <c r="H71" s="1"/>
      <c r="I71" s="1"/>
      <c r="K71" s="1"/>
      <c r="L71" s="1"/>
    </row>
    <row r="72" spans="1:12">
      <c r="A72" s="1"/>
      <c r="B72" s="255"/>
      <c r="C72" s="1"/>
      <c r="D72" s="1"/>
      <c r="E72" s="255"/>
      <c r="F72" s="1"/>
      <c r="G72" s="1"/>
      <c r="H72" s="1"/>
      <c r="I72" s="1"/>
      <c r="K72" s="1"/>
      <c r="L72" s="1"/>
    </row>
    <row r="73" spans="1:12">
      <c r="A73" s="1"/>
      <c r="B73" s="255"/>
      <c r="C73" s="1"/>
      <c r="D73" s="1"/>
      <c r="E73" s="255"/>
      <c r="F73" s="1"/>
      <c r="G73" s="1"/>
      <c r="H73" s="1"/>
      <c r="I73" s="1"/>
      <c r="K73" s="1"/>
      <c r="L73" s="1"/>
    </row>
    <row r="74" spans="1:12">
      <c r="A74" s="1"/>
      <c r="B74" s="255"/>
      <c r="C74" s="1"/>
      <c r="D74" s="1"/>
      <c r="E74" s="255"/>
      <c r="F74" s="1"/>
      <c r="G74" s="1"/>
      <c r="H74" s="1"/>
      <c r="I74" s="1"/>
      <c r="K74" s="1"/>
      <c r="L74" s="1"/>
    </row>
    <row r="75" spans="1:12">
      <c r="A75" s="1"/>
      <c r="B75" s="255"/>
      <c r="C75" s="1"/>
      <c r="D75" s="1"/>
      <c r="E75" s="255"/>
      <c r="F75" s="1"/>
      <c r="G75" s="1"/>
      <c r="H75" s="1"/>
      <c r="I75" s="1"/>
      <c r="K75" s="1"/>
      <c r="L75" s="1"/>
    </row>
    <row r="76" spans="1:12">
      <c r="A76" s="1"/>
      <c r="B76" s="255"/>
      <c r="C76" s="1"/>
      <c r="D76" s="1"/>
      <c r="E76" s="255"/>
      <c r="F76" s="1"/>
      <c r="G76" s="1"/>
      <c r="H76" s="1"/>
      <c r="I76" s="1"/>
      <c r="K76" s="1"/>
      <c r="L76" s="1"/>
    </row>
    <row r="77" spans="1:12">
      <c r="A77" s="1"/>
      <c r="B77" s="255"/>
      <c r="C77" s="1"/>
      <c r="D77" s="1"/>
      <c r="E77" s="255"/>
      <c r="F77" s="1"/>
      <c r="G77" s="1"/>
      <c r="H77" s="1"/>
      <c r="I77" s="1"/>
      <c r="K77" s="1"/>
      <c r="L77" s="1"/>
    </row>
    <row r="78" spans="1:12">
      <c r="A78" s="1"/>
      <c r="B78" s="255"/>
      <c r="C78" s="1"/>
      <c r="D78" s="1"/>
      <c r="E78" s="255"/>
      <c r="F78" s="1"/>
      <c r="G78" s="1"/>
      <c r="H78" s="1"/>
      <c r="I78" s="1"/>
      <c r="K78" s="1"/>
      <c r="L78" s="1"/>
    </row>
    <row r="79" spans="1:12">
      <c r="A79" s="1"/>
      <c r="B79" s="255"/>
      <c r="C79" s="1"/>
      <c r="D79" s="1"/>
      <c r="E79" s="255"/>
      <c r="F79" s="1"/>
      <c r="G79" s="1"/>
      <c r="H79" s="1"/>
      <c r="I79" s="1"/>
      <c r="K79" s="1"/>
      <c r="L79" s="1"/>
    </row>
    <row r="80" spans="1:12">
      <c r="A80" s="1"/>
      <c r="B80" s="255"/>
      <c r="C80" s="1"/>
      <c r="D80" s="1"/>
      <c r="E80" s="255"/>
      <c r="F80" s="1"/>
      <c r="G80" s="1"/>
      <c r="H80" s="1"/>
      <c r="I80" s="1"/>
      <c r="K80" s="1"/>
      <c r="L80" s="1"/>
    </row>
    <row r="81" spans="1:12">
      <c r="A81" s="1"/>
      <c r="B81" s="255"/>
      <c r="C81" s="1"/>
      <c r="D81" s="1"/>
      <c r="E81" s="255"/>
      <c r="F81" s="1"/>
      <c r="G81" s="1"/>
      <c r="H81" s="1"/>
      <c r="I81" s="1"/>
      <c r="K81" s="1"/>
      <c r="L81" s="1"/>
    </row>
    <row r="82" spans="1:12">
      <c r="A82" s="1"/>
      <c r="B82" s="255"/>
      <c r="C82" s="1"/>
      <c r="D82" s="1"/>
      <c r="E82" s="255"/>
      <c r="F82" s="1"/>
      <c r="G82" s="1"/>
      <c r="H82" s="1"/>
      <c r="I82" s="1"/>
      <c r="K82" s="1"/>
      <c r="L82" s="1"/>
    </row>
    <row r="83" spans="1:12">
      <c r="A83" s="1"/>
      <c r="B83" s="255"/>
      <c r="C83" s="1"/>
      <c r="D83" s="1"/>
      <c r="E83" s="255"/>
      <c r="F83" s="1"/>
      <c r="G83" s="1"/>
      <c r="H83" s="1"/>
      <c r="I83" s="1"/>
      <c r="K83" s="1"/>
      <c r="L83" s="1"/>
    </row>
    <row r="84" spans="1:12">
      <c r="A84" s="1"/>
      <c r="B84" s="255"/>
      <c r="C84" s="1"/>
      <c r="D84" s="1"/>
      <c r="E84" s="255"/>
      <c r="F84" s="1"/>
      <c r="G84" s="1"/>
      <c r="H84" s="1"/>
      <c r="I84" s="1"/>
      <c r="K84" s="1"/>
      <c r="L84" s="1"/>
    </row>
    <row r="85" spans="1:12">
      <c r="A85" s="1"/>
      <c r="B85" s="255"/>
      <c r="C85" s="1"/>
      <c r="D85" s="1"/>
      <c r="E85" s="255"/>
      <c r="F85" s="1"/>
      <c r="G85" s="1"/>
      <c r="H85" s="1"/>
      <c r="I85" s="1"/>
      <c r="K85" s="1"/>
      <c r="L85" s="1"/>
    </row>
    <row r="86" spans="1:12">
      <c r="A86" s="1"/>
      <c r="B86" s="255"/>
      <c r="C86" s="1"/>
      <c r="D86" s="256"/>
      <c r="E86" s="255"/>
      <c r="F86" s="1"/>
      <c r="G86" s="1"/>
      <c r="H86" s="1"/>
      <c r="I86" s="1"/>
      <c r="K86" s="1"/>
      <c r="L86" s="1"/>
    </row>
    <row r="87" spans="1:12">
      <c r="A87" s="1"/>
      <c r="B87" s="255"/>
      <c r="C87" s="1"/>
      <c r="D87" s="256"/>
      <c r="E87" s="255"/>
      <c r="F87" s="1"/>
      <c r="G87" s="1"/>
      <c r="H87" s="1"/>
      <c r="I87" s="1"/>
      <c r="K87" s="1"/>
      <c r="L87" s="1"/>
    </row>
    <row r="88" spans="1:12">
      <c r="A88" s="1"/>
      <c r="B88" s="255"/>
      <c r="C88" s="1"/>
      <c r="D88" s="256"/>
      <c r="E88" s="255"/>
      <c r="F88" s="1"/>
      <c r="G88" s="1"/>
      <c r="H88" s="1"/>
      <c r="I88" s="1"/>
      <c r="K88" s="1"/>
      <c r="L88" s="1"/>
    </row>
    <row r="89" spans="1:12">
      <c r="A89" s="1"/>
      <c r="B89" s="255"/>
      <c r="C89" s="1"/>
      <c r="D89" s="256"/>
      <c r="E89" s="255"/>
      <c r="F89" s="1"/>
      <c r="G89" s="1"/>
      <c r="H89" s="1"/>
      <c r="I89" s="1"/>
      <c r="K89" s="1"/>
      <c r="L89" s="1"/>
    </row>
    <row r="90" spans="1:12">
      <c r="A90" s="1"/>
      <c r="B90" s="255"/>
      <c r="C90" s="1"/>
      <c r="D90" s="1"/>
      <c r="E90" s="255"/>
      <c r="F90" s="1"/>
      <c r="G90" s="1"/>
      <c r="H90" s="1"/>
      <c r="I90" s="1"/>
      <c r="K90" s="1"/>
      <c r="L90" s="1"/>
    </row>
    <row r="91" spans="1:12">
      <c r="A91" s="1"/>
      <c r="B91" s="255"/>
      <c r="C91" s="1"/>
      <c r="D91" s="1"/>
      <c r="E91" s="255"/>
      <c r="F91" s="1"/>
      <c r="G91" s="1"/>
      <c r="H91" s="1"/>
      <c r="I91" s="1"/>
      <c r="K91" s="1"/>
      <c r="L91" s="1"/>
    </row>
    <row r="92" spans="1:12">
      <c r="A92" s="1"/>
      <c r="B92" s="255"/>
      <c r="C92" s="1"/>
      <c r="D92" s="1"/>
      <c r="E92" s="255"/>
      <c r="F92" s="1"/>
      <c r="G92" s="1"/>
      <c r="H92" s="1"/>
      <c r="I92" s="1"/>
      <c r="K92" s="1"/>
      <c r="L92" s="1"/>
    </row>
    <row r="93" spans="1:12">
      <c r="A93" s="1"/>
      <c r="B93" s="255"/>
      <c r="C93" s="1"/>
      <c r="D93" s="1"/>
      <c r="E93" s="255"/>
      <c r="F93" s="1"/>
      <c r="G93" s="1"/>
      <c r="H93" s="1"/>
      <c r="I93" s="1"/>
      <c r="K93" s="1"/>
      <c r="L93" s="1"/>
    </row>
    <row r="94" spans="1:12">
      <c r="A94" s="1"/>
      <c r="B94" s="255"/>
      <c r="C94" s="1"/>
      <c r="D94" s="1"/>
      <c r="E94" s="255"/>
      <c r="F94" s="1"/>
      <c r="G94" s="1"/>
      <c r="H94" s="1"/>
      <c r="I94" s="1"/>
      <c r="K94" s="1"/>
      <c r="L94" s="1"/>
    </row>
    <row r="95" spans="1:12">
      <c r="A95" s="1"/>
      <c r="B95" s="255"/>
      <c r="C95" s="1"/>
      <c r="D95" s="1"/>
      <c r="E95" s="255"/>
      <c r="F95" s="1"/>
      <c r="G95" s="1"/>
      <c r="H95" s="1"/>
      <c r="I95" s="1"/>
      <c r="K95" s="1"/>
      <c r="L95" s="1"/>
    </row>
    <row r="96" spans="1:12">
      <c r="A96" s="1"/>
      <c r="B96" s="255"/>
      <c r="C96" s="1"/>
      <c r="D96" s="1"/>
      <c r="E96" s="255"/>
      <c r="F96" s="1"/>
      <c r="G96" s="1"/>
      <c r="H96" s="1"/>
      <c r="I96" s="1"/>
      <c r="K96" s="1"/>
      <c r="L96" s="1"/>
    </row>
    <row r="97" spans="1:12">
      <c r="A97" s="1"/>
      <c r="B97" s="255"/>
      <c r="C97" s="1"/>
      <c r="D97" s="1"/>
      <c r="E97" s="255"/>
      <c r="F97" s="1"/>
      <c r="G97" s="1"/>
      <c r="H97" s="1"/>
      <c r="I97" s="1"/>
      <c r="K97" s="1"/>
      <c r="L97" s="1"/>
    </row>
    <row r="98" spans="1:12">
      <c r="A98" s="1"/>
      <c r="B98" s="255"/>
      <c r="C98" s="1"/>
      <c r="D98" s="1"/>
      <c r="E98" s="255"/>
      <c r="F98" s="1"/>
      <c r="G98" s="1"/>
      <c r="H98" s="1"/>
      <c r="I98" s="1"/>
      <c r="K98" s="1"/>
      <c r="L98" s="1"/>
    </row>
    <row r="99" spans="1:12">
      <c r="A99" s="1"/>
      <c r="B99" s="255"/>
      <c r="C99" s="1"/>
      <c r="D99" s="1"/>
      <c r="E99" s="255"/>
      <c r="F99" s="1"/>
      <c r="G99" s="1"/>
      <c r="H99" s="1"/>
      <c r="I99" s="1"/>
      <c r="K99" s="1"/>
      <c r="L99" s="1"/>
    </row>
    <row r="100" spans="1:12">
      <c r="A100" s="1"/>
      <c r="B100" s="255"/>
      <c r="C100" s="1"/>
      <c r="D100" s="1"/>
      <c r="E100" s="255"/>
      <c r="F100" s="1"/>
      <c r="G100" s="1"/>
      <c r="H100" s="1"/>
      <c r="I100" s="1"/>
      <c r="K100" s="1"/>
      <c r="L100" s="1"/>
    </row>
    <row r="101" spans="1:12">
      <c r="A101" s="1"/>
      <c r="B101" s="255"/>
      <c r="C101" s="1"/>
      <c r="D101" s="1"/>
      <c r="E101" s="255"/>
      <c r="F101" s="1"/>
      <c r="G101" s="1"/>
      <c r="H101" s="1"/>
      <c r="I101" s="1"/>
      <c r="K101" s="1"/>
      <c r="L101" s="1"/>
    </row>
    <row r="102" spans="1:12">
      <c r="A102" s="1"/>
      <c r="B102" s="255"/>
      <c r="C102" s="1"/>
      <c r="D102" s="1"/>
      <c r="E102" s="255"/>
      <c r="F102" s="1"/>
      <c r="G102" s="1"/>
      <c r="H102" s="1"/>
      <c r="I102" s="1"/>
      <c r="K102" s="1"/>
      <c r="L102" s="1"/>
    </row>
    <row r="103" spans="1:12">
      <c r="A103" s="1"/>
      <c r="B103" s="255"/>
      <c r="C103" s="1"/>
      <c r="D103" s="1"/>
      <c r="E103" s="255"/>
      <c r="F103" s="1"/>
      <c r="G103" s="1"/>
      <c r="H103" s="1"/>
      <c r="I103" s="1"/>
      <c r="K103" s="1"/>
      <c r="L103" s="1"/>
    </row>
    <row r="104" spans="1:12">
      <c r="A104" s="1"/>
      <c r="B104" s="255"/>
      <c r="C104" s="1"/>
      <c r="D104" s="256"/>
      <c r="E104" s="255"/>
      <c r="F104" s="1"/>
      <c r="G104" s="1"/>
      <c r="H104" s="1"/>
      <c r="I104" s="1"/>
      <c r="K104" s="1"/>
      <c r="L104" s="1"/>
    </row>
    <row r="105" spans="1:12">
      <c r="A105" s="1"/>
      <c r="B105" s="255"/>
      <c r="C105" s="1"/>
      <c r="D105" s="256"/>
      <c r="E105" s="255"/>
      <c r="F105" s="1"/>
      <c r="G105" s="1"/>
      <c r="H105" s="1"/>
      <c r="I105" s="1"/>
      <c r="K105" s="1"/>
      <c r="L105" s="1"/>
    </row>
    <row r="106" spans="1:12">
      <c r="A106" s="1"/>
      <c r="B106" s="255"/>
      <c r="C106" s="1"/>
      <c r="D106" s="256"/>
      <c r="E106" s="255"/>
      <c r="F106" s="1"/>
      <c r="G106" s="1"/>
      <c r="H106" s="1"/>
      <c r="I106" s="1"/>
      <c r="K106" s="1"/>
      <c r="L106" s="1"/>
    </row>
    <row r="107" spans="1:12">
      <c r="A107" s="1"/>
      <c r="B107" s="255"/>
      <c r="C107" s="1"/>
      <c r="D107" s="256"/>
      <c r="E107" s="255"/>
      <c r="F107" s="1"/>
      <c r="G107" s="1"/>
      <c r="H107" s="1"/>
      <c r="I107" s="1"/>
      <c r="K107" s="1"/>
      <c r="L107" s="1"/>
    </row>
    <row r="108" spans="1:12">
      <c r="A108" s="1"/>
      <c r="B108" s="255"/>
      <c r="C108" s="1"/>
      <c r="D108" s="1"/>
      <c r="E108" s="255"/>
      <c r="F108" s="1"/>
      <c r="G108" s="1"/>
      <c r="H108" s="1"/>
      <c r="I108" s="1"/>
      <c r="K108" s="1"/>
      <c r="L108" s="1"/>
    </row>
    <row r="109" spans="1:12">
      <c r="A109" s="1"/>
      <c r="B109" s="255"/>
      <c r="C109" s="1"/>
      <c r="D109" s="1"/>
      <c r="E109" s="255"/>
      <c r="F109" s="1"/>
      <c r="G109" s="1"/>
      <c r="H109" s="1"/>
      <c r="I109" s="1"/>
      <c r="K109" s="1"/>
      <c r="L109" s="1"/>
    </row>
    <row r="110" spans="1:12">
      <c r="A110" s="1"/>
      <c r="B110" s="255"/>
      <c r="C110" s="1"/>
      <c r="D110" s="1"/>
      <c r="E110" s="255"/>
      <c r="F110" s="1"/>
      <c r="G110" s="1"/>
      <c r="H110" s="1"/>
      <c r="I110" s="1"/>
      <c r="K110" s="1"/>
      <c r="L110" s="1"/>
    </row>
    <row r="111" spans="1:12">
      <c r="A111" s="1"/>
      <c r="B111" s="255"/>
      <c r="C111" s="1"/>
      <c r="D111" s="1"/>
      <c r="E111" s="255"/>
      <c r="F111" s="1"/>
      <c r="G111" s="1"/>
      <c r="H111" s="1"/>
      <c r="I111" s="1"/>
      <c r="K111" s="1"/>
      <c r="L111" s="1"/>
    </row>
    <row r="112" spans="1:12">
      <c r="A112" s="1"/>
      <c r="B112" s="255"/>
      <c r="C112" s="1"/>
      <c r="D112" s="1"/>
      <c r="E112" s="255"/>
      <c r="F112" s="1"/>
      <c r="G112" s="1"/>
      <c r="H112" s="1"/>
      <c r="I112" s="1"/>
      <c r="K112" s="1"/>
      <c r="L112" s="1"/>
    </row>
    <row r="113" spans="1:12">
      <c r="A113" s="1"/>
      <c r="B113" s="255"/>
      <c r="C113" s="1"/>
      <c r="D113" s="1"/>
      <c r="E113" s="255"/>
      <c r="F113" s="1"/>
      <c r="G113" s="1"/>
      <c r="H113" s="1"/>
      <c r="I113" s="1"/>
      <c r="K113" s="1"/>
      <c r="L113" s="1"/>
    </row>
    <row r="114" spans="1:12">
      <c r="A114" s="1"/>
      <c r="B114" s="255"/>
      <c r="C114" s="1"/>
      <c r="D114" s="1"/>
      <c r="E114" s="255"/>
      <c r="F114" s="1"/>
      <c r="G114" s="1"/>
      <c r="H114" s="1"/>
      <c r="I114" s="1"/>
      <c r="K114" s="1"/>
      <c r="L114" s="1"/>
    </row>
    <row r="115" spans="1:12">
      <c r="A115" s="1"/>
      <c r="B115" s="255"/>
      <c r="C115" s="1"/>
      <c r="D115" s="1"/>
      <c r="E115" s="255"/>
      <c r="F115" s="1"/>
      <c r="G115" s="1"/>
      <c r="H115" s="1"/>
      <c r="I115" s="1"/>
      <c r="K115" s="1"/>
      <c r="L115" s="1"/>
    </row>
    <row r="116" spans="1:12">
      <c r="A116" s="1"/>
      <c r="B116" s="255"/>
      <c r="C116" s="1"/>
      <c r="D116" s="1"/>
      <c r="E116" s="255"/>
      <c r="F116" s="1"/>
      <c r="G116" s="1"/>
      <c r="H116" s="1"/>
      <c r="I116" s="1"/>
      <c r="K116" s="1"/>
      <c r="L116" s="1"/>
    </row>
    <row r="117" spans="1:12">
      <c r="A117" s="1"/>
      <c r="B117" s="255"/>
      <c r="C117" s="1"/>
      <c r="D117" s="1"/>
      <c r="E117" s="255"/>
      <c r="F117" s="1"/>
      <c r="G117" s="1"/>
      <c r="H117" s="1"/>
      <c r="I117" s="1"/>
      <c r="K117" s="1"/>
      <c r="L117" s="1"/>
    </row>
    <row r="118" spans="1:12">
      <c r="A118" s="1"/>
      <c r="B118" s="255"/>
      <c r="C118" s="1"/>
      <c r="D118" s="1"/>
      <c r="E118" s="255"/>
      <c r="F118" s="1"/>
      <c r="G118" s="1"/>
      <c r="H118" s="1"/>
      <c r="I118" s="1"/>
      <c r="K118" s="1"/>
      <c r="L118" s="1"/>
    </row>
    <row r="119" spans="1:12">
      <c r="A119" s="1"/>
      <c r="B119" s="255"/>
      <c r="C119" s="1"/>
      <c r="D119" s="1"/>
      <c r="E119" s="255"/>
      <c r="F119" s="1"/>
      <c r="G119" s="1"/>
      <c r="H119" s="1"/>
      <c r="I119" s="1"/>
      <c r="K119" s="1"/>
      <c r="L119" s="1"/>
    </row>
    <row r="120" spans="1:12">
      <c r="A120" s="1"/>
      <c r="B120" s="255"/>
      <c r="C120" s="1"/>
      <c r="D120" s="1"/>
      <c r="E120" s="255"/>
      <c r="F120" s="1"/>
      <c r="G120" s="1"/>
      <c r="H120" s="1"/>
      <c r="I120" s="1"/>
      <c r="K120" s="1"/>
      <c r="L120" s="1"/>
    </row>
    <row r="121" spans="1:12">
      <c r="A121" s="1"/>
      <c r="B121" s="255"/>
      <c r="C121" s="1"/>
      <c r="D121" s="1"/>
      <c r="E121" s="255"/>
      <c r="F121" s="1"/>
      <c r="G121" s="1"/>
      <c r="H121" s="1"/>
      <c r="I121" s="1"/>
      <c r="K121" s="1"/>
      <c r="L121" s="1"/>
    </row>
    <row r="122" spans="1:12">
      <c r="A122" s="1"/>
      <c r="B122" s="255"/>
      <c r="C122" s="1"/>
      <c r="D122" s="256"/>
      <c r="E122" s="255"/>
      <c r="F122" s="1"/>
      <c r="G122" s="1"/>
      <c r="H122" s="1"/>
      <c r="I122" s="1"/>
      <c r="K122" s="1"/>
      <c r="L122" s="1"/>
    </row>
    <row r="123" spans="1:12">
      <c r="A123" s="1"/>
      <c r="B123" s="255"/>
      <c r="C123" s="1"/>
      <c r="D123" s="256"/>
      <c r="E123" s="255"/>
      <c r="F123" s="1"/>
      <c r="G123" s="1"/>
      <c r="H123" s="1"/>
      <c r="I123" s="1"/>
      <c r="K123" s="1"/>
      <c r="L123" s="1"/>
    </row>
    <row r="124" spans="1:12">
      <c r="A124" s="1"/>
      <c r="B124" s="255"/>
      <c r="C124" s="1"/>
      <c r="D124" s="256"/>
      <c r="E124" s="255"/>
      <c r="F124" s="1"/>
      <c r="G124" s="1"/>
      <c r="H124" s="1"/>
      <c r="I124" s="1"/>
      <c r="K124" s="1"/>
      <c r="L124" s="1"/>
    </row>
    <row r="125" spans="1:12">
      <c r="A125" s="1"/>
      <c r="B125" s="255"/>
      <c r="C125" s="1"/>
      <c r="D125" s="256"/>
      <c r="E125" s="255"/>
      <c r="F125" s="1"/>
      <c r="G125" s="1"/>
      <c r="H125" s="1"/>
      <c r="I125" s="1"/>
      <c r="K125" s="1"/>
      <c r="L125" s="1"/>
    </row>
    <row r="126" spans="1:12">
      <c r="A126" s="1"/>
      <c r="B126" s="255"/>
      <c r="C126" s="1"/>
      <c r="D126" s="1"/>
      <c r="E126" s="255"/>
      <c r="F126" s="1"/>
      <c r="G126" s="1"/>
      <c r="H126" s="1"/>
      <c r="I126" s="1"/>
      <c r="K126" s="1"/>
      <c r="L126" s="1"/>
    </row>
    <row r="127" spans="1:12">
      <c r="A127" s="1"/>
      <c r="B127" s="255"/>
      <c r="C127" s="1"/>
      <c r="D127" s="1"/>
      <c r="E127" s="255"/>
      <c r="F127" s="1"/>
      <c r="G127" s="1"/>
      <c r="H127" s="1"/>
      <c r="I127" s="1"/>
      <c r="K127" s="1"/>
      <c r="L127" s="1"/>
    </row>
    <row r="128" spans="1:12">
      <c r="A128" s="1"/>
      <c r="B128" s="255"/>
      <c r="C128" s="1"/>
      <c r="D128" s="1"/>
      <c r="E128" s="255"/>
      <c r="F128" s="1"/>
      <c r="G128" s="1"/>
      <c r="H128" s="1"/>
      <c r="I128" s="1"/>
      <c r="K128" s="1"/>
      <c r="L128" s="1"/>
    </row>
    <row r="129" spans="1:12">
      <c r="A129" s="1"/>
      <c r="B129" s="255"/>
      <c r="C129" s="1"/>
      <c r="D129" s="1"/>
      <c r="E129" s="255"/>
      <c r="F129" s="1"/>
      <c r="G129" s="1"/>
      <c r="H129" s="1"/>
      <c r="I129" s="1"/>
      <c r="K129" s="1"/>
      <c r="L129" s="1"/>
    </row>
    <row r="130" spans="1:12">
      <c r="A130" s="1"/>
      <c r="B130" s="255"/>
      <c r="C130" s="1"/>
      <c r="D130" s="1"/>
      <c r="E130" s="255"/>
      <c r="F130" s="1"/>
      <c r="G130" s="1"/>
      <c r="H130" s="1"/>
      <c r="I130" s="1"/>
      <c r="K130" s="1"/>
      <c r="L130" s="1"/>
    </row>
    <row r="131" spans="1:12">
      <c r="A131" s="1"/>
      <c r="B131" s="255"/>
      <c r="C131" s="1"/>
      <c r="D131" s="1"/>
      <c r="E131" s="255"/>
      <c r="F131" s="1"/>
      <c r="G131" s="1"/>
      <c r="H131" s="1"/>
      <c r="I131" s="1"/>
      <c r="K131" s="1"/>
      <c r="L131" s="1"/>
    </row>
    <row r="132" spans="1:12">
      <c r="A132" s="1"/>
      <c r="B132" s="255"/>
      <c r="C132" s="1"/>
      <c r="D132" s="1"/>
      <c r="E132" s="255"/>
      <c r="F132" s="1"/>
      <c r="G132" s="1"/>
      <c r="H132" s="1"/>
      <c r="I132" s="1"/>
      <c r="K132" s="1"/>
      <c r="L132" s="1"/>
    </row>
    <row r="133" spans="1:12">
      <c r="A133" s="1"/>
      <c r="B133" s="255"/>
      <c r="C133" s="1"/>
      <c r="D133" s="1"/>
      <c r="E133" s="255"/>
      <c r="F133" s="1"/>
      <c r="G133" s="1"/>
      <c r="H133" s="1"/>
      <c r="I133" s="1"/>
      <c r="K133" s="1"/>
      <c r="L133" s="1"/>
    </row>
    <row r="134" spans="1:12">
      <c r="A134" s="1"/>
      <c r="B134" s="255"/>
      <c r="C134" s="1"/>
      <c r="D134" s="1"/>
      <c r="E134" s="255"/>
      <c r="F134" s="1"/>
      <c r="G134" s="1"/>
      <c r="H134" s="1"/>
      <c r="I134" s="1"/>
      <c r="K134" s="1"/>
      <c r="L134" s="1"/>
    </row>
    <row r="135" spans="1:12">
      <c r="A135" s="1"/>
      <c r="B135" s="255"/>
      <c r="C135" s="1"/>
      <c r="D135" s="1"/>
      <c r="E135" s="255"/>
      <c r="F135" s="1"/>
      <c r="G135" s="1"/>
      <c r="H135" s="1"/>
      <c r="I135" s="1"/>
      <c r="K135" s="1"/>
      <c r="L135" s="1"/>
    </row>
    <row r="136" spans="1:12">
      <c r="A136" s="1"/>
      <c r="B136" s="255"/>
      <c r="C136" s="1"/>
      <c r="D136" s="1"/>
      <c r="E136" s="255"/>
      <c r="F136" s="1"/>
      <c r="G136" s="1"/>
      <c r="H136" s="1"/>
      <c r="I136" s="1"/>
      <c r="K136" s="1"/>
      <c r="L136" s="1"/>
    </row>
    <row r="137" spans="1:12">
      <c r="A137" s="1"/>
      <c r="B137" s="255"/>
      <c r="C137" s="1"/>
      <c r="D137" s="1"/>
      <c r="E137" s="255"/>
      <c r="F137" s="1"/>
      <c r="G137" s="1"/>
      <c r="H137" s="1"/>
      <c r="I137" s="1"/>
      <c r="K137" s="1"/>
      <c r="L137" s="1"/>
    </row>
    <row r="138" spans="1:12">
      <c r="A138" s="1"/>
      <c r="B138" s="255"/>
      <c r="C138" s="1"/>
      <c r="D138" s="1"/>
      <c r="E138" s="255"/>
      <c r="F138" s="1"/>
      <c r="G138" s="1"/>
      <c r="H138" s="1"/>
      <c r="I138" s="1"/>
      <c r="K138" s="1"/>
      <c r="L138" s="1"/>
    </row>
    <row r="139" spans="1:12">
      <c r="A139" s="1"/>
      <c r="B139" s="255"/>
      <c r="C139" s="1"/>
      <c r="D139" s="1"/>
      <c r="E139" s="255"/>
      <c r="F139" s="1"/>
      <c r="G139" s="1"/>
      <c r="H139" s="1"/>
      <c r="I139" s="1"/>
      <c r="K139" s="1"/>
      <c r="L139" s="1"/>
    </row>
    <row r="140" spans="1:12">
      <c r="A140" s="1"/>
      <c r="B140" s="255"/>
      <c r="C140" s="1"/>
      <c r="D140" s="256"/>
      <c r="E140" s="255"/>
      <c r="F140" s="1"/>
      <c r="G140" s="1"/>
      <c r="H140" s="1"/>
      <c r="I140" s="1"/>
      <c r="K140" s="1"/>
      <c r="L140" s="1"/>
    </row>
    <row r="141" spans="1:12">
      <c r="A141" s="1"/>
      <c r="B141" s="255"/>
      <c r="C141" s="1"/>
      <c r="D141" s="256"/>
      <c r="E141" s="255"/>
      <c r="F141" s="1"/>
      <c r="G141" s="1"/>
      <c r="H141" s="1"/>
      <c r="I141" s="1"/>
      <c r="K141" s="1"/>
      <c r="L141" s="1"/>
    </row>
    <row r="142" spans="1:12">
      <c r="A142" s="1"/>
      <c r="B142" s="255"/>
      <c r="C142" s="1"/>
      <c r="D142" s="256"/>
      <c r="E142" s="255"/>
      <c r="F142" s="1"/>
      <c r="G142" s="1"/>
      <c r="H142" s="1"/>
      <c r="I142" s="1"/>
      <c r="K142" s="1"/>
      <c r="L142" s="1"/>
    </row>
    <row r="143" spans="1:12">
      <c r="A143" s="1"/>
      <c r="B143" s="255"/>
      <c r="C143" s="1"/>
      <c r="D143" s="256"/>
      <c r="E143" s="255"/>
      <c r="F143" s="1"/>
      <c r="G143" s="1"/>
      <c r="H143" s="1"/>
      <c r="I143" s="1"/>
      <c r="K143" s="1"/>
      <c r="L143" s="1"/>
    </row>
    <row r="144" spans="1:12">
      <c r="A144" s="1"/>
      <c r="B144" s="255"/>
      <c r="C144" s="1"/>
      <c r="D144" s="1"/>
      <c r="E144" s="255"/>
      <c r="F144" s="1"/>
      <c r="G144" s="1"/>
      <c r="H144" s="1"/>
      <c r="I144" s="1"/>
      <c r="K144" s="1"/>
      <c r="L144" s="1"/>
    </row>
    <row r="145" spans="1:12">
      <c r="A145" s="1"/>
      <c r="B145" s="255"/>
      <c r="C145" s="1"/>
      <c r="D145" s="1"/>
      <c r="E145" s="255"/>
      <c r="F145" s="1"/>
      <c r="G145" s="1"/>
      <c r="H145" s="1"/>
      <c r="I145" s="1"/>
      <c r="K145" s="1"/>
      <c r="L145" s="1"/>
    </row>
    <row r="146" spans="1:12">
      <c r="A146" s="1"/>
      <c r="B146" s="255"/>
      <c r="C146" s="1"/>
      <c r="D146" s="1"/>
      <c r="E146" s="255"/>
      <c r="F146" s="1"/>
      <c r="G146" s="1"/>
      <c r="H146" s="1"/>
      <c r="I146" s="1"/>
      <c r="K146" s="1"/>
    </row>
    <row r="147" spans="1:12">
      <c r="A147" s="1"/>
      <c r="B147" s="255"/>
      <c r="C147" s="1"/>
      <c r="D147" s="1"/>
      <c r="E147" s="255"/>
      <c r="F147" s="1"/>
      <c r="G147" s="1"/>
      <c r="H147" s="1"/>
      <c r="I147" s="1"/>
      <c r="K147" s="1"/>
      <c r="L147" s="1"/>
    </row>
    <row r="148" spans="1:12">
      <c r="A148" s="1"/>
      <c r="B148" s="255"/>
      <c r="C148" s="1"/>
      <c r="D148" s="1"/>
      <c r="E148" s="255"/>
      <c r="F148" s="1"/>
      <c r="G148" s="1"/>
      <c r="H148" s="1"/>
      <c r="I148" s="1"/>
      <c r="K148" s="1"/>
      <c r="L148" s="1"/>
    </row>
    <row r="149" spans="1:12">
      <c r="A149" s="1"/>
      <c r="B149" s="255"/>
      <c r="C149" s="1"/>
      <c r="D149" s="1"/>
      <c r="E149" s="255"/>
      <c r="F149" s="1"/>
      <c r="G149" s="1"/>
      <c r="H149" s="1"/>
      <c r="I149" s="1"/>
      <c r="K149" s="1"/>
      <c r="L149" s="1"/>
    </row>
    <row r="150" spans="1:12">
      <c r="A150" s="1"/>
      <c r="B150" s="255"/>
      <c r="C150" s="1"/>
      <c r="D150" s="1"/>
      <c r="E150" s="255"/>
      <c r="F150" s="1"/>
      <c r="G150" s="1"/>
      <c r="H150" s="1"/>
      <c r="I150" s="1"/>
      <c r="K150" s="1"/>
      <c r="L150" s="1"/>
    </row>
    <row r="151" spans="1:12">
      <c r="A151" s="1"/>
      <c r="B151" s="255"/>
      <c r="C151" s="1"/>
      <c r="D151" s="1"/>
      <c r="E151" s="255"/>
      <c r="F151" s="1"/>
      <c r="G151" s="1"/>
      <c r="H151" s="1"/>
      <c r="I151" s="1"/>
      <c r="K151" s="1"/>
      <c r="L151" s="1"/>
    </row>
    <row r="152" spans="1:12">
      <c r="A152" s="1"/>
      <c r="B152" s="255"/>
      <c r="C152" s="1"/>
      <c r="D152" s="1"/>
      <c r="E152" s="255"/>
      <c r="F152" s="1"/>
      <c r="G152" s="1"/>
      <c r="H152" s="1"/>
      <c r="I152" s="1"/>
      <c r="K152" s="1"/>
      <c r="L152" s="1"/>
    </row>
    <row r="153" spans="1:12">
      <c r="A153" s="1"/>
      <c r="B153" s="255"/>
      <c r="C153" s="1"/>
      <c r="D153" s="1"/>
      <c r="E153" s="255"/>
      <c r="F153" s="1"/>
      <c r="G153" s="1"/>
      <c r="H153" s="1"/>
      <c r="I153" s="1"/>
      <c r="K153" s="1"/>
      <c r="L153" s="1"/>
    </row>
    <row r="154" spans="1:12">
      <c r="A154" s="1"/>
      <c r="B154" s="255"/>
      <c r="C154" s="1"/>
      <c r="D154" s="1"/>
      <c r="E154" s="255"/>
      <c r="F154" s="1"/>
      <c r="G154" s="1"/>
      <c r="H154" s="1"/>
      <c r="I154" s="1"/>
      <c r="K154" s="1"/>
      <c r="L154" s="1"/>
    </row>
    <row r="155" spans="1:12">
      <c r="A155" s="1"/>
      <c r="B155" s="255"/>
      <c r="C155" s="1"/>
      <c r="D155" s="1"/>
      <c r="E155" s="255"/>
      <c r="F155" s="1"/>
      <c r="G155" s="1"/>
      <c r="H155" s="1"/>
      <c r="I155" s="1"/>
      <c r="K155" s="1"/>
      <c r="L155" s="1"/>
    </row>
    <row r="156" spans="1:12">
      <c r="A156" s="1"/>
      <c r="B156" s="255"/>
      <c r="C156" s="1"/>
      <c r="D156" s="1"/>
      <c r="E156" s="255"/>
      <c r="F156" s="1"/>
      <c r="G156" s="1"/>
      <c r="H156" s="1"/>
      <c r="I156" s="1"/>
      <c r="K156" s="1"/>
      <c r="L156" s="1"/>
    </row>
    <row r="157" spans="1:12">
      <c r="A157" s="1"/>
      <c r="B157" s="255"/>
      <c r="C157" s="1"/>
      <c r="D157" s="1"/>
      <c r="E157" s="255"/>
      <c r="F157" s="1"/>
      <c r="G157" s="1"/>
      <c r="H157" s="1"/>
      <c r="I157" s="1"/>
      <c r="K157" s="1"/>
      <c r="L157" s="1"/>
    </row>
    <row r="158" spans="1:12">
      <c r="A158" s="1"/>
      <c r="B158" s="255"/>
      <c r="C158" s="1"/>
      <c r="D158" s="256"/>
      <c r="E158" s="255"/>
      <c r="F158" s="1"/>
      <c r="G158" s="1"/>
      <c r="H158" s="1"/>
      <c r="I158" s="1"/>
      <c r="K158" s="1"/>
      <c r="L158" s="1"/>
    </row>
    <row r="159" spans="1:12">
      <c r="A159" s="1"/>
      <c r="B159" s="255"/>
      <c r="C159" s="1"/>
      <c r="D159" s="256"/>
      <c r="E159" s="255"/>
      <c r="F159" s="1"/>
      <c r="G159" s="1"/>
      <c r="H159" s="1"/>
      <c r="I159" s="1"/>
      <c r="K159" s="1"/>
      <c r="L159" s="1"/>
    </row>
    <row r="160" spans="1:12">
      <c r="A160" s="1"/>
      <c r="B160" s="255"/>
      <c r="C160" s="1"/>
      <c r="D160" s="256"/>
      <c r="E160" s="255"/>
      <c r="F160" s="1"/>
      <c r="G160" s="1"/>
      <c r="H160" s="1"/>
      <c r="I160" s="1"/>
      <c r="K160" s="1"/>
      <c r="L160" s="1"/>
    </row>
    <row r="161" spans="1:12">
      <c r="A161" s="1"/>
      <c r="B161" s="255"/>
      <c r="C161" s="1"/>
      <c r="D161" s="256"/>
      <c r="E161" s="255"/>
      <c r="F161" s="1"/>
      <c r="G161" s="1"/>
      <c r="H161" s="1"/>
      <c r="I161" s="1"/>
      <c r="K161" s="1"/>
      <c r="L161" s="1"/>
    </row>
    <row r="162" spans="1:12">
      <c r="A162" s="1"/>
      <c r="B162" s="255"/>
      <c r="C162" s="1"/>
      <c r="D162" s="1"/>
      <c r="E162" s="255"/>
      <c r="F162" s="1"/>
      <c r="G162" s="1"/>
      <c r="H162" s="1"/>
      <c r="I162" s="1"/>
      <c r="K162" s="1"/>
      <c r="L162" s="1"/>
    </row>
    <row r="163" spans="1:12">
      <c r="A163" s="1"/>
      <c r="B163" s="255"/>
      <c r="C163" s="1"/>
      <c r="D163" s="1"/>
      <c r="E163" s="255"/>
      <c r="F163" s="1"/>
      <c r="G163" s="1"/>
      <c r="H163" s="1"/>
      <c r="I163" s="1"/>
      <c r="K163" s="1"/>
      <c r="L163" s="1"/>
    </row>
    <row r="164" spans="1:12">
      <c r="A164" s="1"/>
      <c r="B164" s="255"/>
      <c r="C164" s="1"/>
      <c r="D164" s="1"/>
      <c r="E164" s="255"/>
      <c r="F164" s="1"/>
      <c r="G164" s="1"/>
      <c r="H164" s="1"/>
      <c r="I164" s="1"/>
      <c r="K164" s="1"/>
      <c r="L164" s="1"/>
    </row>
    <row r="165" spans="1:12">
      <c r="A165" s="1"/>
      <c r="B165" s="255"/>
      <c r="C165" s="1"/>
      <c r="D165" s="1"/>
      <c r="E165" s="255"/>
      <c r="F165" s="1"/>
      <c r="G165" s="1"/>
      <c r="H165" s="1"/>
      <c r="I165" s="1"/>
      <c r="K165" s="1"/>
      <c r="L165" s="1"/>
    </row>
    <row r="166" spans="1:12">
      <c r="A166" s="1"/>
      <c r="B166" s="255"/>
      <c r="C166" s="1"/>
      <c r="D166" s="1"/>
      <c r="E166" s="255"/>
      <c r="F166" s="1"/>
      <c r="G166" s="1"/>
      <c r="H166" s="1"/>
      <c r="I166" s="1"/>
      <c r="K166" s="1"/>
      <c r="L166" s="1"/>
    </row>
    <row r="167" spans="1:12">
      <c r="A167" s="1"/>
      <c r="B167" s="255"/>
      <c r="C167" s="1"/>
      <c r="D167" s="1"/>
      <c r="E167" s="255"/>
      <c r="F167" s="1"/>
      <c r="G167" s="1"/>
      <c r="H167" s="1"/>
      <c r="I167" s="1"/>
      <c r="K167" s="1"/>
      <c r="L167" s="1"/>
    </row>
    <row r="168" spans="1:12">
      <c r="A168" s="1"/>
      <c r="B168" s="255"/>
      <c r="C168" s="1"/>
      <c r="D168" s="1"/>
      <c r="E168" s="255"/>
      <c r="F168" s="1"/>
      <c r="G168" s="1"/>
      <c r="H168" s="1"/>
      <c r="I168" s="1"/>
      <c r="K168" s="1"/>
      <c r="L168" s="1"/>
    </row>
    <row r="169" spans="1:12">
      <c r="A169" s="1"/>
      <c r="B169" s="255"/>
      <c r="C169" s="1"/>
      <c r="D169" s="1"/>
      <c r="E169" s="255"/>
      <c r="F169" s="1"/>
      <c r="G169" s="1"/>
      <c r="H169" s="1"/>
      <c r="I169" s="1"/>
      <c r="K169" s="1"/>
      <c r="L169" s="1"/>
    </row>
    <row r="170" spans="1:12">
      <c r="A170" s="1"/>
      <c r="B170" s="255"/>
      <c r="C170" s="1"/>
      <c r="D170" s="1"/>
      <c r="E170" s="255"/>
      <c r="F170" s="1"/>
      <c r="G170" s="1"/>
      <c r="H170" s="1"/>
      <c r="I170" s="1"/>
      <c r="K170" s="1"/>
      <c r="L170" s="1"/>
    </row>
    <row r="171" spans="1:12">
      <c r="A171" s="1"/>
      <c r="B171" s="255"/>
      <c r="C171" s="1"/>
      <c r="D171" s="1"/>
      <c r="E171" s="255"/>
      <c r="F171" s="1"/>
      <c r="G171" s="1"/>
      <c r="H171" s="1"/>
      <c r="I171" s="1"/>
      <c r="K171" s="1"/>
      <c r="L171" s="1"/>
    </row>
    <row r="172" spans="1:12">
      <c r="A172" s="1"/>
      <c r="B172" s="255"/>
      <c r="C172" s="1"/>
      <c r="D172" s="1"/>
      <c r="E172" s="255"/>
      <c r="F172" s="1"/>
      <c r="G172" s="1"/>
      <c r="H172" s="1"/>
      <c r="I172" s="1"/>
      <c r="K172" s="1"/>
      <c r="L172" s="1"/>
    </row>
    <row r="173" spans="1:12">
      <c r="A173" s="1"/>
      <c r="B173" s="255"/>
      <c r="C173" s="1"/>
      <c r="D173" s="1"/>
      <c r="E173" s="255"/>
      <c r="F173" s="1"/>
      <c r="G173" s="1"/>
      <c r="H173" s="1"/>
      <c r="I173" s="1"/>
      <c r="K173" s="1"/>
      <c r="L173" s="1"/>
    </row>
    <row r="174" spans="1:12">
      <c r="A174" s="1"/>
      <c r="B174" s="255"/>
      <c r="C174" s="1"/>
      <c r="D174" s="1"/>
      <c r="E174" s="255"/>
      <c r="F174" s="1"/>
      <c r="G174" s="1"/>
      <c r="H174" s="1"/>
      <c r="I174" s="1"/>
      <c r="K174" s="1"/>
      <c r="L174" s="1"/>
    </row>
    <row r="175" spans="1:12">
      <c r="A175" s="1"/>
      <c r="B175" s="255"/>
      <c r="C175" s="1"/>
      <c r="D175" s="1"/>
      <c r="E175" s="255"/>
      <c r="F175" s="1"/>
      <c r="G175" s="1"/>
      <c r="H175" s="1"/>
      <c r="I175" s="1"/>
      <c r="K175" s="1"/>
      <c r="L175" s="1"/>
    </row>
    <row r="176" spans="1:12">
      <c r="A176" s="1"/>
      <c r="B176" s="255"/>
      <c r="C176" s="1"/>
      <c r="D176" s="256"/>
      <c r="E176" s="255"/>
      <c r="F176" s="1"/>
      <c r="G176" s="1"/>
      <c r="H176" s="1"/>
      <c r="I176" s="1"/>
      <c r="K176" s="1"/>
      <c r="L176" s="1"/>
    </row>
    <row r="177" spans="1:12">
      <c r="A177" s="1"/>
      <c r="B177" s="255"/>
      <c r="C177" s="1"/>
      <c r="D177" s="256"/>
      <c r="E177" s="255"/>
      <c r="F177" s="1"/>
      <c r="G177" s="1"/>
      <c r="H177" s="1"/>
      <c r="I177" s="1"/>
      <c r="K177" s="1"/>
      <c r="L177" s="1"/>
    </row>
    <row r="178" spans="1:12">
      <c r="A178" s="1"/>
      <c r="B178" s="255"/>
      <c r="C178" s="1"/>
      <c r="D178" s="256"/>
      <c r="E178" s="255"/>
      <c r="F178" s="1"/>
      <c r="G178" s="1"/>
      <c r="H178" s="1"/>
      <c r="I178" s="1"/>
      <c r="K178" s="1"/>
      <c r="L178" s="1"/>
    </row>
    <row r="179" spans="1:12">
      <c r="A179" s="1"/>
      <c r="B179" s="255"/>
      <c r="C179" s="1"/>
      <c r="D179" s="256"/>
      <c r="E179" s="255"/>
      <c r="F179" s="1"/>
      <c r="G179" s="1"/>
      <c r="H179" s="1"/>
      <c r="I179" s="1"/>
      <c r="K179" s="1"/>
      <c r="L179" s="1"/>
    </row>
    <row r="180" spans="1:12">
      <c r="A180" s="1"/>
      <c r="B180" s="255"/>
      <c r="C180" s="1"/>
      <c r="D180" s="1"/>
      <c r="E180" s="255"/>
      <c r="F180" s="1"/>
      <c r="G180" s="1"/>
      <c r="H180" s="1"/>
      <c r="I180" s="1"/>
      <c r="K180" s="1"/>
      <c r="L180" s="1"/>
    </row>
    <row r="181" spans="1:12">
      <c r="A181" s="1"/>
      <c r="B181" s="255"/>
      <c r="C181" s="1"/>
      <c r="D181" s="1"/>
      <c r="E181" s="255"/>
      <c r="F181" s="1"/>
      <c r="G181" s="1"/>
      <c r="H181" s="1"/>
      <c r="I181" s="1"/>
      <c r="K181" s="1"/>
      <c r="L181" s="1"/>
    </row>
    <row r="182" spans="1:12">
      <c r="A182" s="1"/>
      <c r="B182" s="255"/>
      <c r="C182" s="1"/>
      <c r="D182" s="1"/>
      <c r="E182" s="255"/>
      <c r="F182" s="1"/>
      <c r="G182" s="1"/>
      <c r="H182" s="1"/>
      <c r="I182" s="1"/>
      <c r="K182" s="1"/>
      <c r="L182" s="1"/>
    </row>
    <row r="183" spans="1:12">
      <c r="A183" s="1"/>
      <c r="B183" s="255"/>
      <c r="C183" s="1"/>
      <c r="D183" s="1"/>
      <c r="E183" s="255"/>
      <c r="F183" s="1"/>
      <c r="G183" s="1"/>
      <c r="H183" s="1"/>
      <c r="I183" s="1"/>
      <c r="K183" s="1"/>
      <c r="L183" s="1"/>
    </row>
    <row r="184" spans="1:12">
      <c r="A184" s="1"/>
      <c r="B184" s="255"/>
      <c r="C184" s="1"/>
      <c r="D184" s="1"/>
      <c r="E184" s="255"/>
      <c r="F184" s="1"/>
      <c r="G184" s="1"/>
      <c r="H184" s="1"/>
      <c r="I184" s="1"/>
      <c r="K184" s="1"/>
      <c r="L184" s="1"/>
    </row>
    <row r="185" spans="1:12">
      <c r="A185" s="1"/>
      <c r="B185" s="255"/>
      <c r="C185" s="1"/>
      <c r="D185" s="1"/>
      <c r="E185" s="255"/>
      <c r="F185" s="1"/>
      <c r="G185" s="1"/>
      <c r="H185" s="1"/>
      <c r="I185" s="1"/>
      <c r="K185" s="1"/>
      <c r="L185" s="1"/>
    </row>
    <row r="186" spans="1:12">
      <c r="A186" s="1"/>
      <c r="B186" s="255"/>
      <c r="C186" s="1"/>
      <c r="D186" s="1"/>
      <c r="E186" s="255"/>
      <c r="F186" s="1"/>
      <c r="G186" s="1"/>
      <c r="H186" s="1"/>
      <c r="I186" s="1"/>
      <c r="K186" s="1"/>
      <c r="L186" s="1"/>
    </row>
    <row r="187" spans="1:12">
      <c r="A187" s="1"/>
      <c r="B187" s="255"/>
      <c r="C187" s="1"/>
      <c r="D187" s="1"/>
      <c r="E187" s="255"/>
      <c r="F187" s="1"/>
      <c r="G187" s="1"/>
      <c r="H187" s="1"/>
      <c r="I187" s="1"/>
      <c r="K187" s="1"/>
      <c r="L187" s="1"/>
    </row>
    <row r="188" spans="1:12">
      <c r="A188" s="1"/>
      <c r="B188" s="255"/>
      <c r="C188" s="1"/>
      <c r="D188" s="1"/>
      <c r="E188" s="255"/>
      <c r="F188" s="1"/>
      <c r="G188" s="1"/>
      <c r="H188" s="1"/>
      <c r="I188" s="1"/>
      <c r="K188" s="1"/>
      <c r="L188" s="1"/>
    </row>
    <row r="189" spans="1:12">
      <c r="A189" s="1"/>
      <c r="B189" s="255"/>
      <c r="C189" s="1"/>
      <c r="D189" s="1"/>
      <c r="E189" s="255"/>
      <c r="F189" s="1"/>
      <c r="G189" s="1"/>
      <c r="H189" s="1"/>
      <c r="I189" s="1"/>
      <c r="K189" s="1"/>
      <c r="L189" s="1"/>
    </row>
    <row r="190" spans="1:12">
      <c r="A190" s="1"/>
      <c r="B190" s="255"/>
      <c r="C190" s="1"/>
      <c r="D190" s="1"/>
      <c r="E190" s="255"/>
      <c r="F190" s="1"/>
      <c r="G190" s="1"/>
      <c r="H190" s="1"/>
      <c r="I190" s="1"/>
      <c r="K190" s="1"/>
      <c r="L190" s="1"/>
    </row>
    <row r="191" spans="1:12">
      <c r="A191" s="1"/>
      <c r="B191" s="255"/>
      <c r="C191" s="1"/>
      <c r="D191" s="1"/>
      <c r="E191" s="255"/>
      <c r="F191" s="1"/>
      <c r="G191" s="1"/>
      <c r="H191" s="1"/>
      <c r="I191" s="1"/>
      <c r="K191" s="1"/>
      <c r="L191" s="1"/>
    </row>
    <row r="192" spans="1:12">
      <c r="A192" s="1"/>
      <c r="B192" s="255"/>
      <c r="C192" s="1"/>
      <c r="D192" s="1"/>
      <c r="E192" s="255"/>
      <c r="F192" s="1"/>
      <c r="G192" s="1"/>
      <c r="H192" s="1"/>
      <c r="I192" s="1"/>
      <c r="K192" s="1"/>
      <c r="L192" s="1"/>
    </row>
    <row r="193" spans="1:12">
      <c r="A193" s="1"/>
      <c r="B193" s="255"/>
      <c r="C193" s="1"/>
      <c r="D193" s="1"/>
      <c r="E193" s="255"/>
      <c r="F193" s="1"/>
      <c r="G193" s="1"/>
      <c r="H193" s="1"/>
      <c r="I193" s="1"/>
      <c r="K193" s="1"/>
      <c r="L193" s="1"/>
    </row>
    <row r="194" spans="1:12">
      <c r="A194" s="1"/>
      <c r="B194" s="255"/>
      <c r="C194" s="1"/>
      <c r="D194" s="256"/>
      <c r="E194" s="255"/>
      <c r="F194" s="1"/>
      <c r="G194" s="1"/>
      <c r="H194" s="1"/>
      <c r="I194" s="1"/>
      <c r="K194" s="1"/>
      <c r="L194" s="1"/>
    </row>
    <row r="195" spans="1:12">
      <c r="A195" s="1"/>
      <c r="B195" s="255"/>
      <c r="C195" s="1"/>
      <c r="D195" s="256"/>
      <c r="E195" s="255"/>
      <c r="F195" s="1"/>
      <c r="G195" s="1"/>
      <c r="H195" s="1"/>
      <c r="I195" s="1"/>
      <c r="K195" s="1"/>
      <c r="L195" s="1"/>
    </row>
    <row r="196" spans="1:12">
      <c r="A196" s="1"/>
      <c r="B196" s="255"/>
      <c r="C196" s="1"/>
      <c r="D196" s="1"/>
      <c r="E196" s="255"/>
      <c r="F196" s="1"/>
      <c r="G196" s="1"/>
      <c r="H196" s="1"/>
      <c r="I196" s="1"/>
      <c r="K196" s="1"/>
      <c r="L196" s="1"/>
    </row>
    <row r="197" spans="1:12">
      <c r="A197" s="1"/>
      <c r="B197" s="255"/>
      <c r="C197" s="1"/>
      <c r="D197" s="1"/>
      <c r="E197" s="255"/>
      <c r="F197" s="1"/>
      <c r="G197" s="1"/>
      <c r="H197" s="1"/>
      <c r="I197" s="1"/>
      <c r="K197" s="1"/>
      <c r="L197" s="1"/>
    </row>
    <row r="198" spans="1:12">
      <c r="A198" s="1"/>
      <c r="B198" s="255"/>
      <c r="C198" s="1"/>
      <c r="D198" s="1"/>
      <c r="E198" s="255"/>
      <c r="F198" s="1"/>
      <c r="G198" s="1"/>
      <c r="H198" s="1"/>
      <c r="I198" s="1"/>
      <c r="K198" s="1"/>
      <c r="L198" s="1"/>
    </row>
    <row r="199" spans="1:12">
      <c r="A199" s="1"/>
      <c r="B199" s="255"/>
      <c r="C199" s="1"/>
      <c r="D199" s="1"/>
      <c r="E199" s="255"/>
      <c r="F199" s="1"/>
      <c r="G199" s="1"/>
      <c r="H199" s="1"/>
      <c r="I199" s="1"/>
      <c r="K199" s="1"/>
      <c r="L199" s="1"/>
    </row>
    <row r="200" spans="1:12">
      <c r="A200" s="1"/>
      <c r="B200" s="255"/>
      <c r="C200" s="1"/>
      <c r="D200" s="1"/>
      <c r="E200" s="255"/>
      <c r="F200" s="1"/>
      <c r="G200" s="1"/>
      <c r="H200" s="1"/>
      <c r="I200" s="1"/>
      <c r="K200" s="1"/>
      <c r="L200" s="1"/>
    </row>
    <row r="201" spans="1:12">
      <c r="A201" s="1"/>
      <c r="B201" s="255"/>
      <c r="C201" s="1"/>
      <c r="D201" s="1"/>
      <c r="E201" s="255"/>
      <c r="F201" s="1"/>
      <c r="G201" s="1"/>
      <c r="H201" s="1"/>
      <c r="I201" s="1"/>
      <c r="K201" s="1"/>
      <c r="L201" s="1"/>
    </row>
    <row r="202" spans="1:12">
      <c r="A202" s="1"/>
      <c r="B202" s="255"/>
      <c r="C202" s="1"/>
      <c r="D202" s="1"/>
      <c r="E202" s="255"/>
      <c r="F202" s="1"/>
      <c r="G202" s="1"/>
      <c r="H202" s="1"/>
      <c r="I202" s="1"/>
      <c r="K202" s="1"/>
      <c r="L202" s="1"/>
    </row>
    <row r="203" spans="1:12">
      <c r="A203" s="1"/>
      <c r="B203" s="255"/>
      <c r="C203" s="1"/>
      <c r="D203" s="1"/>
      <c r="E203" s="255"/>
      <c r="F203" s="1"/>
      <c r="G203" s="1"/>
      <c r="H203" s="1"/>
      <c r="I203" s="1"/>
      <c r="K203" s="1"/>
      <c r="L203" s="1"/>
    </row>
    <row r="204" spans="1:12">
      <c r="A204" s="1"/>
      <c r="B204" s="255"/>
      <c r="C204" s="1"/>
      <c r="D204" s="1"/>
      <c r="E204" s="255"/>
      <c r="F204" s="1"/>
      <c r="G204" s="1"/>
      <c r="H204" s="1"/>
      <c r="I204" s="1"/>
      <c r="K204" s="1"/>
      <c r="L204" s="1"/>
    </row>
    <row r="205" spans="1:12">
      <c r="A205" s="1"/>
      <c r="B205" s="255"/>
      <c r="C205" s="1"/>
      <c r="D205" s="1"/>
      <c r="E205" s="255"/>
      <c r="F205" s="1"/>
      <c r="G205" s="1"/>
      <c r="H205" s="1"/>
      <c r="I205" s="1"/>
      <c r="K205" s="1"/>
      <c r="L205" s="1"/>
    </row>
    <row r="206" spans="1:12">
      <c r="A206" s="1"/>
      <c r="B206" s="255"/>
      <c r="C206" s="1"/>
      <c r="D206" s="1"/>
      <c r="E206" s="255"/>
      <c r="F206" s="1"/>
      <c r="G206" s="1"/>
      <c r="H206" s="1"/>
      <c r="I206" s="1"/>
      <c r="K206" s="1"/>
      <c r="L206" s="1"/>
    </row>
    <row r="207" spans="1:12">
      <c r="A207" s="1"/>
      <c r="B207" s="255"/>
      <c r="C207" s="1"/>
      <c r="D207" s="1"/>
      <c r="E207" s="255"/>
      <c r="F207" s="1"/>
      <c r="G207" s="1"/>
      <c r="H207" s="1"/>
      <c r="I207" s="1"/>
      <c r="K207" s="1"/>
      <c r="L207" s="1"/>
    </row>
    <row r="208" spans="1:12">
      <c r="A208" s="1"/>
      <c r="B208" s="255"/>
      <c r="C208" s="1"/>
      <c r="D208" s="1"/>
      <c r="E208" s="255"/>
      <c r="F208" s="1"/>
      <c r="G208" s="1"/>
      <c r="H208" s="1"/>
      <c r="I208" s="1"/>
      <c r="K208" s="1"/>
      <c r="L208" s="1"/>
    </row>
    <row r="209" spans="1:12">
      <c r="A209" s="1"/>
      <c r="B209" s="255"/>
      <c r="C209" s="1"/>
      <c r="D209" s="1"/>
      <c r="E209" s="255"/>
      <c r="F209" s="1"/>
      <c r="G209" s="1"/>
      <c r="H209" s="1"/>
      <c r="I209" s="1"/>
      <c r="K209" s="1"/>
      <c r="L209" s="1"/>
    </row>
    <row r="210" spans="1:12">
      <c r="A210" s="1"/>
      <c r="B210" s="255"/>
      <c r="C210" s="1"/>
      <c r="D210" s="1"/>
      <c r="E210" s="255"/>
      <c r="F210" s="1"/>
      <c r="G210" s="1"/>
      <c r="H210" s="1"/>
      <c r="I210" s="1"/>
      <c r="K210" s="1"/>
      <c r="L210" s="1"/>
    </row>
    <row r="211" spans="1:12">
      <c r="A211" s="1"/>
      <c r="B211" s="255"/>
      <c r="C211" s="1"/>
      <c r="D211" s="1"/>
      <c r="E211" s="255"/>
      <c r="F211" s="1"/>
      <c r="G211" s="1"/>
      <c r="H211" s="1"/>
      <c r="I211" s="1"/>
      <c r="K211" s="1"/>
      <c r="L211" s="1"/>
    </row>
    <row r="212" spans="1:12">
      <c r="A212" s="1"/>
      <c r="B212" s="255"/>
      <c r="C212" s="1"/>
      <c r="D212" s="1"/>
      <c r="E212" s="255"/>
      <c r="F212" s="1"/>
      <c r="G212" s="1"/>
      <c r="H212" s="1"/>
      <c r="I212" s="1"/>
      <c r="K212" s="1"/>
      <c r="L212" s="1"/>
    </row>
    <row r="213" spans="1:12">
      <c r="A213" s="1"/>
      <c r="B213" s="255"/>
      <c r="C213" s="1"/>
      <c r="D213" s="1"/>
      <c r="E213" s="255"/>
      <c r="F213" s="1"/>
      <c r="G213" s="1"/>
      <c r="H213" s="1"/>
      <c r="I213" s="1"/>
      <c r="K213" s="1"/>
      <c r="L213" s="1"/>
    </row>
    <row r="214" spans="1:12">
      <c r="A214" s="1"/>
      <c r="B214" s="255"/>
      <c r="C214" s="1"/>
      <c r="D214" s="1"/>
      <c r="E214" s="255"/>
      <c r="F214" s="1"/>
      <c r="G214" s="1"/>
      <c r="H214" s="1"/>
      <c r="I214" s="1"/>
      <c r="K214" s="1"/>
      <c r="L214" s="1"/>
    </row>
    <row r="215" spans="1:12">
      <c r="A215" s="1"/>
      <c r="B215" s="255"/>
      <c r="C215" s="1"/>
      <c r="D215" s="1"/>
      <c r="E215" s="255"/>
      <c r="F215" s="1"/>
      <c r="G215" s="1"/>
      <c r="H215" s="1"/>
      <c r="I215" s="1"/>
      <c r="K215" s="1"/>
      <c r="L215" s="1"/>
    </row>
    <row r="216" spans="1:12">
      <c r="A216" s="1"/>
      <c r="B216" s="255"/>
      <c r="C216" s="1"/>
      <c r="D216" s="1"/>
      <c r="E216" s="255"/>
      <c r="F216" s="1"/>
      <c r="G216" s="1"/>
      <c r="H216" s="1"/>
      <c r="I216" s="1"/>
      <c r="K216" s="1"/>
      <c r="L216" s="1"/>
    </row>
    <row r="217" spans="1:12">
      <c r="A217" s="1"/>
      <c r="B217" s="255"/>
      <c r="C217" s="1"/>
      <c r="D217" s="1"/>
      <c r="E217" s="255"/>
      <c r="F217" s="1"/>
      <c r="G217" s="1"/>
      <c r="H217" s="1"/>
      <c r="I217" s="1"/>
      <c r="K217" s="1"/>
      <c r="L217" s="1"/>
    </row>
    <row r="218" spans="1:12">
      <c r="A218" s="1"/>
      <c r="B218" s="255"/>
      <c r="C218" s="1"/>
      <c r="D218" s="1"/>
      <c r="E218" s="255"/>
      <c r="F218" s="1"/>
      <c r="G218" s="1"/>
      <c r="H218" s="1"/>
      <c r="I218" s="1"/>
      <c r="K218" s="1"/>
    </row>
    <row r="219" spans="1:12">
      <c r="A219" s="1"/>
      <c r="B219" s="255"/>
      <c r="C219" s="1"/>
      <c r="D219" s="1"/>
      <c r="E219" s="255"/>
      <c r="F219" s="1"/>
      <c r="G219" s="1"/>
      <c r="H219" s="1"/>
      <c r="I219" s="1"/>
      <c r="K219" s="1"/>
      <c r="L219" s="1"/>
    </row>
    <row r="220" spans="1:12">
      <c r="A220" s="1"/>
      <c r="B220" s="255"/>
      <c r="C220" s="1"/>
      <c r="D220" s="1"/>
      <c r="E220" s="255"/>
      <c r="F220" s="1"/>
      <c r="G220" s="1"/>
      <c r="H220" s="1"/>
      <c r="I220" s="1"/>
      <c r="K220" s="1"/>
      <c r="L220" s="1"/>
    </row>
    <row r="221" spans="1:12">
      <c r="A221" s="1"/>
      <c r="B221" s="255"/>
      <c r="C221" s="1"/>
      <c r="D221" s="1"/>
      <c r="E221" s="255"/>
      <c r="F221" s="1"/>
      <c r="G221" s="1"/>
      <c r="H221" s="1"/>
      <c r="I221" s="1"/>
      <c r="K221" s="1"/>
      <c r="L221" s="1"/>
    </row>
    <row r="222" spans="1:12">
      <c r="A222" s="1"/>
      <c r="B222" s="255"/>
      <c r="C222" s="1"/>
      <c r="D222" s="1"/>
      <c r="E222" s="255"/>
      <c r="F222" s="1"/>
      <c r="G222" s="1"/>
      <c r="H222" s="1"/>
      <c r="I222" s="1"/>
      <c r="K222" s="1"/>
      <c r="L222" s="1"/>
    </row>
    <row r="223" spans="1:12">
      <c r="A223" s="1"/>
      <c r="B223" s="255"/>
      <c r="C223" s="1"/>
      <c r="D223" s="1"/>
      <c r="E223" s="255"/>
      <c r="F223" s="1"/>
      <c r="G223" s="1"/>
      <c r="H223" s="1"/>
      <c r="I223" s="1"/>
      <c r="K223" s="1"/>
      <c r="L223" s="1"/>
    </row>
    <row r="224" spans="1:12">
      <c r="A224" s="1"/>
      <c r="B224" s="255"/>
      <c r="C224" s="1"/>
      <c r="D224" s="1"/>
      <c r="E224" s="255"/>
      <c r="F224" s="1"/>
      <c r="G224" s="1"/>
      <c r="H224" s="1"/>
      <c r="I224" s="1"/>
      <c r="K224" s="1"/>
      <c r="L224" s="1"/>
    </row>
    <row r="225" spans="1:12">
      <c r="A225" s="1"/>
      <c r="B225" s="255"/>
      <c r="C225" s="1"/>
      <c r="D225" s="1"/>
      <c r="E225" s="255"/>
      <c r="F225" s="1"/>
      <c r="G225" s="1"/>
      <c r="H225" s="1"/>
      <c r="I225" s="1"/>
      <c r="K225" s="1"/>
      <c r="L225" s="1"/>
    </row>
    <row r="226" spans="1:12">
      <c r="A226" s="1"/>
      <c r="B226" s="255"/>
      <c r="C226" s="1"/>
      <c r="D226" s="1"/>
      <c r="E226" s="255"/>
      <c r="F226" s="1"/>
      <c r="G226" s="1"/>
      <c r="H226" s="1"/>
      <c r="I226" s="1"/>
      <c r="K226" s="1"/>
      <c r="L226" s="1"/>
    </row>
    <row r="227" spans="1:12">
      <c r="A227" s="1"/>
      <c r="B227" s="255"/>
      <c r="C227" s="1"/>
      <c r="D227" s="1"/>
      <c r="E227" s="255"/>
      <c r="F227" s="1"/>
      <c r="G227" s="1"/>
      <c r="H227" s="1"/>
      <c r="I227" s="1"/>
      <c r="K227" s="1"/>
      <c r="L227" s="1"/>
    </row>
    <row r="228" spans="1:12">
      <c r="A228" s="1"/>
      <c r="B228" s="255"/>
      <c r="C228" s="1"/>
      <c r="D228" s="1"/>
      <c r="E228" s="255"/>
      <c r="F228" s="1"/>
      <c r="G228" s="1"/>
      <c r="H228" s="1"/>
      <c r="I228" s="1"/>
      <c r="K228" s="1"/>
      <c r="L228" s="1"/>
    </row>
    <row r="229" spans="1:12">
      <c r="A229" s="1"/>
      <c r="B229" s="255"/>
      <c r="C229" s="1"/>
      <c r="D229" s="1"/>
      <c r="E229" s="255"/>
      <c r="F229" s="1"/>
      <c r="G229" s="1"/>
      <c r="H229" s="1"/>
      <c r="I229" s="1"/>
      <c r="K229" s="1"/>
      <c r="L229" s="1"/>
    </row>
    <row r="230" spans="1:12">
      <c r="A230" s="1"/>
      <c r="B230" s="255"/>
      <c r="C230" s="1"/>
      <c r="D230" s="1"/>
      <c r="E230" s="255"/>
      <c r="F230" s="1"/>
      <c r="G230" s="1"/>
      <c r="H230" s="1"/>
      <c r="I230" s="1"/>
      <c r="K230" s="1"/>
      <c r="L230" s="1"/>
    </row>
    <row r="231" spans="1:12">
      <c r="A231" s="1"/>
      <c r="B231" s="255"/>
      <c r="C231" s="1"/>
      <c r="D231" s="1"/>
      <c r="E231" s="255"/>
      <c r="F231" s="1"/>
      <c r="G231" s="1"/>
      <c r="H231" s="1"/>
      <c r="I231" s="1"/>
      <c r="K231" s="1"/>
      <c r="L231" s="1"/>
    </row>
    <row r="232" spans="1:12">
      <c r="A232" s="1"/>
      <c r="B232" s="255"/>
      <c r="C232" s="1"/>
      <c r="D232" s="1"/>
      <c r="E232" s="255"/>
      <c r="F232" s="1"/>
      <c r="G232" s="1"/>
      <c r="H232" s="1"/>
      <c r="I232" s="1"/>
      <c r="K232" s="1"/>
      <c r="L232" s="1"/>
    </row>
    <row r="233" spans="1:12">
      <c r="A233" s="1"/>
      <c r="B233" s="255"/>
      <c r="C233" s="1"/>
      <c r="D233" s="1"/>
      <c r="E233" s="255"/>
      <c r="F233" s="1"/>
      <c r="G233" s="1"/>
      <c r="H233" s="1"/>
      <c r="I233" s="1"/>
      <c r="K233" s="1"/>
      <c r="L233" s="1"/>
    </row>
    <row r="234" spans="1:12">
      <c r="A234" s="1"/>
      <c r="B234" s="255"/>
      <c r="C234" s="1"/>
      <c r="D234" s="1"/>
      <c r="E234" s="255"/>
      <c r="F234" s="1"/>
      <c r="G234" s="1"/>
      <c r="H234" s="1"/>
      <c r="I234" s="1"/>
      <c r="K234" s="1"/>
      <c r="L234" s="1"/>
    </row>
    <row r="235" spans="1:12">
      <c r="A235" s="1"/>
      <c r="B235" s="255"/>
      <c r="C235" s="1"/>
      <c r="D235" s="1"/>
      <c r="E235" s="255"/>
      <c r="F235" s="1"/>
      <c r="G235" s="1"/>
      <c r="H235" s="1"/>
      <c r="I235" s="1"/>
      <c r="K235" s="1"/>
      <c r="L235" s="1"/>
    </row>
    <row r="236" spans="1:12">
      <c r="A236" s="1"/>
      <c r="B236" s="255"/>
      <c r="C236" s="1"/>
      <c r="D236" s="1"/>
      <c r="E236" s="255"/>
      <c r="F236" s="1"/>
      <c r="G236" s="1"/>
      <c r="H236" s="1"/>
      <c r="I236" s="1"/>
      <c r="K236" s="1"/>
      <c r="L236" s="1"/>
    </row>
    <row r="237" spans="1:12">
      <c r="A237" s="1"/>
      <c r="B237" s="255"/>
      <c r="C237" s="1"/>
      <c r="D237" s="1"/>
      <c r="E237" s="255"/>
      <c r="F237" s="1"/>
      <c r="G237" s="1"/>
      <c r="H237" s="1"/>
      <c r="I237" s="1"/>
      <c r="K237" s="1"/>
      <c r="L237" s="1"/>
    </row>
    <row r="238" spans="1:12">
      <c r="A238" s="1"/>
      <c r="B238" s="255"/>
      <c r="C238" s="1"/>
      <c r="D238" s="1"/>
      <c r="E238" s="255"/>
      <c r="F238" s="1"/>
      <c r="G238" s="1"/>
      <c r="H238" s="1"/>
      <c r="I238" s="1"/>
      <c r="K238" s="1"/>
      <c r="L238" s="1"/>
    </row>
    <row r="239" spans="1:12">
      <c r="A239" s="1"/>
      <c r="B239" s="255"/>
      <c r="C239" s="1"/>
      <c r="D239" s="1"/>
      <c r="E239" s="255"/>
      <c r="F239" s="1"/>
      <c r="G239" s="1"/>
      <c r="H239" s="1"/>
      <c r="I239" s="1"/>
      <c r="K239" s="1"/>
      <c r="L239" s="1"/>
    </row>
    <row r="240" spans="1:12">
      <c r="A240" s="1"/>
      <c r="B240" s="255"/>
      <c r="C240" s="1"/>
      <c r="D240" s="1"/>
      <c r="E240" s="255"/>
      <c r="F240" s="1"/>
      <c r="G240" s="1"/>
      <c r="H240" s="1"/>
      <c r="I240" s="1"/>
      <c r="K240" s="1"/>
      <c r="L240" s="1"/>
    </row>
    <row r="241" spans="1:12">
      <c r="A241" s="1"/>
      <c r="B241" s="255"/>
      <c r="C241" s="1"/>
      <c r="D241" s="1"/>
      <c r="E241" s="255"/>
      <c r="F241" s="1"/>
      <c r="G241" s="1"/>
      <c r="H241" s="1"/>
      <c r="I241" s="1"/>
      <c r="K241" s="1"/>
      <c r="L241" s="1"/>
    </row>
    <row r="242" spans="1:12">
      <c r="A242" s="1"/>
      <c r="B242" s="255"/>
      <c r="C242" s="1"/>
      <c r="D242" s="1"/>
      <c r="E242" s="255"/>
      <c r="F242" s="1"/>
      <c r="G242" s="1"/>
      <c r="H242" s="1"/>
      <c r="I242" s="1"/>
      <c r="K242" s="1"/>
      <c r="L242" s="1"/>
    </row>
    <row r="243" spans="1:12">
      <c r="A243" s="1"/>
      <c r="B243" s="255"/>
      <c r="C243" s="1"/>
      <c r="D243" s="1"/>
      <c r="E243" s="255"/>
      <c r="F243" s="1"/>
      <c r="G243" s="1"/>
      <c r="H243" s="1"/>
      <c r="I243" s="1"/>
      <c r="K243" s="1"/>
      <c r="L243" s="1"/>
    </row>
    <row r="244" spans="1:12">
      <c r="A244" s="1"/>
      <c r="B244" s="255"/>
      <c r="C244" s="1"/>
      <c r="D244" s="1"/>
      <c r="E244" s="255"/>
      <c r="F244" s="1"/>
      <c r="G244" s="1"/>
      <c r="H244" s="1"/>
      <c r="I244" s="1"/>
      <c r="K244" s="1"/>
      <c r="L244" s="1"/>
    </row>
    <row r="245" spans="1:12">
      <c r="A245" s="1"/>
      <c r="B245" s="255"/>
      <c r="C245" s="1"/>
      <c r="D245" s="1"/>
      <c r="E245" s="255"/>
      <c r="F245" s="1"/>
      <c r="G245" s="1"/>
      <c r="H245" s="1"/>
      <c r="I245" s="1"/>
      <c r="K245" s="1"/>
      <c r="L245" s="1"/>
    </row>
    <row r="246" spans="1:12">
      <c r="A246" s="1"/>
      <c r="B246" s="255"/>
      <c r="C246" s="1"/>
      <c r="D246" s="1"/>
      <c r="E246" s="255"/>
      <c r="F246" s="1"/>
      <c r="G246" s="1"/>
      <c r="H246" s="1"/>
      <c r="I246" s="1"/>
      <c r="K246" s="1"/>
      <c r="L246" s="1"/>
    </row>
    <row r="247" spans="1:12">
      <c r="A247" s="1"/>
      <c r="B247" s="255"/>
      <c r="C247" s="1"/>
      <c r="D247" s="1"/>
      <c r="E247" s="255"/>
      <c r="F247" s="1"/>
      <c r="G247" s="1"/>
      <c r="H247" s="1"/>
      <c r="I247" s="1"/>
      <c r="K247" s="1"/>
      <c r="L247" s="1"/>
    </row>
    <row r="248" spans="1:12">
      <c r="A248" s="1"/>
      <c r="B248" s="255"/>
      <c r="C248" s="1"/>
      <c r="D248" s="1"/>
      <c r="E248" s="255"/>
      <c r="F248" s="1"/>
      <c r="G248" s="1"/>
      <c r="H248" s="1"/>
      <c r="I248" s="1"/>
      <c r="K248" s="1"/>
      <c r="L248" s="1"/>
    </row>
    <row r="249" spans="1:12">
      <c r="A249" s="1"/>
      <c r="B249" s="255"/>
      <c r="C249" s="1"/>
      <c r="D249" s="1"/>
      <c r="E249" s="255"/>
      <c r="F249" s="1"/>
      <c r="G249" s="1"/>
      <c r="H249" s="1"/>
      <c r="I249" s="1"/>
      <c r="K249" s="1"/>
      <c r="L249" s="1"/>
    </row>
    <row r="250" spans="1:12">
      <c r="A250" s="1"/>
      <c r="B250" s="255"/>
      <c r="C250" s="1"/>
      <c r="D250" s="1"/>
      <c r="E250" s="255"/>
      <c r="F250" s="1"/>
      <c r="G250" s="1"/>
      <c r="H250" s="1"/>
      <c r="I250" s="1"/>
      <c r="K250" s="1"/>
      <c r="L250" s="1"/>
    </row>
    <row r="251" spans="1:12">
      <c r="A251" s="1"/>
      <c r="B251" s="255"/>
      <c r="C251" s="1"/>
      <c r="D251" s="1"/>
      <c r="E251" s="255"/>
      <c r="F251" s="1"/>
      <c r="G251" s="1"/>
      <c r="H251" s="1"/>
      <c r="I251" s="1"/>
      <c r="K251" s="1"/>
      <c r="L251" s="1"/>
    </row>
    <row r="252" spans="1:12">
      <c r="A252" s="1"/>
      <c r="B252" s="255"/>
      <c r="C252" s="1"/>
      <c r="D252" s="1"/>
      <c r="E252" s="255"/>
      <c r="F252" s="1"/>
      <c r="G252" s="1"/>
      <c r="H252" s="1"/>
      <c r="I252" s="1"/>
      <c r="K252" s="1"/>
      <c r="L252" s="1"/>
    </row>
    <row r="253" spans="1:12">
      <c r="A253" s="1"/>
      <c r="B253" s="255"/>
      <c r="C253" s="1"/>
      <c r="D253" s="1"/>
      <c r="E253" s="255"/>
      <c r="F253" s="1"/>
      <c r="G253" s="1"/>
      <c r="H253" s="1"/>
      <c r="I253" s="1"/>
      <c r="K253" s="1"/>
      <c r="L253" s="1"/>
    </row>
    <row r="254" spans="1:12">
      <c r="A254" s="1"/>
      <c r="B254" s="255"/>
      <c r="C254" s="1"/>
      <c r="D254" s="1"/>
      <c r="E254" s="255"/>
      <c r="F254" s="1"/>
      <c r="G254" s="1"/>
      <c r="H254" s="1"/>
      <c r="I254" s="1"/>
      <c r="K254" s="1"/>
      <c r="L254" s="1"/>
    </row>
    <row r="255" spans="1:12">
      <c r="A255" s="1"/>
      <c r="B255" s="255"/>
      <c r="C255" s="1"/>
      <c r="D255" s="1"/>
      <c r="E255" s="255"/>
      <c r="F255" s="1"/>
      <c r="G255" s="1"/>
      <c r="H255" s="1"/>
      <c r="I255" s="1"/>
      <c r="K255" s="1"/>
      <c r="L255" s="1"/>
    </row>
    <row r="256" spans="1:12">
      <c r="A256" s="1"/>
      <c r="B256" s="255"/>
      <c r="C256" s="1"/>
      <c r="D256" s="1"/>
      <c r="E256" s="255"/>
      <c r="F256" s="1"/>
      <c r="G256" s="1"/>
      <c r="H256" s="1"/>
      <c r="I256" s="1"/>
      <c r="K256" s="1"/>
      <c r="L256" s="1"/>
    </row>
    <row r="257" spans="1:12">
      <c r="A257" s="1"/>
      <c r="B257" s="255"/>
      <c r="C257" s="1"/>
      <c r="D257" s="1"/>
      <c r="E257" s="255"/>
      <c r="F257" s="1"/>
      <c r="G257" s="1"/>
      <c r="H257" s="1"/>
      <c r="I257" s="1"/>
      <c r="K257" s="1"/>
      <c r="L257" s="1"/>
    </row>
    <row r="258" spans="1:12">
      <c r="A258" s="1"/>
      <c r="B258" s="255"/>
      <c r="C258" s="1"/>
      <c r="D258" s="1"/>
      <c r="E258" s="255"/>
      <c r="F258" s="1"/>
      <c r="G258" s="1"/>
      <c r="H258" s="1"/>
      <c r="I258" s="1"/>
      <c r="K258" s="1"/>
    </row>
    <row r="259" spans="1:12">
      <c r="A259" s="1"/>
      <c r="B259" s="255"/>
      <c r="C259" s="1"/>
      <c r="D259" s="1"/>
      <c r="E259" s="255"/>
      <c r="F259" s="1"/>
      <c r="G259" s="1"/>
      <c r="H259" s="1"/>
      <c r="I259" s="1"/>
      <c r="K259" s="1"/>
      <c r="L259" s="1"/>
    </row>
    <row r="260" spans="1:12">
      <c r="A260" s="1"/>
      <c r="B260" s="255"/>
      <c r="C260" s="1"/>
      <c r="D260" s="1"/>
      <c r="E260" s="255"/>
      <c r="F260" s="1"/>
      <c r="G260" s="1"/>
      <c r="H260" s="1"/>
      <c r="I260" s="1"/>
      <c r="K260" s="1"/>
      <c r="L260" s="1"/>
    </row>
    <row r="261" spans="1:12">
      <c r="A261" s="1"/>
      <c r="B261" s="255"/>
      <c r="C261" s="1"/>
      <c r="D261" s="1"/>
      <c r="E261" s="255"/>
      <c r="F261" s="1"/>
      <c r="G261" s="1"/>
      <c r="H261" s="1"/>
      <c r="I261" s="1"/>
      <c r="K261" s="1"/>
      <c r="L261" s="1"/>
    </row>
    <row r="262" spans="1:12">
      <c r="A262" s="1"/>
      <c r="B262" s="255"/>
      <c r="C262" s="1"/>
      <c r="D262" s="1"/>
      <c r="E262" s="255"/>
      <c r="F262" s="1"/>
      <c r="G262" s="1"/>
      <c r="H262" s="1"/>
      <c r="I262" s="1"/>
      <c r="K262" s="1"/>
      <c r="L262" s="1"/>
    </row>
    <row r="263" spans="1:12">
      <c r="A263" s="1"/>
      <c r="B263" s="255"/>
      <c r="C263" s="1"/>
      <c r="D263" s="1"/>
      <c r="E263" s="255"/>
      <c r="F263" s="1"/>
      <c r="G263" s="1"/>
      <c r="H263" s="1"/>
      <c r="I263" s="1"/>
      <c r="K263" s="1"/>
      <c r="L263" s="1"/>
    </row>
    <row r="264" spans="1:12">
      <c r="A264" s="1"/>
      <c r="B264" s="255"/>
      <c r="C264" s="1"/>
      <c r="D264" s="1"/>
      <c r="E264" s="255"/>
      <c r="F264" s="1"/>
      <c r="G264" s="1"/>
      <c r="H264" s="1"/>
      <c r="I264" s="1"/>
      <c r="K264" s="1"/>
      <c r="L264" s="1"/>
    </row>
    <row r="265" spans="1:12">
      <c r="A265" s="1"/>
      <c r="B265" s="255"/>
      <c r="C265" s="1"/>
      <c r="D265" s="1"/>
      <c r="E265" s="255"/>
      <c r="F265" s="1"/>
      <c r="G265" s="1"/>
      <c r="H265" s="1"/>
      <c r="I265" s="1"/>
      <c r="K265" s="1"/>
      <c r="L265" s="1"/>
    </row>
    <row r="266" spans="1:12">
      <c r="A266" s="1"/>
      <c r="B266" s="255"/>
      <c r="C266" s="1"/>
      <c r="D266" s="1"/>
      <c r="E266" s="255"/>
      <c r="F266" s="1"/>
      <c r="G266" s="1"/>
      <c r="H266" s="1"/>
      <c r="I266" s="1"/>
      <c r="K266" s="1"/>
      <c r="L266" s="1"/>
    </row>
    <row r="267" spans="1:12">
      <c r="A267" s="1"/>
      <c r="B267" s="255"/>
      <c r="C267" s="1"/>
      <c r="D267" s="1"/>
      <c r="E267" s="255"/>
      <c r="F267" s="1"/>
      <c r="G267" s="1"/>
      <c r="H267" s="1"/>
      <c r="I267" s="1"/>
      <c r="K267" s="1"/>
      <c r="L267" s="1"/>
    </row>
    <row r="268" spans="1:12">
      <c r="A268" s="1"/>
      <c r="B268" s="255"/>
      <c r="C268" s="1"/>
      <c r="D268" s="1"/>
      <c r="E268" s="255"/>
      <c r="F268" s="1"/>
      <c r="G268" s="1"/>
      <c r="H268" s="1"/>
      <c r="I268" s="1"/>
      <c r="K268" s="1"/>
      <c r="L268" s="1"/>
    </row>
    <row r="269" spans="1:12">
      <c r="A269" s="1"/>
      <c r="B269" s="255"/>
      <c r="C269" s="1"/>
      <c r="D269" s="1"/>
      <c r="E269" s="255"/>
      <c r="F269" s="1"/>
      <c r="G269" s="1"/>
      <c r="H269" s="1"/>
      <c r="I269" s="1"/>
      <c r="K269" s="1"/>
      <c r="L269" s="1"/>
    </row>
    <row r="270" spans="1:12">
      <c r="A270" s="1"/>
      <c r="B270" s="255"/>
      <c r="C270" s="1"/>
      <c r="D270" s="1"/>
      <c r="E270" s="255"/>
      <c r="F270" s="1"/>
      <c r="G270" s="1"/>
      <c r="H270" s="1"/>
      <c r="I270" s="1"/>
      <c r="K270" s="1"/>
      <c r="L270" s="1"/>
    </row>
    <row r="271" spans="1:12">
      <c r="A271" s="1"/>
      <c r="B271" s="255"/>
      <c r="C271" s="1"/>
      <c r="D271" s="1"/>
      <c r="E271" s="255"/>
      <c r="F271" s="1"/>
      <c r="G271" s="1"/>
      <c r="H271" s="1"/>
      <c r="I271" s="1"/>
      <c r="K271" s="1"/>
      <c r="L271" s="1"/>
    </row>
    <row r="272" spans="1:12">
      <c r="A272" s="1"/>
      <c r="B272" s="255"/>
      <c r="C272" s="1"/>
      <c r="D272" s="1"/>
      <c r="E272" s="255"/>
      <c r="F272" s="1"/>
      <c r="G272" s="1"/>
      <c r="H272" s="1"/>
      <c r="I272" s="1"/>
      <c r="K272" s="1"/>
      <c r="L272" s="1"/>
    </row>
    <row r="273" spans="1:12">
      <c r="A273" s="1"/>
      <c r="B273" s="255"/>
      <c r="C273" s="1"/>
      <c r="D273" s="1"/>
      <c r="E273" s="255"/>
      <c r="F273" s="1"/>
      <c r="G273" s="1"/>
      <c r="H273" s="1"/>
      <c r="I273" s="1"/>
      <c r="K273" s="1"/>
      <c r="L273" s="1"/>
    </row>
    <row r="274" spans="1:12">
      <c r="A274" s="1"/>
      <c r="B274" s="255"/>
      <c r="C274" s="1"/>
      <c r="D274" s="1"/>
      <c r="E274" s="255"/>
      <c r="F274" s="1"/>
      <c r="G274" s="1"/>
      <c r="H274" s="1"/>
      <c r="I274" s="1"/>
      <c r="K274" s="1"/>
      <c r="L274" s="1"/>
    </row>
    <row r="275" spans="1:12">
      <c r="A275" s="1"/>
      <c r="B275" s="255"/>
      <c r="C275" s="1"/>
      <c r="D275" s="1"/>
      <c r="E275" s="255"/>
      <c r="F275" s="1"/>
      <c r="G275" s="1"/>
      <c r="H275" s="1"/>
      <c r="I275" s="1"/>
      <c r="K275" s="1"/>
      <c r="L275" s="1"/>
    </row>
    <row r="276" spans="1:12">
      <c r="A276" s="1"/>
      <c r="B276" s="255"/>
      <c r="C276" s="1"/>
      <c r="D276" s="1"/>
      <c r="E276" s="255"/>
      <c r="F276" s="1"/>
      <c r="G276" s="1"/>
      <c r="H276" s="1"/>
      <c r="I276" s="1"/>
      <c r="K276" s="1"/>
      <c r="L276" s="1"/>
    </row>
    <row r="277" spans="1:12">
      <c r="A277" s="1"/>
      <c r="B277" s="255"/>
      <c r="C277" s="1"/>
      <c r="D277" s="1"/>
      <c r="E277" s="255"/>
      <c r="F277" s="1"/>
      <c r="G277" s="1"/>
      <c r="H277" s="1"/>
      <c r="I277" s="1"/>
      <c r="K277" s="1"/>
      <c r="L277" s="1"/>
    </row>
    <row r="278" spans="1:12">
      <c r="A278" s="1"/>
      <c r="B278" s="255"/>
      <c r="C278" s="1"/>
      <c r="D278" s="1"/>
      <c r="E278" s="255"/>
      <c r="F278" s="1"/>
      <c r="G278" s="1"/>
      <c r="H278" s="1"/>
      <c r="I278" s="1"/>
      <c r="K278" s="1"/>
      <c r="L278" s="1"/>
    </row>
    <row r="279" spans="1:12">
      <c r="A279" s="1"/>
      <c r="B279" s="255"/>
      <c r="C279" s="1"/>
      <c r="D279" s="1"/>
      <c r="E279" s="255"/>
      <c r="F279" s="1"/>
      <c r="G279" s="1"/>
      <c r="H279" s="1"/>
      <c r="I279" s="1"/>
      <c r="K279" s="1"/>
      <c r="L279" s="1"/>
    </row>
    <row r="280" spans="1:12">
      <c r="A280" s="1"/>
      <c r="B280" s="255"/>
      <c r="C280" s="1"/>
      <c r="D280" s="1"/>
      <c r="E280" s="255"/>
      <c r="F280" s="1"/>
      <c r="G280" s="1"/>
      <c r="H280" s="1"/>
      <c r="I280" s="1"/>
      <c r="K280" s="1"/>
      <c r="L280" s="1"/>
    </row>
    <row r="281" spans="1:12">
      <c r="A281" s="1"/>
      <c r="B281" s="255"/>
      <c r="C281" s="1"/>
      <c r="D281" s="1"/>
      <c r="E281" s="255"/>
      <c r="F281" s="1"/>
      <c r="G281" s="1"/>
      <c r="H281" s="1"/>
      <c r="I281" s="1"/>
      <c r="K281" s="1"/>
      <c r="L281" s="1"/>
    </row>
    <row r="282" spans="1:12">
      <c r="A282" s="1"/>
      <c r="B282" s="255"/>
      <c r="C282" s="1"/>
      <c r="D282" s="1"/>
      <c r="E282" s="255"/>
      <c r="F282" s="1"/>
      <c r="G282" s="1"/>
      <c r="H282" s="1"/>
      <c r="I282" s="1"/>
      <c r="K282" s="1"/>
      <c r="L282" s="1"/>
    </row>
    <row r="283" spans="1:12">
      <c r="A283" s="1"/>
      <c r="B283" s="255"/>
      <c r="C283" s="1"/>
      <c r="D283" s="1"/>
      <c r="E283" s="255"/>
      <c r="F283" s="1"/>
      <c r="G283" s="1"/>
      <c r="H283" s="1"/>
      <c r="I283" s="1"/>
      <c r="K283" s="1"/>
      <c r="L283" s="1"/>
    </row>
    <row r="284" spans="1:12">
      <c r="A284" s="1"/>
      <c r="B284" s="255"/>
      <c r="C284" s="1"/>
      <c r="D284" s="1"/>
      <c r="E284" s="255"/>
      <c r="F284" s="1"/>
      <c r="G284" s="1"/>
      <c r="H284" s="1"/>
      <c r="I284" s="1"/>
      <c r="K284" s="1"/>
      <c r="L284" s="1"/>
    </row>
    <row r="285" spans="1:12">
      <c r="A285" s="1"/>
      <c r="B285" s="255"/>
      <c r="C285" s="1"/>
      <c r="D285" s="1"/>
      <c r="E285" s="255"/>
      <c r="F285" s="1"/>
      <c r="G285" s="1"/>
      <c r="H285" s="1"/>
      <c r="I285" s="1"/>
      <c r="K285" s="1"/>
      <c r="L285" s="1"/>
    </row>
    <row r="286" spans="1:12">
      <c r="A286" s="1"/>
      <c r="B286" s="255"/>
      <c r="C286" s="1"/>
      <c r="D286" s="1"/>
      <c r="E286" s="255"/>
      <c r="F286" s="1"/>
      <c r="G286" s="1"/>
      <c r="H286" s="1"/>
      <c r="I286" s="1"/>
      <c r="K286" s="1"/>
      <c r="L286" s="1"/>
    </row>
    <row r="287" spans="1:12">
      <c r="A287" s="1"/>
      <c r="B287" s="255"/>
      <c r="C287" s="1"/>
      <c r="D287" s="1"/>
      <c r="E287" s="255"/>
      <c r="F287" s="1"/>
      <c r="G287" s="1"/>
      <c r="H287" s="1"/>
      <c r="I287" s="1"/>
      <c r="K287" s="1"/>
      <c r="L287" s="1"/>
    </row>
    <row r="288" spans="1:12">
      <c r="A288" s="1"/>
      <c r="B288" s="255"/>
      <c r="C288" s="1"/>
      <c r="D288" s="1"/>
      <c r="E288" s="255"/>
      <c r="F288" s="1"/>
      <c r="G288" s="1"/>
      <c r="H288" s="1"/>
      <c r="I288" s="1"/>
      <c r="K288" s="1"/>
      <c r="L288" s="1"/>
    </row>
    <row r="289" spans="1:12">
      <c r="A289" s="1"/>
      <c r="B289" s="255"/>
      <c r="C289" s="1"/>
      <c r="D289" s="1"/>
      <c r="E289" s="255"/>
      <c r="F289" s="1"/>
      <c r="G289" s="1"/>
      <c r="H289" s="1"/>
      <c r="I289" s="1"/>
      <c r="K289" s="1"/>
      <c r="L289" s="1"/>
    </row>
    <row r="290" spans="1:12">
      <c r="A290" s="1"/>
      <c r="B290" s="255"/>
      <c r="C290" s="1"/>
      <c r="D290" s="1"/>
      <c r="E290" s="255"/>
      <c r="F290" s="1"/>
      <c r="G290" s="1"/>
      <c r="H290" s="1"/>
      <c r="I290" s="1"/>
      <c r="K290" s="1"/>
      <c r="L290" s="1"/>
    </row>
    <row r="291" spans="1:12">
      <c r="A291" s="1"/>
      <c r="B291" s="255"/>
      <c r="C291" s="1"/>
      <c r="D291" s="1"/>
      <c r="E291" s="255"/>
      <c r="F291" s="1"/>
      <c r="G291" s="1"/>
      <c r="H291" s="1"/>
      <c r="I291" s="1"/>
      <c r="K291" s="1"/>
      <c r="L291" s="1"/>
    </row>
    <row r="292" spans="1:12">
      <c r="A292" s="1"/>
      <c r="B292" s="255"/>
      <c r="C292" s="1"/>
      <c r="D292" s="1"/>
      <c r="E292" s="255"/>
      <c r="F292" s="1"/>
      <c r="G292" s="1"/>
      <c r="H292" s="1"/>
      <c r="I292" s="1"/>
      <c r="K292" s="1"/>
      <c r="L292" s="1"/>
    </row>
    <row r="293" spans="1:12">
      <c r="A293" s="1"/>
      <c r="B293" s="255"/>
      <c r="C293" s="1"/>
      <c r="D293" s="1"/>
      <c r="E293" s="255"/>
      <c r="F293" s="1"/>
      <c r="G293" s="1"/>
      <c r="H293" s="1"/>
      <c r="I293" s="1"/>
      <c r="K293" s="1"/>
      <c r="L293" s="1"/>
    </row>
    <row r="294" spans="1:12">
      <c r="A294" s="1"/>
      <c r="B294" s="255"/>
      <c r="C294" s="1"/>
      <c r="D294" s="1"/>
      <c r="E294" s="255"/>
      <c r="F294" s="1"/>
      <c r="G294" s="1"/>
      <c r="H294" s="1"/>
      <c r="I294" s="1"/>
      <c r="K294" s="1"/>
      <c r="L294" s="1"/>
    </row>
    <row r="295" spans="1:12">
      <c r="A295" s="1"/>
      <c r="B295" s="255"/>
      <c r="C295" s="1"/>
      <c r="D295" s="1"/>
      <c r="E295" s="255"/>
      <c r="F295" s="1"/>
      <c r="G295" s="1"/>
      <c r="H295" s="1"/>
      <c r="I295" s="1"/>
      <c r="K295" s="1"/>
      <c r="L295" s="1"/>
    </row>
    <row r="296" spans="1:12">
      <c r="A296" s="1"/>
      <c r="B296" s="255"/>
      <c r="C296" s="1"/>
      <c r="D296" s="1"/>
      <c r="E296" s="255"/>
      <c r="F296" s="1"/>
      <c r="G296" s="1"/>
      <c r="H296" s="1"/>
      <c r="I296" s="1"/>
      <c r="K296" s="1"/>
      <c r="L296" s="1"/>
    </row>
    <row r="297" spans="1:12">
      <c r="A297" s="1"/>
      <c r="B297" s="255"/>
      <c r="C297" s="1"/>
      <c r="D297" s="1"/>
      <c r="E297" s="255"/>
      <c r="F297" s="1"/>
      <c r="G297" s="1"/>
      <c r="H297" s="1"/>
      <c r="I297" s="1"/>
      <c r="K297" s="1"/>
      <c r="L297" s="1"/>
    </row>
    <row r="298" spans="1:12">
      <c r="A298" s="1"/>
      <c r="B298" s="255"/>
      <c r="C298" s="1"/>
      <c r="D298" s="1"/>
      <c r="E298" s="255"/>
      <c r="F298" s="1"/>
      <c r="G298" s="1"/>
      <c r="H298" s="1"/>
      <c r="I298" s="1"/>
      <c r="K298" s="1"/>
      <c r="L298" s="1"/>
    </row>
    <row r="299" spans="1:12">
      <c r="A299" s="1"/>
      <c r="B299" s="255"/>
      <c r="C299" s="1"/>
      <c r="D299" s="1"/>
      <c r="E299" s="255"/>
      <c r="F299" s="1"/>
      <c r="G299" s="1"/>
      <c r="H299" s="1"/>
      <c r="I299" s="1"/>
      <c r="K299" s="1"/>
      <c r="L299" s="1"/>
    </row>
    <row r="300" spans="1:12">
      <c r="A300" s="1"/>
      <c r="B300" s="255"/>
      <c r="C300" s="1"/>
      <c r="D300" s="1"/>
      <c r="E300" s="255"/>
      <c r="F300" s="1"/>
      <c r="G300" s="1"/>
      <c r="H300" s="1"/>
      <c r="I300" s="1"/>
      <c r="K300" s="1"/>
      <c r="L300" s="1"/>
    </row>
    <row r="301" spans="1:12">
      <c r="A301" s="1"/>
      <c r="B301" s="255"/>
      <c r="C301" s="1"/>
      <c r="D301" s="1"/>
      <c r="E301" s="255"/>
      <c r="F301" s="1"/>
      <c r="G301" s="1"/>
      <c r="H301" s="1"/>
      <c r="I301" s="1"/>
      <c r="K301" s="1"/>
      <c r="L301" s="1"/>
    </row>
    <row r="302" spans="1:12">
      <c r="A302" s="1"/>
      <c r="B302" s="255"/>
      <c r="C302" s="1"/>
      <c r="D302" s="1"/>
      <c r="E302" s="255"/>
      <c r="F302" s="1"/>
      <c r="G302" s="1"/>
      <c r="H302" s="1"/>
      <c r="I302" s="1"/>
      <c r="K302" s="1"/>
      <c r="L302" s="1"/>
    </row>
    <row r="303" spans="1:12">
      <c r="A303" s="1"/>
      <c r="B303" s="255"/>
      <c r="C303" s="1"/>
      <c r="D303" s="1"/>
      <c r="E303" s="255"/>
      <c r="F303" s="1"/>
      <c r="G303" s="1"/>
      <c r="H303" s="1"/>
      <c r="I303" s="1"/>
      <c r="K303" s="1"/>
      <c r="L303" s="1"/>
    </row>
    <row r="304" spans="1:12">
      <c r="A304" s="1"/>
      <c r="B304" s="255"/>
      <c r="C304" s="1"/>
      <c r="D304" s="1"/>
      <c r="E304" s="255"/>
      <c r="F304" s="1"/>
      <c r="G304" s="1"/>
      <c r="H304" s="1"/>
      <c r="I304" s="1"/>
      <c r="K304" s="1"/>
      <c r="L304" s="1"/>
    </row>
    <row r="305" spans="1:12">
      <c r="A305" s="1"/>
      <c r="B305" s="255"/>
      <c r="C305" s="1"/>
      <c r="D305" s="1"/>
      <c r="E305" s="255"/>
      <c r="F305" s="1"/>
      <c r="G305" s="1"/>
      <c r="H305" s="1"/>
      <c r="I305" s="1"/>
      <c r="K305" s="1"/>
      <c r="L305" s="1"/>
    </row>
    <row r="306" spans="1:12">
      <c r="A306" s="1"/>
      <c r="B306" s="255"/>
      <c r="C306" s="1"/>
      <c r="D306" s="1"/>
      <c r="E306" s="255"/>
      <c r="F306" s="1"/>
      <c r="G306" s="1"/>
      <c r="H306" s="1"/>
      <c r="I306" s="1"/>
      <c r="K306" s="1"/>
    </row>
    <row r="307" spans="1:12">
      <c r="A307" s="1"/>
      <c r="B307" s="255"/>
      <c r="C307" s="1"/>
      <c r="D307" s="1"/>
      <c r="E307" s="255"/>
      <c r="F307" s="1"/>
      <c r="G307" s="1"/>
      <c r="H307" s="1"/>
      <c r="I307" s="1"/>
      <c r="K307" s="1"/>
      <c r="L307" s="1"/>
    </row>
    <row r="308" spans="1:12">
      <c r="A308" s="1"/>
      <c r="B308" s="255"/>
      <c r="C308" s="1"/>
      <c r="D308" s="1"/>
      <c r="E308" s="255"/>
      <c r="F308" s="1"/>
      <c r="G308" s="1"/>
      <c r="H308" s="1"/>
      <c r="I308" s="1"/>
      <c r="K308" s="1"/>
      <c r="L308" s="1"/>
    </row>
    <row r="309" spans="1:12">
      <c r="A309" s="1"/>
      <c r="B309" s="255"/>
      <c r="C309" s="1"/>
      <c r="D309" s="1"/>
      <c r="E309" s="255"/>
      <c r="F309" s="1"/>
      <c r="G309" s="1"/>
      <c r="H309" s="1"/>
      <c r="I309" s="1"/>
      <c r="K309" s="1"/>
      <c r="L309" s="1"/>
    </row>
    <row r="310" spans="1:12">
      <c r="A310" s="1"/>
      <c r="B310" s="255"/>
      <c r="C310" s="1"/>
      <c r="D310" s="1"/>
      <c r="E310" s="255"/>
      <c r="F310" s="1"/>
      <c r="G310" s="1"/>
      <c r="H310" s="1"/>
      <c r="I310" s="1"/>
      <c r="K310" s="1"/>
      <c r="L310" s="1"/>
    </row>
    <row r="311" spans="1:12">
      <c r="A311" s="1"/>
      <c r="B311" s="255"/>
      <c r="C311" s="1"/>
      <c r="D311" s="1"/>
      <c r="E311" s="255"/>
      <c r="F311" s="1"/>
      <c r="G311" s="1"/>
      <c r="H311" s="1"/>
      <c r="I311" s="1"/>
      <c r="K311" s="1"/>
      <c r="L311" s="1"/>
    </row>
    <row r="312" spans="1:12">
      <c r="A312" s="1"/>
      <c r="B312" s="255"/>
      <c r="C312" s="1"/>
      <c r="D312" s="1"/>
      <c r="E312" s="255"/>
      <c r="F312" s="1"/>
      <c r="G312" s="1"/>
      <c r="H312" s="1"/>
      <c r="I312" s="1"/>
      <c r="K312" s="1"/>
      <c r="L312" s="1"/>
    </row>
    <row r="313" spans="1:12">
      <c r="A313" s="1"/>
      <c r="B313" s="255"/>
      <c r="C313" s="1"/>
      <c r="D313" s="1"/>
      <c r="E313" s="255"/>
      <c r="F313" s="1"/>
      <c r="G313" s="1"/>
      <c r="H313" s="1"/>
      <c r="I313" s="1"/>
      <c r="K313" s="1"/>
      <c r="L313" s="1"/>
    </row>
    <row r="314" spans="1:12">
      <c r="A314" s="1"/>
      <c r="B314" s="255"/>
      <c r="C314" s="1"/>
      <c r="D314" s="1"/>
      <c r="E314" s="255"/>
      <c r="F314" s="1"/>
      <c r="G314" s="1"/>
      <c r="H314" s="1"/>
      <c r="I314" s="1"/>
      <c r="K314" s="1"/>
    </row>
    <row r="315" spans="1:12">
      <c r="A315" s="1"/>
      <c r="B315" s="255"/>
      <c r="C315" s="1"/>
      <c r="D315" s="1"/>
      <c r="E315" s="255"/>
      <c r="F315" s="1"/>
      <c r="G315" s="1"/>
      <c r="H315" s="1"/>
      <c r="I315" s="1"/>
      <c r="K315" s="1"/>
      <c r="L315" s="1"/>
    </row>
    <row r="316" spans="1:12">
      <c r="A316" s="1"/>
      <c r="B316" s="255"/>
      <c r="C316" s="1"/>
      <c r="D316" s="1"/>
      <c r="E316" s="255"/>
      <c r="F316" s="1"/>
      <c r="G316" s="1"/>
      <c r="H316" s="1"/>
      <c r="I316" s="1"/>
      <c r="K316" s="1"/>
      <c r="L316" s="1"/>
    </row>
    <row r="317" spans="1:12">
      <c r="A317" s="1"/>
      <c r="B317" s="255"/>
      <c r="C317" s="1"/>
      <c r="D317" s="1"/>
      <c r="E317" s="255"/>
      <c r="F317" s="1"/>
      <c r="G317" s="1"/>
      <c r="H317" s="1"/>
      <c r="I317" s="1"/>
      <c r="K317" s="1"/>
      <c r="L317" s="1"/>
    </row>
    <row r="318" spans="1:12">
      <c r="A318" s="1"/>
      <c r="B318" s="255"/>
      <c r="C318" s="1"/>
      <c r="D318" s="1"/>
      <c r="E318" s="255"/>
      <c r="F318" s="1"/>
      <c r="G318" s="1"/>
      <c r="H318" s="1"/>
      <c r="I318" s="1"/>
      <c r="K318" s="1"/>
      <c r="L318" s="1"/>
    </row>
    <row r="319" spans="1:12">
      <c r="A319" s="1"/>
      <c r="B319" s="255"/>
      <c r="C319" s="1"/>
      <c r="D319" s="1"/>
      <c r="E319" s="255"/>
      <c r="F319" s="1"/>
      <c r="G319" s="1"/>
      <c r="H319" s="1"/>
      <c r="I319" s="1"/>
      <c r="K319" s="1"/>
      <c r="L319" s="1"/>
    </row>
    <row r="320" spans="1:12">
      <c r="A320" s="1"/>
      <c r="B320" s="255"/>
      <c r="C320" s="1"/>
      <c r="D320" s="1"/>
      <c r="E320" s="255"/>
      <c r="F320" s="1"/>
      <c r="G320" s="1"/>
      <c r="H320" s="1"/>
      <c r="I320" s="1"/>
      <c r="K320" s="1"/>
      <c r="L320" s="1"/>
    </row>
    <row r="321" spans="1:12">
      <c r="A321" s="1"/>
      <c r="B321" s="255"/>
      <c r="C321" s="1"/>
      <c r="D321" s="1"/>
      <c r="E321" s="255"/>
      <c r="F321" s="1"/>
      <c r="G321" s="1"/>
      <c r="H321" s="1"/>
      <c r="I321" s="1"/>
      <c r="K321" s="1"/>
      <c r="L321" s="1"/>
    </row>
    <row r="322" spans="1:12">
      <c r="A322" s="1"/>
      <c r="B322" s="255"/>
      <c r="C322" s="1"/>
      <c r="D322" s="1"/>
      <c r="E322" s="255"/>
      <c r="F322" s="1"/>
      <c r="G322" s="1"/>
      <c r="H322" s="1"/>
      <c r="I322" s="1"/>
      <c r="K322" s="1"/>
      <c r="L322" s="1"/>
    </row>
    <row r="323" spans="1:12">
      <c r="A323" s="1"/>
      <c r="B323" s="255"/>
      <c r="C323" s="1"/>
      <c r="D323" s="1"/>
      <c r="E323" s="255"/>
      <c r="F323" s="1"/>
      <c r="G323" s="1"/>
      <c r="H323" s="1"/>
      <c r="I323" s="1"/>
      <c r="K323" s="1"/>
      <c r="L323" s="1"/>
    </row>
    <row r="324" spans="1:12">
      <c r="A324" s="1"/>
      <c r="B324" s="255"/>
      <c r="C324" s="1"/>
      <c r="D324" s="1"/>
      <c r="E324" s="255"/>
      <c r="F324" s="1"/>
      <c r="G324" s="1"/>
      <c r="H324" s="1"/>
      <c r="I324" s="1"/>
      <c r="K324" s="1"/>
      <c r="L324" s="1"/>
    </row>
    <row r="325" spans="1:12">
      <c r="A325" s="1"/>
      <c r="B325" s="255"/>
      <c r="C325" s="1"/>
      <c r="D325" s="1"/>
      <c r="E325" s="255"/>
      <c r="F325" s="1"/>
      <c r="G325" s="1"/>
      <c r="H325" s="1"/>
      <c r="I325" s="1"/>
      <c r="K325" s="1"/>
      <c r="L325" s="1"/>
    </row>
    <row r="326" spans="1:12">
      <c r="A326" s="1"/>
      <c r="B326" s="255"/>
      <c r="C326" s="1"/>
      <c r="D326" s="1"/>
      <c r="E326" s="255"/>
      <c r="F326" s="1"/>
      <c r="G326" s="1"/>
      <c r="H326" s="1"/>
      <c r="I326" s="1"/>
      <c r="K326" s="1"/>
      <c r="L326" s="1"/>
    </row>
    <row r="327" spans="1:12">
      <c r="A327" s="1"/>
      <c r="B327" s="255"/>
      <c r="C327" s="1"/>
      <c r="D327" s="1"/>
      <c r="E327" s="255"/>
      <c r="F327" s="1"/>
      <c r="G327" s="1"/>
      <c r="H327" s="1"/>
      <c r="I327" s="1"/>
      <c r="K327" s="1"/>
      <c r="L327" s="1"/>
    </row>
    <row r="328" spans="1:12">
      <c r="A328" s="1"/>
      <c r="B328" s="255"/>
      <c r="C328" s="1"/>
      <c r="D328" s="1"/>
      <c r="E328" s="255"/>
      <c r="F328" s="1"/>
      <c r="G328" s="1"/>
      <c r="H328" s="1"/>
      <c r="I328" s="1"/>
      <c r="K328" s="1"/>
      <c r="L328" s="1"/>
    </row>
    <row r="329" spans="1:12">
      <c r="A329" s="1"/>
      <c r="B329" s="255"/>
      <c r="C329" s="1"/>
      <c r="D329" s="1"/>
      <c r="E329" s="255"/>
      <c r="F329" s="1"/>
      <c r="G329" s="1"/>
      <c r="H329" s="1"/>
      <c r="I329" s="1"/>
      <c r="K329" s="1"/>
      <c r="L329" s="1"/>
    </row>
    <row r="330" spans="1:12">
      <c r="A330" s="1"/>
      <c r="B330" s="255"/>
      <c r="C330" s="1"/>
      <c r="D330" s="1"/>
      <c r="E330" s="255"/>
      <c r="F330" s="1"/>
      <c r="G330" s="1"/>
      <c r="H330" s="1"/>
      <c r="I330" s="1"/>
      <c r="K330" s="1"/>
      <c r="L330" s="1"/>
    </row>
    <row r="331" spans="1:12">
      <c r="A331" s="1"/>
      <c r="B331" s="255"/>
      <c r="C331" s="1"/>
      <c r="D331" s="1"/>
      <c r="E331" s="255"/>
      <c r="F331" s="1"/>
      <c r="G331" s="1"/>
      <c r="H331" s="1"/>
      <c r="I331" s="1"/>
      <c r="K331" s="1"/>
      <c r="L331" s="1"/>
    </row>
    <row r="332" spans="1:12">
      <c r="A332" s="1"/>
      <c r="B332" s="255"/>
      <c r="C332" s="1"/>
      <c r="D332" s="1"/>
      <c r="E332" s="255"/>
      <c r="F332" s="1"/>
      <c r="G332" s="1"/>
      <c r="H332" s="1"/>
      <c r="I332" s="1"/>
      <c r="K332" s="1"/>
      <c r="L332" s="1"/>
    </row>
    <row r="333" spans="1:12">
      <c r="A333" s="1"/>
      <c r="B333" s="255"/>
      <c r="C333" s="1"/>
      <c r="D333" s="1"/>
      <c r="E333" s="255"/>
      <c r="F333" s="1"/>
      <c r="G333" s="1"/>
      <c r="H333" s="1"/>
      <c r="I333" s="1"/>
      <c r="K333" s="1"/>
      <c r="L333" s="1"/>
    </row>
    <row r="334" spans="1:12">
      <c r="A334" s="1"/>
      <c r="B334" s="255"/>
      <c r="C334" s="1"/>
      <c r="D334" s="1"/>
      <c r="E334" s="255"/>
      <c r="F334" s="1"/>
      <c r="G334" s="1"/>
      <c r="H334" s="1"/>
      <c r="I334" s="1"/>
      <c r="K334" s="1"/>
      <c r="L334" s="1"/>
    </row>
    <row r="335" spans="1:12">
      <c r="A335" s="1"/>
      <c r="B335" s="255"/>
      <c r="C335" s="1"/>
      <c r="D335" s="1"/>
      <c r="E335" s="255"/>
      <c r="F335" s="1"/>
      <c r="G335" s="1"/>
      <c r="H335" s="1"/>
      <c r="I335" s="1"/>
      <c r="K335" s="1"/>
      <c r="L335" s="1"/>
    </row>
    <row r="336" spans="1:12">
      <c r="A336" s="1"/>
      <c r="B336" s="255"/>
      <c r="C336" s="1"/>
      <c r="D336" s="1"/>
      <c r="E336" s="255"/>
      <c r="F336" s="1"/>
      <c r="G336" s="1"/>
      <c r="H336" s="1"/>
      <c r="I336" s="1"/>
      <c r="K336" s="1"/>
      <c r="L336" s="1"/>
    </row>
    <row r="337" spans="1:12">
      <c r="A337" s="1"/>
      <c r="B337" s="255"/>
      <c r="C337" s="1"/>
      <c r="D337" s="1"/>
      <c r="E337" s="255"/>
      <c r="F337" s="1"/>
      <c r="G337" s="1"/>
      <c r="H337" s="1"/>
      <c r="I337" s="1"/>
      <c r="K337" s="1"/>
      <c r="L337" s="1"/>
    </row>
    <row r="338" spans="1:12">
      <c r="A338" s="1"/>
      <c r="B338" s="255"/>
      <c r="C338" s="1"/>
      <c r="D338" s="1"/>
      <c r="E338" s="255"/>
      <c r="F338" s="1"/>
      <c r="G338" s="1"/>
      <c r="H338" s="1"/>
      <c r="I338" s="1"/>
      <c r="K338" s="1"/>
      <c r="L338" s="1"/>
    </row>
    <row r="339" spans="1:12">
      <c r="A339" s="1"/>
      <c r="B339" s="255"/>
      <c r="C339" s="1"/>
      <c r="D339" s="1"/>
      <c r="E339" s="255"/>
      <c r="F339" s="1"/>
      <c r="G339" s="1"/>
      <c r="H339" s="1"/>
      <c r="I339" s="1"/>
      <c r="K339" s="1"/>
      <c r="L339" s="1"/>
    </row>
    <row r="340" spans="1:12">
      <c r="A340" s="1"/>
      <c r="B340" s="255"/>
      <c r="C340" s="1"/>
      <c r="D340" s="1"/>
      <c r="E340" s="255"/>
      <c r="F340" s="1"/>
      <c r="G340" s="1"/>
      <c r="H340" s="1"/>
      <c r="I340" s="1"/>
      <c r="K340" s="1"/>
      <c r="L340" s="1"/>
    </row>
    <row r="341" spans="1:12">
      <c r="A341" s="1"/>
      <c r="B341" s="255"/>
      <c r="C341" s="1"/>
      <c r="D341" s="1"/>
      <c r="E341" s="255"/>
      <c r="F341" s="1"/>
      <c r="G341" s="1"/>
      <c r="H341" s="1"/>
      <c r="I341" s="1"/>
      <c r="K341" s="1"/>
      <c r="L341" s="1"/>
    </row>
    <row r="342" spans="1:12">
      <c r="A342" s="1"/>
      <c r="B342" s="255"/>
      <c r="C342" s="1"/>
      <c r="D342" s="1"/>
      <c r="E342" s="255"/>
      <c r="F342" s="1"/>
      <c r="G342" s="1"/>
      <c r="H342" s="1"/>
      <c r="I342" s="1"/>
      <c r="K342" s="1"/>
      <c r="L342" s="1"/>
    </row>
    <row r="343" spans="1:12">
      <c r="A343" s="1"/>
      <c r="B343" s="255"/>
      <c r="C343" s="1"/>
      <c r="D343" s="1"/>
      <c r="E343" s="255"/>
      <c r="F343" s="1"/>
      <c r="G343" s="1"/>
      <c r="H343" s="1"/>
      <c r="I343" s="1"/>
      <c r="K343" s="1"/>
      <c r="L343" s="1"/>
    </row>
    <row r="344" spans="1:12">
      <c r="A344" s="1"/>
      <c r="B344" s="255"/>
      <c r="C344" s="1"/>
      <c r="D344" s="1"/>
      <c r="E344" s="255"/>
      <c r="F344" s="1"/>
      <c r="G344" s="1"/>
      <c r="H344" s="1"/>
      <c r="I344" s="1"/>
      <c r="K344" s="1"/>
      <c r="L344" s="1"/>
    </row>
    <row r="345" spans="1:12">
      <c r="A345" s="1"/>
      <c r="B345" s="255"/>
      <c r="C345" s="1"/>
      <c r="D345" s="1"/>
      <c r="E345" s="255"/>
      <c r="F345" s="1"/>
      <c r="G345" s="1"/>
      <c r="H345" s="1"/>
      <c r="I345" s="1"/>
      <c r="K345" s="1"/>
      <c r="L345" s="1"/>
    </row>
    <row r="346" spans="1:12">
      <c r="A346" s="1"/>
      <c r="B346" s="255"/>
      <c r="C346" s="1"/>
      <c r="D346" s="1"/>
      <c r="E346" s="255"/>
      <c r="F346" s="1"/>
      <c r="G346" s="1"/>
      <c r="H346" s="1"/>
      <c r="I346" s="1"/>
      <c r="K346" s="1"/>
      <c r="L346" s="1"/>
    </row>
    <row r="347" spans="1:12">
      <c r="A347" s="1"/>
      <c r="B347" s="255"/>
      <c r="C347" s="1"/>
      <c r="D347" s="1"/>
      <c r="E347" s="255"/>
      <c r="F347" s="1"/>
      <c r="G347" s="1"/>
      <c r="H347" s="1"/>
      <c r="I347" s="1"/>
      <c r="K347" s="1"/>
      <c r="L347" s="1"/>
    </row>
    <row r="348" spans="1:12">
      <c r="A348" s="1"/>
      <c r="B348" s="255"/>
      <c r="C348" s="1"/>
      <c r="D348" s="1"/>
      <c r="E348" s="255"/>
      <c r="F348" s="1"/>
      <c r="G348" s="1"/>
      <c r="H348" s="1"/>
      <c r="I348" s="1"/>
      <c r="K348" s="1"/>
      <c r="L348" s="1"/>
    </row>
    <row r="349" spans="1:12">
      <c r="A349" s="1"/>
      <c r="B349" s="255"/>
      <c r="C349" s="1"/>
      <c r="D349" s="1"/>
      <c r="E349" s="255"/>
      <c r="F349" s="1"/>
      <c r="G349" s="1"/>
      <c r="H349" s="1"/>
      <c r="I349" s="1"/>
      <c r="K349" s="1"/>
      <c r="L349" s="1"/>
    </row>
    <row r="350" spans="1:12">
      <c r="A350" s="1"/>
      <c r="B350" s="255"/>
      <c r="C350" s="1"/>
      <c r="D350" s="1"/>
      <c r="E350" s="255"/>
      <c r="F350" s="1"/>
      <c r="G350" s="1"/>
      <c r="H350" s="1"/>
      <c r="I350" s="1"/>
      <c r="K350" s="1"/>
      <c r="L350" s="1"/>
    </row>
    <row r="351" spans="1:12">
      <c r="A351" s="1"/>
      <c r="B351" s="255"/>
      <c r="C351" s="1"/>
      <c r="D351" s="1"/>
      <c r="E351" s="255"/>
      <c r="F351" s="1"/>
      <c r="G351" s="1"/>
      <c r="H351" s="1"/>
      <c r="I351" s="1"/>
      <c r="K351" s="1"/>
      <c r="L351" s="1"/>
    </row>
    <row r="352" spans="1:12">
      <c r="A352" s="1"/>
      <c r="B352" s="255"/>
      <c r="C352" s="1"/>
      <c r="D352" s="1"/>
      <c r="E352" s="255"/>
      <c r="F352" s="1"/>
      <c r="G352" s="1"/>
      <c r="H352" s="1"/>
      <c r="I352" s="1"/>
      <c r="K352" s="1"/>
      <c r="L352" s="1"/>
    </row>
    <row r="353" spans="1:12">
      <c r="A353" s="1"/>
      <c r="B353" s="255"/>
      <c r="C353" s="1"/>
      <c r="D353" s="1"/>
      <c r="E353" s="255"/>
      <c r="F353" s="1"/>
      <c r="G353" s="1"/>
      <c r="H353" s="1"/>
      <c r="I353" s="1"/>
      <c r="K353" s="1"/>
      <c r="L353" s="1"/>
    </row>
    <row r="354" spans="1:12">
      <c r="A354" s="1"/>
      <c r="B354" s="255"/>
      <c r="C354" s="1"/>
      <c r="D354" s="1"/>
      <c r="E354" s="255"/>
      <c r="F354" s="1"/>
      <c r="G354" s="1"/>
      <c r="H354" s="1"/>
      <c r="I354" s="1"/>
      <c r="K354" s="1"/>
    </row>
    <row r="355" spans="1:12">
      <c r="A355" s="1"/>
      <c r="B355" s="255"/>
      <c r="C355" s="1"/>
      <c r="D355" s="1"/>
      <c r="E355" s="255"/>
      <c r="F355" s="1"/>
      <c r="G355" s="1"/>
      <c r="H355" s="1"/>
      <c r="I355" s="1"/>
      <c r="K355" s="1"/>
      <c r="L355" s="1"/>
    </row>
    <row r="356" spans="1:12">
      <c r="A356" s="1"/>
      <c r="B356" s="255"/>
      <c r="C356" s="1"/>
      <c r="D356" s="1"/>
      <c r="E356" s="255"/>
      <c r="F356" s="1"/>
      <c r="G356" s="1"/>
      <c r="H356" s="1"/>
      <c r="I356" s="1"/>
      <c r="K356" s="1"/>
      <c r="L356" s="1"/>
    </row>
    <row r="357" spans="1:12">
      <c r="A357" s="1"/>
      <c r="B357" s="255"/>
      <c r="C357" s="1"/>
      <c r="D357" s="1"/>
      <c r="E357" s="255"/>
      <c r="F357" s="1"/>
      <c r="G357" s="1"/>
      <c r="H357" s="1"/>
      <c r="I357" s="1"/>
      <c r="K357" s="1"/>
      <c r="L357" s="1"/>
    </row>
    <row r="358" spans="1:12">
      <c r="A358" s="1"/>
      <c r="B358" s="255"/>
      <c r="C358" s="1"/>
      <c r="D358" s="1"/>
      <c r="E358" s="255"/>
      <c r="F358" s="1"/>
      <c r="G358" s="1"/>
      <c r="H358" s="1"/>
      <c r="I358" s="1"/>
      <c r="K358" s="1"/>
      <c r="L358" s="1"/>
    </row>
    <row r="359" spans="1:12">
      <c r="A359" s="1"/>
      <c r="B359" s="255"/>
      <c r="C359" s="1"/>
      <c r="D359" s="1"/>
      <c r="E359" s="255"/>
      <c r="F359" s="1"/>
      <c r="G359" s="1"/>
      <c r="H359" s="1"/>
      <c r="I359" s="1"/>
      <c r="K359" s="1"/>
      <c r="L359" s="1"/>
    </row>
    <row r="360" spans="1:12">
      <c r="A360" s="1"/>
      <c r="B360" s="255"/>
      <c r="C360" s="1"/>
      <c r="D360" s="1"/>
      <c r="E360" s="255"/>
      <c r="F360" s="1"/>
      <c r="G360" s="1"/>
      <c r="H360" s="1"/>
      <c r="I360" s="1"/>
      <c r="K360" s="1"/>
      <c r="L360" s="1"/>
    </row>
    <row r="361" spans="1:12">
      <c r="A361" s="1"/>
      <c r="B361" s="255"/>
      <c r="C361" s="1"/>
      <c r="D361" s="1"/>
      <c r="E361" s="255"/>
      <c r="F361" s="1"/>
      <c r="G361" s="1"/>
      <c r="H361" s="1"/>
      <c r="I361" s="1"/>
      <c r="K361" s="1"/>
      <c r="L361" s="1"/>
    </row>
    <row r="362" spans="1:12">
      <c r="A362" s="1"/>
      <c r="B362" s="255"/>
      <c r="C362" s="1"/>
      <c r="D362" s="1"/>
      <c r="E362" s="255"/>
      <c r="F362" s="1"/>
      <c r="G362" s="1"/>
      <c r="H362" s="1"/>
      <c r="I362" s="1"/>
      <c r="K362" s="1"/>
      <c r="L362" s="1"/>
    </row>
    <row r="363" spans="1:12">
      <c r="A363" s="1"/>
      <c r="B363" s="255"/>
      <c r="C363" s="1"/>
      <c r="D363" s="1"/>
      <c r="E363" s="255"/>
      <c r="F363" s="1"/>
      <c r="G363" s="1"/>
      <c r="H363" s="1"/>
      <c r="I363" s="1"/>
      <c r="K363" s="1"/>
      <c r="L363" s="1"/>
    </row>
    <row r="364" spans="1:12">
      <c r="A364" s="1"/>
      <c r="B364" s="255"/>
      <c r="C364" s="1"/>
      <c r="D364" s="1"/>
      <c r="E364" s="255"/>
      <c r="F364" s="1"/>
      <c r="G364" s="1"/>
      <c r="H364" s="1"/>
      <c r="I364" s="1"/>
      <c r="K364" s="1"/>
      <c r="L364" s="1"/>
    </row>
    <row r="365" spans="1:12">
      <c r="A365" s="1"/>
      <c r="B365" s="255"/>
      <c r="C365" s="1"/>
      <c r="D365" s="1"/>
      <c r="E365" s="255"/>
      <c r="F365" s="1"/>
      <c r="G365" s="1"/>
      <c r="H365" s="1"/>
      <c r="I365" s="1"/>
      <c r="K365" s="1"/>
      <c r="L365" s="1"/>
    </row>
    <row r="366" spans="1:12">
      <c r="A366" s="1"/>
      <c r="B366" s="255"/>
      <c r="C366" s="1"/>
      <c r="D366" s="1"/>
      <c r="E366" s="255"/>
      <c r="F366" s="1"/>
      <c r="G366" s="1"/>
      <c r="H366" s="1"/>
      <c r="I366" s="1"/>
      <c r="K366" s="1"/>
      <c r="L366" s="1"/>
    </row>
    <row r="367" spans="1:12">
      <c r="A367" s="1"/>
      <c r="B367" s="255"/>
      <c r="C367" s="1"/>
      <c r="D367" s="1"/>
      <c r="E367" s="255"/>
      <c r="F367" s="1"/>
      <c r="G367" s="1"/>
      <c r="H367" s="1"/>
      <c r="I367" s="1"/>
      <c r="K367" s="1"/>
      <c r="L367" s="1"/>
    </row>
    <row r="368" spans="1:12">
      <c r="A368" s="1"/>
      <c r="B368" s="255"/>
      <c r="C368" s="1"/>
      <c r="D368" s="1"/>
      <c r="E368" s="255"/>
      <c r="F368" s="1"/>
      <c r="G368" s="1"/>
      <c r="H368" s="1"/>
      <c r="I368" s="1"/>
      <c r="K368" s="1"/>
      <c r="L368" s="1"/>
    </row>
    <row r="369" spans="1:12">
      <c r="A369" s="1"/>
      <c r="B369" s="255"/>
      <c r="C369" s="1"/>
      <c r="D369" s="1"/>
      <c r="E369" s="255"/>
      <c r="F369" s="1"/>
      <c r="G369" s="1"/>
      <c r="H369" s="1"/>
      <c r="I369" s="1"/>
      <c r="K369" s="1"/>
      <c r="L369" s="1"/>
    </row>
    <row r="370" spans="1:12">
      <c r="A370" s="1"/>
      <c r="B370" s="255"/>
      <c r="C370" s="1"/>
      <c r="D370" s="1"/>
      <c r="E370" s="255"/>
      <c r="F370" s="1"/>
      <c r="G370" s="1"/>
      <c r="H370" s="1"/>
      <c r="I370" s="1"/>
      <c r="K370" s="1"/>
      <c r="L370" s="1"/>
    </row>
    <row r="371" spans="1:12">
      <c r="A371" s="1"/>
      <c r="B371" s="255"/>
      <c r="C371" s="1"/>
      <c r="D371" s="1"/>
      <c r="E371" s="255"/>
      <c r="F371" s="1"/>
      <c r="G371" s="1"/>
      <c r="H371" s="1"/>
      <c r="I371" s="1"/>
      <c r="K371" s="1"/>
    </row>
    <row r="372" spans="1:12">
      <c r="A372" s="1"/>
      <c r="B372" s="255"/>
      <c r="C372" s="1"/>
      <c r="D372" s="1"/>
      <c r="E372" s="255"/>
      <c r="F372" s="1"/>
      <c r="G372" s="1"/>
      <c r="H372" s="1"/>
      <c r="I372" s="1"/>
      <c r="K372" s="1"/>
    </row>
    <row r="373" spans="1:12">
      <c r="A373" s="1"/>
      <c r="B373" s="255"/>
      <c r="C373" s="1"/>
      <c r="D373" s="1"/>
      <c r="E373" s="255"/>
      <c r="F373" s="1"/>
      <c r="G373" s="1"/>
      <c r="H373" s="1"/>
      <c r="I373" s="1"/>
      <c r="K373" s="1"/>
      <c r="L373" s="1"/>
    </row>
    <row r="374" spans="1:12">
      <c r="A374" s="1"/>
      <c r="B374" s="255"/>
      <c r="C374" s="1"/>
      <c r="D374" s="1"/>
      <c r="E374" s="255"/>
      <c r="F374" s="1"/>
      <c r="G374" s="1"/>
      <c r="H374" s="1"/>
      <c r="I374" s="1"/>
      <c r="K374" s="1"/>
      <c r="L374" s="1"/>
    </row>
    <row r="375" spans="1:12">
      <c r="A375" s="1"/>
      <c r="B375" s="255"/>
      <c r="C375" s="1"/>
      <c r="D375" s="1"/>
      <c r="E375" s="255"/>
      <c r="F375" s="1"/>
      <c r="G375" s="1"/>
      <c r="H375" s="1"/>
      <c r="I375" s="1"/>
      <c r="K375" s="1"/>
    </row>
    <row r="376" spans="1:12">
      <c r="A376" s="1"/>
      <c r="B376" s="255"/>
      <c r="C376" s="1"/>
      <c r="D376" s="1"/>
      <c r="E376" s="255"/>
      <c r="F376" s="1"/>
      <c r="G376" s="1"/>
      <c r="H376" s="1"/>
      <c r="I376" s="1"/>
      <c r="K376" s="1"/>
    </row>
    <row r="377" spans="1:12">
      <c r="A377" s="1"/>
      <c r="B377" s="255"/>
      <c r="C377" s="1"/>
      <c r="D377" s="1"/>
      <c r="E377" s="255"/>
      <c r="F377" s="1"/>
      <c r="G377" s="1"/>
      <c r="H377" s="1"/>
      <c r="I377" s="1"/>
      <c r="K377" s="1"/>
      <c r="L377" s="1"/>
    </row>
    <row r="378" spans="1:12">
      <c r="A378" s="1"/>
      <c r="B378" s="255"/>
      <c r="C378" s="1"/>
      <c r="D378" s="1"/>
      <c r="E378" s="255"/>
      <c r="F378" s="1"/>
      <c r="G378" s="1"/>
      <c r="H378" s="1"/>
      <c r="I378" s="1"/>
      <c r="K378" s="1"/>
      <c r="L378" s="1"/>
    </row>
    <row r="379" spans="1:12">
      <c r="A379" s="1"/>
      <c r="B379" s="255"/>
      <c r="C379" s="1"/>
      <c r="D379" s="1"/>
      <c r="E379" s="255"/>
      <c r="F379" s="1"/>
      <c r="G379" s="1"/>
      <c r="H379" s="1"/>
      <c r="I379" s="1"/>
      <c r="K379" s="1"/>
      <c r="L379" s="1"/>
    </row>
    <row r="380" spans="1:12">
      <c r="A380" s="1"/>
      <c r="B380" s="255"/>
      <c r="C380" s="1"/>
      <c r="D380" s="1"/>
      <c r="E380" s="255"/>
      <c r="F380" s="1"/>
      <c r="G380" s="1"/>
      <c r="H380" s="1"/>
      <c r="I380" s="1"/>
      <c r="K380" s="1"/>
      <c r="L380" s="1"/>
    </row>
    <row r="381" spans="1:12">
      <c r="A381" s="1"/>
      <c r="B381" s="255"/>
      <c r="C381" s="1"/>
      <c r="D381" s="1"/>
      <c r="E381" s="255"/>
      <c r="F381" s="1"/>
      <c r="G381" s="1"/>
      <c r="H381" s="1"/>
      <c r="I381" s="1"/>
      <c r="K381" s="1"/>
      <c r="L381" s="1"/>
    </row>
    <row r="382" spans="1:12">
      <c r="A382" s="1"/>
      <c r="B382" s="255"/>
      <c r="C382" s="1"/>
      <c r="D382" s="1"/>
      <c r="E382" s="255"/>
      <c r="F382" s="1"/>
      <c r="G382" s="1"/>
      <c r="H382" s="1"/>
      <c r="I382" s="1"/>
      <c r="K382" s="1"/>
      <c r="L382" s="1"/>
    </row>
    <row r="383" spans="1:12">
      <c r="A383" s="1"/>
      <c r="B383" s="255"/>
      <c r="C383" s="1"/>
      <c r="D383" s="1"/>
      <c r="E383" s="255"/>
      <c r="F383" s="1"/>
      <c r="G383" s="1"/>
      <c r="H383" s="1"/>
      <c r="I383" s="1"/>
      <c r="K383" s="1"/>
      <c r="L383" s="1"/>
    </row>
    <row r="384" spans="1:12">
      <c r="A384" s="1"/>
      <c r="B384" s="255"/>
      <c r="C384" s="1"/>
      <c r="D384" s="1"/>
      <c r="E384" s="255"/>
      <c r="F384" s="1"/>
      <c r="G384" s="1"/>
      <c r="H384" s="1"/>
      <c r="I384" s="1"/>
      <c r="K384" s="1"/>
      <c r="L384" s="1"/>
    </row>
    <row r="385" spans="1:12">
      <c r="A385" s="1"/>
      <c r="B385" s="255"/>
      <c r="C385" s="1"/>
      <c r="D385" s="1"/>
      <c r="E385" s="255"/>
      <c r="F385" s="1"/>
      <c r="G385" s="1"/>
      <c r="H385" s="1"/>
      <c r="I385" s="1"/>
      <c r="K385" s="1"/>
      <c r="L385" s="1"/>
    </row>
    <row r="386" spans="1:12">
      <c r="A386" s="1"/>
      <c r="B386" s="255"/>
      <c r="C386" s="1"/>
      <c r="D386" s="1"/>
      <c r="E386" s="255"/>
      <c r="F386" s="1"/>
      <c r="G386" s="1"/>
      <c r="H386" s="1"/>
      <c r="I386" s="1"/>
      <c r="K386" s="1"/>
      <c r="L386" s="1"/>
    </row>
    <row r="387" spans="1:12">
      <c r="A387" s="1"/>
      <c r="B387" s="255"/>
      <c r="C387" s="1"/>
      <c r="D387" s="1"/>
      <c r="E387" s="255"/>
      <c r="F387" s="1"/>
      <c r="G387" s="1"/>
      <c r="H387" s="1"/>
      <c r="I387" s="1"/>
      <c r="K387" s="1"/>
      <c r="L387" s="1"/>
    </row>
    <row r="388" spans="1:12">
      <c r="A388" s="1"/>
      <c r="B388" s="255"/>
      <c r="C388" s="1"/>
      <c r="D388" s="1"/>
      <c r="E388" s="255"/>
      <c r="F388" s="1"/>
      <c r="G388" s="1"/>
      <c r="H388" s="1"/>
      <c r="I388" s="1"/>
      <c r="K388" s="1"/>
      <c r="L388" s="1"/>
    </row>
    <row r="389" spans="1:12">
      <c r="A389" s="1"/>
      <c r="B389" s="255"/>
      <c r="C389" s="1"/>
      <c r="D389" s="1"/>
      <c r="E389" s="255"/>
      <c r="F389" s="1"/>
      <c r="G389" s="1"/>
      <c r="H389" s="1"/>
      <c r="I389" s="1"/>
      <c r="K389" s="1"/>
    </row>
    <row r="390" spans="1:12">
      <c r="A390" s="1"/>
      <c r="B390" s="255"/>
      <c r="C390" s="1"/>
      <c r="D390" s="1"/>
      <c r="E390" s="255"/>
      <c r="F390" s="1"/>
      <c r="G390" s="1"/>
      <c r="H390" s="1"/>
      <c r="I390" s="1"/>
      <c r="K390" s="1"/>
    </row>
    <row r="391" spans="1:12">
      <c r="A391" s="1"/>
      <c r="B391" s="255"/>
      <c r="C391" s="1"/>
      <c r="D391" s="1"/>
      <c r="E391" s="255"/>
      <c r="F391" s="1"/>
      <c r="G391" s="1"/>
      <c r="H391" s="1"/>
      <c r="I391" s="1"/>
      <c r="K391" s="1"/>
    </row>
    <row r="392" spans="1:12">
      <c r="A392" s="1"/>
      <c r="B392" s="255"/>
      <c r="C392" s="1"/>
      <c r="D392" s="1"/>
      <c r="E392" s="255"/>
      <c r="F392" s="1"/>
      <c r="G392" s="1"/>
      <c r="H392" s="1"/>
      <c r="I392" s="1"/>
      <c r="K392" s="1"/>
    </row>
    <row r="393" spans="1:12">
      <c r="A393" s="1"/>
      <c r="B393" s="255"/>
      <c r="C393" s="1"/>
      <c r="D393" s="1"/>
      <c r="E393" s="255"/>
      <c r="F393" s="1"/>
      <c r="G393" s="1"/>
      <c r="H393" s="1"/>
      <c r="I393" s="1"/>
      <c r="K393" s="1"/>
      <c r="L393" s="1"/>
    </row>
    <row r="394" spans="1:12">
      <c r="A394" s="1"/>
      <c r="B394" s="255"/>
      <c r="C394" s="1"/>
      <c r="D394" s="1"/>
      <c r="E394" s="255"/>
      <c r="F394" s="1"/>
      <c r="G394" s="1"/>
      <c r="H394" s="1"/>
      <c r="I394" s="1"/>
      <c r="K394" s="1"/>
      <c r="L394" s="1"/>
    </row>
    <row r="395" spans="1:12">
      <c r="A395" s="1"/>
      <c r="B395" s="255"/>
      <c r="C395" s="1"/>
      <c r="D395" s="1"/>
      <c r="E395" s="255"/>
      <c r="F395" s="1"/>
      <c r="G395" s="1"/>
      <c r="H395" s="1"/>
      <c r="I395" s="1"/>
      <c r="K395" s="1"/>
      <c r="L395" s="1"/>
    </row>
    <row r="396" spans="1:12">
      <c r="A396" s="1"/>
      <c r="B396" s="255"/>
      <c r="C396" s="1"/>
      <c r="D396" s="1"/>
      <c r="E396" s="255"/>
      <c r="F396" s="1"/>
      <c r="G396" s="1"/>
      <c r="H396" s="1"/>
      <c r="I396" s="1"/>
      <c r="K396" s="1"/>
      <c r="L396" s="1"/>
    </row>
    <row r="397" spans="1:12">
      <c r="A397" s="1"/>
      <c r="B397" s="255"/>
      <c r="C397" s="1"/>
      <c r="D397" s="1"/>
      <c r="E397" s="255"/>
      <c r="F397" s="1"/>
      <c r="G397" s="1"/>
      <c r="H397" s="1"/>
      <c r="I397" s="1"/>
      <c r="K397" s="1"/>
      <c r="L397" s="1"/>
    </row>
    <row r="398" spans="1:12">
      <c r="A398" s="1"/>
      <c r="B398" s="255"/>
      <c r="C398" s="1"/>
      <c r="D398" s="1"/>
      <c r="E398" s="255"/>
      <c r="F398" s="1"/>
      <c r="G398" s="1"/>
      <c r="H398" s="1"/>
      <c r="I398" s="1"/>
      <c r="K398" s="1"/>
      <c r="L398" s="1"/>
    </row>
    <row r="399" spans="1:12">
      <c r="A399" s="1"/>
      <c r="B399" s="255"/>
      <c r="C399" s="1"/>
      <c r="D399" s="1"/>
      <c r="E399" s="255"/>
      <c r="F399" s="1"/>
      <c r="G399" s="1"/>
      <c r="H399" s="1"/>
      <c r="I399" s="1"/>
      <c r="K399" s="1"/>
      <c r="L399" s="1"/>
    </row>
    <row r="400" spans="1:12">
      <c r="A400" s="1"/>
      <c r="B400" s="255"/>
      <c r="C400" s="1"/>
      <c r="D400" s="1"/>
      <c r="E400" s="255"/>
      <c r="F400" s="1"/>
      <c r="G400" s="1"/>
      <c r="H400" s="1"/>
      <c r="I400" s="1"/>
      <c r="K400" s="1"/>
      <c r="L400" s="1"/>
    </row>
    <row r="401" spans="1:12">
      <c r="A401" s="1"/>
      <c r="B401" s="255"/>
      <c r="C401" s="1"/>
      <c r="D401" s="1"/>
      <c r="E401" s="255"/>
      <c r="F401" s="1"/>
      <c r="G401" s="1"/>
      <c r="H401" s="1"/>
      <c r="I401" s="1"/>
      <c r="K401" s="1"/>
      <c r="L401" s="1"/>
    </row>
    <row r="402" spans="1:12">
      <c r="A402" s="1"/>
      <c r="B402" s="255"/>
      <c r="C402" s="1"/>
      <c r="D402" s="1"/>
      <c r="E402" s="255"/>
      <c r="F402" s="1"/>
      <c r="G402" s="1"/>
      <c r="H402" s="1"/>
      <c r="I402" s="1"/>
      <c r="K402" s="1"/>
      <c r="L402" s="1"/>
    </row>
    <row r="403" spans="1:12">
      <c r="A403" s="1"/>
      <c r="B403" s="255"/>
      <c r="C403" s="1"/>
      <c r="D403" s="1"/>
      <c r="E403" s="255"/>
      <c r="F403" s="1"/>
      <c r="G403" s="1"/>
      <c r="H403" s="1"/>
      <c r="I403" s="1"/>
      <c r="K403" s="1"/>
    </row>
    <row r="404" spans="1:12">
      <c r="A404" s="1"/>
      <c r="B404" s="255"/>
      <c r="C404" s="1"/>
      <c r="D404" s="1"/>
      <c r="E404" s="255"/>
      <c r="F404" s="1"/>
      <c r="G404" s="1"/>
      <c r="H404" s="1"/>
      <c r="I404" s="1"/>
      <c r="K404" s="1"/>
    </row>
    <row r="405" spans="1:12">
      <c r="A405" s="1"/>
      <c r="B405" s="255"/>
      <c r="C405" s="1"/>
      <c r="D405" s="1"/>
      <c r="E405" s="255"/>
      <c r="F405" s="1"/>
      <c r="G405" s="1"/>
      <c r="H405" s="1"/>
      <c r="I405" s="1"/>
      <c r="K405" s="1"/>
    </row>
    <row r="406" spans="1:12">
      <c r="A406" s="1"/>
      <c r="B406" s="255"/>
      <c r="C406" s="1"/>
      <c r="D406" s="1"/>
      <c r="E406" s="255"/>
      <c r="F406" s="1"/>
      <c r="G406" s="1"/>
      <c r="H406" s="1"/>
      <c r="I406" s="1"/>
      <c r="K406" s="1"/>
    </row>
    <row r="407" spans="1:12">
      <c r="A407" s="1"/>
      <c r="B407" s="255"/>
      <c r="C407" s="1"/>
      <c r="D407" s="1"/>
      <c r="E407" s="255"/>
      <c r="F407" s="1"/>
      <c r="G407" s="1"/>
      <c r="H407" s="1"/>
      <c r="I407" s="1"/>
      <c r="K407" s="1"/>
      <c r="L407" s="1"/>
    </row>
    <row r="408" spans="1:12">
      <c r="A408" s="1"/>
      <c r="B408" s="255"/>
      <c r="C408" s="1"/>
      <c r="D408" s="1"/>
      <c r="E408" s="255"/>
      <c r="F408" s="1"/>
      <c r="G408" s="1"/>
      <c r="H408" s="1"/>
      <c r="I408" s="1"/>
      <c r="K408" s="1"/>
      <c r="L408" s="1"/>
    </row>
    <row r="409" spans="1:12">
      <c r="A409" s="1"/>
      <c r="B409" s="255"/>
      <c r="C409" s="1"/>
      <c r="D409" s="1"/>
      <c r="E409" s="255"/>
      <c r="F409" s="1"/>
      <c r="G409" s="1"/>
      <c r="H409" s="1"/>
      <c r="I409" s="1"/>
      <c r="K409" s="1"/>
      <c r="L409" s="1"/>
    </row>
    <row r="410" spans="1:12">
      <c r="A410" s="1"/>
      <c r="B410" s="255"/>
      <c r="C410" s="1"/>
      <c r="D410" s="1"/>
      <c r="E410" s="255"/>
      <c r="F410" s="1"/>
      <c r="G410" s="1"/>
      <c r="H410" s="1"/>
      <c r="I410" s="1"/>
      <c r="K410" s="1"/>
      <c r="L410" s="1"/>
    </row>
    <row r="411" spans="1:12">
      <c r="A411" s="1"/>
      <c r="B411" s="255"/>
      <c r="C411" s="1"/>
      <c r="D411" s="1"/>
      <c r="E411" s="255"/>
      <c r="F411" s="1"/>
      <c r="G411" s="1"/>
      <c r="H411" s="1"/>
      <c r="I411" s="1"/>
      <c r="K411" s="1"/>
      <c r="L411" s="1"/>
    </row>
    <row r="412" spans="1:12">
      <c r="A412" s="1"/>
      <c r="B412" s="255"/>
      <c r="C412" s="1"/>
      <c r="D412" s="1"/>
      <c r="E412" s="255"/>
      <c r="F412" s="1"/>
      <c r="G412" s="1"/>
      <c r="H412" s="1"/>
      <c r="I412" s="1"/>
      <c r="K412" s="1"/>
      <c r="L412" s="1"/>
    </row>
    <row r="413" spans="1:12">
      <c r="A413" s="1"/>
      <c r="B413" s="255"/>
      <c r="C413" s="1"/>
      <c r="D413" s="1"/>
      <c r="E413" s="255"/>
      <c r="F413" s="1"/>
      <c r="G413" s="1"/>
      <c r="H413" s="1"/>
      <c r="I413" s="1"/>
      <c r="K413" s="1"/>
      <c r="L413" s="1"/>
    </row>
    <row r="414" spans="1:12">
      <c r="A414" s="1"/>
      <c r="B414" s="255"/>
      <c r="C414" s="1"/>
      <c r="D414" s="1"/>
      <c r="E414" s="255"/>
      <c r="F414" s="1"/>
      <c r="G414" s="1"/>
      <c r="H414" s="1"/>
      <c r="I414" s="1"/>
      <c r="K414" s="1"/>
      <c r="L414" s="1"/>
    </row>
    <row r="415" spans="1:12">
      <c r="A415" s="1"/>
      <c r="B415" s="255"/>
      <c r="C415" s="1"/>
      <c r="D415" s="1"/>
      <c r="E415" s="255"/>
      <c r="F415" s="1"/>
      <c r="G415" s="1"/>
      <c r="H415" s="1"/>
      <c r="I415" s="1"/>
      <c r="K415" s="1"/>
    </row>
    <row r="416" spans="1:12">
      <c r="A416" s="1"/>
      <c r="B416" s="255"/>
      <c r="C416" s="1"/>
      <c r="D416" s="1"/>
      <c r="E416" s="255"/>
      <c r="F416" s="1"/>
      <c r="G416" s="1"/>
      <c r="H416" s="1"/>
      <c r="I416" s="1"/>
      <c r="K416" s="1"/>
    </row>
    <row r="417" spans="1:12">
      <c r="A417" s="1"/>
      <c r="B417" s="255"/>
      <c r="C417" s="1"/>
      <c r="D417" s="1"/>
      <c r="E417" s="255"/>
      <c r="F417" s="1"/>
      <c r="G417" s="1"/>
      <c r="H417" s="1"/>
      <c r="I417" s="1"/>
      <c r="K417" s="1"/>
      <c r="L417" s="1"/>
    </row>
    <row r="418" spans="1:12">
      <c r="A418" s="1"/>
      <c r="B418" s="255"/>
      <c r="C418" s="1"/>
      <c r="D418" s="1"/>
      <c r="E418" s="255"/>
      <c r="F418" s="1"/>
      <c r="G418" s="1"/>
      <c r="H418" s="1"/>
      <c r="I418" s="1"/>
      <c r="K418" s="1"/>
      <c r="L418" s="1"/>
    </row>
    <row r="419" spans="1:12">
      <c r="A419" s="1"/>
      <c r="B419" s="255"/>
      <c r="C419" s="1"/>
      <c r="D419" s="1"/>
      <c r="E419" s="255"/>
      <c r="F419" s="1"/>
      <c r="G419" s="1"/>
      <c r="H419" s="1"/>
      <c r="I419" s="1"/>
      <c r="K419" s="1"/>
      <c r="L419" s="1"/>
    </row>
    <row r="420" spans="1:12">
      <c r="A420" s="1"/>
      <c r="B420" s="255"/>
      <c r="C420" s="1"/>
      <c r="D420" s="1"/>
      <c r="E420" s="255"/>
      <c r="F420" s="1"/>
      <c r="G420" s="1"/>
      <c r="H420" s="1"/>
      <c r="I420" s="1"/>
      <c r="K420" s="1"/>
      <c r="L420" s="1"/>
    </row>
    <row r="421" spans="1:12">
      <c r="A421" s="1"/>
      <c r="B421" s="255"/>
      <c r="C421" s="1"/>
      <c r="D421" s="1"/>
      <c r="E421" s="255"/>
      <c r="F421" s="1"/>
      <c r="G421" s="1"/>
      <c r="H421" s="1"/>
      <c r="I421" s="1"/>
      <c r="K421" s="1"/>
      <c r="L421" s="1"/>
    </row>
    <row r="422" spans="1:12">
      <c r="A422" s="1"/>
      <c r="B422" s="255"/>
      <c r="C422" s="1"/>
      <c r="D422" s="1"/>
      <c r="E422" s="255"/>
      <c r="F422" s="1"/>
      <c r="G422" s="1"/>
      <c r="H422" s="1"/>
      <c r="I422" s="1"/>
      <c r="K422" s="1"/>
      <c r="L422" s="1"/>
    </row>
    <row r="423" spans="1:12">
      <c r="A423" s="1"/>
      <c r="B423" s="255"/>
      <c r="C423" s="1"/>
      <c r="D423" s="1"/>
      <c r="E423" s="255"/>
      <c r="F423" s="1"/>
      <c r="G423" s="1"/>
      <c r="H423" s="1"/>
      <c r="I423" s="1"/>
      <c r="K423" s="1"/>
    </row>
    <row r="424" spans="1:12">
      <c r="A424" s="1"/>
      <c r="B424" s="255"/>
      <c r="C424" s="1"/>
      <c r="D424" s="1"/>
      <c r="E424" s="255"/>
      <c r="F424" s="1"/>
      <c r="G424" s="1"/>
      <c r="H424" s="1"/>
      <c r="I424" s="1"/>
      <c r="K424" s="1"/>
    </row>
    <row r="425" spans="1:12">
      <c r="A425" s="1"/>
      <c r="B425" s="255"/>
      <c r="C425" s="1"/>
      <c r="D425" s="1"/>
      <c r="E425" s="255"/>
      <c r="F425" s="1"/>
      <c r="G425" s="1"/>
      <c r="H425" s="1"/>
      <c r="I425" s="1"/>
      <c r="K425" s="1"/>
      <c r="L425" s="1"/>
    </row>
    <row r="426" spans="1:12">
      <c r="A426" s="1"/>
      <c r="B426" s="255"/>
      <c r="C426" s="1"/>
      <c r="D426" s="1"/>
      <c r="E426" s="255"/>
      <c r="F426" s="1"/>
      <c r="G426" s="1"/>
      <c r="H426" s="1"/>
      <c r="I426" s="1"/>
      <c r="K426" s="1"/>
      <c r="L426" s="1"/>
    </row>
    <row r="427" spans="1:12">
      <c r="A427" s="1"/>
      <c r="B427" s="255"/>
      <c r="C427" s="1"/>
      <c r="D427" s="1"/>
      <c r="E427" s="255"/>
      <c r="F427" s="1"/>
      <c r="G427" s="1"/>
      <c r="H427" s="1"/>
      <c r="I427" s="1"/>
      <c r="K427" s="1"/>
      <c r="L427" s="1"/>
    </row>
    <row r="428" spans="1:12">
      <c r="A428" s="1"/>
      <c r="B428" s="255"/>
      <c r="C428" s="1"/>
      <c r="D428" s="1"/>
      <c r="E428" s="255"/>
      <c r="F428" s="1"/>
      <c r="G428" s="1"/>
      <c r="H428" s="1"/>
      <c r="I428" s="1"/>
      <c r="K428" s="1"/>
      <c r="L428" s="1"/>
    </row>
    <row r="429" spans="1:12">
      <c r="A429" s="1"/>
      <c r="B429" s="255"/>
      <c r="C429" s="1"/>
      <c r="D429" s="1"/>
      <c r="E429" s="255"/>
      <c r="F429" s="1"/>
      <c r="G429" s="1"/>
      <c r="H429" s="1"/>
      <c r="I429" s="1"/>
      <c r="K429" s="1"/>
      <c r="L429" s="1"/>
    </row>
    <row r="430" spans="1:12">
      <c r="A430" s="1"/>
      <c r="B430" s="255"/>
      <c r="C430" s="1"/>
      <c r="D430" s="1"/>
      <c r="E430" s="255"/>
      <c r="F430" s="1"/>
      <c r="G430" s="1"/>
      <c r="H430" s="1"/>
      <c r="I430" s="1"/>
      <c r="K430" s="1"/>
      <c r="L430" s="1"/>
    </row>
    <row r="431" spans="1:12">
      <c r="A431" s="1"/>
      <c r="B431" s="255"/>
      <c r="C431" s="1"/>
      <c r="D431" s="1"/>
      <c r="E431" s="255"/>
      <c r="F431" s="1"/>
      <c r="G431" s="1"/>
      <c r="H431" s="1"/>
      <c r="I431" s="1"/>
      <c r="K431" s="1"/>
      <c r="L431" s="1"/>
    </row>
    <row r="432" spans="1:12">
      <c r="A432" s="1"/>
      <c r="B432" s="255"/>
      <c r="C432" s="1"/>
      <c r="D432" s="1"/>
      <c r="E432" s="255"/>
      <c r="F432" s="1"/>
      <c r="G432" s="1"/>
      <c r="H432" s="1"/>
      <c r="I432" s="1"/>
      <c r="K432" s="1"/>
      <c r="L432" s="1"/>
    </row>
    <row r="433" spans="1:12">
      <c r="A433" s="1"/>
      <c r="B433" s="255"/>
      <c r="C433" s="1"/>
      <c r="D433" s="1"/>
      <c r="E433" s="255"/>
      <c r="F433" s="1"/>
      <c r="G433" s="1"/>
      <c r="H433" s="1"/>
      <c r="I433" s="1"/>
      <c r="K433" s="1"/>
    </row>
    <row r="434" spans="1:12">
      <c r="A434" s="1"/>
      <c r="B434" s="255"/>
      <c r="C434" s="1"/>
      <c r="D434" s="1"/>
      <c r="E434" s="255"/>
      <c r="F434" s="1"/>
      <c r="G434" s="1"/>
      <c r="H434" s="1"/>
      <c r="I434" s="1"/>
      <c r="K434" s="1"/>
    </row>
    <row r="435" spans="1:12">
      <c r="A435" s="1"/>
      <c r="B435" s="255"/>
      <c r="C435" s="1"/>
      <c r="D435" s="1"/>
      <c r="E435" s="255"/>
      <c r="F435" s="1"/>
      <c r="G435" s="1"/>
      <c r="H435" s="1"/>
      <c r="I435" s="1"/>
      <c r="K435" s="1"/>
      <c r="L435" s="1"/>
    </row>
    <row r="436" spans="1:12">
      <c r="A436" s="1"/>
      <c r="B436" s="255"/>
      <c r="C436" s="1"/>
      <c r="D436" s="1"/>
      <c r="E436" s="255"/>
      <c r="F436" s="1"/>
      <c r="G436" s="1"/>
      <c r="H436" s="1"/>
      <c r="I436" s="1"/>
      <c r="K436" s="1"/>
      <c r="L436" s="1"/>
    </row>
    <row r="437" spans="1:12">
      <c r="A437" s="1"/>
      <c r="B437" s="255"/>
      <c r="C437" s="1"/>
      <c r="D437" s="1"/>
      <c r="E437" s="255"/>
      <c r="F437" s="1"/>
      <c r="G437" s="1"/>
      <c r="H437" s="1"/>
      <c r="I437" s="1"/>
      <c r="K437" s="1"/>
      <c r="L437" s="1"/>
    </row>
    <row r="438" spans="1:12">
      <c r="A438" s="1"/>
      <c r="B438" s="255"/>
      <c r="C438" s="1"/>
      <c r="D438" s="1"/>
      <c r="E438" s="255"/>
      <c r="F438" s="1"/>
      <c r="G438" s="1"/>
      <c r="H438" s="1"/>
      <c r="I438" s="1"/>
      <c r="K438" s="1"/>
      <c r="L438" s="1"/>
    </row>
    <row r="439" spans="1:12">
      <c r="A439" s="1"/>
      <c r="B439" s="255"/>
      <c r="C439" s="1"/>
      <c r="D439" s="1"/>
      <c r="E439" s="255"/>
      <c r="F439" s="1"/>
      <c r="G439" s="1"/>
      <c r="H439" s="1"/>
      <c r="I439" s="1"/>
      <c r="K439" s="1"/>
      <c r="L439" s="1"/>
    </row>
    <row r="440" spans="1:12">
      <c r="A440" s="1"/>
      <c r="B440" s="255"/>
      <c r="C440" s="1"/>
      <c r="D440" s="1"/>
      <c r="E440" s="255"/>
      <c r="F440" s="1"/>
      <c r="G440" s="1"/>
      <c r="H440" s="1"/>
      <c r="I440" s="1"/>
      <c r="K440" s="1"/>
      <c r="L440" s="1"/>
    </row>
    <row r="441" spans="1:12">
      <c r="A441" s="1"/>
      <c r="B441" s="255"/>
      <c r="C441" s="1"/>
      <c r="D441" s="1"/>
      <c r="E441" s="255"/>
      <c r="F441" s="1"/>
      <c r="G441" s="1"/>
      <c r="H441" s="1"/>
      <c r="I441" s="1"/>
      <c r="K441" s="1"/>
      <c r="L441" s="1"/>
    </row>
    <row r="442" spans="1:12">
      <c r="A442" s="1"/>
      <c r="B442" s="255"/>
      <c r="C442" s="1"/>
      <c r="D442" s="1"/>
      <c r="E442" s="255"/>
      <c r="F442" s="1"/>
      <c r="G442" s="1"/>
      <c r="H442" s="1"/>
      <c r="I442" s="1"/>
      <c r="K442" s="1"/>
      <c r="L442" s="1"/>
    </row>
    <row r="443" spans="1:12">
      <c r="A443" s="1"/>
      <c r="B443" s="255"/>
      <c r="C443" s="1"/>
      <c r="D443" s="1"/>
      <c r="E443" s="255"/>
      <c r="F443" s="1"/>
      <c r="G443" s="1"/>
      <c r="H443" s="1"/>
      <c r="I443" s="1"/>
      <c r="K443" s="1"/>
      <c r="L443" s="1"/>
    </row>
    <row r="444" spans="1:12">
      <c r="A444" s="1"/>
      <c r="B444" s="255"/>
      <c r="C444" s="1"/>
      <c r="D444" s="1"/>
      <c r="E444" s="255"/>
      <c r="F444" s="1"/>
      <c r="G444" s="1"/>
      <c r="H444" s="1"/>
      <c r="I444" s="1"/>
      <c r="K444" s="1"/>
      <c r="L444" s="1"/>
    </row>
    <row r="445" spans="1:12">
      <c r="A445" s="1"/>
      <c r="B445" s="255"/>
      <c r="C445" s="1"/>
      <c r="D445" s="1"/>
      <c r="E445" s="255"/>
      <c r="F445" s="1"/>
      <c r="G445" s="1"/>
      <c r="H445" s="1"/>
      <c r="I445" s="1"/>
      <c r="K445" s="1"/>
      <c r="L445" s="1"/>
    </row>
    <row r="446" spans="1:12">
      <c r="A446" s="1"/>
      <c r="B446" s="255"/>
      <c r="C446" s="1"/>
      <c r="D446" s="1"/>
      <c r="E446" s="255"/>
      <c r="F446" s="1"/>
      <c r="G446" s="1"/>
      <c r="H446" s="1"/>
      <c r="I446" s="1"/>
      <c r="K446" s="1"/>
      <c r="L446" s="1"/>
    </row>
    <row r="447" spans="1:12">
      <c r="A447" s="1"/>
      <c r="B447" s="255"/>
      <c r="C447" s="1"/>
      <c r="D447" s="1"/>
      <c r="E447" s="255"/>
      <c r="F447" s="1"/>
      <c r="G447" s="1"/>
      <c r="H447" s="1"/>
      <c r="I447" s="1"/>
      <c r="K447" s="1"/>
      <c r="L447" s="1"/>
    </row>
    <row r="448" spans="1:12">
      <c r="A448" s="1"/>
      <c r="B448" s="255"/>
      <c r="C448" s="1"/>
      <c r="D448" s="1"/>
      <c r="E448" s="255"/>
      <c r="F448" s="1"/>
      <c r="G448" s="1"/>
      <c r="H448" s="1"/>
      <c r="I448" s="1"/>
      <c r="K448" s="1"/>
      <c r="L448" s="1"/>
    </row>
    <row r="449" spans="1:12">
      <c r="A449" s="1"/>
      <c r="B449" s="255"/>
      <c r="C449" s="1"/>
      <c r="D449" s="1"/>
      <c r="E449" s="255"/>
      <c r="F449" s="1"/>
      <c r="G449" s="1"/>
      <c r="H449" s="1"/>
      <c r="I449" s="1"/>
      <c r="K449" s="1"/>
    </row>
    <row r="450" spans="1:12">
      <c r="A450" s="1"/>
      <c r="B450" s="255"/>
      <c r="C450" s="1"/>
      <c r="D450" s="1"/>
      <c r="E450" s="255"/>
      <c r="F450" s="1"/>
      <c r="G450" s="1"/>
      <c r="H450" s="1"/>
      <c r="I450" s="1"/>
      <c r="K450" s="1"/>
    </row>
    <row r="451" spans="1:12">
      <c r="A451" s="1"/>
      <c r="B451" s="255"/>
      <c r="C451" s="1"/>
      <c r="D451" s="1"/>
      <c r="E451" s="255"/>
      <c r="F451" s="1"/>
      <c r="G451" s="1"/>
      <c r="H451" s="1"/>
      <c r="I451" s="1"/>
      <c r="K451" s="1"/>
      <c r="L451" s="1"/>
    </row>
    <row r="452" spans="1:12">
      <c r="A452" s="1"/>
      <c r="B452" s="255"/>
      <c r="C452" s="1"/>
      <c r="D452" s="1"/>
      <c r="E452" s="255"/>
      <c r="F452" s="1"/>
      <c r="G452" s="1"/>
      <c r="H452" s="1"/>
      <c r="I452" s="1"/>
      <c r="K452" s="1"/>
      <c r="L452" s="1"/>
    </row>
    <row r="453" spans="1:12">
      <c r="A453" s="1"/>
      <c r="B453" s="255"/>
      <c r="C453" s="1"/>
      <c r="D453" s="1"/>
      <c r="E453" s="255"/>
      <c r="F453" s="1"/>
      <c r="G453" s="1"/>
      <c r="H453" s="1"/>
      <c r="I453" s="1"/>
      <c r="K453" s="1"/>
      <c r="L453" s="1"/>
    </row>
    <row r="454" spans="1:12">
      <c r="A454" s="1"/>
      <c r="B454" s="255"/>
      <c r="C454" s="1"/>
      <c r="D454" s="1"/>
      <c r="E454" s="255"/>
      <c r="F454" s="1"/>
      <c r="G454" s="1"/>
      <c r="H454" s="1"/>
      <c r="I454" s="1"/>
      <c r="K454" s="1"/>
      <c r="L454" s="1"/>
    </row>
    <row r="455" spans="1:12">
      <c r="A455" s="1"/>
      <c r="B455" s="255"/>
      <c r="C455" s="1"/>
      <c r="D455" s="1"/>
      <c r="E455" s="255"/>
      <c r="F455" s="1"/>
      <c r="G455" s="1"/>
      <c r="H455" s="1"/>
      <c r="I455" s="1"/>
      <c r="K455" s="1"/>
    </row>
    <row r="456" spans="1:12">
      <c r="A456" s="1"/>
      <c r="B456" s="255"/>
      <c r="C456" s="1"/>
      <c r="D456" s="1"/>
      <c r="E456" s="255"/>
      <c r="F456" s="1"/>
      <c r="G456" s="1"/>
      <c r="H456" s="1"/>
      <c r="I456" s="1"/>
      <c r="K456" s="1"/>
    </row>
    <row r="457" spans="1:12">
      <c r="A457" s="1"/>
      <c r="B457" s="255"/>
      <c r="C457" s="1"/>
      <c r="D457" s="1"/>
      <c r="E457" s="255"/>
      <c r="F457" s="1"/>
      <c r="G457" s="1"/>
      <c r="H457" s="1"/>
      <c r="I457" s="1"/>
      <c r="K457" s="1"/>
      <c r="L457" s="1"/>
    </row>
    <row r="458" spans="1:12">
      <c r="A458" s="1"/>
      <c r="B458" s="255"/>
      <c r="C458" s="1"/>
      <c r="D458" s="1"/>
      <c r="E458" s="255"/>
      <c r="F458" s="1"/>
      <c r="G458" s="1"/>
      <c r="H458" s="1"/>
      <c r="I458" s="1"/>
      <c r="K458" s="1"/>
      <c r="L458" s="1"/>
    </row>
    <row r="459" spans="1:12">
      <c r="A459" s="1"/>
      <c r="B459" s="255"/>
      <c r="C459" s="1"/>
      <c r="D459" s="1"/>
      <c r="E459" s="255"/>
      <c r="F459" s="1"/>
      <c r="G459" s="1"/>
      <c r="H459" s="1"/>
      <c r="I459" s="1"/>
      <c r="K459" s="1"/>
      <c r="L459" s="1"/>
    </row>
    <row r="460" spans="1:12">
      <c r="A460" s="1"/>
      <c r="B460" s="255"/>
      <c r="C460" s="1"/>
      <c r="D460" s="1"/>
      <c r="E460" s="255"/>
      <c r="F460" s="1"/>
      <c r="G460" s="1"/>
      <c r="H460" s="1"/>
      <c r="I460" s="1"/>
      <c r="K460" s="1"/>
      <c r="L460" s="1"/>
    </row>
    <row r="461" spans="1:12">
      <c r="A461" s="1"/>
      <c r="B461" s="255"/>
      <c r="C461" s="1"/>
      <c r="D461" s="1"/>
      <c r="E461" s="255"/>
      <c r="F461" s="1"/>
      <c r="G461" s="1"/>
      <c r="H461" s="1"/>
      <c r="I461" s="1"/>
      <c r="K461" s="1"/>
      <c r="L461" s="1"/>
    </row>
    <row r="462" spans="1:12">
      <c r="A462" s="1"/>
      <c r="B462" s="255"/>
      <c r="C462" s="1"/>
      <c r="D462" s="1"/>
      <c r="E462" s="255"/>
      <c r="F462" s="1"/>
      <c r="G462" s="1"/>
      <c r="H462" s="1"/>
      <c r="I462" s="1"/>
      <c r="K462" s="1"/>
      <c r="L462" s="1"/>
    </row>
    <row r="463" spans="1:12">
      <c r="A463" s="1"/>
      <c r="B463" s="255"/>
      <c r="C463" s="1"/>
      <c r="D463" s="1"/>
      <c r="E463" s="255"/>
      <c r="F463" s="1"/>
      <c r="G463" s="1"/>
      <c r="H463" s="1"/>
      <c r="I463" s="1"/>
      <c r="K463" s="1"/>
    </row>
    <row r="464" spans="1:12">
      <c r="A464" s="1"/>
      <c r="B464" s="255"/>
      <c r="C464" s="1"/>
      <c r="D464" s="1"/>
      <c r="E464" s="255"/>
      <c r="F464" s="1"/>
      <c r="G464" s="1"/>
      <c r="H464" s="1"/>
      <c r="I464" s="1"/>
      <c r="K464" s="1"/>
    </row>
    <row r="465" spans="1:12">
      <c r="A465" s="1"/>
      <c r="B465" s="255"/>
      <c r="C465" s="1"/>
      <c r="D465" s="1"/>
      <c r="E465" s="255"/>
      <c r="F465" s="1"/>
      <c r="G465" s="1"/>
      <c r="H465" s="1"/>
      <c r="I465" s="1"/>
      <c r="K465" s="1"/>
      <c r="L465" s="1"/>
    </row>
    <row r="466" spans="1:12">
      <c r="A466" s="1"/>
      <c r="B466" s="255"/>
      <c r="C466" s="1"/>
      <c r="D466" s="1"/>
      <c r="E466" s="255"/>
      <c r="F466" s="1"/>
      <c r="G466" s="1"/>
      <c r="H466" s="1"/>
      <c r="I466" s="1"/>
      <c r="K466" s="1"/>
      <c r="L466" s="1"/>
    </row>
    <row r="467" spans="1:12">
      <c r="A467" s="1"/>
      <c r="B467" s="255"/>
      <c r="C467" s="1"/>
      <c r="D467" s="1"/>
      <c r="E467" s="255"/>
      <c r="F467" s="1"/>
      <c r="G467" s="1"/>
      <c r="H467" s="1"/>
      <c r="I467" s="1"/>
      <c r="K467" s="1"/>
      <c r="L467" s="1"/>
    </row>
    <row r="468" spans="1:12">
      <c r="A468" s="1"/>
      <c r="B468" s="255"/>
      <c r="C468" s="1"/>
      <c r="D468" s="1"/>
      <c r="E468" s="255"/>
      <c r="F468" s="1"/>
      <c r="G468" s="1"/>
      <c r="H468" s="1"/>
      <c r="I468" s="1"/>
      <c r="K468" s="1"/>
      <c r="L468" s="1"/>
    </row>
    <row r="469" spans="1:12">
      <c r="A469" s="1"/>
      <c r="B469" s="255"/>
      <c r="C469" s="1"/>
      <c r="D469" s="1"/>
      <c r="E469" s="255"/>
      <c r="F469" s="1"/>
      <c r="G469" s="1"/>
      <c r="H469" s="1"/>
      <c r="I469" s="1"/>
      <c r="K469" s="1"/>
      <c r="L469" s="1"/>
    </row>
    <row r="470" spans="1:12">
      <c r="A470" s="1"/>
      <c r="B470" s="255"/>
      <c r="C470" s="1"/>
      <c r="D470" s="1"/>
      <c r="E470" s="255"/>
      <c r="F470" s="1"/>
      <c r="G470" s="1"/>
      <c r="H470" s="1"/>
      <c r="I470" s="1"/>
      <c r="K470" s="1"/>
      <c r="L470" s="1"/>
    </row>
    <row r="471" spans="1:12">
      <c r="A471" s="1"/>
      <c r="B471" s="255"/>
      <c r="C471" s="1"/>
      <c r="D471" s="1"/>
      <c r="E471" s="255"/>
      <c r="F471" s="1"/>
      <c r="G471" s="1"/>
      <c r="H471" s="1"/>
      <c r="I471" s="1"/>
      <c r="K471" s="1"/>
    </row>
    <row r="472" spans="1:12">
      <c r="A472" s="1"/>
      <c r="B472" s="255"/>
      <c r="C472" s="1"/>
      <c r="D472" s="1"/>
      <c r="E472" s="255"/>
      <c r="F472" s="1"/>
      <c r="G472" s="1"/>
      <c r="H472" s="1"/>
      <c r="I472" s="1"/>
      <c r="K472" s="1"/>
    </row>
    <row r="473" spans="1:12">
      <c r="A473" s="1"/>
      <c r="B473" s="255"/>
      <c r="C473" s="1"/>
      <c r="D473" s="1"/>
      <c r="E473" s="255"/>
      <c r="F473" s="1"/>
      <c r="G473" s="1"/>
      <c r="H473" s="1"/>
      <c r="I473" s="1"/>
      <c r="K473" s="1"/>
      <c r="L473" s="1"/>
    </row>
    <row r="474" spans="1:12">
      <c r="A474" s="1"/>
      <c r="B474" s="255"/>
      <c r="C474" s="1"/>
      <c r="D474" s="1"/>
      <c r="E474" s="255"/>
      <c r="F474" s="1"/>
      <c r="G474" s="1"/>
      <c r="H474" s="1"/>
      <c r="I474" s="1"/>
      <c r="K474" s="1"/>
      <c r="L474" s="1"/>
    </row>
    <row r="475" spans="1:12">
      <c r="A475" s="1"/>
      <c r="B475" s="255"/>
      <c r="C475" s="1"/>
      <c r="D475" s="1"/>
      <c r="E475" s="255"/>
      <c r="F475" s="1"/>
      <c r="G475" s="1"/>
      <c r="H475" s="1"/>
      <c r="I475" s="1"/>
      <c r="K475" s="1"/>
      <c r="L475" s="1"/>
    </row>
    <row r="476" spans="1:12">
      <c r="A476" s="1"/>
      <c r="B476" s="255"/>
      <c r="C476" s="1"/>
      <c r="D476" s="1"/>
      <c r="E476" s="255"/>
      <c r="F476" s="1"/>
      <c r="G476" s="1"/>
      <c r="H476" s="1"/>
      <c r="I476" s="1"/>
      <c r="K476" s="1"/>
      <c r="L476" s="1"/>
    </row>
    <row r="477" spans="1:12">
      <c r="A477" s="1"/>
      <c r="B477" s="255"/>
      <c r="C477" s="1"/>
      <c r="D477" s="1"/>
      <c r="E477" s="255"/>
      <c r="F477" s="1"/>
      <c r="G477" s="1"/>
      <c r="H477" s="1"/>
      <c r="I477" s="1"/>
      <c r="K477" s="1"/>
      <c r="L477" s="1"/>
    </row>
    <row r="478" spans="1:12">
      <c r="A478" s="1"/>
      <c r="B478" s="255"/>
      <c r="C478" s="1"/>
      <c r="D478" s="1"/>
      <c r="E478" s="255"/>
      <c r="F478" s="1"/>
      <c r="G478" s="1"/>
      <c r="H478" s="1"/>
      <c r="I478" s="1"/>
      <c r="K478" s="1"/>
      <c r="L478" s="1"/>
    </row>
    <row r="479" spans="1:12">
      <c r="A479" s="1"/>
      <c r="B479" s="255"/>
      <c r="C479" s="1"/>
      <c r="D479" s="1"/>
      <c r="E479" s="255"/>
      <c r="F479" s="1"/>
      <c r="G479" s="1"/>
      <c r="H479" s="1"/>
      <c r="I479" s="1"/>
      <c r="K479" s="1"/>
      <c r="L479" s="1"/>
    </row>
    <row r="480" spans="1:12">
      <c r="A480" s="1"/>
      <c r="B480" s="255"/>
      <c r="C480" s="1"/>
      <c r="D480" s="1"/>
      <c r="E480" s="255"/>
      <c r="F480" s="1"/>
      <c r="G480" s="1"/>
      <c r="H480" s="1"/>
      <c r="I480" s="1"/>
      <c r="K480" s="1"/>
      <c r="L480" s="1"/>
    </row>
    <row r="481" spans="1:12">
      <c r="A481" s="1"/>
      <c r="B481" s="255"/>
      <c r="C481" s="1"/>
      <c r="D481" s="1"/>
      <c r="E481" s="255"/>
      <c r="F481" s="1"/>
      <c r="G481" s="1"/>
      <c r="H481" s="1"/>
      <c r="I481" s="1"/>
      <c r="K481" s="1"/>
      <c r="L481" s="1"/>
    </row>
    <row r="482" spans="1:12">
      <c r="A482" s="1"/>
      <c r="B482" s="255"/>
      <c r="C482" s="1"/>
      <c r="D482" s="1"/>
      <c r="E482" s="255"/>
      <c r="F482" s="1"/>
      <c r="G482" s="1"/>
      <c r="H482" s="1"/>
      <c r="I482" s="1"/>
      <c r="K482" s="1"/>
      <c r="L482" s="1"/>
    </row>
    <row r="483" spans="1:12">
      <c r="A483" s="1"/>
      <c r="B483" s="255"/>
      <c r="C483" s="1"/>
      <c r="D483" s="1"/>
      <c r="E483" s="255"/>
      <c r="F483" s="1"/>
      <c r="G483" s="1"/>
      <c r="H483" s="1"/>
      <c r="I483" s="1"/>
      <c r="K483" s="1"/>
      <c r="L483" s="1"/>
    </row>
    <row r="484" spans="1:12">
      <c r="A484" s="1"/>
      <c r="B484" s="255"/>
      <c r="C484" s="1"/>
      <c r="D484" s="1"/>
      <c r="E484" s="255"/>
      <c r="F484" s="1"/>
      <c r="G484" s="1"/>
      <c r="H484" s="1"/>
      <c r="I484" s="1"/>
      <c r="K484" s="1"/>
      <c r="L484" s="1"/>
    </row>
    <row r="485" spans="1:12">
      <c r="A485" s="1"/>
      <c r="B485" s="255"/>
      <c r="C485" s="1"/>
      <c r="D485" s="1"/>
      <c r="E485" s="255"/>
      <c r="F485" s="1"/>
      <c r="G485" s="1"/>
      <c r="H485" s="1"/>
      <c r="I485" s="1"/>
      <c r="K485" s="1"/>
      <c r="L485" s="1"/>
    </row>
    <row r="486" spans="1:12">
      <c r="A486" s="1"/>
      <c r="B486" s="255"/>
      <c r="C486" s="1"/>
      <c r="D486" s="1"/>
      <c r="E486" s="255"/>
      <c r="F486" s="1"/>
      <c r="G486" s="1"/>
      <c r="H486" s="1"/>
      <c r="I486" s="1"/>
      <c r="K486" s="1"/>
      <c r="L486" s="1"/>
    </row>
    <row r="487" spans="1:12">
      <c r="A487" s="1"/>
      <c r="B487" s="255"/>
      <c r="C487" s="1"/>
      <c r="D487" s="1"/>
      <c r="E487" s="255"/>
      <c r="F487" s="1"/>
      <c r="G487" s="1"/>
      <c r="H487" s="1"/>
      <c r="I487" s="1"/>
      <c r="K487" s="1"/>
      <c r="L487" s="1"/>
    </row>
    <row r="488" spans="1:12">
      <c r="A488" s="1"/>
      <c r="B488" s="255"/>
      <c r="C488" s="1"/>
      <c r="D488" s="1"/>
      <c r="E488" s="255"/>
      <c r="F488" s="1"/>
      <c r="G488" s="1"/>
      <c r="H488" s="1"/>
      <c r="I488" s="1"/>
      <c r="K488" s="1"/>
    </row>
    <row r="489" spans="1:12">
      <c r="A489" s="1"/>
      <c r="B489" s="255"/>
      <c r="C489" s="1"/>
      <c r="D489" s="1"/>
      <c r="E489" s="255"/>
      <c r="F489" s="1"/>
      <c r="G489" s="1"/>
      <c r="H489" s="1"/>
      <c r="I489" s="1"/>
      <c r="K489" s="1"/>
    </row>
    <row r="490" spans="1:12">
      <c r="A490" s="1"/>
      <c r="B490" s="255"/>
      <c r="C490" s="1"/>
      <c r="D490" s="1"/>
      <c r="E490" s="255"/>
      <c r="F490" s="1"/>
      <c r="G490" s="1"/>
      <c r="H490" s="1"/>
      <c r="I490" s="1"/>
      <c r="K490" s="1"/>
      <c r="L490" s="1"/>
    </row>
    <row r="491" spans="1:12">
      <c r="A491" s="1"/>
      <c r="B491" s="255"/>
      <c r="C491" s="1"/>
      <c r="D491" s="1"/>
      <c r="E491" s="255"/>
      <c r="F491" s="1"/>
      <c r="G491" s="1"/>
      <c r="H491" s="1"/>
      <c r="I491" s="1"/>
      <c r="K491" s="1"/>
      <c r="L491" s="1"/>
    </row>
    <row r="492" spans="1:12">
      <c r="A492" s="1"/>
      <c r="B492" s="255"/>
      <c r="C492" s="1"/>
      <c r="D492" s="1"/>
      <c r="E492" s="255"/>
      <c r="F492" s="1"/>
      <c r="G492" s="1"/>
      <c r="H492" s="1"/>
      <c r="I492" s="1"/>
      <c r="K492" s="1"/>
    </row>
    <row r="493" spans="1:12">
      <c r="A493" s="1"/>
      <c r="B493" s="255"/>
      <c r="C493" s="1"/>
      <c r="D493" s="1"/>
      <c r="E493" s="255"/>
      <c r="F493" s="1"/>
      <c r="G493" s="1"/>
      <c r="H493" s="1"/>
      <c r="I493" s="1"/>
      <c r="K493" s="1"/>
    </row>
    <row r="494" spans="1:12">
      <c r="A494" s="1"/>
      <c r="B494" s="255"/>
      <c r="C494" s="1"/>
      <c r="D494" s="1"/>
      <c r="E494" s="255"/>
      <c r="F494" s="1"/>
      <c r="G494" s="1"/>
      <c r="H494" s="1"/>
      <c r="I494" s="1"/>
      <c r="K494" s="1"/>
      <c r="L494" s="1"/>
    </row>
    <row r="495" spans="1:12">
      <c r="A495" s="1"/>
      <c r="B495" s="255"/>
      <c r="C495" s="1"/>
      <c r="D495" s="1"/>
      <c r="E495" s="255"/>
      <c r="F495" s="1"/>
      <c r="G495" s="1"/>
      <c r="H495" s="1"/>
      <c r="I495" s="1"/>
      <c r="K495" s="1"/>
      <c r="L495" s="1"/>
    </row>
    <row r="496" spans="1:12">
      <c r="A496" s="1"/>
      <c r="B496" s="255"/>
      <c r="C496" s="1"/>
      <c r="D496" s="1"/>
      <c r="E496" s="255"/>
      <c r="F496" s="1"/>
      <c r="G496" s="1"/>
      <c r="H496" s="1"/>
      <c r="I496" s="1"/>
      <c r="K496" s="1"/>
      <c r="L496" s="1"/>
    </row>
    <row r="497" spans="1:12">
      <c r="A497" s="1"/>
      <c r="B497" s="255"/>
      <c r="C497" s="1"/>
      <c r="D497" s="1"/>
      <c r="E497" s="255"/>
      <c r="F497" s="1"/>
      <c r="G497" s="1"/>
      <c r="H497" s="1"/>
      <c r="I497" s="1"/>
      <c r="K497" s="1"/>
      <c r="L497" s="1"/>
    </row>
    <row r="498" spans="1:12">
      <c r="A498" s="1"/>
      <c r="B498" s="255"/>
      <c r="C498" s="1"/>
      <c r="D498" s="1"/>
      <c r="E498" s="255"/>
      <c r="F498" s="1"/>
      <c r="G498" s="1"/>
      <c r="H498" s="1"/>
      <c r="I498" s="1"/>
      <c r="K498" s="1"/>
      <c r="L498" s="1"/>
    </row>
    <row r="499" spans="1:12">
      <c r="A499" s="1"/>
      <c r="B499" s="255"/>
      <c r="C499" s="1"/>
      <c r="D499" s="1"/>
      <c r="E499" s="255"/>
      <c r="F499" s="1"/>
      <c r="G499" s="1"/>
      <c r="H499" s="1"/>
      <c r="I499" s="1"/>
      <c r="K499" s="1"/>
      <c r="L499" s="1"/>
    </row>
    <row r="500" spans="1:12">
      <c r="A500" s="1"/>
      <c r="B500" s="255"/>
      <c r="C500" s="1"/>
      <c r="D500" s="1"/>
      <c r="E500" s="255"/>
      <c r="F500" s="1"/>
      <c r="G500" s="1"/>
      <c r="H500" s="1"/>
      <c r="I500" s="1"/>
      <c r="K500" s="1"/>
      <c r="L500" s="1"/>
    </row>
    <row r="501" spans="1:12">
      <c r="A501" s="1"/>
      <c r="B501" s="255"/>
      <c r="C501" s="1"/>
      <c r="D501" s="1"/>
      <c r="E501" s="255"/>
      <c r="F501" s="1"/>
      <c r="G501" s="1"/>
      <c r="H501" s="1"/>
      <c r="I501" s="1"/>
      <c r="K501" s="1"/>
      <c r="L501" s="1"/>
    </row>
    <row r="502" spans="1:12">
      <c r="A502" s="1"/>
      <c r="B502" s="255"/>
      <c r="C502" s="1"/>
      <c r="D502" s="1"/>
      <c r="E502" s="255"/>
      <c r="F502" s="1"/>
      <c r="G502" s="1"/>
      <c r="H502" s="1"/>
      <c r="I502" s="1"/>
      <c r="K502" s="1"/>
      <c r="L502" s="1"/>
    </row>
    <row r="503" spans="1:12">
      <c r="A503" s="1"/>
      <c r="B503" s="255"/>
      <c r="C503" s="1"/>
      <c r="D503" s="1"/>
      <c r="E503" s="255"/>
      <c r="F503" s="1"/>
      <c r="G503" s="1"/>
      <c r="H503" s="1"/>
      <c r="I503" s="1"/>
      <c r="K503" s="1"/>
      <c r="L503" s="1"/>
    </row>
    <row r="504" spans="1:12">
      <c r="A504" s="1"/>
      <c r="B504" s="255"/>
      <c r="C504" s="1"/>
      <c r="D504" s="1"/>
      <c r="E504" s="255"/>
      <c r="F504" s="1"/>
      <c r="G504" s="1"/>
      <c r="H504" s="1"/>
      <c r="I504" s="1"/>
      <c r="K504" s="1"/>
      <c r="L504" s="1"/>
    </row>
    <row r="505" spans="1:12">
      <c r="A505" s="1"/>
      <c r="B505" s="255"/>
      <c r="C505" s="1"/>
      <c r="D505" s="1"/>
      <c r="E505" s="255"/>
      <c r="F505" s="1"/>
      <c r="G505" s="1"/>
      <c r="H505" s="1"/>
      <c r="I505" s="1"/>
      <c r="K505" s="1"/>
      <c r="L505" s="1"/>
    </row>
    <row r="506" spans="1:12">
      <c r="A506" s="1"/>
      <c r="B506" s="255"/>
      <c r="C506" s="1"/>
      <c r="D506" s="1"/>
      <c r="E506" s="255"/>
      <c r="F506" s="1"/>
      <c r="G506" s="1"/>
      <c r="H506" s="1"/>
      <c r="I506" s="1"/>
      <c r="K506" s="1"/>
    </row>
    <row r="507" spans="1:12">
      <c r="A507" s="1"/>
      <c r="B507" s="255"/>
      <c r="C507" s="1"/>
      <c r="D507" s="1"/>
      <c r="E507" s="255"/>
      <c r="F507" s="1"/>
      <c r="G507" s="1"/>
      <c r="H507" s="1"/>
      <c r="I507" s="1"/>
      <c r="K507" s="1"/>
    </row>
    <row r="508" spans="1:12">
      <c r="A508" s="1"/>
      <c r="B508" s="255"/>
      <c r="C508" s="1"/>
      <c r="D508" s="1"/>
      <c r="E508" s="255"/>
      <c r="F508" s="1"/>
      <c r="G508" s="1"/>
      <c r="H508" s="1"/>
      <c r="I508" s="1"/>
      <c r="K508" s="1"/>
    </row>
    <row r="509" spans="1:12">
      <c r="A509" s="1"/>
      <c r="B509" s="255"/>
      <c r="C509" s="1"/>
      <c r="D509" s="1"/>
      <c r="E509" s="255"/>
      <c r="F509" s="1"/>
      <c r="G509" s="1"/>
      <c r="H509" s="1"/>
      <c r="I509" s="1"/>
      <c r="K509" s="1"/>
    </row>
    <row r="510" spans="1:12">
      <c r="A510" s="1"/>
      <c r="B510" s="255"/>
      <c r="C510" s="1"/>
      <c r="D510" s="1"/>
      <c r="E510" s="255"/>
      <c r="F510" s="1"/>
      <c r="G510" s="1"/>
      <c r="H510" s="1"/>
      <c r="I510" s="1"/>
      <c r="K510" s="1"/>
      <c r="L510" s="1"/>
    </row>
    <row r="511" spans="1:12">
      <c r="A511" s="1"/>
      <c r="B511" s="255"/>
      <c r="C511" s="1"/>
      <c r="D511" s="1"/>
      <c r="E511" s="255"/>
      <c r="F511" s="1"/>
      <c r="G511" s="1"/>
      <c r="H511" s="1"/>
      <c r="I511" s="1"/>
      <c r="K511" s="1"/>
      <c r="L511" s="1"/>
    </row>
    <row r="512" spans="1:12">
      <c r="A512" s="1"/>
      <c r="B512" s="255"/>
      <c r="C512" s="1"/>
      <c r="D512" s="1"/>
      <c r="E512" s="255"/>
      <c r="F512" s="1"/>
      <c r="G512" s="1"/>
      <c r="H512" s="1"/>
      <c r="I512" s="1"/>
      <c r="K512" s="1"/>
      <c r="L512" s="1"/>
    </row>
    <row r="513" spans="1:12">
      <c r="A513" s="1"/>
      <c r="B513" s="255"/>
      <c r="C513" s="1"/>
      <c r="D513" s="1"/>
      <c r="E513" s="255"/>
      <c r="F513" s="1"/>
      <c r="G513" s="1"/>
      <c r="H513" s="1"/>
      <c r="I513" s="1"/>
      <c r="K513" s="1"/>
      <c r="L513" s="1"/>
    </row>
    <row r="514" spans="1:12">
      <c r="A514" s="1"/>
      <c r="B514" s="255"/>
      <c r="C514" s="1"/>
      <c r="D514" s="1"/>
      <c r="E514" s="255"/>
      <c r="F514" s="1"/>
      <c r="G514" s="1"/>
      <c r="H514" s="1"/>
      <c r="I514" s="1"/>
      <c r="K514" s="1"/>
      <c r="L514" s="1"/>
    </row>
    <row r="515" spans="1:12">
      <c r="A515" s="1"/>
      <c r="B515" s="255"/>
      <c r="C515" s="1"/>
      <c r="D515" s="1"/>
      <c r="E515" s="255"/>
      <c r="F515" s="1"/>
      <c r="G515" s="1"/>
      <c r="H515" s="1"/>
      <c r="I515" s="1"/>
      <c r="K515" s="1"/>
      <c r="L515" s="1"/>
    </row>
    <row r="516" spans="1:12">
      <c r="A516" s="1"/>
      <c r="B516" s="255"/>
      <c r="C516" s="1"/>
      <c r="D516" s="1"/>
      <c r="E516" s="255"/>
      <c r="F516" s="1"/>
      <c r="G516" s="1"/>
      <c r="H516" s="1"/>
      <c r="I516" s="1"/>
      <c r="K516" s="1"/>
      <c r="L516" s="1"/>
    </row>
    <row r="517" spans="1:12">
      <c r="A517" s="1"/>
      <c r="B517" s="255"/>
      <c r="C517" s="1"/>
      <c r="D517" s="1"/>
      <c r="E517" s="255"/>
      <c r="F517" s="1"/>
      <c r="G517" s="1"/>
      <c r="H517" s="1"/>
      <c r="I517" s="1"/>
      <c r="K517" s="1"/>
      <c r="L517" s="1"/>
    </row>
    <row r="518" spans="1:12">
      <c r="A518" s="1"/>
      <c r="B518" s="255"/>
      <c r="C518" s="1"/>
      <c r="D518" s="1"/>
      <c r="E518" s="255"/>
      <c r="F518" s="1"/>
      <c r="G518" s="1"/>
      <c r="H518" s="1"/>
      <c r="I518" s="1"/>
      <c r="K518" s="1"/>
      <c r="L518" s="1"/>
    </row>
    <row r="519" spans="1:12">
      <c r="A519" s="1"/>
      <c r="B519" s="255"/>
      <c r="C519" s="1"/>
      <c r="D519" s="1"/>
      <c r="E519" s="255"/>
      <c r="F519" s="1"/>
      <c r="G519" s="1"/>
      <c r="H519" s="1"/>
      <c r="I519" s="1"/>
      <c r="K519" s="1"/>
      <c r="L519" s="1"/>
    </row>
    <row r="520" spans="1:12">
      <c r="A520" s="1"/>
      <c r="B520" s="255"/>
      <c r="C520" s="1"/>
      <c r="D520" s="1"/>
      <c r="E520" s="255"/>
      <c r="F520" s="1"/>
      <c r="G520" s="1"/>
      <c r="H520" s="1"/>
      <c r="I520" s="1"/>
      <c r="K520" s="1"/>
    </row>
    <row r="521" spans="1:12">
      <c r="A521" s="1"/>
      <c r="B521" s="255"/>
      <c r="C521" s="1"/>
      <c r="D521" s="1"/>
      <c r="E521" s="255"/>
      <c r="F521" s="1"/>
      <c r="G521" s="1"/>
      <c r="H521" s="1"/>
      <c r="I521" s="1"/>
      <c r="K521" s="1"/>
    </row>
    <row r="522" spans="1:12">
      <c r="A522" s="1"/>
      <c r="B522" s="255"/>
      <c r="C522" s="1"/>
      <c r="D522" s="1"/>
      <c r="E522" s="255"/>
      <c r="F522" s="1"/>
      <c r="G522" s="1"/>
      <c r="H522" s="1"/>
      <c r="I522" s="1"/>
      <c r="K522" s="1"/>
    </row>
    <row r="523" spans="1:12">
      <c r="A523" s="1"/>
      <c r="B523" s="255"/>
      <c r="C523" s="1"/>
      <c r="D523" s="1"/>
      <c r="E523" s="255"/>
      <c r="F523" s="1"/>
      <c r="G523" s="1"/>
      <c r="H523" s="1"/>
      <c r="I523" s="1"/>
      <c r="K523" s="1"/>
    </row>
    <row r="524" spans="1:12">
      <c r="A524" s="1"/>
      <c r="B524" s="255"/>
      <c r="C524" s="1"/>
      <c r="D524" s="1"/>
      <c r="E524" s="255"/>
      <c r="F524" s="1"/>
      <c r="G524" s="1"/>
      <c r="H524" s="1"/>
      <c r="I524" s="1"/>
      <c r="K524" s="1"/>
      <c r="L524" s="1"/>
    </row>
    <row r="525" spans="1:12">
      <c r="A525" s="1"/>
      <c r="B525" s="255"/>
      <c r="C525" s="1"/>
      <c r="D525" s="1"/>
      <c r="E525" s="255"/>
      <c r="F525" s="1"/>
      <c r="G525" s="1"/>
      <c r="H525" s="1"/>
      <c r="I525" s="1"/>
      <c r="K525" s="1"/>
      <c r="L525" s="1"/>
    </row>
    <row r="526" spans="1:12">
      <c r="A526" s="1"/>
      <c r="B526" s="255"/>
      <c r="C526" s="1"/>
      <c r="D526" s="1"/>
      <c r="E526" s="255"/>
      <c r="F526" s="1"/>
      <c r="G526" s="1"/>
      <c r="H526" s="1"/>
      <c r="I526" s="1"/>
      <c r="K526" s="1"/>
      <c r="L526" s="1"/>
    </row>
    <row r="527" spans="1:12">
      <c r="A527" s="1"/>
      <c r="B527" s="255"/>
      <c r="C527" s="1"/>
      <c r="D527" s="1"/>
      <c r="E527" s="255"/>
      <c r="F527" s="1"/>
      <c r="G527" s="1"/>
      <c r="H527" s="1"/>
      <c r="I527" s="1"/>
      <c r="K527" s="1"/>
      <c r="L527" s="1"/>
    </row>
    <row r="528" spans="1:12">
      <c r="A528" s="1"/>
      <c r="B528" s="255"/>
      <c r="C528" s="1"/>
      <c r="D528" s="1"/>
      <c r="E528" s="255"/>
      <c r="F528" s="1"/>
      <c r="G528" s="1"/>
      <c r="H528" s="1"/>
      <c r="I528" s="1"/>
      <c r="K528" s="1"/>
      <c r="L528" s="1"/>
    </row>
    <row r="529" spans="1:12">
      <c r="A529" s="1"/>
      <c r="B529" s="255"/>
      <c r="C529" s="1"/>
      <c r="D529" s="1"/>
      <c r="E529" s="255"/>
      <c r="F529" s="1"/>
      <c r="G529" s="1"/>
      <c r="H529" s="1"/>
      <c r="I529" s="1"/>
      <c r="K529" s="1"/>
      <c r="L529" s="1"/>
    </row>
    <row r="530" spans="1:12">
      <c r="A530" s="1"/>
      <c r="B530" s="255"/>
      <c r="C530" s="1"/>
      <c r="D530" s="1"/>
      <c r="E530" s="255"/>
      <c r="F530" s="1"/>
      <c r="G530" s="1"/>
      <c r="H530" s="1"/>
      <c r="I530" s="1"/>
      <c r="K530" s="1"/>
      <c r="L530" s="1"/>
    </row>
    <row r="531" spans="1:12">
      <c r="A531" s="1"/>
      <c r="B531" s="255"/>
      <c r="C531" s="1"/>
      <c r="D531" s="1"/>
      <c r="E531" s="255"/>
      <c r="F531" s="1"/>
      <c r="G531" s="1"/>
      <c r="H531" s="1"/>
      <c r="I531" s="1"/>
      <c r="K531" s="1"/>
      <c r="L531" s="1"/>
    </row>
    <row r="532" spans="1:12">
      <c r="A532" s="1"/>
      <c r="B532" s="255"/>
      <c r="C532" s="1"/>
      <c r="D532" s="1"/>
      <c r="E532" s="255"/>
      <c r="F532" s="1"/>
      <c r="G532" s="1"/>
      <c r="H532" s="1"/>
      <c r="I532" s="1"/>
      <c r="K532" s="1"/>
    </row>
    <row r="533" spans="1:12">
      <c r="A533" s="1"/>
      <c r="B533" s="255"/>
      <c r="C533" s="1"/>
      <c r="D533" s="1"/>
      <c r="E533" s="255"/>
      <c r="F533" s="1"/>
      <c r="G533" s="1"/>
      <c r="H533" s="1"/>
      <c r="I533" s="1"/>
      <c r="K533" s="1"/>
    </row>
    <row r="534" spans="1:12">
      <c r="A534" s="1"/>
      <c r="B534" s="255"/>
      <c r="C534" s="1"/>
      <c r="D534" s="1"/>
      <c r="E534" s="255"/>
      <c r="F534" s="1"/>
      <c r="G534" s="1"/>
      <c r="H534" s="1"/>
      <c r="I534" s="1"/>
      <c r="K534" s="1"/>
      <c r="L534" s="1"/>
    </row>
    <row r="535" spans="1:12">
      <c r="A535" s="1"/>
      <c r="B535" s="255"/>
      <c r="C535" s="1"/>
      <c r="D535" s="1"/>
      <c r="E535" s="255"/>
      <c r="F535" s="1"/>
      <c r="G535" s="1"/>
      <c r="H535" s="1"/>
      <c r="I535" s="1"/>
      <c r="K535" s="1"/>
      <c r="L535" s="1"/>
    </row>
    <row r="536" spans="1:12">
      <c r="A536" s="1"/>
      <c r="B536" s="255"/>
      <c r="C536" s="1"/>
      <c r="D536" s="1"/>
      <c r="E536" s="255"/>
      <c r="F536" s="1"/>
      <c r="G536" s="1"/>
      <c r="H536" s="1"/>
      <c r="I536" s="1"/>
      <c r="K536" s="1"/>
      <c r="L536" s="1"/>
    </row>
    <row r="537" spans="1:12">
      <c r="A537" s="1"/>
      <c r="B537" s="255"/>
      <c r="C537" s="1"/>
      <c r="D537" s="1"/>
      <c r="E537" s="255"/>
      <c r="F537" s="1"/>
      <c r="G537" s="1"/>
      <c r="H537" s="1"/>
      <c r="I537" s="1"/>
      <c r="K537" s="1"/>
      <c r="L537" s="1"/>
    </row>
    <row r="538" spans="1:12">
      <c r="A538" s="1"/>
      <c r="B538" s="255"/>
      <c r="C538" s="1"/>
      <c r="D538" s="1"/>
      <c r="E538" s="255"/>
      <c r="F538" s="1"/>
      <c r="G538" s="1"/>
      <c r="H538" s="1"/>
      <c r="I538" s="1"/>
      <c r="K538" s="1"/>
      <c r="L538" s="1"/>
    </row>
    <row r="539" spans="1:12">
      <c r="A539" s="1"/>
      <c r="B539" s="255"/>
      <c r="C539" s="1"/>
      <c r="D539" s="1"/>
      <c r="E539" s="255"/>
      <c r="F539" s="1"/>
      <c r="G539" s="1"/>
      <c r="H539" s="1"/>
      <c r="I539" s="1"/>
      <c r="K539" s="1"/>
      <c r="L539" s="1"/>
    </row>
    <row r="540" spans="1:12">
      <c r="A540" s="1"/>
      <c r="B540" s="255"/>
      <c r="C540" s="1"/>
      <c r="D540" s="1"/>
      <c r="E540" s="255"/>
      <c r="F540" s="1"/>
      <c r="G540" s="1"/>
      <c r="H540" s="1"/>
      <c r="I540" s="1"/>
      <c r="K540" s="1"/>
    </row>
    <row r="541" spans="1:12">
      <c r="A541" s="1"/>
      <c r="B541" s="255"/>
      <c r="C541" s="1"/>
      <c r="D541" s="1"/>
      <c r="E541" s="255"/>
      <c r="F541" s="1"/>
      <c r="G541" s="1"/>
      <c r="H541" s="1"/>
      <c r="I541" s="1"/>
      <c r="K541" s="1"/>
    </row>
    <row r="542" spans="1:12">
      <c r="A542" s="1"/>
      <c r="B542" s="255"/>
      <c r="C542" s="1"/>
      <c r="D542" s="1"/>
      <c r="E542" s="255"/>
      <c r="F542" s="1"/>
      <c r="G542" s="1"/>
      <c r="H542" s="1"/>
      <c r="I542" s="1"/>
      <c r="K542" s="1"/>
      <c r="L542" s="1"/>
    </row>
    <row r="543" spans="1:12">
      <c r="A543" s="1"/>
      <c r="B543" s="255"/>
      <c r="C543" s="1"/>
      <c r="D543" s="1"/>
      <c r="E543" s="255"/>
      <c r="F543" s="1"/>
      <c r="G543" s="1"/>
      <c r="H543" s="1"/>
      <c r="I543" s="1"/>
      <c r="K543" s="1"/>
      <c r="L543" s="1"/>
    </row>
    <row r="544" spans="1:12">
      <c r="A544" s="1"/>
      <c r="B544" s="255"/>
      <c r="C544" s="1"/>
      <c r="D544" s="1"/>
      <c r="E544" s="255"/>
      <c r="F544" s="1"/>
      <c r="G544" s="1"/>
      <c r="H544" s="1"/>
      <c r="I544" s="1"/>
      <c r="K544" s="1"/>
      <c r="L544" s="1"/>
    </row>
    <row r="545" spans="1:12">
      <c r="A545" s="1"/>
      <c r="B545" s="255"/>
      <c r="C545" s="1"/>
      <c r="D545" s="1"/>
      <c r="E545" s="255"/>
      <c r="F545" s="1"/>
      <c r="G545" s="1"/>
      <c r="H545" s="1"/>
      <c r="I545" s="1"/>
      <c r="K545" s="1"/>
      <c r="L545" s="1"/>
    </row>
    <row r="546" spans="1:12">
      <c r="A546" s="1"/>
      <c r="B546" s="255"/>
      <c r="C546" s="1"/>
      <c r="D546" s="1"/>
      <c r="E546" s="255"/>
      <c r="F546" s="1"/>
      <c r="G546" s="1"/>
      <c r="H546" s="1"/>
      <c r="I546" s="1"/>
      <c r="K546" s="1"/>
      <c r="L546" s="1"/>
    </row>
    <row r="547" spans="1:12">
      <c r="A547" s="1"/>
      <c r="B547" s="255"/>
      <c r="C547" s="1"/>
      <c r="D547" s="1"/>
      <c r="E547" s="255"/>
      <c r="F547" s="1"/>
      <c r="G547" s="1"/>
      <c r="H547" s="1"/>
      <c r="I547" s="1"/>
      <c r="K547" s="1"/>
      <c r="L547" s="1"/>
    </row>
    <row r="548" spans="1:12">
      <c r="A548" s="1"/>
      <c r="B548" s="255"/>
      <c r="C548" s="1"/>
      <c r="D548" s="1"/>
      <c r="E548" s="255"/>
      <c r="F548" s="1"/>
      <c r="G548" s="1"/>
      <c r="H548" s="1"/>
      <c r="I548" s="1"/>
      <c r="K548" s="1"/>
    </row>
    <row r="549" spans="1:12">
      <c r="A549" s="1"/>
      <c r="B549" s="255"/>
      <c r="C549" s="1"/>
      <c r="D549" s="1"/>
      <c r="E549" s="255"/>
      <c r="F549" s="1"/>
      <c r="G549" s="1"/>
      <c r="H549" s="1"/>
      <c r="I549" s="1"/>
      <c r="K549" s="1"/>
    </row>
    <row r="550" spans="1:12">
      <c r="A550" s="1"/>
      <c r="B550" s="255"/>
      <c r="C550" s="1"/>
      <c r="D550" s="1"/>
      <c r="E550" s="255"/>
      <c r="F550" s="1"/>
      <c r="G550" s="1"/>
      <c r="H550" s="1"/>
      <c r="I550" s="1"/>
      <c r="K550" s="1"/>
      <c r="L550" s="1"/>
    </row>
    <row r="551" spans="1:12">
      <c r="A551" s="1"/>
      <c r="B551" s="255"/>
      <c r="C551" s="1"/>
      <c r="D551" s="1"/>
      <c r="E551" s="255"/>
      <c r="F551" s="1"/>
      <c r="G551" s="1"/>
      <c r="H551" s="1"/>
      <c r="I551" s="1"/>
      <c r="K551" s="1"/>
      <c r="L551" s="1"/>
    </row>
    <row r="552" spans="1:12">
      <c r="A552" s="1"/>
      <c r="B552" s="255"/>
      <c r="C552" s="1"/>
      <c r="D552" s="1"/>
      <c r="E552" s="255"/>
      <c r="F552" s="1"/>
      <c r="G552" s="1"/>
      <c r="H552" s="1"/>
      <c r="I552" s="1"/>
      <c r="K552" s="1"/>
      <c r="L552" s="1"/>
    </row>
    <row r="553" spans="1:12">
      <c r="A553" s="1"/>
      <c r="B553" s="255"/>
      <c r="C553" s="1"/>
      <c r="D553" s="1"/>
      <c r="E553" s="255"/>
      <c r="F553" s="1"/>
      <c r="G553" s="1"/>
      <c r="H553" s="1"/>
      <c r="I553" s="1"/>
      <c r="K553" s="1"/>
      <c r="L553" s="1"/>
    </row>
    <row r="554" spans="1:12">
      <c r="A554" s="1"/>
      <c r="B554" s="255"/>
      <c r="C554" s="1"/>
      <c r="D554" s="1"/>
      <c r="E554" s="255"/>
      <c r="F554" s="1"/>
      <c r="G554" s="1"/>
      <c r="H554" s="1"/>
      <c r="I554" s="1"/>
      <c r="K554" s="1"/>
      <c r="L554" s="1"/>
    </row>
    <row r="555" spans="1:12">
      <c r="A555" s="1"/>
      <c r="B555" s="255"/>
      <c r="C555" s="1"/>
      <c r="D555" s="1"/>
      <c r="E555" s="255"/>
      <c r="F555" s="1"/>
      <c r="G555" s="1"/>
      <c r="H555" s="1"/>
      <c r="I555" s="1"/>
      <c r="K555" s="1"/>
      <c r="L555" s="1"/>
    </row>
    <row r="556" spans="1:12">
      <c r="A556" s="1"/>
      <c r="B556" s="255"/>
      <c r="C556" s="1"/>
      <c r="D556" s="1"/>
      <c r="E556" s="255"/>
      <c r="F556" s="1"/>
      <c r="G556" s="1"/>
      <c r="H556" s="1"/>
      <c r="I556" s="1"/>
      <c r="K556" s="1"/>
      <c r="L556" s="1"/>
    </row>
    <row r="557" spans="1:12">
      <c r="A557" s="1"/>
      <c r="B557" s="255"/>
      <c r="C557" s="1"/>
      <c r="D557" s="1"/>
      <c r="E557" s="255"/>
      <c r="F557" s="1"/>
      <c r="G557" s="1"/>
      <c r="H557" s="1"/>
      <c r="I557" s="1"/>
      <c r="K557" s="1"/>
      <c r="L557" s="1"/>
    </row>
    <row r="558" spans="1:12">
      <c r="A558" s="1"/>
      <c r="B558" s="255"/>
      <c r="C558" s="1"/>
      <c r="D558" s="1"/>
      <c r="E558" s="255"/>
      <c r="F558" s="1"/>
      <c r="G558" s="1"/>
      <c r="H558" s="1"/>
      <c r="I558" s="1"/>
      <c r="K558" s="1"/>
      <c r="L558" s="1"/>
    </row>
    <row r="559" spans="1:12">
      <c r="A559" s="1"/>
      <c r="B559" s="255"/>
      <c r="C559" s="1"/>
      <c r="D559" s="1"/>
      <c r="E559" s="255"/>
      <c r="F559" s="1"/>
      <c r="G559" s="1"/>
      <c r="H559" s="1"/>
      <c r="I559" s="1"/>
      <c r="K559" s="1"/>
      <c r="L559" s="1"/>
    </row>
    <row r="560" spans="1:12">
      <c r="A560" s="1"/>
      <c r="B560" s="255"/>
      <c r="C560" s="1"/>
      <c r="D560" s="1"/>
      <c r="E560" s="255"/>
      <c r="F560" s="1"/>
      <c r="G560" s="1"/>
      <c r="H560" s="1"/>
      <c r="I560" s="1"/>
      <c r="K560" s="1"/>
      <c r="L560" s="1"/>
    </row>
    <row r="561" spans="1:12">
      <c r="A561" s="1"/>
      <c r="B561" s="255"/>
      <c r="C561" s="1"/>
      <c r="D561" s="1"/>
      <c r="E561" s="255"/>
      <c r="F561" s="1"/>
      <c r="G561" s="1"/>
      <c r="H561" s="1"/>
      <c r="I561" s="1"/>
      <c r="K561" s="1"/>
      <c r="L561" s="1"/>
    </row>
    <row r="562" spans="1:12">
      <c r="A562" s="1"/>
      <c r="B562" s="255"/>
      <c r="C562" s="1"/>
      <c r="D562" s="1"/>
      <c r="E562" s="255"/>
      <c r="F562" s="1"/>
      <c r="G562" s="1"/>
      <c r="H562" s="1"/>
      <c r="I562" s="1"/>
      <c r="K562" s="1"/>
      <c r="L562" s="1"/>
    </row>
    <row r="563" spans="1:12">
      <c r="A563" s="1"/>
      <c r="B563" s="255"/>
      <c r="C563" s="1"/>
      <c r="D563" s="1"/>
      <c r="E563" s="255"/>
      <c r="F563" s="1"/>
      <c r="G563" s="1"/>
      <c r="H563" s="1"/>
      <c r="I563" s="1"/>
      <c r="K563" s="1"/>
      <c r="L563" s="1"/>
    </row>
    <row r="564" spans="1:12">
      <c r="A564" s="1"/>
      <c r="B564" s="255"/>
      <c r="C564" s="1"/>
      <c r="D564" s="1"/>
      <c r="E564" s="255"/>
      <c r="F564" s="1"/>
      <c r="G564" s="1"/>
      <c r="H564" s="1"/>
      <c r="I564" s="1"/>
      <c r="K564" s="1"/>
      <c r="L564" s="1"/>
    </row>
    <row r="565" spans="1:12">
      <c r="A565" s="1"/>
      <c r="B565" s="255"/>
      <c r="C565" s="1"/>
      <c r="D565" s="1"/>
      <c r="E565" s="255"/>
      <c r="F565" s="1"/>
      <c r="G565" s="1"/>
      <c r="H565" s="1"/>
      <c r="I565" s="1"/>
      <c r="K565" s="1"/>
      <c r="L565" s="1"/>
    </row>
    <row r="566" spans="1:12">
      <c r="A566" s="1"/>
      <c r="B566" s="255"/>
      <c r="C566" s="1"/>
      <c r="D566" s="1"/>
      <c r="E566" s="255"/>
      <c r="F566" s="1"/>
      <c r="G566" s="1"/>
      <c r="H566" s="1"/>
      <c r="I566" s="1"/>
      <c r="K566" s="1"/>
    </row>
    <row r="567" spans="1:12">
      <c r="A567" s="1"/>
      <c r="B567" s="255"/>
      <c r="C567" s="1"/>
      <c r="D567" s="1"/>
      <c r="E567" s="255"/>
      <c r="F567" s="1"/>
      <c r="G567" s="1"/>
      <c r="H567" s="1"/>
      <c r="I567" s="1"/>
      <c r="K567" s="1"/>
    </row>
    <row r="568" spans="1:12">
      <c r="A568" s="1"/>
      <c r="B568" s="255"/>
      <c r="C568" s="1"/>
      <c r="D568" s="1"/>
      <c r="E568" s="255"/>
      <c r="F568" s="1"/>
      <c r="G568" s="1"/>
      <c r="H568" s="1"/>
      <c r="I568" s="1"/>
      <c r="K568" s="1"/>
      <c r="L568" s="1"/>
    </row>
    <row r="569" spans="1:12">
      <c r="A569" s="1"/>
      <c r="B569" s="255"/>
      <c r="C569" s="1"/>
      <c r="D569" s="1"/>
      <c r="E569" s="255"/>
      <c r="F569" s="1"/>
      <c r="G569" s="1"/>
      <c r="H569" s="1"/>
      <c r="I569" s="1"/>
      <c r="K569" s="1"/>
      <c r="L569" s="1"/>
    </row>
    <row r="570" spans="1:12">
      <c r="A570" s="1"/>
      <c r="B570" s="255"/>
      <c r="C570" s="1"/>
      <c r="D570" s="1"/>
      <c r="E570" s="255"/>
      <c r="F570" s="1"/>
      <c r="G570" s="1"/>
      <c r="H570" s="1"/>
      <c r="I570" s="1"/>
      <c r="K570" s="1"/>
      <c r="L570" s="1"/>
    </row>
    <row r="571" spans="1:12">
      <c r="A571" s="1"/>
      <c r="B571" s="255"/>
      <c r="C571" s="1"/>
      <c r="D571" s="1"/>
      <c r="E571" s="255"/>
      <c r="F571" s="1"/>
      <c r="G571" s="1"/>
      <c r="H571" s="1"/>
      <c r="I571" s="1"/>
      <c r="K571" s="1"/>
      <c r="L571" s="1"/>
    </row>
    <row r="572" spans="1:12">
      <c r="A572" s="1"/>
      <c r="B572" s="255"/>
      <c r="C572" s="1"/>
      <c r="D572" s="1"/>
      <c r="E572" s="255"/>
      <c r="F572" s="1"/>
      <c r="G572" s="1"/>
      <c r="H572" s="1"/>
      <c r="I572" s="1"/>
      <c r="K572" s="1"/>
    </row>
    <row r="573" spans="1:12">
      <c r="A573" s="1"/>
      <c r="B573" s="255"/>
      <c r="C573" s="1"/>
      <c r="D573" s="1"/>
      <c r="E573" s="255"/>
      <c r="F573" s="1"/>
      <c r="G573" s="1"/>
      <c r="H573" s="1"/>
      <c r="I573" s="1"/>
      <c r="K573" s="1"/>
    </row>
    <row r="574" spans="1:12">
      <c r="A574" s="1"/>
      <c r="B574" s="255"/>
      <c r="C574" s="1"/>
      <c r="D574" s="1"/>
      <c r="E574" s="255"/>
      <c r="F574" s="1"/>
      <c r="G574" s="1"/>
      <c r="H574" s="1"/>
      <c r="I574" s="1"/>
      <c r="K574" s="1"/>
      <c r="L574" s="1"/>
    </row>
    <row r="575" spans="1:12">
      <c r="A575" s="1"/>
      <c r="B575" s="255"/>
      <c r="C575" s="1"/>
      <c r="D575" s="1"/>
      <c r="E575" s="255"/>
      <c r="F575" s="1"/>
      <c r="G575" s="1"/>
      <c r="H575" s="1"/>
      <c r="I575" s="1"/>
      <c r="K575" s="1"/>
      <c r="L575" s="1"/>
    </row>
    <row r="576" spans="1:12">
      <c r="A576" s="1"/>
      <c r="B576" s="255"/>
      <c r="C576" s="1"/>
      <c r="D576" s="1"/>
      <c r="E576" s="255"/>
      <c r="F576" s="1"/>
      <c r="G576" s="1"/>
      <c r="H576" s="1"/>
      <c r="I576" s="1"/>
      <c r="K576" s="1"/>
      <c r="L576" s="1"/>
    </row>
    <row r="577" spans="1:12">
      <c r="A577" s="1"/>
      <c r="B577" s="255"/>
      <c r="C577" s="1"/>
      <c r="D577" s="1"/>
      <c r="E577" s="255"/>
      <c r="F577" s="1"/>
      <c r="G577" s="1"/>
      <c r="H577" s="1"/>
      <c r="I577" s="1"/>
      <c r="K577" s="1"/>
      <c r="L577" s="1"/>
    </row>
    <row r="578" spans="1:12">
      <c r="A578" s="1"/>
      <c r="B578" s="255"/>
      <c r="C578" s="1"/>
      <c r="D578" s="1"/>
      <c r="E578" s="255"/>
      <c r="F578" s="1"/>
      <c r="G578" s="1"/>
      <c r="H578" s="1"/>
      <c r="I578" s="1"/>
      <c r="K578" s="1"/>
      <c r="L578" s="1"/>
    </row>
    <row r="579" spans="1:12">
      <c r="A579" s="1"/>
      <c r="B579" s="255"/>
      <c r="C579" s="1"/>
      <c r="D579" s="1"/>
      <c r="E579" s="255"/>
      <c r="F579" s="1"/>
      <c r="G579" s="1"/>
      <c r="H579" s="1"/>
      <c r="I579" s="1"/>
      <c r="K579" s="1"/>
      <c r="L579" s="1"/>
    </row>
    <row r="580" spans="1:12">
      <c r="A580" s="1"/>
      <c r="B580" s="255"/>
      <c r="C580" s="1"/>
      <c r="D580" s="1"/>
      <c r="E580" s="255"/>
      <c r="F580" s="1"/>
      <c r="G580" s="1"/>
      <c r="H580" s="1"/>
      <c r="I580" s="1"/>
      <c r="K580" s="1"/>
    </row>
    <row r="581" spans="1:12">
      <c r="A581" s="1"/>
      <c r="B581" s="255"/>
      <c r="C581" s="1"/>
      <c r="D581" s="1"/>
      <c r="E581" s="255"/>
      <c r="F581" s="1"/>
      <c r="G581" s="1"/>
      <c r="H581" s="1"/>
      <c r="I581" s="1"/>
      <c r="K581" s="1"/>
    </row>
    <row r="582" spans="1:12">
      <c r="A582" s="1"/>
      <c r="B582" s="255"/>
      <c r="C582" s="1"/>
      <c r="D582" s="1"/>
      <c r="E582" s="255"/>
      <c r="F582" s="1"/>
      <c r="G582" s="1"/>
      <c r="H582" s="1"/>
      <c r="I582" s="1"/>
      <c r="K582" s="1"/>
      <c r="L582" s="1"/>
    </row>
    <row r="583" spans="1:12">
      <c r="A583" s="1"/>
      <c r="B583" s="255"/>
      <c r="C583" s="1"/>
      <c r="D583" s="1"/>
      <c r="E583" s="255"/>
      <c r="F583" s="1"/>
      <c r="G583" s="1"/>
      <c r="H583" s="1"/>
      <c r="I583" s="1"/>
      <c r="K583" s="1"/>
      <c r="L583" s="1"/>
    </row>
    <row r="584" spans="1:12">
      <c r="A584" s="1"/>
      <c r="B584" s="255"/>
      <c r="C584" s="1"/>
      <c r="D584" s="1"/>
      <c r="E584" s="255"/>
      <c r="F584" s="1"/>
      <c r="G584" s="1"/>
      <c r="H584" s="1"/>
      <c r="I584" s="1"/>
      <c r="K584" s="1"/>
      <c r="L584" s="1"/>
    </row>
    <row r="585" spans="1:12">
      <c r="A585" s="1"/>
      <c r="B585" s="255"/>
      <c r="C585" s="1"/>
      <c r="D585" s="1"/>
      <c r="E585" s="255"/>
      <c r="F585" s="1"/>
      <c r="G585" s="1"/>
      <c r="H585" s="1"/>
      <c r="I585" s="1"/>
      <c r="K585" s="1"/>
      <c r="L585" s="1"/>
    </row>
    <row r="586" spans="1:12">
      <c r="A586" s="1"/>
      <c r="B586" s="255"/>
      <c r="C586" s="1"/>
      <c r="D586" s="1"/>
      <c r="E586" s="255"/>
      <c r="F586" s="1"/>
      <c r="G586" s="1"/>
      <c r="H586" s="1"/>
      <c r="I586" s="1"/>
      <c r="K586" s="1"/>
      <c r="L586" s="1"/>
    </row>
    <row r="587" spans="1:12">
      <c r="A587" s="1"/>
      <c r="B587" s="255"/>
      <c r="C587" s="1"/>
      <c r="D587" s="1"/>
      <c r="E587" s="255"/>
      <c r="F587" s="1"/>
      <c r="G587" s="1"/>
      <c r="H587" s="1"/>
      <c r="I587" s="1"/>
      <c r="K587" s="1"/>
      <c r="L587" s="1"/>
    </row>
    <row r="588" spans="1:12">
      <c r="A588" s="1"/>
      <c r="B588" s="255"/>
      <c r="C588" s="1"/>
      <c r="D588" s="1"/>
      <c r="E588" s="255"/>
      <c r="F588" s="1"/>
      <c r="G588" s="1"/>
      <c r="H588" s="1"/>
      <c r="I588" s="1"/>
      <c r="K588" s="1"/>
    </row>
    <row r="589" spans="1:12">
      <c r="A589" s="1"/>
      <c r="B589" s="255"/>
      <c r="C589" s="1"/>
      <c r="D589" s="1"/>
      <c r="E589" s="255"/>
      <c r="F589" s="1"/>
      <c r="G589" s="1"/>
      <c r="H589" s="1"/>
      <c r="I589" s="1"/>
      <c r="K589" s="1"/>
    </row>
    <row r="590" spans="1:12">
      <c r="A590" s="1"/>
      <c r="B590" s="255"/>
      <c r="C590" s="1"/>
      <c r="D590" s="1"/>
      <c r="E590" s="255"/>
      <c r="F590" s="1"/>
      <c r="G590" s="1"/>
      <c r="H590" s="1"/>
      <c r="I590" s="1"/>
      <c r="K590" s="1"/>
      <c r="L590" s="1"/>
    </row>
    <row r="591" spans="1:12">
      <c r="A591" s="1"/>
      <c r="B591" s="255"/>
      <c r="C591" s="1"/>
      <c r="D591" s="1"/>
      <c r="E591" s="255"/>
      <c r="F591" s="1"/>
      <c r="G591" s="1"/>
      <c r="H591" s="1"/>
      <c r="I591" s="1"/>
      <c r="K591" s="1"/>
      <c r="L591" s="1"/>
    </row>
    <row r="592" spans="1:12">
      <c r="A592" s="1"/>
      <c r="B592" s="255"/>
      <c r="C592" s="1"/>
      <c r="D592" s="1"/>
      <c r="E592" s="255"/>
      <c r="F592" s="1"/>
      <c r="G592" s="1"/>
      <c r="H592" s="1"/>
      <c r="I592" s="1"/>
      <c r="K592" s="1"/>
      <c r="L592" s="1"/>
    </row>
    <row r="593" spans="1:12">
      <c r="A593" s="1"/>
      <c r="B593" s="255"/>
      <c r="C593" s="1"/>
      <c r="D593" s="1"/>
      <c r="E593" s="255"/>
      <c r="F593" s="1"/>
      <c r="G593" s="1"/>
      <c r="H593" s="1"/>
      <c r="I593" s="1"/>
      <c r="K593" s="1"/>
      <c r="L593" s="1"/>
    </row>
    <row r="594" spans="1:12">
      <c r="A594" s="1"/>
      <c r="B594" s="255"/>
      <c r="C594" s="1"/>
      <c r="D594" s="1"/>
      <c r="E594" s="255"/>
      <c r="F594" s="1"/>
      <c r="G594" s="1"/>
      <c r="H594" s="1"/>
      <c r="I594" s="1"/>
      <c r="K594" s="1"/>
      <c r="L594" s="1"/>
    </row>
    <row r="595" spans="1:12">
      <c r="A595" s="1"/>
      <c r="B595" s="255"/>
      <c r="C595" s="1"/>
      <c r="D595" s="1"/>
      <c r="E595" s="255"/>
      <c r="F595" s="1"/>
      <c r="G595" s="1"/>
      <c r="H595" s="1"/>
      <c r="I595" s="1"/>
      <c r="K595" s="1"/>
      <c r="L595" s="1"/>
    </row>
    <row r="596" spans="1:12">
      <c r="A596" s="1"/>
      <c r="B596" s="255"/>
      <c r="C596" s="1"/>
      <c r="D596" s="1"/>
      <c r="E596" s="255"/>
      <c r="F596" s="1"/>
      <c r="G596" s="1"/>
      <c r="H596" s="1"/>
      <c r="I596" s="1"/>
      <c r="K596" s="1"/>
      <c r="L596" s="1"/>
    </row>
    <row r="597" spans="1:12">
      <c r="A597" s="1"/>
      <c r="B597" s="255"/>
      <c r="C597" s="1"/>
      <c r="D597" s="1"/>
      <c r="E597" s="255"/>
      <c r="F597" s="1"/>
      <c r="G597" s="1"/>
      <c r="H597" s="1"/>
      <c r="I597" s="1"/>
      <c r="K597" s="1"/>
      <c r="L597" s="1"/>
    </row>
    <row r="598" spans="1:12">
      <c r="A598" s="1"/>
      <c r="B598" s="255"/>
      <c r="C598" s="1"/>
      <c r="D598" s="1"/>
      <c r="E598" s="255"/>
      <c r="F598" s="1"/>
      <c r="G598" s="1"/>
      <c r="H598" s="1"/>
      <c r="I598" s="1"/>
      <c r="K598" s="1"/>
      <c r="L598" s="1"/>
    </row>
    <row r="599" spans="1:12">
      <c r="A599" s="1"/>
      <c r="B599" s="255"/>
      <c r="C599" s="1"/>
      <c r="D599" s="1"/>
      <c r="E599" s="255"/>
      <c r="F599" s="1"/>
      <c r="G599" s="1"/>
      <c r="H599" s="1"/>
      <c r="I599" s="1"/>
      <c r="K599" s="1"/>
      <c r="L599" s="1"/>
    </row>
    <row r="600" spans="1:12">
      <c r="A600" s="1"/>
      <c r="B600" s="255"/>
      <c r="C600" s="1"/>
      <c r="D600" s="1"/>
      <c r="E600" s="255"/>
      <c r="F600" s="1"/>
      <c r="G600" s="1"/>
      <c r="H600" s="1"/>
      <c r="I600" s="1"/>
      <c r="K600" s="1"/>
      <c r="L600" s="1"/>
    </row>
    <row r="601" spans="1:12">
      <c r="A601" s="1"/>
      <c r="B601" s="255"/>
      <c r="C601" s="1"/>
      <c r="D601" s="1"/>
      <c r="E601" s="255"/>
      <c r="F601" s="1"/>
      <c r="G601" s="1"/>
      <c r="H601" s="1"/>
      <c r="I601" s="1"/>
      <c r="K601" s="1"/>
      <c r="L601" s="1"/>
    </row>
    <row r="602" spans="1:12">
      <c r="A602" s="1"/>
      <c r="B602" s="255"/>
      <c r="C602" s="1"/>
      <c r="D602" s="1"/>
      <c r="E602" s="255"/>
      <c r="F602" s="1"/>
      <c r="G602" s="1"/>
      <c r="H602" s="1"/>
      <c r="I602" s="1"/>
      <c r="K602" s="1"/>
      <c r="L602" s="1"/>
    </row>
    <row r="603" spans="1:12">
      <c r="A603" s="1"/>
      <c r="B603" s="255"/>
      <c r="C603" s="1"/>
      <c r="D603" s="1"/>
      <c r="E603" s="255"/>
      <c r="F603" s="1"/>
      <c r="G603" s="1"/>
      <c r="H603" s="1"/>
      <c r="I603" s="1"/>
      <c r="K603" s="1"/>
      <c r="L603" s="1"/>
    </row>
    <row r="604" spans="1:12">
      <c r="A604" s="1"/>
      <c r="B604" s="255"/>
      <c r="C604" s="1"/>
      <c r="D604" s="1"/>
      <c r="E604" s="255"/>
      <c r="F604" s="1"/>
      <c r="G604" s="1"/>
      <c r="H604" s="1"/>
      <c r="I604" s="1"/>
      <c r="K604" s="1"/>
      <c r="L604" s="1"/>
    </row>
    <row r="605" spans="1:12">
      <c r="A605" s="1"/>
      <c r="B605" s="255"/>
      <c r="C605" s="1"/>
      <c r="D605" s="1"/>
      <c r="E605" s="255"/>
      <c r="F605" s="1"/>
      <c r="G605" s="1"/>
      <c r="H605" s="1"/>
      <c r="I605" s="1"/>
      <c r="K605" s="1"/>
    </row>
    <row r="606" spans="1:12">
      <c r="A606" s="1"/>
      <c r="B606" s="255"/>
      <c r="C606" s="1"/>
      <c r="D606" s="1"/>
      <c r="E606" s="255"/>
      <c r="F606" s="1"/>
      <c r="G606" s="1"/>
      <c r="H606" s="1"/>
      <c r="I606" s="1"/>
      <c r="K606" s="1"/>
    </row>
    <row r="607" spans="1:12">
      <c r="A607" s="1"/>
      <c r="B607" s="255"/>
      <c r="C607" s="1"/>
      <c r="D607" s="1"/>
      <c r="E607" s="255"/>
      <c r="F607" s="1"/>
      <c r="G607" s="1"/>
      <c r="H607" s="1"/>
      <c r="I607" s="1"/>
      <c r="K607" s="1"/>
      <c r="L607" s="1"/>
    </row>
    <row r="608" spans="1:12">
      <c r="A608" s="1"/>
      <c r="B608" s="255"/>
      <c r="C608" s="1"/>
      <c r="D608" s="1"/>
      <c r="E608" s="255"/>
      <c r="F608" s="1"/>
      <c r="G608" s="1"/>
      <c r="H608" s="1"/>
      <c r="I608" s="1"/>
      <c r="K608" s="1"/>
      <c r="L608" s="1"/>
    </row>
    <row r="609" spans="1:12">
      <c r="A609" s="1"/>
      <c r="B609" s="255"/>
      <c r="C609" s="1"/>
      <c r="D609" s="1"/>
      <c r="E609" s="255"/>
      <c r="F609" s="1"/>
      <c r="G609" s="1"/>
      <c r="H609" s="1"/>
      <c r="I609" s="1"/>
      <c r="K609" s="1"/>
      <c r="L609" s="1"/>
    </row>
    <row r="610" spans="1:12">
      <c r="A610" s="1"/>
      <c r="B610" s="255"/>
      <c r="C610" s="1"/>
      <c r="D610" s="1"/>
      <c r="E610" s="255"/>
      <c r="F610" s="1"/>
      <c r="G610" s="1"/>
      <c r="H610" s="1"/>
      <c r="I610" s="1"/>
      <c r="K610" s="1"/>
      <c r="L610" s="1"/>
    </row>
    <row r="611" spans="1:12">
      <c r="A611" s="1"/>
      <c r="B611" s="255"/>
      <c r="C611" s="1"/>
      <c r="D611" s="1"/>
      <c r="E611" s="255"/>
      <c r="F611" s="1"/>
      <c r="G611" s="1"/>
      <c r="H611" s="1"/>
      <c r="I611" s="1"/>
      <c r="K611" s="1"/>
    </row>
    <row r="612" spans="1:12">
      <c r="A612" s="1"/>
      <c r="B612" s="255"/>
      <c r="C612" s="1"/>
      <c r="D612" s="1"/>
      <c r="E612" s="255"/>
      <c r="F612" s="1"/>
      <c r="G612" s="1"/>
      <c r="H612" s="1"/>
      <c r="I612" s="1"/>
      <c r="K612" s="1"/>
    </row>
    <row r="613" spans="1:12">
      <c r="A613" s="1"/>
      <c r="B613" s="255"/>
      <c r="C613" s="1"/>
      <c r="D613" s="1"/>
      <c r="E613" s="255"/>
      <c r="F613" s="1"/>
      <c r="G613" s="1"/>
      <c r="H613" s="1"/>
      <c r="I613" s="1"/>
      <c r="K613" s="1"/>
      <c r="L613" s="1"/>
    </row>
    <row r="614" spans="1:12">
      <c r="A614" s="1"/>
      <c r="B614" s="255"/>
      <c r="C614" s="1"/>
      <c r="D614" s="1"/>
      <c r="E614" s="255"/>
      <c r="F614" s="1"/>
      <c r="G614" s="1"/>
      <c r="H614" s="1"/>
      <c r="I614" s="1"/>
      <c r="K614" s="1"/>
      <c r="L614" s="1"/>
    </row>
    <row r="615" spans="1:12">
      <c r="A615" s="1"/>
      <c r="B615" s="255"/>
      <c r="C615" s="1"/>
      <c r="D615" s="1"/>
      <c r="E615" s="255"/>
      <c r="F615" s="1"/>
      <c r="G615" s="1"/>
      <c r="H615" s="1"/>
      <c r="I615" s="1"/>
      <c r="K615" s="1"/>
    </row>
    <row r="616" spans="1:12">
      <c r="A616" s="1"/>
      <c r="B616" s="255"/>
      <c r="C616" s="1"/>
      <c r="D616" s="1"/>
      <c r="E616" s="255"/>
      <c r="F616" s="1"/>
      <c r="G616" s="1"/>
      <c r="H616" s="1"/>
      <c r="I616" s="1"/>
      <c r="K616" s="1"/>
    </row>
    <row r="617" spans="1:12">
      <c r="A617" s="1"/>
      <c r="B617" s="255"/>
      <c r="C617" s="1"/>
      <c r="D617" s="1"/>
      <c r="E617" s="255"/>
      <c r="F617" s="1"/>
      <c r="G617" s="1"/>
      <c r="H617" s="1"/>
      <c r="I617" s="1"/>
      <c r="K617" s="1"/>
      <c r="L617" s="1"/>
    </row>
    <row r="618" spans="1:12">
      <c r="A618" s="1"/>
      <c r="B618" s="255"/>
      <c r="C618" s="1"/>
      <c r="D618" s="1"/>
      <c r="E618" s="255"/>
      <c r="F618" s="1"/>
      <c r="G618" s="1"/>
      <c r="H618" s="1"/>
      <c r="I618" s="1"/>
      <c r="K618" s="1"/>
      <c r="L618" s="1"/>
    </row>
    <row r="619" spans="1:12">
      <c r="A619" s="1"/>
      <c r="B619" s="255"/>
      <c r="C619" s="1"/>
      <c r="D619" s="1"/>
      <c r="E619" s="255"/>
      <c r="F619" s="1"/>
      <c r="G619" s="1"/>
      <c r="H619" s="1"/>
      <c r="I619" s="1"/>
      <c r="K619" s="1"/>
      <c r="L619" s="1"/>
    </row>
    <row r="620" spans="1:12">
      <c r="A620" s="1"/>
      <c r="B620" s="255"/>
      <c r="C620" s="1"/>
      <c r="D620" s="1"/>
      <c r="E620" s="255"/>
      <c r="F620" s="1"/>
      <c r="G620" s="1"/>
      <c r="H620" s="1"/>
      <c r="I620" s="1"/>
      <c r="K620" s="1"/>
      <c r="L620" s="1"/>
    </row>
    <row r="621" spans="1:12">
      <c r="A621" s="1"/>
      <c r="B621" s="255"/>
      <c r="C621" s="1"/>
      <c r="D621" s="1"/>
      <c r="E621" s="255"/>
      <c r="F621" s="1"/>
      <c r="G621" s="1"/>
      <c r="H621" s="1"/>
      <c r="I621" s="1"/>
      <c r="K621" s="1"/>
      <c r="L621" s="1"/>
    </row>
    <row r="622" spans="1:12">
      <c r="A622" s="1"/>
      <c r="B622" s="255"/>
      <c r="C622" s="1"/>
      <c r="D622" s="1"/>
      <c r="E622" s="255"/>
      <c r="F622" s="1"/>
      <c r="G622" s="1"/>
      <c r="H622" s="1"/>
      <c r="I622" s="1"/>
      <c r="K622" s="1"/>
      <c r="L622" s="1"/>
    </row>
    <row r="623" spans="1:12">
      <c r="A623" s="1"/>
      <c r="B623" s="255"/>
      <c r="C623" s="1"/>
      <c r="D623" s="1"/>
      <c r="E623" s="255"/>
      <c r="F623" s="1"/>
      <c r="G623" s="1"/>
      <c r="H623" s="1"/>
      <c r="I623" s="1"/>
      <c r="K623" s="1"/>
      <c r="L623" s="1"/>
    </row>
    <row r="624" spans="1:12">
      <c r="A624" s="1"/>
      <c r="B624" s="255"/>
      <c r="C624" s="1"/>
      <c r="D624" s="1"/>
      <c r="E624" s="255"/>
      <c r="F624" s="1"/>
      <c r="G624" s="1"/>
      <c r="H624" s="1"/>
      <c r="I624" s="1"/>
      <c r="K624" s="1"/>
      <c r="L624" s="1"/>
    </row>
    <row r="625" spans="1:12">
      <c r="A625" s="1"/>
      <c r="B625" s="255"/>
      <c r="C625" s="1"/>
      <c r="D625" s="1"/>
      <c r="E625" s="255"/>
      <c r="F625" s="1"/>
      <c r="G625" s="1"/>
      <c r="H625" s="1"/>
      <c r="I625" s="1"/>
      <c r="K625" s="1"/>
      <c r="L625" s="1"/>
    </row>
    <row r="626" spans="1:12">
      <c r="A626" s="1"/>
      <c r="B626" s="255"/>
      <c r="C626" s="1"/>
      <c r="D626" s="1"/>
      <c r="E626" s="255"/>
      <c r="F626" s="1"/>
      <c r="G626" s="1"/>
      <c r="H626" s="1"/>
      <c r="I626" s="1"/>
      <c r="K626" s="1"/>
      <c r="L626" s="1"/>
    </row>
    <row r="627" spans="1:12">
      <c r="A627" s="1"/>
      <c r="B627" s="255"/>
      <c r="C627" s="1"/>
      <c r="D627" s="1"/>
      <c r="E627" s="255"/>
      <c r="F627" s="1"/>
      <c r="G627" s="1"/>
      <c r="H627" s="1"/>
      <c r="I627" s="1"/>
      <c r="K627" s="1"/>
    </row>
    <row r="628" spans="1:12">
      <c r="A628" s="1"/>
      <c r="B628" s="255"/>
      <c r="C628" s="1"/>
      <c r="D628" s="1"/>
      <c r="E628" s="255"/>
      <c r="F628" s="1"/>
      <c r="G628" s="1"/>
      <c r="H628" s="1"/>
      <c r="I628" s="1"/>
      <c r="K628" s="1"/>
    </row>
    <row r="629" spans="1:12">
      <c r="A629" s="1"/>
      <c r="B629" s="255"/>
      <c r="C629" s="1"/>
      <c r="D629" s="1"/>
      <c r="E629" s="255"/>
      <c r="F629" s="1"/>
      <c r="G629" s="1"/>
      <c r="H629" s="1"/>
      <c r="I629" s="1"/>
      <c r="K629" s="1"/>
      <c r="L629" s="1"/>
    </row>
    <row r="630" spans="1:12">
      <c r="A630" s="1"/>
      <c r="B630" s="255"/>
      <c r="C630" s="1"/>
      <c r="D630" s="1"/>
      <c r="E630" s="255"/>
      <c r="F630" s="1"/>
      <c r="G630" s="1"/>
      <c r="H630" s="1"/>
      <c r="I630" s="1"/>
      <c r="K630" s="1"/>
      <c r="L630" s="1"/>
    </row>
    <row r="631" spans="1:12">
      <c r="A631" s="1"/>
      <c r="B631" s="255"/>
      <c r="C631" s="1"/>
      <c r="D631" s="1"/>
      <c r="E631" s="255"/>
      <c r="F631" s="1"/>
      <c r="G631" s="1"/>
      <c r="H631" s="1"/>
      <c r="I631" s="1"/>
      <c r="K631" s="1"/>
      <c r="L631" s="1"/>
    </row>
    <row r="632" spans="1:12">
      <c r="A632" s="1"/>
      <c r="B632" s="255"/>
      <c r="C632" s="1"/>
      <c r="D632" s="1"/>
      <c r="E632" s="255"/>
      <c r="F632" s="1"/>
      <c r="G632" s="1"/>
      <c r="H632" s="1"/>
      <c r="I632" s="1"/>
      <c r="K632" s="1"/>
      <c r="L632" s="1"/>
    </row>
    <row r="633" spans="1:12">
      <c r="A633" s="1"/>
      <c r="B633" s="255"/>
      <c r="C633" s="1"/>
      <c r="D633" s="1"/>
      <c r="E633" s="255"/>
      <c r="F633" s="1"/>
      <c r="G633" s="1"/>
      <c r="H633" s="1"/>
      <c r="I633" s="1"/>
      <c r="K633" s="1"/>
      <c r="L633" s="1"/>
    </row>
    <row r="634" spans="1:12">
      <c r="A634" s="1"/>
      <c r="B634" s="255"/>
      <c r="C634" s="1"/>
      <c r="D634" s="1"/>
      <c r="E634" s="255"/>
      <c r="F634" s="1"/>
      <c r="G634" s="1"/>
      <c r="H634" s="1"/>
      <c r="I634" s="1"/>
      <c r="K634" s="1"/>
      <c r="L634" s="1"/>
    </row>
    <row r="635" spans="1:12">
      <c r="A635" s="1"/>
      <c r="B635" s="255"/>
      <c r="C635" s="1"/>
      <c r="D635" s="1"/>
      <c r="E635" s="255"/>
      <c r="F635" s="1"/>
      <c r="G635" s="1"/>
      <c r="H635" s="1"/>
      <c r="I635" s="1"/>
      <c r="K635" s="1"/>
      <c r="L635" s="1"/>
    </row>
    <row r="636" spans="1:12">
      <c r="A636" s="1"/>
      <c r="B636" s="255"/>
      <c r="C636" s="1"/>
      <c r="D636" s="1"/>
      <c r="E636" s="255"/>
      <c r="F636" s="1"/>
      <c r="G636" s="1"/>
      <c r="H636" s="1"/>
      <c r="I636" s="1"/>
      <c r="K636" s="1"/>
      <c r="L636" s="1"/>
    </row>
    <row r="637" spans="1:12">
      <c r="A637" s="1"/>
      <c r="B637" s="255"/>
      <c r="C637" s="1"/>
      <c r="D637" s="1"/>
      <c r="E637" s="255"/>
      <c r="F637" s="1"/>
      <c r="G637" s="1"/>
      <c r="H637" s="1"/>
      <c r="I637" s="1"/>
      <c r="K637" s="1"/>
    </row>
    <row r="638" spans="1:12">
      <c r="A638" s="1"/>
      <c r="B638" s="255"/>
      <c r="C638" s="1"/>
      <c r="D638" s="1"/>
      <c r="E638" s="255"/>
      <c r="F638" s="1"/>
      <c r="G638" s="1"/>
      <c r="H638" s="1"/>
      <c r="I638" s="1"/>
      <c r="K638" s="1"/>
    </row>
    <row r="639" spans="1:12">
      <c r="A639" s="1"/>
      <c r="B639" s="255"/>
      <c r="C639" s="1"/>
      <c r="D639" s="1"/>
      <c r="E639" s="255"/>
      <c r="F639" s="1"/>
      <c r="G639" s="1"/>
      <c r="H639" s="1"/>
      <c r="I639" s="1"/>
      <c r="K639" s="1"/>
    </row>
    <row r="640" spans="1:12">
      <c r="A640" s="1"/>
      <c r="B640" s="255"/>
      <c r="C640" s="1"/>
      <c r="D640" s="1"/>
      <c r="E640" s="255"/>
      <c r="F640" s="1"/>
      <c r="G640" s="1"/>
      <c r="H640" s="1"/>
      <c r="I640" s="1"/>
      <c r="K640" s="1"/>
    </row>
    <row r="641" spans="1:12">
      <c r="A641" s="1"/>
      <c r="B641" s="255"/>
      <c r="C641" s="1"/>
      <c r="D641" s="1"/>
      <c r="E641" s="255"/>
      <c r="F641" s="1"/>
      <c r="G641" s="1"/>
      <c r="H641" s="1"/>
      <c r="I641" s="1"/>
      <c r="K641" s="1"/>
      <c r="L641" s="1"/>
    </row>
    <row r="642" spans="1:12">
      <c r="A642" s="1"/>
      <c r="B642" s="255"/>
      <c r="C642" s="1"/>
      <c r="D642" s="1"/>
      <c r="E642" s="255"/>
      <c r="F642" s="1"/>
      <c r="G642" s="1"/>
      <c r="H642" s="1"/>
      <c r="I642" s="1"/>
      <c r="K642" s="1"/>
      <c r="L642" s="1"/>
    </row>
    <row r="643" spans="1:12">
      <c r="A643" s="1"/>
      <c r="B643" s="255"/>
      <c r="C643" s="1"/>
      <c r="D643" s="1"/>
      <c r="E643" s="255"/>
      <c r="F643" s="1"/>
      <c r="G643" s="1"/>
      <c r="H643" s="1"/>
      <c r="I643" s="1"/>
      <c r="K643" s="1"/>
      <c r="L643" s="1"/>
    </row>
    <row r="644" spans="1:12">
      <c r="A644" s="1"/>
      <c r="B644" s="255"/>
      <c r="C644" s="1"/>
      <c r="D644" s="1"/>
      <c r="E644" s="255"/>
      <c r="F644" s="1"/>
      <c r="G644" s="1"/>
      <c r="H644" s="1"/>
      <c r="I644" s="1"/>
      <c r="K644" s="1"/>
      <c r="L644" s="1"/>
    </row>
    <row r="645" spans="1:12">
      <c r="A645" s="1"/>
      <c r="B645" s="255"/>
      <c r="C645" s="1"/>
      <c r="D645" s="1"/>
      <c r="E645" s="255"/>
      <c r="F645" s="1"/>
      <c r="G645" s="1"/>
      <c r="H645" s="1"/>
      <c r="I645" s="1"/>
      <c r="K645" s="1"/>
      <c r="L645" s="1"/>
    </row>
    <row r="646" spans="1:12">
      <c r="A646" s="1"/>
      <c r="B646" s="255"/>
      <c r="C646" s="1"/>
      <c r="D646" s="1"/>
      <c r="E646" s="255"/>
      <c r="F646" s="1"/>
      <c r="G646" s="1"/>
      <c r="H646" s="1"/>
      <c r="I646" s="1"/>
      <c r="K646" s="1"/>
      <c r="L646" s="1"/>
    </row>
    <row r="647" spans="1:12">
      <c r="A647" s="1"/>
      <c r="B647" s="255"/>
      <c r="C647" s="1"/>
      <c r="D647" s="1"/>
      <c r="E647" s="255"/>
      <c r="F647" s="1"/>
      <c r="G647" s="1"/>
      <c r="H647" s="1"/>
      <c r="I647" s="1"/>
      <c r="K647" s="1"/>
      <c r="L647" s="1"/>
    </row>
    <row r="648" spans="1:12">
      <c r="A648" s="1"/>
      <c r="B648" s="255"/>
      <c r="C648" s="1"/>
      <c r="D648" s="1"/>
      <c r="E648" s="255"/>
      <c r="F648" s="1"/>
      <c r="G648" s="1"/>
      <c r="H648" s="1"/>
      <c r="I648" s="1"/>
      <c r="K648" s="1"/>
      <c r="L648" s="1"/>
    </row>
    <row r="649" spans="1:12">
      <c r="A649" s="1"/>
      <c r="B649" s="255"/>
      <c r="C649" s="1"/>
      <c r="D649" s="1"/>
      <c r="E649" s="255"/>
      <c r="F649" s="1"/>
      <c r="G649" s="1"/>
      <c r="H649" s="1"/>
      <c r="I649" s="1"/>
      <c r="K649" s="1"/>
    </row>
    <row r="650" spans="1:12">
      <c r="A650" s="1"/>
      <c r="B650" s="255"/>
      <c r="C650" s="1"/>
      <c r="D650" s="1"/>
      <c r="E650" s="255"/>
      <c r="F650" s="1"/>
      <c r="G650" s="1"/>
      <c r="H650" s="1"/>
      <c r="I650" s="1"/>
      <c r="K650" s="1"/>
    </row>
    <row r="651" spans="1:12">
      <c r="A651" s="1"/>
      <c r="B651" s="255"/>
      <c r="C651" s="1"/>
      <c r="D651" s="1"/>
      <c r="E651" s="255"/>
      <c r="F651" s="1"/>
      <c r="G651" s="1"/>
      <c r="H651" s="1"/>
      <c r="I651" s="1"/>
      <c r="K651" s="1"/>
      <c r="L651" s="1"/>
    </row>
    <row r="652" spans="1:12">
      <c r="A652" s="1"/>
      <c r="B652" s="255"/>
      <c r="C652" s="1"/>
      <c r="D652" s="1"/>
      <c r="E652" s="255"/>
      <c r="F652" s="1"/>
      <c r="G652" s="1"/>
      <c r="H652" s="1"/>
      <c r="I652" s="1"/>
      <c r="K652" s="1"/>
      <c r="L652" s="1"/>
    </row>
    <row r="653" spans="1:12">
      <c r="A653" s="1"/>
      <c r="B653" s="255"/>
      <c r="C653" s="1"/>
      <c r="D653" s="1"/>
      <c r="E653" s="255"/>
      <c r="F653" s="1"/>
      <c r="G653" s="1"/>
      <c r="H653" s="1"/>
      <c r="I653" s="1"/>
      <c r="K653" s="1"/>
      <c r="L653" s="1"/>
    </row>
    <row r="654" spans="1:12">
      <c r="A654" s="1"/>
      <c r="B654" s="255"/>
      <c r="C654" s="1"/>
      <c r="D654" s="1"/>
      <c r="E654" s="255"/>
      <c r="F654" s="1"/>
      <c r="G654" s="1"/>
      <c r="H654" s="1"/>
      <c r="I654" s="1"/>
      <c r="K654" s="1"/>
      <c r="L654" s="1"/>
    </row>
    <row r="655" spans="1:12">
      <c r="A655" s="1"/>
      <c r="B655" s="255"/>
      <c r="C655" s="1"/>
      <c r="D655" s="1"/>
      <c r="E655" s="255"/>
      <c r="F655" s="1"/>
      <c r="G655" s="1"/>
      <c r="H655" s="1"/>
      <c r="I655" s="1"/>
      <c r="K655" s="1"/>
      <c r="L655" s="1"/>
    </row>
    <row r="656" spans="1:12">
      <c r="A656" s="1"/>
      <c r="B656" s="255"/>
      <c r="C656" s="1"/>
      <c r="D656" s="1"/>
      <c r="E656" s="255"/>
      <c r="F656" s="1"/>
      <c r="G656" s="1"/>
      <c r="H656" s="1"/>
      <c r="I656" s="1"/>
      <c r="K656" s="1"/>
      <c r="L656" s="1"/>
    </row>
    <row r="657" spans="1:12">
      <c r="A657" s="1"/>
      <c r="B657" s="255"/>
      <c r="C657" s="1"/>
      <c r="D657" s="1"/>
      <c r="E657" s="255"/>
      <c r="F657" s="1"/>
      <c r="G657" s="1"/>
      <c r="H657" s="1"/>
      <c r="I657" s="1"/>
      <c r="K657" s="1"/>
    </row>
    <row r="658" spans="1:12">
      <c r="A658" s="1"/>
      <c r="B658" s="255"/>
      <c r="C658" s="1"/>
      <c r="D658" s="1"/>
      <c r="E658" s="255"/>
      <c r="F658" s="1"/>
      <c r="G658" s="1"/>
      <c r="H658" s="1"/>
      <c r="I658" s="1"/>
      <c r="K658" s="1"/>
    </row>
    <row r="659" spans="1:12">
      <c r="A659" s="1"/>
      <c r="B659" s="255"/>
      <c r="C659" s="1"/>
      <c r="D659" s="1"/>
      <c r="E659" s="255"/>
      <c r="F659" s="1"/>
      <c r="G659" s="1"/>
      <c r="H659" s="1"/>
      <c r="I659" s="1"/>
      <c r="K659" s="1"/>
      <c r="L659" s="1"/>
    </row>
    <row r="660" spans="1:12">
      <c r="A660" s="1"/>
      <c r="B660" s="255"/>
      <c r="C660" s="1"/>
      <c r="D660" s="1"/>
      <c r="E660" s="255"/>
      <c r="F660" s="1"/>
      <c r="G660" s="1"/>
      <c r="H660" s="1"/>
      <c r="I660" s="1"/>
      <c r="K660" s="1"/>
      <c r="L660" s="1"/>
    </row>
    <row r="661" spans="1:12">
      <c r="A661" s="1"/>
      <c r="B661" s="255"/>
      <c r="C661" s="1"/>
      <c r="D661" s="1"/>
      <c r="E661" s="255"/>
      <c r="F661" s="1"/>
      <c r="G661" s="1"/>
      <c r="H661" s="1"/>
      <c r="I661" s="1"/>
      <c r="K661" s="1"/>
      <c r="L661" s="1"/>
    </row>
    <row r="662" spans="1:12">
      <c r="A662" s="1"/>
      <c r="B662" s="255"/>
      <c r="C662" s="1"/>
      <c r="D662" s="1"/>
      <c r="E662" s="255"/>
      <c r="F662" s="1"/>
      <c r="G662" s="1"/>
      <c r="H662" s="1"/>
      <c r="I662" s="1"/>
      <c r="K662" s="1"/>
      <c r="L662" s="1"/>
    </row>
    <row r="663" spans="1:12">
      <c r="A663" s="1"/>
      <c r="B663" s="255"/>
      <c r="C663" s="1"/>
      <c r="D663" s="1"/>
      <c r="E663" s="255"/>
      <c r="F663" s="1"/>
      <c r="G663" s="1"/>
      <c r="H663" s="1"/>
      <c r="I663" s="1"/>
      <c r="K663" s="1"/>
      <c r="L663" s="1"/>
    </row>
    <row r="664" spans="1:12">
      <c r="A664" s="1"/>
      <c r="B664" s="255"/>
      <c r="C664" s="1"/>
      <c r="D664" s="1"/>
      <c r="E664" s="255"/>
      <c r="F664" s="1"/>
      <c r="G664" s="1"/>
      <c r="H664" s="1"/>
      <c r="I664" s="1"/>
      <c r="K664" s="1"/>
      <c r="L664" s="1"/>
    </row>
    <row r="665" spans="1:12">
      <c r="A665" s="1"/>
      <c r="B665" s="255"/>
      <c r="C665" s="1"/>
      <c r="D665" s="1"/>
      <c r="E665" s="255"/>
      <c r="F665" s="1"/>
      <c r="G665" s="1"/>
      <c r="H665" s="1"/>
      <c r="I665" s="1"/>
      <c r="K665" s="1"/>
      <c r="L665" s="1"/>
    </row>
    <row r="666" spans="1:12">
      <c r="A666" s="1"/>
      <c r="B666" s="255"/>
      <c r="C666" s="1"/>
      <c r="D666" s="1"/>
      <c r="E666" s="255"/>
      <c r="F666" s="1"/>
      <c r="G666" s="1"/>
      <c r="H666" s="1"/>
      <c r="I666" s="1"/>
      <c r="K666" s="1"/>
      <c r="L666" s="1"/>
    </row>
    <row r="667" spans="1:12">
      <c r="A667" s="1"/>
      <c r="B667" s="255"/>
      <c r="C667" s="1"/>
      <c r="D667" s="1"/>
      <c r="E667" s="255"/>
      <c r="F667" s="1"/>
      <c r="G667" s="1"/>
      <c r="H667" s="1"/>
      <c r="I667" s="1"/>
      <c r="K667" s="1"/>
      <c r="L667" s="1"/>
    </row>
    <row r="668" spans="1:12">
      <c r="A668" s="1"/>
      <c r="B668" s="255"/>
      <c r="C668" s="1"/>
      <c r="D668" s="1"/>
      <c r="E668" s="255"/>
      <c r="F668" s="1"/>
      <c r="G668" s="1"/>
      <c r="H668" s="1"/>
      <c r="I668" s="1"/>
      <c r="K668" s="1"/>
      <c r="L668" s="1"/>
    </row>
    <row r="669" spans="1:12">
      <c r="A669" s="1"/>
      <c r="B669" s="255"/>
      <c r="C669" s="1"/>
      <c r="D669" s="1"/>
      <c r="E669" s="255"/>
      <c r="F669" s="1"/>
      <c r="G669" s="1"/>
      <c r="H669" s="1"/>
      <c r="I669" s="1"/>
      <c r="K669" s="1"/>
      <c r="L669" s="1"/>
    </row>
    <row r="670" spans="1:12">
      <c r="A670" s="1"/>
      <c r="B670" s="255"/>
      <c r="C670" s="1"/>
      <c r="D670" s="1"/>
      <c r="E670" s="255"/>
      <c r="F670" s="1"/>
      <c r="G670" s="1"/>
      <c r="H670" s="1"/>
      <c r="I670" s="1"/>
      <c r="K670" s="1"/>
      <c r="L670" s="1"/>
    </row>
    <row r="671" spans="1:12">
      <c r="A671" s="1"/>
      <c r="B671" s="255"/>
      <c r="C671" s="1"/>
      <c r="D671" s="1"/>
      <c r="E671" s="255"/>
      <c r="F671" s="1"/>
      <c r="G671" s="1"/>
      <c r="H671" s="1"/>
      <c r="I671" s="1"/>
      <c r="K671" s="1"/>
      <c r="L671" s="1"/>
    </row>
    <row r="672" spans="1:12">
      <c r="A672" s="1"/>
      <c r="B672" s="255"/>
      <c r="C672" s="1"/>
      <c r="D672" s="1"/>
      <c r="E672" s="255"/>
      <c r="F672" s="1"/>
      <c r="G672" s="1"/>
      <c r="H672" s="1"/>
      <c r="I672" s="1"/>
      <c r="K672" s="1"/>
      <c r="L672" s="1"/>
    </row>
    <row r="673" spans="1:12">
      <c r="A673" s="1"/>
      <c r="B673" s="255"/>
      <c r="C673" s="1"/>
      <c r="D673" s="1"/>
      <c r="E673" s="255"/>
      <c r="F673" s="1"/>
      <c r="G673" s="1"/>
      <c r="H673" s="1"/>
      <c r="I673" s="1"/>
      <c r="K673" s="1"/>
      <c r="L673" s="1"/>
    </row>
    <row r="674" spans="1:12">
      <c r="A674" s="1"/>
      <c r="B674" s="255"/>
      <c r="C674" s="1"/>
      <c r="D674" s="1"/>
      <c r="E674" s="255"/>
      <c r="F674" s="1"/>
      <c r="G674" s="1"/>
      <c r="H674" s="1"/>
      <c r="I674" s="1"/>
      <c r="K674" s="1"/>
      <c r="L674" s="1"/>
    </row>
    <row r="675" spans="1:12">
      <c r="A675" s="1"/>
      <c r="B675" s="255"/>
      <c r="C675" s="1"/>
      <c r="D675" s="1"/>
      <c r="E675" s="255"/>
      <c r="F675" s="1"/>
      <c r="G675" s="1"/>
      <c r="H675" s="1"/>
      <c r="I675" s="1"/>
      <c r="K675" s="1"/>
    </row>
    <row r="676" spans="1:12">
      <c r="A676" s="1"/>
      <c r="B676" s="255"/>
      <c r="C676" s="1"/>
      <c r="D676" s="1"/>
      <c r="E676" s="255"/>
      <c r="F676" s="1"/>
      <c r="G676" s="1"/>
      <c r="H676" s="1"/>
      <c r="I676" s="1"/>
      <c r="K676" s="1"/>
    </row>
    <row r="677" spans="1:12">
      <c r="A677" s="1"/>
      <c r="B677" s="255"/>
      <c r="C677" s="1"/>
      <c r="D677" s="1"/>
      <c r="E677" s="255"/>
      <c r="F677" s="1"/>
      <c r="G677" s="1"/>
      <c r="H677" s="1"/>
      <c r="I677" s="1"/>
      <c r="K677" s="1"/>
      <c r="L677" s="1"/>
    </row>
    <row r="678" spans="1:12">
      <c r="A678" s="1"/>
      <c r="B678" s="255"/>
      <c r="C678" s="1"/>
      <c r="D678" s="1"/>
      <c r="E678" s="255"/>
      <c r="F678" s="1"/>
      <c r="G678" s="1"/>
      <c r="H678" s="1"/>
      <c r="I678" s="1"/>
      <c r="K678" s="1"/>
      <c r="L678" s="1"/>
    </row>
    <row r="679" spans="1:12">
      <c r="A679" s="1"/>
      <c r="B679" s="255"/>
      <c r="C679" s="1"/>
      <c r="D679" s="1"/>
      <c r="E679" s="255"/>
      <c r="F679" s="1"/>
      <c r="G679" s="1"/>
      <c r="H679" s="1"/>
      <c r="I679" s="1"/>
      <c r="K679" s="1"/>
      <c r="L679" s="1"/>
    </row>
    <row r="680" spans="1:12">
      <c r="A680" s="1"/>
      <c r="B680" s="255"/>
      <c r="C680" s="1"/>
      <c r="D680" s="1"/>
      <c r="E680" s="255"/>
      <c r="F680" s="1"/>
      <c r="G680" s="1"/>
      <c r="H680" s="1"/>
      <c r="I680" s="1"/>
      <c r="K680" s="1"/>
      <c r="L680" s="1"/>
    </row>
    <row r="681" spans="1:12">
      <c r="A681" s="1"/>
      <c r="B681" s="255"/>
      <c r="C681" s="1"/>
      <c r="D681" s="1"/>
      <c r="E681" s="255"/>
      <c r="F681" s="1"/>
      <c r="G681" s="1"/>
      <c r="H681" s="1"/>
      <c r="I681" s="1"/>
      <c r="K681" s="1"/>
      <c r="L681" s="1"/>
    </row>
    <row r="682" spans="1:12">
      <c r="A682" s="1"/>
      <c r="B682" s="255"/>
      <c r="C682" s="1"/>
      <c r="D682" s="1"/>
      <c r="E682" s="255"/>
      <c r="F682" s="1"/>
      <c r="G682" s="1"/>
      <c r="H682" s="1"/>
      <c r="I682" s="1"/>
      <c r="K682" s="1"/>
      <c r="L682" s="1"/>
    </row>
    <row r="683" spans="1:12">
      <c r="A683" s="1"/>
      <c r="B683" s="255"/>
      <c r="C683" s="1"/>
      <c r="D683" s="1"/>
      <c r="E683" s="255"/>
      <c r="F683" s="1"/>
      <c r="G683" s="1"/>
      <c r="H683" s="1"/>
      <c r="I683" s="1"/>
      <c r="K683" s="1"/>
      <c r="L683" s="1"/>
    </row>
    <row r="684" spans="1:12">
      <c r="A684" s="1"/>
      <c r="B684" s="255"/>
      <c r="C684" s="1"/>
      <c r="D684" s="1"/>
      <c r="E684" s="255"/>
      <c r="F684" s="1"/>
      <c r="G684" s="1"/>
      <c r="H684" s="1"/>
      <c r="I684" s="1"/>
      <c r="K684" s="1"/>
      <c r="L684" s="1"/>
    </row>
    <row r="685" spans="1:12">
      <c r="A685" s="1"/>
      <c r="B685" s="255"/>
      <c r="C685" s="1"/>
      <c r="D685" s="1"/>
      <c r="E685" s="255"/>
      <c r="F685" s="1"/>
      <c r="G685" s="1"/>
      <c r="H685" s="1"/>
      <c r="I685" s="1"/>
      <c r="K685" s="1"/>
    </row>
    <row r="686" spans="1:12">
      <c r="A686" s="1"/>
      <c r="B686" s="255"/>
      <c r="C686" s="1"/>
      <c r="D686" s="1"/>
      <c r="E686" s="255"/>
      <c r="F686" s="1"/>
      <c r="G686" s="1"/>
      <c r="H686" s="1"/>
      <c r="I686" s="1"/>
      <c r="K686" s="1"/>
    </row>
    <row r="687" spans="1:12">
      <c r="A687" s="1"/>
      <c r="B687" s="255"/>
      <c r="C687" s="1"/>
      <c r="D687" s="1"/>
      <c r="E687" s="255"/>
      <c r="F687" s="1"/>
      <c r="G687" s="1"/>
      <c r="H687" s="1"/>
      <c r="I687" s="1"/>
      <c r="K687" s="1"/>
      <c r="L687" s="1"/>
    </row>
    <row r="688" spans="1:12">
      <c r="A688" s="1"/>
      <c r="B688" s="255"/>
      <c r="C688" s="1"/>
      <c r="D688" s="1"/>
      <c r="E688" s="255"/>
      <c r="F688" s="1"/>
      <c r="G688" s="1"/>
      <c r="H688" s="1"/>
      <c r="I688" s="1"/>
      <c r="K688" s="1"/>
      <c r="L688" s="1"/>
    </row>
    <row r="689" spans="1:12">
      <c r="A689" s="1"/>
      <c r="B689" s="255"/>
      <c r="C689" s="1"/>
      <c r="D689" s="1"/>
      <c r="E689" s="255"/>
      <c r="F689" s="1"/>
      <c r="G689" s="1"/>
      <c r="H689" s="1"/>
      <c r="I689" s="1"/>
      <c r="K689" s="1"/>
      <c r="L689" s="1"/>
    </row>
    <row r="690" spans="1:12">
      <c r="A690" s="1"/>
      <c r="B690" s="255"/>
      <c r="C690" s="1"/>
      <c r="D690" s="1"/>
      <c r="E690" s="255"/>
      <c r="F690" s="1"/>
      <c r="G690" s="1"/>
      <c r="H690" s="1"/>
      <c r="I690" s="1"/>
      <c r="K690" s="1"/>
      <c r="L690" s="1"/>
    </row>
    <row r="691" spans="1:12">
      <c r="A691" s="1"/>
      <c r="B691" s="255"/>
      <c r="C691" s="1"/>
      <c r="D691" s="1"/>
      <c r="E691" s="255"/>
      <c r="F691" s="1"/>
      <c r="G691" s="1"/>
      <c r="H691" s="1"/>
      <c r="I691" s="1"/>
      <c r="K691" s="1"/>
      <c r="L691" s="1"/>
    </row>
    <row r="692" spans="1:12">
      <c r="A692" s="1"/>
      <c r="B692" s="255"/>
      <c r="C692" s="1"/>
      <c r="D692" s="1"/>
      <c r="E692" s="255"/>
      <c r="F692" s="1"/>
      <c r="G692" s="1"/>
      <c r="H692" s="1"/>
      <c r="I692" s="1"/>
      <c r="K692" s="1"/>
      <c r="L692" s="1"/>
    </row>
    <row r="693" spans="1:12">
      <c r="A693" s="1"/>
      <c r="B693" s="255"/>
      <c r="C693" s="1"/>
      <c r="D693" s="1"/>
      <c r="E693" s="255"/>
      <c r="F693" s="1"/>
      <c r="G693" s="1"/>
      <c r="H693" s="1"/>
      <c r="I693" s="1"/>
      <c r="K693" s="1"/>
    </row>
    <row r="694" spans="1:12">
      <c r="A694" s="1"/>
      <c r="B694" s="255"/>
      <c r="C694" s="1"/>
      <c r="D694" s="1"/>
      <c r="E694" s="255"/>
      <c r="F694" s="1"/>
      <c r="G694" s="1"/>
      <c r="H694" s="1"/>
      <c r="I694" s="1"/>
      <c r="K694" s="1"/>
    </row>
    <row r="695" spans="1:12">
      <c r="A695" s="1"/>
      <c r="B695" s="255"/>
      <c r="C695" s="1"/>
      <c r="D695" s="1"/>
      <c r="E695" s="255"/>
      <c r="F695" s="1"/>
      <c r="G695" s="1"/>
      <c r="H695" s="1"/>
      <c r="I695" s="1"/>
      <c r="K695" s="1"/>
      <c r="L695" s="1"/>
    </row>
    <row r="696" spans="1:12">
      <c r="A696" s="1"/>
      <c r="B696" s="255"/>
      <c r="C696" s="1"/>
      <c r="D696" s="1"/>
      <c r="E696" s="255"/>
      <c r="F696" s="1"/>
      <c r="G696" s="1"/>
      <c r="H696" s="1"/>
      <c r="I696" s="1"/>
      <c r="K696" s="1"/>
      <c r="L696" s="1"/>
    </row>
    <row r="697" spans="1:12">
      <c r="A697" s="1"/>
      <c r="B697" s="255"/>
      <c r="C697" s="1"/>
      <c r="D697" s="1"/>
      <c r="E697" s="255"/>
      <c r="F697" s="1"/>
      <c r="G697" s="1"/>
      <c r="H697" s="1"/>
      <c r="I697" s="1"/>
      <c r="K697" s="1"/>
    </row>
    <row r="698" spans="1:12">
      <c r="A698" s="1"/>
      <c r="B698" s="255"/>
      <c r="C698" s="1"/>
      <c r="D698" s="1"/>
      <c r="E698" s="255"/>
      <c r="F698" s="1"/>
      <c r="G698" s="1"/>
      <c r="H698" s="1"/>
      <c r="I698" s="1"/>
      <c r="K698" s="1"/>
    </row>
    <row r="699" spans="1:12">
      <c r="A699" s="1"/>
      <c r="B699" s="255"/>
      <c r="C699" s="1"/>
      <c r="D699" s="1"/>
      <c r="E699" s="255"/>
      <c r="F699" s="1"/>
      <c r="G699" s="1"/>
      <c r="H699" s="1"/>
      <c r="I699" s="1"/>
      <c r="K699" s="1"/>
      <c r="L699" s="1"/>
    </row>
    <row r="700" spans="1:12">
      <c r="A700" s="1"/>
      <c r="B700" s="255"/>
      <c r="C700" s="1"/>
      <c r="D700" s="1"/>
      <c r="E700" s="255"/>
      <c r="F700" s="1"/>
      <c r="G700" s="1"/>
      <c r="H700" s="1"/>
      <c r="I700" s="1"/>
      <c r="K700" s="1"/>
      <c r="L700" s="1"/>
    </row>
    <row r="701" spans="1:12">
      <c r="A701" s="1"/>
      <c r="B701" s="255"/>
      <c r="C701" s="1"/>
      <c r="D701" s="1"/>
      <c r="E701" s="255"/>
      <c r="F701" s="1"/>
      <c r="G701" s="1"/>
      <c r="H701" s="1"/>
      <c r="I701" s="1"/>
      <c r="K701" s="1"/>
      <c r="L701" s="1"/>
    </row>
    <row r="702" spans="1:12">
      <c r="A702" s="1"/>
      <c r="B702" s="255"/>
      <c r="C702" s="1"/>
      <c r="D702" s="1"/>
      <c r="E702" s="255"/>
      <c r="F702" s="1"/>
      <c r="G702" s="1"/>
      <c r="H702" s="1"/>
      <c r="I702" s="1"/>
      <c r="K702" s="1"/>
      <c r="L702" s="1"/>
    </row>
    <row r="703" spans="1:12">
      <c r="A703" s="1"/>
      <c r="B703" s="255"/>
      <c r="C703" s="1"/>
      <c r="D703" s="1"/>
      <c r="E703" s="255"/>
      <c r="F703" s="1"/>
      <c r="G703" s="1"/>
      <c r="H703" s="1"/>
      <c r="I703" s="1"/>
      <c r="K703" s="1"/>
      <c r="L703" s="1"/>
    </row>
    <row r="704" spans="1:12">
      <c r="A704" s="1"/>
      <c r="B704" s="255"/>
      <c r="C704" s="1"/>
      <c r="D704" s="1"/>
      <c r="E704" s="255"/>
      <c r="F704" s="1"/>
      <c r="G704" s="1"/>
      <c r="H704" s="1"/>
      <c r="I704" s="1"/>
      <c r="K704" s="1"/>
      <c r="L704" s="1"/>
    </row>
    <row r="705" spans="1:12">
      <c r="A705" s="1"/>
      <c r="B705" s="255"/>
      <c r="C705" s="1"/>
      <c r="D705" s="1"/>
      <c r="E705" s="255"/>
      <c r="F705" s="1"/>
      <c r="G705" s="1"/>
      <c r="H705" s="1"/>
      <c r="I705" s="1"/>
      <c r="K705" s="1"/>
      <c r="L705" s="1"/>
    </row>
    <row r="706" spans="1:12">
      <c r="A706" s="1"/>
      <c r="B706" s="255"/>
      <c r="C706" s="1"/>
      <c r="D706" s="1"/>
      <c r="E706" s="255"/>
      <c r="F706" s="1"/>
      <c r="G706" s="1"/>
      <c r="H706" s="1"/>
      <c r="I706" s="1"/>
      <c r="K706" s="1"/>
      <c r="L706" s="1"/>
    </row>
    <row r="707" spans="1:12">
      <c r="A707" s="1"/>
      <c r="B707" s="255"/>
      <c r="C707" s="1"/>
      <c r="D707" s="1"/>
      <c r="E707" s="255"/>
      <c r="F707" s="1"/>
      <c r="G707" s="1"/>
      <c r="H707" s="1"/>
      <c r="I707" s="1"/>
      <c r="K707" s="1"/>
      <c r="L707" s="1"/>
    </row>
    <row r="708" spans="1:12">
      <c r="A708" s="1"/>
      <c r="B708" s="255"/>
      <c r="C708" s="1"/>
      <c r="D708" s="1"/>
      <c r="E708" s="255"/>
      <c r="F708" s="1"/>
      <c r="G708" s="1"/>
      <c r="H708" s="1"/>
      <c r="I708" s="1"/>
      <c r="K708" s="1"/>
      <c r="L708" s="1"/>
    </row>
    <row r="709" spans="1:12">
      <c r="A709" s="1"/>
      <c r="B709" s="255"/>
      <c r="C709" s="1"/>
      <c r="D709" s="1"/>
      <c r="E709" s="255"/>
      <c r="F709" s="1"/>
      <c r="G709" s="1"/>
      <c r="H709" s="1"/>
      <c r="I709" s="1"/>
      <c r="K709" s="1"/>
      <c r="L709" s="1"/>
    </row>
    <row r="710" spans="1:12">
      <c r="A710" s="1"/>
      <c r="B710" s="255"/>
      <c r="C710" s="1"/>
      <c r="D710" s="1"/>
      <c r="E710" s="255"/>
      <c r="F710" s="1"/>
      <c r="G710" s="1"/>
      <c r="H710" s="1"/>
      <c r="I710" s="1"/>
      <c r="K710" s="1"/>
      <c r="L710" s="1"/>
    </row>
    <row r="711" spans="1:12">
      <c r="A711" s="1"/>
      <c r="B711" s="255"/>
      <c r="C711" s="1"/>
      <c r="D711" s="1"/>
      <c r="E711" s="255"/>
      <c r="F711" s="1"/>
      <c r="G711" s="1"/>
      <c r="H711" s="1"/>
      <c r="I711" s="1"/>
      <c r="K711" s="1"/>
      <c r="L711" s="1"/>
    </row>
    <row r="712" spans="1:12">
      <c r="A712" s="1"/>
      <c r="B712" s="255"/>
      <c r="C712" s="1"/>
      <c r="D712" s="1"/>
      <c r="E712" s="255"/>
      <c r="F712" s="1"/>
      <c r="G712" s="1"/>
      <c r="H712" s="1"/>
      <c r="I712" s="1"/>
      <c r="K712" s="1"/>
      <c r="L712" s="1"/>
    </row>
    <row r="713" spans="1:12">
      <c r="A713" s="1"/>
      <c r="B713" s="255"/>
      <c r="C713" s="1"/>
      <c r="D713" s="1"/>
      <c r="E713" s="255"/>
      <c r="F713" s="1"/>
      <c r="G713" s="1"/>
      <c r="H713" s="1"/>
      <c r="I713" s="1"/>
      <c r="K713" s="1"/>
      <c r="L713" s="1"/>
    </row>
    <row r="714" spans="1:12">
      <c r="A714" s="1"/>
      <c r="B714" s="255"/>
      <c r="C714" s="1"/>
      <c r="D714" s="1"/>
      <c r="E714" s="255"/>
      <c r="F714" s="1"/>
      <c r="G714" s="1"/>
      <c r="H714" s="1"/>
      <c r="I714" s="1"/>
      <c r="K714" s="1"/>
      <c r="L714" s="1"/>
    </row>
    <row r="715" spans="1:12">
      <c r="A715" s="1"/>
      <c r="B715" s="255"/>
      <c r="C715" s="1"/>
      <c r="D715" s="1"/>
      <c r="E715" s="255"/>
      <c r="F715" s="1"/>
      <c r="G715" s="1"/>
      <c r="H715" s="1"/>
      <c r="I715" s="1"/>
      <c r="K715" s="1"/>
    </row>
    <row r="716" spans="1:12">
      <c r="A716" s="1"/>
      <c r="B716" s="255"/>
      <c r="C716" s="1"/>
      <c r="D716" s="1"/>
      <c r="E716" s="255"/>
      <c r="F716" s="1"/>
      <c r="G716" s="1"/>
      <c r="H716" s="1"/>
      <c r="I716" s="1"/>
      <c r="K716" s="1"/>
    </row>
    <row r="717" spans="1:12">
      <c r="A717" s="1"/>
      <c r="B717" s="255"/>
      <c r="C717" s="1"/>
      <c r="D717" s="1"/>
      <c r="E717" s="255"/>
      <c r="F717" s="1"/>
      <c r="G717" s="1"/>
      <c r="H717" s="1"/>
      <c r="I717" s="1"/>
      <c r="K717" s="1"/>
      <c r="L717" s="1"/>
    </row>
    <row r="718" spans="1:12">
      <c r="A718" s="1"/>
      <c r="B718" s="255"/>
      <c r="C718" s="1"/>
      <c r="D718" s="1"/>
      <c r="E718" s="255"/>
      <c r="F718" s="1"/>
      <c r="G718" s="1"/>
      <c r="H718" s="1"/>
      <c r="I718" s="1"/>
      <c r="K718" s="1"/>
      <c r="L718" s="1"/>
    </row>
    <row r="719" spans="1:12">
      <c r="A719" s="1"/>
      <c r="B719" s="255"/>
      <c r="C719" s="1"/>
      <c r="D719" s="1"/>
      <c r="E719" s="255"/>
      <c r="F719" s="1"/>
      <c r="G719" s="1"/>
      <c r="H719" s="1"/>
      <c r="I719" s="1"/>
      <c r="K719" s="1"/>
    </row>
    <row r="720" spans="1:12">
      <c r="A720" s="1"/>
      <c r="B720" s="255"/>
      <c r="C720" s="1"/>
      <c r="D720" s="1"/>
      <c r="E720" s="255"/>
      <c r="F720" s="1"/>
      <c r="G720" s="1"/>
      <c r="H720" s="1"/>
      <c r="I720" s="1"/>
      <c r="K720" s="1"/>
    </row>
    <row r="721" spans="1:12">
      <c r="A721" s="1"/>
      <c r="B721" s="255"/>
      <c r="C721" s="1"/>
      <c r="D721" s="1"/>
      <c r="E721" s="255"/>
      <c r="F721" s="1"/>
      <c r="G721" s="1"/>
      <c r="H721" s="1"/>
      <c r="I721" s="1"/>
      <c r="K721" s="1"/>
      <c r="L721" s="1"/>
    </row>
    <row r="722" spans="1:12">
      <c r="A722" s="1"/>
      <c r="B722" s="255"/>
      <c r="C722" s="1"/>
      <c r="D722" s="1"/>
      <c r="E722" s="255"/>
      <c r="F722" s="1"/>
      <c r="G722" s="1"/>
      <c r="H722" s="1"/>
      <c r="I722" s="1"/>
      <c r="K722" s="1"/>
      <c r="L722" s="1"/>
    </row>
    <row r="723" spans="1:12">
      <c r="A723" s="1"/>
      <c r="B723" s="255"/>
      <c r="C723" s="1"/>
      <c r="D723" s="1"/>
      <c r="E723" s="255"/>
      <c r="F723" s="1"/>
      <c r="G723" s="1"/>
      <c r="H723" s="1"/>
      <c r="I723" s="1"/>
      <c r="K723" s="1"/>
    </row>
    <row r="724" spans="1:12">
      <c r="A724" s="1"/>
      <c r="B724" s="255"/>
      <c r="C724" s="1"/>
      <c r="D724" s="1"/>
      <c r="E724" s="255"/>
      <c r="F724" s="1"/>
      <c r="G724" s="1"/>
      <c r="H724" s="1"/>
      <c r="I724" s="1"/>
      <c r="K724" s="1"/>
    </row>
    <row r="725" spans="1:12">
      <c r="A725" s="1"/>
      <c r="B725" s="255"/>
      <c r="C725" s="1"/>
      <c r="D725" s="1"/>
      <c r="E725" s="255"/>
      <c r="F725" s="1"/>
      <c r="G725" s="1"/>
      <c r="H725" s="1"/>
      <c r="I725" s="1"/>
      <c r="K725" s="1"/>
      <c r="L725" s="1"/>
    </row>
    <row r="726" spans="1:12">
      <c r="A726" s="1"/>
      <c r="B726" s="255"/>
      <c r="C726" s="1"/>
      <c r="D726" s="1"/>
      <c r="E726" s="255"/>
      <c r="F726" s="1"/>
      <c r="G726" s="1"/>
      <c r="H726" s="1"/>
      <c r="I726" s="1"/>
      <c r="K726" s="1"/>
      <c r="L726" s="1"/>
    </row>
    <row r="727" spans="1:12">
      <c r="A727" s="1"/>
      <c r="B727" s="255"/>
      <c r="C727" s="1"/>
      <c r="D727" s="1"/>
      <c r="E727" s="255"/>
      <c r="F727" s="1"/>
      <c r="G727" s="1"/>
      <c r="H727" s="1"/>
      <c r="I727" s="1"/>
      <c r="K727" s="1"/>
      <c r="L727" s="1"/>
    </row>
    <row r="728" spans="1:12">
      <c r="A728" s="1"/>
      <c r="B728" s="255"/>
      <c r="C728" s="1"/>
      <c r="D728" s="1"/>
      <c r="E728" s="255"/>
      <c r="F728" s="1"/>
      <c r="G728" s="1"/>
      <c r="H728" s="1"/>
      <c r="I728" s="1"/>
      <c r="K728" s="1"/>
      <c r="L728" s="1"/>
    </row>
    <row r="729" spans="1:12">
      <c r="A729" s="1"/>
      <c r="B729" s="255"/>
      <c r="C729" s="1"/>
      <c r="D729" s="1"/>
      <c r="E729" s="255"/>
      <c r="F729" s="1"/>
      <c r="G729" s="1"/>
      <c r="H729" s="1"/>
      <c r="I729" s="1"/>
      <c r="K729" s="1"/>
      <c r="L729" s="1"/>
    </row>
    <row r="730" spans="1:12">
      <c r="A730" s="1"/>
      <c r="B730" s="255"/>
      <c r="C730" s="1"/>
      <c r="D730" s="1"/>
      <c r="E730" s="255"/>
      <c r="F730" s="1"/>
      <c r="G730" s="1"/>
      <c r="H730" s="1"/>
      <c r="I730" s="1"/>
      <c r="K730" s="1"/>
      <c r="L730" s="1"/>
    </row>
    <row r="731" spans="1:12">
      <c r="A731" s="1"/>
      <c r="B731" s="255"/>
      <c r="C731" s="1"/>
      <c r="D731" s="1"/>
      <c r="E731" s="255"/>
      <c r="F731" s="1"/>
      <c r="G731" s="1"/>
      <c r="H731" s="1"/>
      <c r="I731" s="1"/>
      <c r="K731" s="1"/>
      <c r="L731" s="1"/>
    </row>
    <row r="732" spans="1:12">
      <c r="A732" s="1"/>
      <c r="B732" s="255"/>
      <c r="C732" s="1"/>
      <c r="D732" s="1"/>
      <c r="E732" s="255"/>
      <c r="F732" s="1"/>
      <c r="G732" s="1"/>
      <c r="H732" s="1"/>
      <c r="I732" s="1"/>
      <c r="K732" s="1"/>
      <c r="L732" s="1"/>
    </row>
    <row r="733" spans="1:12">
      <c r="A733" s="1"/>
      <c r="B733" s="255"/>
      <c r="C733" s="1"/>
      <c r="D733" s="1"/>
      <c r="E733" s="255"/>
      <c r="F733" s="1"/>
      <c r="G733" s="1"/>
      <c r="H733" s="1"/>
      <c r="I733" s="1"/>
      <c r="K733" s="1"/>
      <c r="L733" s="1"/>
    </row>
    <row r="734" spans="1:12">
      <c r="A734" s="1"/>
      <c r="B734" s="255"/>
      <c r="C734" s="1"/>
      <c r="D734" s="1"/>
      <c r="E734" s="255"/>
      <c r="F734" s="1"/>
      <c r="G734" s="1"/>
      <c r="H734" s="1"/>
      <c r="I734" s="1"/>
      <c r="K734" s="1"/>
      <c r="L734" s="1"/>
    </row>
    <row r="735" spans="1:12">
      <c r="A735" s="1"/>
      <c r="B735" s="255"/>
      <c r="C735" s="1"/>
      <c r="D735" s="1"/>
      <c r="E735" s="255"/>
      <c r="F735" s="1"/>
      <c r="G735" s="1"/>
      <c r="H735" s="1"/>
      <c r="I735" s="1"/>
      <c r="K735" s="1"/>
    </row>
    <row r="736" spans="1:12">
      <c r="A736" s="1"/>
      <c r="B736" s="255"/>
      <c r="C736" s="1"/>
      <c r="D736" s="1"/>
      <c r="E736" s="255"/>
      <c r="F736" s="1"/>
      <c r="G736" s="1"/>
      <c r="H736" s="1"/>
      <c r="I736" s="1"/>
      <c r="K736" s="1"/>
    </row>
    <row r="737" spans="1:12">
      <c r="A737" s="1"/>
      <c r="B737" s="255"/>
      <c r="C737" s="1"/>
      <c r="D737" s="1"/>
      <c r="E737" s="255"/>
      <c r="F737" s="1"/>
      <c r="G737" s="1"/>
      <c r="H737" s="1"/>
      <c r="I737" s="1"/>
      <c r="K737" s="1"/>
      <c r="L737" s="1"/>
    </row>
    <row r="738" spans="1:12">
      <c r="A738" s="1"/>
      <c r="B738" s="255"/>
      <c r="C738" s="1"/>
      <c r="D738" s="1"/>
      <c r="E738" s="255"/>
      <c r="F738" s="1"/>
      <c r="G738" s="1"/>
      <c r="H738" s="1"/>
      <c r="I738" s="1"/>
      <c r="K738" s="1"/>
      <c r="L738" s="1"/>
    </row>
    <row r="739" spans="1:12">
      <c r="A739" s="1"/>
      <c r="B739" s="255"/>
      <c r="C739" s="1"/>
      <c r="D739" s="1"/>
      <c r="E739" s="255"/>
      <c r="F739" s="1"/>
      <c r="G739" s="1"/>
      <c r="H739" s="1"/>
      <c r="I739" s="1"/>
      <c r="K739" s="1"/>
      <c r="L739" s="1"/>
    </row>
    <row r="740" spans="1:12">
      <c r="A740" s="1"/>
      <c r="B740" s="255"/>
      <c r="C740" s="1"/>
      <c r="D740" s="1"/>
      <c r="E740" s="255"/>
      <c r="F740" s="1"/>
      <c r="G740" s="1"/>
      <c r="H740" s="1"/>
      <c r="I740" s="1"/>
      <c r="K740" s="1"/>
      <c r="L740" s="1"/>
    </row>
    <row r="741" spans="1:12">
      <c r="A741" s="1"/>
      <c r="B741" s="255"/>
      <c r="C741" s="1"/>
      <c r="D741" s="1"/>
      <c r="E741" s="255"/>
      <c r="F741" s="1"/>
      <c r="G741" s="1"/>
      <c r="H741" s="1"/>
      <c r="I741" s="1"/>
      <c r="K741" s="1"/>
      <c r="L741" s="1"/>
    </row>
    <row r="742" spans="1:12">
      <c r="A742" s="1"/>
      <c r="B742" s="255"/>
      <c r="C742" s="1"/>
      <c r="D742" s="1"/>
      <c r="E742" s="255"/>
      <c r="F742" s="1"/>
      <c r="G742" s="1"/>
      <c r="H742" s="1"/>
      <c r="I742" s="1"/>
      <c r="K742" s="1"/>
      <c r="L742" s="1"/>
    </row>
    <row r="743" spans="1:12">
      <c r="A743" s="1"/>
      <c r="B743" s="255"/>
      <c r="C743" s="1"/>
      <c r="D743" s="1"/>
      <c r="E743" s="255"/>
      <c r="F743" s="1"/>
      <c r="G743" s="1"/>
      <c r="H743" s="1"/>
      <c r="I743" s="1"/>
      <c r="K743" s="1"/>
      <c r="L743" s="1"/>
    </row>
    <row r="744" spans="1:12">
      <c r="A744" s="1"/>
      <c r="B744" s="255"/>
      <c r="C744" s="1"/>
      <c r="D744" s="1"/>
      <c r="E744" s="255"/>
      <c r="F744" s="1"/>
      <c r="G744" s="1"/>
      <c r="H744" s="1"/>
      <c r="I744" s="1"/>
      <c r="K744" s="1"/>
      <c r="L744" s="1"/>
    </row>
    <row r="745" spans="1:12">
      <c r="A745" s="1"/>
      <c r="B745" s="255"/>
      <c r="C745" s="1"/>
      <c r="D745" s="1"/>
      <c r="E745" s="255"/>
      <c r="F745" s="1"/>
      <c r="G745" s="1"/>
      <c r="H745" s="1"/>
      <c r="I745" s="1"/>
      <c r="K745" s="1"/>
    </row>
    <row r="746" spans="1:12">
      <c r="A746" s="1"/>
      <c r="B746" s="255"/>
      <c r="C746" s="1"/>
      <c r="D746" s="1"/>
      <c r="E746" s="255"/>
      <c r="F746" s="1"/>
      <c r="G746" s="1"/>
      <c r="H746" s="1"/>
      <c r="I746" s="1"/>
      <c r="K746" s="1"/>
    </row>
    <row r="747" spans="1:12">
      <c r="A747" s="1"/>
      <c r="B747" s="255"/>
      <c r="C747" s="1"/>
      <c r="D747" s="1"/>
      <c r="E747" s="255"/>
      <c r="F747" s="1"/>
      <c r="G747" s="1"/>
      <c r="H747" s="1"/>
      <c r="I747" s="1"/>
      <c r="K747" s="1"/>
    </row>
    <row r="748" spans="1:12">
      <c r="A748" s="1"/>
      <c r="B748" s="255"/>
      <c r="C748" s="1"/>
      <c r="D748" s="1"/>
      <c r="E748" s="255"/>
      <c r="F748" s="1"/>
      <c r="G748" s="1"/>
      <c r="H748" s="1"/>
      <c r="I748" s="1"/>
      <c r="K748" s="1"/>
    </row>
    <row r="749" spans="1:12">
      <c r="A749" s="1"/>
      <c r="B749" s="255"/>
      <c r="C749" s="1"/>
      <c r="D749" s="1"/>
      <c r="E749" s="255"/>
      <c r="F749" s="1"/>
      <c r="G749" s="1"/>
      <c r="H749" s="1"/>
      <c r="I749" s="1"/>
      <c r="K749" s="1"/>
      <c r="L749" s="1"/>
    </row>
    <row r="750" spans="1:12">
      <c r="A750" s="1"/>
      <c r="B750" s="255"/>
      <c r="C750" s="1"/>
      <c r="D750" s="1"/>
      <c r="E750" s="255"/>
      <c r="F750" s="1"/>
      <c r="G750" s="1"/>
      <c r="H750" s="1"/>
      <c r="I750" s="1"/>
      <c r="K750" s="1"/>
      <c r="L750" s="1"/>
    </row>
    <row r="751" spans="1:12">
      <c r="A751" s="1"/>
      <c r="B751" s="255"/>
      <c r="C751" s="1"/>
      <c r="D751" s="1"/>
      <c r="E751" s="255"/>
      <c r="F751" s="1"/>
      <c r="G751" s="1"/>
      <c r="H751" s="1"/>
      <c r="I751" s="1"/>
      <c r="K751" s="1"/>
      <c r="L751" s="1"/>
    </row>
    <row r="752" spans="1:12">
      <c r="A752" s="1"/>
      <c r="B752" s="255"/>
      <c r="C752" s="1"/>
      <c r="D752" s="1"/>
      <c r="E752" s="255"/>
      <c r="F752" s="1"/>
      <c r="G752" s="1"/>
      <c r="H752" s="1"/>
      <c r="I752" s="1"/>
      <c r="K752" s="1"/>
      <c r="L752" s="1"/>
    </row>
    <row r="753" spans="1:12">
      <c r="A753" s="1"/>
      <c r="B753" s="255"/>
      <c r="C753" s="1"/>
      <c r="D753" s="1"/>
      <c r="E753" s="255"/>
      <c r="F753" s="1"/>
      <c r="G753" s="1"/>
      <c r="H753" s="1"/>
      <c r="I753" s="1"/>
      <c r="K753" s="1"/>
      <c r="L753" s="1"/>
    </row>
    <row r="754" spans="1:12">
      <c r="A754" s="1"/>
      <c r="B754" s="255"/>
      <c r="C754" s="1"/>
      <c r="D754" s="1"/>
      <c r="E754" s="255"/>
      <c r="F754" s="1"/>
      <c r="G754" s="1"/>
      <c r="H754" s="1"/>
      <c r="I754" s="1"/>
      <c r="K754" s="1"/>
      <c r="L754" s="1"/>
    </row>
    <row r="755" spans="1:12">
      <c r="A755" s="1"/>
      <c r="B755" s="255"/>
      <c r="C755" s="1"/>
      <c r="D755" s="1"/>
      <c r="E755" s="255"/>
      <c r="F755" s="1"/>
      <c r="G755" s="1"/>
      <c r="H755" s="1"/>
      <c r="I755" s="1"/>
      <c r="K755" s="1"/>
      <c r="L755" s="1"/>
    </row>
    <row r="756" spans="1:12">
      <c r="A756" s="1"/>
      <c r="B756" s="255"/>
      <c r="C756" s="1"/>
      <c r="D756" s="1"/>
      <c r="E756" s="255"/>
      <c r="F756" s="1"/>
      <c r="G756" s="1"/>
      <c r="H756" s="1"/>
      <c r="I756" s="1"/>
      <c r="K756" s="1"/>
      <c r="L756" s="1"/>
    </row>
    <row r="757" spans="1:12">
      <c r="A757" s="1"/>
      <c r="B757" s="255"/>
      <c r="C757" s="1"/>
      <c r="D757" s="1"/>
      <c r="E757" s="255"/>
      <c r="F757" s="1"/>
      <c r="G757" s="1"/>
      <c r="H757" s="1"/>
      <c r="I757" s="1"/>
      <c r="K757" s="1"/>
    </row>
    <row r="758" spans="1:12">
      <c r="A758" s="1"/>
      <c r="B758" s="255"/>
      <c r="C758" s="1"/>
      <c r="D758" s="1"/>
      <c r="E758" s="255"/>
      <c r="F758" s="1"/>
      <c r="G758" s="1"/>
      <c r="H758" s="1"/>
      <c r="I758" s="1"/>
      <c r="K758" s="1"/>
    </row>
    <row r="759" spans="1:12">
      <c r="A759" s="1"/>
      <c r="B759" s="255"/>
      <c r="C759" s="1"/>
      <c r="D759" s="1"/>
      <c r="E759" s="255"/>
      <c r="F759" s="1"/>
      <c r="G759" s="1"/>
      <c r="H759" s="1"/>
      <c r="I759" s="1"/>
      <c r="K759" s="1"/>
      <c r="L759" s="1"/>
    </row>
    <row r="760" spans="1:12">
      <c r="A760" s="1"/>
      <c r="B760" s="255"/>
      <c r="C760" s="1"/>
      <c r="D760" s="1"/>
      <c r="E760" s="255"/>
      <c r="F760" s="1"/>
      <c r="G760" s="1"/>
      <c r="H760" s="1"/>
      <c r="I760" s="1"/>
      <c r="K760" s="1"/>
      <c r="L760" s="1"/>
    </row>
    <row r="761" spans="1:12">
      <c r="A761" s="1"/>
      <c r="B761" s="255"/>
      <c r="C761" s="1"/>
      <c r="D761" s="1"/>
      <c r="E761" s="255"/>
      <c r="F761" s="1"/>
      <c r="G761" s="1"/>
      <c r="H761" s="1"/>
      <c r="I761" s="1"/>
      <c r="K761" s="1"/>
      <c r="L761" s="1"/>
    </row>
    <row r="762" spans="1:12">
      <c r="A762" s="1"/>
      <c r="B762" s="255"/>
      <c r="C762" s="1"/>
      <c r="D762" s="1"/>
      <c r="E762" s="255"/>
      <c r="F762" s="1"/>
      <c r="G762" s="1"/>
      <c r="H762" s="1"/>
      <c r="I762" s="1"/>
      <c r="K762" s="1"/>
      <c r="L762" s="1"/>
    </row>
    <row r="763" spans="1:12">
      <c r="A763" s="1"/>
      <c r="B763" s="255"/>
      <c r="C763" s="1"/>
      <c r="D763" s="1"/>
      <c r="E763" s="255"/>
      <c r="F763" s="1"/>
      <c r="G763" s="1"/>
      <c r="H763" s="1"/>
      <c r="I763" s="1"/>
      <c r="K763" s="1"/>
      <c r="L763" s="1"/>
    </row>
    <row r="764" spans="1:12">
      <c r="A764" s="1"/>
      <c r="B764" s="255"/>
      <c r="C764" s="1"/>
      <c r="D764" s="1"/>
      <c r="E764" s="255"/>
      <c r="F764" s="1"/>
      <c r="G764" s="1"/>
      <c r="H764" s="1"/>
      <c r="I764" s="1"/>
      <c r="K764" s="1"/>
      <c r="L764" s="1"/>
    </row>
    <row r="765" spans="1:12">
      <c r="A765" s="1"/>
      <c r="B765" s="255"/>
      <c r="C765" s="1"/>
      <c r="D765" s="1"/>
      <c r="E765" s="255"/>
      <c r="F765" s="1"/>
      <c r="G765" s="1"/>
      <c r="H765" s="1"/>
      <c r="I765" s="1"/>
      <c r="K765" s="1"/>
    </row>
    <row r="766" spans="1:12">
      <c r="A766" s="1"/>
      <c r="B766" s="255"/>
      <c r="C766" s="1"/>
      <c r="D766" s="1"/>
      <c r="E766" s="255"/>
      <c r="F766" s="1"/>
      <c r="G766" s="1"/>
      <c r="H766" s="1"/>
      <c r="I766" s="1"/>
      <c r="K766" s="1"/>
    </row>
    <row r="767" spans="1:12">
      <c r="A767" s="1"/>
      <c r="B767" s="255"/>
      <c r="C767" s="1"/>
      <c r="D767" s="1"/>
      <c r="E767" s="255"/>
      <c r="F767" s="1"/>
      <c r="G767" s="1"/>
      <c r="H767" s="1"/>
      <c r="I767" s="1"/>
      <c r="K767" s="1"/>
      <c r="L767" s="1"/>
    </row>
    <row r="768" spans="1:12">
      <c r="A768" s="1"/>
      <c r="B768" s="255"/>
      <c r="C768" s="1"/>
      <c r="D768" s="1"/>
      <c r="E768" s="255"/>
      <c r="F768" s="1"/>
      <c r="G768" s="1"/>
      <c r="H768" s="1"/>
      <c r="I768" s="1"/>
      <c r="K768" s="1"/>
      <c r="L768" s="1"/>
    </row>
    <row r="769" spans="1:12">
      <c r="A769" s="1"/>
      <c r="B769" s="255"/>
      <c r="C769" s="1"/>
      <c r="D769" s="1"/>
      <c r="E769" s="255"/>
      <c r="F769" s="1"/>
      <c r="G769" s="1"/>
      <c r="H769" s="1"/>
      <c r="I769" s="1"/>
      <c r="K769" s="1"/>
      <c r="L769" s="1"/>
    </row>
    <row r="770" spans="1:12">
      <c r="A770" s="1"/>
      <c r="B770" s="255"/>
      <c r="C770" s="1"/>
      <c r="D770" s="1"/>
      <c r="E770" s="255"/>
      <c r="F770" s="1"/>
      <c r="G770" s="1"/>
      <c r="H770" s="1"/>
      <c r="I770" s="1"/>
      <c r="K770" s="1"/>
      <c r="L770" s="1"/>
    </row>
    <row r="771" spans="1:12">
      <c r="A771" s="1"/>
      <c r="B771" s="255"/>
      <c r="C771" s="1"/>
      <c r="D771" s="1"/>
      <c r="E771" s="255"/>
      <c r="F771" s="1"/>
      <c r="G771" s="1"/>
      <c r="H771" s="1"/>
      <c r="I771" s="1"/>
      <c r="K771" s="1"/>
      <c r="L771" s="1"/>
    </row>
    <row r="772" spans="1:12">
      <c r="A772" s="1"/>
      <c r="B772" s="255"/>
      <c r="C772" s="1"/>
      <c r="D772" s="1"/>
      <c r="E772" s="255"/>
      <c r="F772" s="1"/>
      <c r="G772" s="1"/>
      <c r="H772" s="1"/>
      <c r="I772" s="1"/>
      <c r="K772" s="1"/>
      <c r="L772" s="1"/>
    </row>
    <row r="773" spans="1:12">
      <c r="A773" s="1"/>
      <c r="B773" s="255"/>
      <c r="C773" s="1"/>
      <c r="D773" s="1"/>
      <c r="E773" s="255"/>
      <c r="F773" s="1"/>
      <c r="G773" s="1"/>
      <c r="H773" s="1"/>
      <c r="I773" s="1"/>
      <c r="K773" s="1"/>
      <c r="L773" s="1"/>
    </row>
    <row r="774" spans="1:12">
      <c r="A774" s="1"/>
      <c r="B774" s="255"/>
      <c r="C774" s="1"/>
      <c r="D774" s="1"/>
      <c r="E774" s="255"/>
      <c r="F774" s="1"/>
      <c r="G774" s="1"/>
      <c r="H774" s="1"/>
      <c r="I774" s="1"/>
      <c r="K774" s="1"/>
      <c r="L774" s="1"/>
    </row>
    <row r="775" spans="1:12">
      <c r="A775" s="1"/>
      <c r="B775" s="255"/>
      <c r="C775" s="1"/>
      <c r="D775" s="1"/>
      <c r="E775" s="255"/>
      <c r="F775" s="1"/>
      <c r="G775" s="1"/>
      <c r="H775" s="1"/>
      <c r="I775" s="1"/>
      <c r="K775" s="1"/>
    </row>
    <row r="776" spans="1:12">
      <c r="A776" s="1"/>
      <c r="B776" s="255"/>
      <c r="C776" s="1"/>
      <c r="D776" s="1"/>
      <c r="E776" s="255"/>
      <c r="F776" s="1"/>
      <c r="G776" s="1"/>
      <c r="H776" s="1"/>
      <c r="I776" s="1"/>
      <c r="K776" s="1"/>
    </row>
    <row r="777" spans="1:12">
      <c r="A777" s="1"/>
      <c r="B777" s="255"/>
      <c r="C777" s="1"/>
      <c r="D777" s="1"/>
      <c r="E777" s="255"/>
      <c r="F777" s="1"/>
      <c r="G777" s="1"/>
      <c r="H777" s="1"/>
      <c r="I777" s="1"/>
      <c r="K777" s="1"/>
      <c r="L777" s="1"/>
    </row>
    <row r="778" spans="1:12">
      <c r="A778" s="1"/>
      <c r="B778" s="255"/>
      <c r="C778" s="1"/>
      <c r="D778" s="1"/>
      <c r="E778" s="255"/>
      <c r="F778" s="1"/>
      <c r="G778" s="1"/>
      <c r="H778" s="1"/>
      <c r="I778" s="1"/>
      <c r="K778" s="1"/>
      <c r="L778" s="1"/>
    </row>
    <row r="779" spans="1:12">
      <c r="A779" s="1"/>
      <c r="B779" s="255"/>
      <c r="C779" s="1"/>
      <c r="D779" s="1"/>
      <c r="E779" s="255"/>
      <c r="F779" s="1"/>
      <c r="G779" s="1"/>
      <c r="H779" s="1"/>
      <c r="I779" s="1"/>
      <c r="K779" s="1"/>
      <c r="L779" s="1"/>
    </row>
    <row r="780" spans="1:12">
      <c r="A780" s="1"/>
      <c r="B780" s="255"/>
      <c r="C780" s="1"/>
      <c r="D780" s="1"/>
      <c r="E780" s="255"/>
      <c r="F780" s="1"/>
      <c r="G780" s="1"/>
      <c r="H780" s="1"/>
      <c r="I780" s="1"/>
      <c r="K780" s="1"/>
      <c r="L780" s="1"/>
    </row>
    <row r="781" spans="1:12">
      <c r="A781" s="1"/>
      <c r="B781" s="255"/>
      <c r="C781" s="1"/>
      <c r="D781" s="1"/>
      <c r="E781" s="255"/>
      <c r="F781" s="1"/>
      <c r="G781" s="1"/>
      <c r="H781" s="1"/>
      <c r="I781" s="1"/>
      <c r="K781" s="1"/>
      <c r="L781" s="1"/>
    </row>
    <row r="782" spans="1:12">
      <c r="A782" s="1"/>
      <c r="B782" s="255"/>
      <c r="C782" s="1"/>
      <c r="D782" s="1"/>
      <c r="E782" s="255"/>
      <c r="F782" s="1"/>
      <c r="G782" s="1"/>
      <c r="H782" s="1"/>
      <c r="I782" s="1"/>
      <c r="K782" s="1"/>
      <c r="L782" s="1"/>
    </row>
    <row r="783" spans="1:12">
      <c r="A783" s="1"/>
      <c r="B783" s="255"/>
      <c r="C783" s="1"/>
      <c r="D783" s="1"/>
      <c r="E783" s="255"/>
      <c r="F783" s="1"/>
      <c r="G783" s="1"/>
      <c r="H783" s="1"/>
      <c r="I783" s="1"/>
      <c r="K783" s="1"/>
      <c r="L783" s="1"/>
    </row>
    <row r="784" spans="1:12">
      <c r="A784" s="1"/>
      <c r="B784" s="255"/>
      <c r="C784" s="1"/>
      <c r="D784" s="1"/>
      <c r="E784" s="255"/>
      <c r="F784" s="1"/>
      <c r="G784" s="1"/>
      <c r="H784" s="1"/>
      <c r="I784" s="1"/>
      <c r="K784" s="1"/>
      <c r="L784" s="1"/>
    </row>
    <row r="785" spans="1:12">
      <c r="A785" s="1"/>
      <c r="B785" s="255"/>
      <c r="C785" s="1"/>
      <c r="D785" s="1"/>
      <c r="E785" s="255"/>
      <c r="F785" s="1"/>
      <c r="G785" s="1"/>
      <c r="H785" s="1"/>
      <c r="I785" s="1"/>
      <c r="K785" s="1"/>
      <c r="L785" s="1"/>
    </row>
    <row r="786" spans="1:12">
      <c r="A786" s="1"/>
      <c r="B786" s="255"/>
      <c r="C786" s="1"/>
      <c r="D786" s="1"/>
      <c r="E786" s="255"/>
      <c r="F786" s="1"/>
      <c r="G786" s="1"/>
      <c r="H786" s="1"/>
      <c r="I786" s="1"/>
      <c r="K786" s="1"/>
      <c r="L786" s="1"/>
    </row>
    <row r="787" spans="1:12">
      <c r="A787" s="1"/>
      <c r="B787" s="255"/>
      <c r="C787" s="1"/>
      <c r="D787" s="1"/>
      <c r="E787" s="255"/>
      <c r="F787" s="1"/>
      <c r="G787" s="1"/>
      <c r="H787" s="1"/>
      <c r="I787" s="1"/>
      <c r="K787" s="1"/>
      <c r="L787" s="1"/>
    </row>
    <row r="788" spans="1:12">
      <c r="A788" s="1"/>
      <c r="B788" s="255"/>
      <c r="C788" s="1"/>
      <c r="D788" s="1"/>
      <c r="E788" s="255"/>
      <c r="F788" s="1"/>
      <c r="G788" s="1"/>
      <c r="H788" s="1"/>
      <c r="I788" s="1"/>
      <c r="K788" s="1"/>
      <c r="L788" s="1"/>
    </row>
    <row r="789" spans="1:12">
      <c r="A789" s="1"/>
      <c r="B789" s="255"/>
      <c r="C789" s="1"/>
      <c r="D789" s="1"/>
      <c r="E789" s="255"/>
      <c r="F789" s="1"/>
      <c r="G789" s="1"/>
      <c r="H789" s="1"/>
      <c r="I789" s="1"/>
      <c r="K789" s="1"/>
      <c r="L789" s="1"/>
    </row>
    <row r="790" spans="1:12">
      <c r="A790" s="1"/>
      <c r="B790" s="255"/>
      <c r="C790" s="1"/>
      <c r="D790" s="1"/>
      <c r="E790" s="255"/>
      <c r="F790" s="1"/>
      <c r="G790" s="1"/>
      <c r="H790" s="1"/>
      <c r="I790" s="1"/>
      <c r="K790" s="1"/>
      <c r="L790" s="1"/>
    </row>
    <row r="791" spans="1:12">
      <c r="A791" s="1"/>
      <c r="B791" s="255"/>
      <c r="C791" s="1"/>
      <c r="D791" s="1"/>
      <c r="E791" s="255"/>
      <c r="F791" s="1"/>
      <c r="G791" s="1"/>
      <c r="H791" s="1"/>
      <c r="I791" s="1"/>
      <c r="K791" s="1"/>
    </row>
    <row r="792" spans="1:12">
      <c r="A792" s="1"/>
      <c r="B792" s="255"/>
      <c r="C792" s="1"/>
      <c r="D792" s="1"/>
      <c r="E792" s="255"/>
      <c r="F792" s="1"/>
      <c r="G792" s="1"/>
      <c r="H792" s="1"/>
      <c r="I792" s="1"/>
      <c r="K792" s="1"/>
    </row>
    <row r="793" spans="1:12">
      <c r="A793" s="1"/>
      <c r="B793" s="255"/>
      <c r="C793" s="1"/>
      <c r="D793" s="1"/>
      <c r="E793" s="255"/>
      <c r="F793" s="1"/>
      <c r="G793" s="1"/>
      <c r="H793" s="1"/>
      <c r="I793" s="1"/>
      <c r="K793" s="1"/>
      <c r="L793" s="1"/>
    </row>
    <row r="794" spans="1:12">
      <c r="A794" s="1"/>
      <c r="B794" s="255"/>
      <c r="C794" s="1"/>
      <c r="D794" s="1"/>
      <c r="E794" s="255"/>
      <c r="F794" s="1"/>
      <c r="G794" s="1"/>
      <c r="H794" s="1"/>
      <c r="I794" s="1"/>
      <c r="K794" s="1"/>
      <c r="L794" s="1"/>
    </row>
    <row r="795" spans="1:12">
      <c r="A795" s="1"/>
      <c r="B795" s="255"/>
      <c r="C795" s="1"/>
      <c r="D795" s="1"/>
      <c r="E795" s="255"/>
      <c r="F795" s="1"/>
      <c r="G795" s="1"/>
      <c r="H795" s="1"/>
      <c r="I795" s="1"/>
      <c r="K795" s="1"/>
      <c r="L795" s="1"/>
    </row>
    <row r="796" spans="1:12">
      <c r="A796" s="1"/>
      <c r="B796" s="255"/>
      <c r="C796" s="1"/>
      <c r="D796" s="1"/>
      <c r="E796" s="255"/>
      <c r="F796" s="1"/>
      <c r="G796" s="1"/>
      <c r="H796" s="1"/>
      <c r="I796" s="1"/>
      <c r="K796" s="1"/>
      <c r="L796" s="1"/>
    </row>
    <row r="797" spans="1:12">
      <c r="A797" s="1"/>
      <c r="B797" s="255"/>
      <c r="C797" s="1"/>
      <c r="D797" s="1"/>
      <c r="E797" s="255"/>
      <c r="F797" s="1"/>
      <c r="G797" s="1"/>
      <c r="H797" s="1"/>
      <c r="I797" s="1"/>
      <c r="K797" s="1"/>
      <c r="L797" s="1"/>
    </row>
    <row r="798" spans="1:12">
      <c r="A798" s="1"/>
      <c r="B798" s="255"/>
      <c r="C798" s="1"/>
      <c r="D798" s="1"/>
      <c r="E798" s="255"/>
      <c r="F798" s="1"/>
      <c r="G798" s="1"/>
      <c r="H798" s="1"/>
      <c r="I798" s="1"/>
      <c r="K798" s="1"/>
      <c r="L798" s="1"/>
    </row>
    <row r="799" spans="1:12">
      <c r="A799" s="1"/>
      <c r="B799" s="255"/>
      <c r="C799" s="1"/>
      <c r="D799" s="1"/>
      <c r="E799" s="255"/>
      <c r="F799" s="1"/>
      <c r="G799" s="1"/>
      <c r="H799" s="1"/>
      <c r="I799" s="1"/>
      <c r="K799" s="1"/>
      <c r="L799" s="1"/>
    </row>
    <row r="800" spans="1:12">
      <c r="A800" s="1"/>
      <c r="B800" s="255"/>
      <c r="C800" s="1"/>
      <c r="D800" s="1"/>
      <c r="E800" s="255"/>
      <c r="F800" s="1"/>
      <c r="G800" s="1"/>
      <c r="H800" s="1"/>
      <c r="I800" s="1"/>
      <c r="K800" s="1"/>
      <c r="L800" s="1"/>
    </row>
    <row r="801" spans="1:12">
      <c r="A801" s="1"/>
      <c r="B801" s="255"/>
      <c r="C801" s="1"/>
      <c r="D801" s="1"/>
      <c r="E801" s="255"/>
      <c r="F801" s="1"/>
      <c r="G801" s="1"/>
      <c r="H801" s="1"/>
      <c r="I801" s="1"/>
      <c r="K801" s="1"/>
    </row>
    <row r="802" spans="1:12">
      <c r="A802" s="1"/>
      <c r="B802" s="255"/>
      <c r="C802" s="1"/>
      <c r="D802" s="1"/>
      <c r="E802" s="255"/>
      <c r="F802" s="1"/>
      <c r="G802" s="1"/>
      <c r="H802" s="1"/>
      <c r="I802" s="1"/>
      <c r="K802" s="1"/>
    </row>
    <row r="803" spans="1:12">
      <c r="A803" s="1"/>
      <c r="B803" s="255"/>
      <c r="C803" s="1"/>
      <c r="D803" s="1"/>
      <c r="E803" s="255"/>
      <c r="F803" s="1"/>
      <c r="G803" s="1"/>
      <c r="H803" s="1"/>
      <c r="I803" s="1"/>
      <c r="K803" s="1"/>
      <c r="L803" s="1"/>
    </row>
    <row r="804" spans="1:12">
      <c r="A804" s="1"/>
      <c r="B804" s="255"/>
      <c r="C804" s="1"/>
      <c r="D804" s="1"/>
      <c r="E804" s="255"/>
      <c r="F804" s="1"/>
      <c r="G804" s="1"/>
      <c r="H804" s="1"/>
      <c r="I804" s="1"/>
      <c r="K804" s="1"/>
      <c r="L804" s="1"/>
    </row>
    <row r="805" spans="1:12">
      <c r="A805" s="1"/>
      <c r="B805" s="255"/>
      <c r="C805" s="1"/>
      <c r="D805" s="1"/>
      <c r="E805" s="255"/>
      <c r="F805" s="1"/>
      <c r="G805" s="1"/>
      <c r="H805" s="1"/>
      <c r="I805" s="1"/>
      <c r="K805" s="1"/>
      <c r="L805" s="1"/>
    </row>
    <row r="806" spans="1:12">
      <c r="A806" s="1"/>
      <c r="B806" s="255"/>
      <c r="C806" s="1"/>
      <c r="D806" s="1"/>
      <c r="E806" s="255"/>
      <c r="F806" s="1"/>
      <c r="G806" s="1"/>
      <c r="H806" s="1"/>
      <c r="I806" s="1"/>
      <c r="K806" s="1"/>
      <c r="L806" s="1"/>
    </row>
    <row r="807" spans="1:12">
      <c r="A807" s="1"/>
      <c r="B807" s="255"/>
      <c r="C807" s="1"/>
      <c r="D807" s="1"/>
      <c r="E807" s="255"/>
      <c r="F807" s="1"/>
      <c r="G807" s="1"/>
      <c r="H807" s="1"/>
      <c r="I807" s="1"/>
      <c r="K807" s="1"/>
      <c r="L807" s="1"/>
    </row>
    <row r="808" spans="1:12">
      <c r="A808" s="1"/>
      <c r="B808" s="255"/>
      <c r="C808" s="1"/>
      <c r="D808" s="1"/>
      <c r="E808" s="255"/>
      <c r="F808" s="1"/>
      <c r="G808" s="1"/>
      <c r="H808" s="1"/>
      <c r="I808" s="1"/>
      <c r="K808" s="1"/>
      <c r="L808" s="1"/>
    </row>
    <row r="809" spans="1:12">
      <c r="A809" s="1"/>
      <c r="B809" s="255"/>
      <c r="C809" s="1"/>
      <c r="D809" s="1"/>
      <c r="E809" s="255"/>
      <c r="F809" s="1"/>
      <c r="G809" s="1"/>
      <c r="H809" s="1"/>
      <c r="I809" s="1"/>
      <c r="K809" s="1"/>
    </row>
    <row r="810" spans="1:12">
      <c r="A810" s="1"/>
      <c r="B810" s="255"/>
      <c r="C810" s="1"/>
      <c r="D810" s="1"/>
      <c r="E810" s="255"/>
      <c r="F810" s="1"/>
      <c r="G810" s="1"/>
      <c r="H810" s="1"/>
      <c r="I810" s="1"/>
      <c r="K810" s="1"/>
    </row>
    <row r="811" spans="1:12">
      <c r="A811" s="1"/>
      <c r="B811" s="255"/>
      <c r="C811" s="1"/>
      <c r="D811" s="1"/>
      <c r="E811" s="255"/>
      <c r="F811" s="1"/>
      <c r="G811" s="1"/>
      <c r="H811" s="1"/>
      <c r="I811" s="1"/>
      <c r="K811" s="1"/>
      <c r="L811" s="1"/>
    </row>
    <row r="812" spans="1:12">
      <c r="A812" s="1"/>
      <c r="B812" s="255"/>
      <c r="C812" s="1"/>
      <c r="D812" s="1"/>
      <c r="E812" s="255"/>
      <c r="F812" s="1"/>
      <c r="G812" s="1"/>
      <c r="H812" s="1"/>
      <c r="I812" s="1"/>
      <c r="K812" s="1"/>
      <c r="L812" s="1"/>
    </row>
    <row r="813" spans="1:12">
      <c r="A813" s="1"/>
      <c r="B813" s="255"/>
      <c r="C813" s="1"/>
      <c r="D813" s="1"/>
      <c r="E813" s="255"/>
      <c r="F813" s="1"/>
      <c r="G813" s="1"/>
      <c r="H813" s="1"/>
      <c r="I813" s="1"/>
      <c r="K813" s="1"/>
    </row>
    <row r="814" spans="1:12">
      <c r="A814" s="1"/>
      <c r="B814" s="255"/>
      <c r="C814" s="1"/>
      <c r="D814" s="1"/>
      <c r="E814" s="255"/>
      <c r="F814" s="1"/>
      <c r="G814" s="1"/>
      <c r="H814" s="1"/>
      <c r="I814" s="1"/>
      <c r="K814" s="1"/>
    </row>
    <row r="815" spans="1:12">
      <c r="A815" s="1"/>
      <c r="B815" s="255"/>
      <c r="C815" s="1"/>
      <c r="D815" s="1"/>
      <c r="E815" s="255"/>
      <c r="F815" s="1"/>
      <c r="G815" s="1"/>
      <c r="H815" s="1"/>
      <c r="I815" s="1"/>
      <c r="K815" s="1"/>
      <c r="L815" s="1"/>
    </row>
    <row r="816" spans="1:12">
      <c r="A816" s="1"/>
      <c r="B816" s="255"/>
      <c r="C816" s="1"/>
      <c r="D816" s="1"/>
      <c r="E816" s="255"/>
      <c r="F816" s="1"/>
      <c r="G816" s="1"/>
      <c r="H816" s="1"/>
      <c r="I816" s="1"/>
      <c r="K816" s="1"/>
      <c r="L816" s="1"/>
    </row>
    <row r="817" spans="1:12">
      <c r="A817" s="1"/>
      <c r="B817" s="255"/>
      <c r="C817" s="1"/>
      <c r="D817" s="1"/>
      <c r="E817" s="255"/>
      <c r="F817" s="1"/>
      <c r="G817" s="1"/>
      <c r="H817" s="1"/>
      <c r="I817" s="1"/>
      <c r="K817" s="1"/>
      <c r="L817" s="1"/>
    </row>
    <row r="818" spans="1:12">
      <c r="A818" s="1"/>
      <c r="B818" s="255"/>
      <c r="C818" s="1"/>
      <c r="D818" s="1"/>
      <c r="E818" s="255"/>
      <c r="F818" s="1"/>
      <c r="G818" s="1"/>
      <c r="H818" s="1"/>
      <c r="I818" s="1"/>
      <c r="K818" s="1"/>
      <c r="L818" s="1"/>
    </row>
    <row r="819" spans="1:12">
      <c r="A819" s="1"/>
      <c r="B819" s="255"/>
      <c r="C819" s="1"/>
      <c r="D819" s="1"/>
      <c r="E819" s="255"/>
      <c r="F819" s="1"/>
      <c r="G819" s="1"/>
      <c r="H819" s="1"/>
      <c r="I819" s="1"/>
      <c r="K819" s="1"/>
      <c r="L819" s="1"/>
    </row>
    <row r="820" spans="1:12">
      <c r="A820" s="1"/>
      <c r="B820" s="255"/>
      <c r="C820" s="1"/>
      <c r="D820" s="1"/>
      <c r="E820" s="255"/>
      <c r="F820" s="1"/>
      <c r="G820" s="1"/>
      <c r="H820" s="1"/>
      <c r="I820" s="1"/>
      <c r="K820" s="1"/>
      <c r="L820" s="1"/>
    </row>
    <row r="821" spans="1:12">
      <c r="A821" s="1"/>
      <c r="B821" s="255"/>
      <c r="C821" s="1"/>
      <c r="D821" s="1"/>
      <c r="E821" s="255"/>
      <c r="F821" s="1"/>
      <c r="G821" s="1"/>
      <c r="H821" s="1"/>
      <c r="I821" s="1"/>
      <c r="K821" s="1"/>
      <c r="L821" s="1"/>
    </row>
    <row r="822" spans="1:12">
      <c r="A822" s="1"/>
      <c r="B822" s="255"/>
      <c r="C822" s="1"/>
      <c r="D822" s="1"/>
      <c r="E822" s="255"/>
      <c r="F822" s="1"/>
      <c r="G822" s="1"/>
      <c r="H822" s="1"/>
      <c r="I822" s="1"/>
      <c r="K822" s="1"/>
      <c r="L822" s="1"/>
    </row>
    <row r="823" spans="1:12">
      <c r="A823" s="1"/>
      <c r="B823" s="255"/>
      <c r="C823" s="1"/>
      <c r="D823" s="1"/>
      <c r="E823" s="255"/>
      <c r="F823" s="1"/>
      <c r="G823" s="1"/>
      <c r="H823" s="1"/>
      <c r="I823" s="1"/>
      <c r="K823" s="1"/>
      <c r="L823" s="1"/>
    </row>
    <row r="824" spans="1:12">
      <c r="A824" s="1"/>
      <c r="B824" s="255"/>
      <c r="C824" s="1"/>
      <c r="D824" s="1"/>
      <c r="E824" s="255"/>
      <c r="F824" s="1"/>
      <c r="G824" s="1"/>
      <c r="H824" s="1"/>
      <c r="I824" s="1"/>
      <c r="K824" s="1"/>
      <c r="L824" s="1"/>
    </row>
    <row r="825" spans="1:12">
      <c r="A825" s="1"/>
      <c r="B825" s="255"/>
      <c r="C825" s="1"/>
      <c r="D825" s="1"/>
      <c r="E825" s="255"/>
      <c r="F825" s="1"/>
      <c r="G825" s="1"/>
      <c r="H825" s="1"/>
      <c r="I825" s="1"/>
      <c r="K825" s="1"/>
      <c r="L825" s="1"/>
    </row>
    <row r="826" spans="1:12">
      <c r="A826" s="1"/>
      <c r="B826" s="255"/>
      <c r="C826" s="1"/>
      <c r="D826" s="1"/>
      <c r="E826" s="255"/>
      <c r="F826" s="1"/>
      <c r="G826" s="1"/>
      <c r="H826" s="1"/>
      <c r="I826" s="1"/>
      <c r="K826" s="1"/>
      <c r="L826" s="1"/>
    </row>
    <row r="827" spans="1:12">
      <c r="A827" s="1"/>
      <c r="B827" s="255"/>
      <c r="C827" s="1"/>
      <c r="D827" s="1"/>
      <c r="E827" s="255"/>
      <c r="F827" s="1"/>
      <c r="G827" s="1"/>
      <c r="H827" s="1"/>
      <c r="I827" s="1"/>
      <c r="K827" s="1"/>
      <c r="L827" s="1"/>
    </row>
    <row r="828" spans="1:12">
      <c r="A828" s="1"/>
      <c r="B828" s="255"/>
      <c r="C828" s="1"/>
      <c r="D828" s="1"/>
      <c r="E828" s="255"/>
      <c r="F828" s="1"/>
      <c r="G828" s="1"/>
      <c r="H828" s="1"/>
      <c r="I828" s="1"/>
      <c r="K828" s="1"/>
      <c r="L828" s="1"/>
    </row>
    <row r="829" spans="1:12">
      <c r="A829" s="1"/>
      <c r="B829" s="255"/>
      <c r="C829" s="1"/>
      <c r="D829" s="1"/>
      <c r="E829" s="255"/>
      <c r="F829" s="1"/>
      <c r="G829" s="1"/>
      <c r="H829" s="1"/>
      <c r="I829" s="1"/>
      <c r="K829" s="1"/>
      <c r="L829" s="1"/>
    </row>
    <row r="830" spans="1:12">
      <c r="A830" s="1"/>
      <c r="B830" s="255"/>
      <c r="C830" s="1"/>
      <c r="D830" s="1"/>
      <c r="E830" s="255"/>
      <c r="F830" s="1"/>
      <c r="G830" s="1"/>
      <c r="H830" s="1"/>
      <c r="I830" s="1"/>
      <c r="K830" s="1"/>
      <c r="L830" s="1"/>
    </row>
    <row r="831" spans="1:12">
      <c r="A831" s="1"/>
      <c r="B831" s="255"/>
      <c r="C831" s="1"/>
      <c r="D831" s="1"/>
      <c r="E831" s="255"/>
      <c r="F831" s="1"/>
      <c r="G831" s="1"/>
      <c r="H831" s="1"/>
      <c r="I831" s="1"/>
      <c r="K831" s="1"/>
    </row>
    <row r="832" spans="1:12">
      <c r="A832" s="1"/>
      <c r="B832" s="255"/>
      <c r="C832" s="1"/>
      <c r="D832" s="1"/>
      <c r="E832" s="255"/>
      <c r="F832" s="1"/>
      <c r="G832" s="1"/>
      <c r="H832" s="1"/>
      <c r="I832" s="1"/>
      <c r="K832" s="1"/>
    </row>
    <row r="833" spans="1:12">
      <c r="A833" s="1"/>
      <c r="B833" s="255"/>
      <c r="C833" s="1"/>
      <c r="D833" s="1"/>
      <c r="E833" s="255"/>
      <c r="F833" s="1"/>
      <c r="G833" s="1"/>
      <c r="H833" s="1"/>
      <c r="I833" s="1"/>
      <c r="K833" s="1"/>
      <c r="L833" s="1"/>
    </row>
    <row r="834" spans="1:12">
      <c r="A834" s="1"/>
      <c r="B834" s="255"/>
      <c r="C834" s="1"/>
      <c r="D834" s="1"/>
      <c r="E834" s="255"/>
      <c r="F834" s="1"/>
      <c r="G834" s="1"/>
      <c r="H834" s="1"/>
      <c r="I834" s="1"/>
      <c r="K834" s="1"/>
      <c r="L834" s="1"/>
    </row>
    <row r="835" spans="1:12">
      <c r="A835" s="1"/>
      <c r="B835" s="255"/>
      <c r="C835" s="1"/>
      <c r="D835" s="1"/>
      <c r="E835" s="255"/>
      <c r="F835" s="1"/>
      <c r="G835" s="1"/>
      <c r="H835" s="1"/>
      <c r="I835" s="1"/>
      <c r="K835" s="1"/>
    </row>
    <row r="836" spans="1:12">
      <c r="A836" s="1"/>
      <c r="B836" s="255"/>
      <c r="C836" s="1"/>
      <c r="D836" s="1"/>
      <c r="E836" s="255"/>
      <c r="F836" s="1"/>
      <c r="G836" s="1"/>
      <c r="H836" s="1"/>
      <c r="I836" s="1"/>
      <c r="K836" s="1"/>
    </row>
    <row r="837" spans="1:12">
      <c r="A837" s="1"/>
      <c r="B837" s="255"/>
      <c r="C837" s="1"/>
      <c r="D837" s="1"/>
      <c r="E837" s="255"/>
      <c r="F837" s="1"/>
      <c r="G837" s="1"/>
      <c r="H837" s="1"/>
      <c r="I837" s="1"/>
      <c r="K837" s="1"/>
      <c r="L837" s="1"/>
    </row>
    <row r="838" spans="1:12">
      <c r="A838" s="1"/>
      <c r="B838" s="255"/>
      <c r="C838" s="1"/>
      <c r="D838" s="1"/>
      <c r="E838" s="255"/>
      <c r="F838" s="1"/>
      <c r="G838" s="1"/>
      <c r="H838" s="1"/>
      <c r="I838" s="1"/>
      <c r="K838" s="1"/>
      <c r="L838" s="1"/>
    </row>
    <row r="839" spans="1:12">
      <c r="A839" s="1"/>
      <c r="B839" s="255"/>
      <c r="C839" s="1"/>
      <c r="D839" s="1"/>
      <c r="E839" s="255"/>
      <c r="F839" s="1"/>
      <c r="G839" s="1"/>
      <c r="H839" s="1"/>
      <c r="I839" s="1"/>
      <c r="K839" s="1"/>
      <c r="L839" s="1"/>
    </row>
    <row r="840" spans="1:12">
      <c r="A840" s="1"/>
      <c r="B840" s="255"/>
      <c r="C840" s="1"/>
      <c r="D840" s="1"/>
      <c r="E840" s="255"/>
      <c r="F840" s="1"/>
      <c r="G840" s="1"/>
      <c r="H840" s="1"/>
      <c r="I840" s="1"/>
      <c r="K840" s="1"/>
      <c r="L840" s="1"/>
    </row>
    <row r="841" spans="1:12">
      <c r="A841" s="1"/>
      <c r="B841" s="255"/>
      <c r="C841" s="1"/>
      <c r="D841" s="1"/>
      <c r="E841" s="255"/>
      <c r="F841" s="1"/>
      <c r="G841" s="1"/>
      <c r="H841" s="1"/>
      <c r="I841" s="1"/>
      <c r="K841" s="1"/>
      <c r="L841" s="1"/>
    </row>
    <row r="842" spans="1:12">
      <c r="A842" s="1"/>
      <c r="B842" s="255"/>
      <c r="C842" s="1"/>
      <c r="D842" s="1"/>
      <c r="E842" s="255"/>
      <c r="F842" s="1"/>
      <c r="G842" s="1"/>
      <c r="H842" s="1"/>
      <c r="I842" s="1"/>
      <c r="K842" s="1"/>
      <c r="L842" s="1"/>
    </row>
    <row r="843" spans="1:12">
      <c r="A843" s="1"/>
      <c r="B843" s="255"/>
      <c r="C843" s="1"/>
      <c r="D843" s="1"/>
      <c r="E843" s="255"/>
      <c r="F843" s="1"/>
      <c r="G843" s="1"/>
      <c r="H843" s="1"/>
      <c r="I843" s="1"/>
      <c r="K843" s="1"/>
      <c r="L843" s="1"/>
    </row>
    <row r="844" spans="1:12">
      <c r="A844" s="1"/>
      <c r="B844" s="255"/>
      <c r="C844" s="1"/>
      <c r="D844" s="1"/>
      <c r="E844" s="255"/>
      <c r="F844" s="1"/>
      <c r="G844" s="1"/>
      <c r="H844" s="1"/>
      <c r="I844" s="1"/>
      <c r="K844" s="1"/>
      <c r="L844" s="1"/>
    </row>
    <row r="845" spans="1:12">
      <c r="A845" s="1"/>
      <c r="B845" s="255"/>
      <c r="C845" s="1"/>
      <c r="D845" s="1"/>
      <c r="E845" s="255"/>
      <c r="F845" s="1"/>
      <c r="G845" s="1"/>
      <c r="H845" s="1"/>
      <c r="I845" s="1"/>
      <c r="K845" s="1"/>
      <c r="L845" s="1"/>
    </row>
    <row r="846" spans="1:12">
      <c r="A846" s="1"/>
      <c r="B846" s="255"/>
      <c r="C846" s="1"/>
      <c r="D846" s="1"/>
      <c r="E846" s="255"/>
      <c r="F846" s="1"/>
      <c r="G846" s="1"/>
      <c r="H846" s="1"/>
      <c r="I846" s="1"/>
      <c r="K846" s="1"/>
      <c r="L846" s="1"/>
    </row>
    <row r="847" spans="1:12">
      <c r="A847" s="1"/>
      <c r="B847" s="255"/>
      <c r="C847" s="1"/>
      <c r="D847" s="1"/>
      <c r="E847" s="255"/>
      <c r="F847" s="1"/>
      <c r="G847" s="1"/>
      <c r="H847" s="1"/>
      <c r="I847" s="1"/>
      <c r="K847" s="1"/>
      <c r="L847" s="1"/>
    </row>
    <row r="848" spans="1:12">
      <c r="A848" s="1"/>
      <c r="B848" s="255"/>
      <c r="C848" s="1"/>
      <c r="D848" s="1"/>
      <c r="E848" s="255"/>
      <c r="F848" s="1"/>
      <c r="G848" s="1"/>
      <c r="H848" s="1"/>
      <c r="I848" s="1"/>
      <c r="K848" s="1"/>
      <c r="L848" s="1"/>
    </row>
    <row r="849" spans="1:12">
      <c r="A849" s="1"/>
      <c r="B849" s="255"/>
      <c r="C849" s="1"/>
      <c r="D849" s="1"/>
      <c r="E849" s="255"/>
      <c r="F849" s="1"/>
      <c r="G849" s="1"/>
      <c r="H849" s="1"/>
      <c r="I849" s="1"/>
      <c r="K849" s="1"/>
    </row>
    <row r="850" spans="1:12">
      <c r="A850" s="1"/>
      <c r="B850" s="255"/>
      <c r="C850" s="1"/>
      <c r="D850" s="1"/>
      <c r="E850" s="255"/>
      <c r="F850" s="1"/>
      <c r="G850" s="1"/>
      <c r="H850" s="1"/>
      <c r="I850" s="1"/>
      <c r="K850" s="1"/>
    </row>
    <row r="851" spans="1:12">
      <c r="A851" s="1"/>
      <c r="B851" s="255"/>
      <c r="C851" s="1"/>
      <c r="D851" s="1"/>
      <c r="E851" s="255"/>
      <c r="F851" s="1"/>
      <c r="G851" s="1"/>
      <c r="H851" s="1"/>
      <c r="I851" s="1"/>
      <c r="K851" s="1"/>
    </row>
    <row r="852" spans="1:12">
      <c r="A852" s="1"/>
      <c r="B852" s="255"/>
      <c r="C852" s="1"/>
      <c r="D852" s="1"/>
      <c r="E852" s="255"/>
      <c r="F852" s="1"/>
      <c r="G852" s="1"/>
      <c r="H852" s="1"/>
      <c r="I852" s="1"/>
      <c r="K852" s="1"/>
    </row>
    <row r="853" spans="1:12">
      <c r="A853" s="1"/>
      <c r="B853" s="255"/>
      <c r="C853" s="1"/>
      <c r="D853" s="1"/>
      <c r="E853" s="255"/>
      <c r="F853" s="1"/>
      <c r="G853" s="1"/>
      <c r="H853" s="1"/>
      <c r="I853" s="1"/>
      <c r="K853" s="1"/>
      <c r="L853" s="1"/>
    </row>
    <row r="854" spans="1:12">
      <c r="A854" s="1"/>
      <c r="B854" s="255"/>
      <c r="C854" s="1"/>
      <c r="D854" s="1"/>
      <c r="E854" s="255"/>
      <c r="F854" s="1"/>
      <c r="G854" s="1"/>
      <c r="H854" s="1"/>
      <c r="I854" s="1"/>
      <c r="K854" s="1"/>
      <c r="L854" s="1"/>
    </row>
    <row r="855" spans="1:12">
      <c r="A855" s="1"/>
      <c r="B855" s="255"/>
      <c r="C855" s="1"/>
      <c r="D855" s="1"/>
      <c r="E855" s="255"/>
      <c r="F855" s="1"/>
      <c r="G855" s="1"/>
      <c r="H855" s="1"/>
      <c r="I855" s="1"/>
      <c r="K855" s="1"/>
      <c r="L855" s="1"/>
    </row>
    <row r="856" spans="1:12">
      <c r="A856" s="1"/>
      <c r="B856" s="255"/>
      <c r="C856" s="1"/>
      <c r="D856" s="1"/>
      <c r="E856" s="255"/>
      <c r="F856" s="1"/>
      <c r="G856" s="1"/>
      <c r="H856" s="1"/>
      <c r="I856" s="1"/>
      <c r="K856" s="1"/>
      <c r="L856" s="1"/>
    </row>
    <row r="857" spans="1:12">
      <c r="A857" s="1"/>
      <c r="B857" s="255"/>
      <c r="C857" s="1"/>
      <c r="D857" s="1"/>
      <c r="E857" s="255"/>
      <c r="F857" s="1"/>
      <c r="G857" s="1"/>
      <c r="H857" s="1"/>
      <c r="I857" s="1"/>
      <c r="K857" s="1"/>
      <c r="L857" s="1"/>
    </row>
    <row r="858" spans="1:12">
      <c r="A858" s="1"/>
      <c r="B858" s="255"/>
      <c r="C858" s="1"/>
      <c r="D858" s="1"/>
      <c r="E858" s="255"/>
      <c r="F858" s="1"/>
      <c r="G858" s="1"/>
      <c r="H858" s="1"/>
      <c r="I858" s="1"/>
      <c r="K858" s="1"/>
      <c r="L858" s="1"/>
    </row>
    <row r="859" spans="1:12">
      <c r="A859" s="1"/>
      <c r="B859" s="255"/>
      <c r="C859" s="1"/>
      <c r="D859" s="1"/>
      <c r="E859" s="255"/>
      <c r="F859" s="1"/>
      <c r="G859" s="1"/>
      <c r="H859" s="1"/>
      <c r="I859" s="1"/>
      <c r="K859" s="1"/>
      <c r="L859" s="1"/>
    </row>
    <row r="860" spans="1:12">
      <c r="A860" s="1"/>
      <c r="B860" s="255"/>
      <c r="C860" s="1"/>
      <c r="D860" s="1"/>
      <c r="E860" s="255"/>
      <c r="F860" s="1"/>
      <c r="G860" s="1"/>
      <c r="H860" s="1"/>
      <c r="I860" s="1"/>
      <c r="K860" s="1"/>
      <c r="L860" s="1"/>
    </row>
    <row r="861" spans="1:12">
      <c r="A861" s="1"/>
      <c r="B861" s="255"/>
      <c r="C861" s="1"/>
      <c r="D861" s="1"/>
      <c r="E861" s="255"/>
      <c r="F861" s="1"/>
      <c r="G861" s="1"/>
      <c r="H861" s="1"/>
      <c r="I861" s="1"/>
      <c r="K861" s="1"/>
      <c r="L861" s="1"/>
    </row>
    <row r="862" spans="1:12">
      <c r="A862" s="1"/>
      <c r="B862" s="255"/>
      <c r="C862" s="1"/>
      <c r="D862" s="1"/>
      <c r="E862" s="255"/>
      <c r="F862" s="1"/>
      <c r="G862" s="1"/>
      <c r="H862" s="1"/>
      <c r="I862" s="1"/>
      <c r="K862" s="1"/>
      <c r="L862" s="1"/>
    </row>
    <row r="863" spans="1:12">
      <c r="A863" s="1"/>
      <c r="B863" s="255"/>
      <c r="C863" s="1"/>
      <c r="D863" s="1"/>
      <c r="E863" s="255"/>
      <c r="F863" s="1"/>
      <c r="G863" s="1"/>
      <c r="H863" s="1"/>
      <c r="I863" s="1"/>
      <c r="K863" s="1"/>
    </row>
    <row r="864" spans="1:12">
      <c r="A864" s="1"/>
      <c r="B864" s="255"/>
      <c r="C864" s="1"/>
      <c r="D864" s="1"/>
      <c r="E864" s="255"/>
      <c r="F864" s="1"/>
      <c r="G864" s="1"/>
      <c r="H864" s="1"/>
      <c r="I864" s="1"/>
      <c r="K864" s="1"/>
    </row>
    <row r="865" spans="1:12">
      <c r="A865" s="1"/>
      <c r="B865" s="255"/>
      <c r="C865" s="1"/>
      <c r="D865" s="1"/>
      <c r="E865" s="255"/>
      <c r="F865" s="1"/>
      <c r="G865" s="1"/>
      <c r="H865" s="1"/>
      <c r="I865" s="1"/>
      <c r="K865" s="1"/>
    </row>
    <row r="866" spans="1:12">
      <c r="A866" s="1"/>
      <c r="B866" s="255"/>
      <c r="C866" s="1"/>
      <c r="D866" s="1"/>
      <c r="E866" s="255"/>
      <c r="F866" s="1"/>
      <c r="G866" s="1"/>
      <c r="H866" s="1"/>
      <c r="I866" s="1"/>
      <c r="K866" s="1"/>
    </row>
    <row r="867" spans="1:12">
      <c r="A867" s="1"/>
      <c r="B867" s="255"/>
      <c r="C867" s="1"/>
      <c r="D867" s="1"/>
      <c r="E867" s="255"/>
      <c r="F867" s="1"/>
      <c r="G867" s="1"/>
      <c r="H867" s="1"/>
      <c r="I867" s="1"/>
      <c r="K867" s="1"/>
      <c r="L867" s="1"/>
    </row>
    <row r="868" spans="1:12">
      <c r="A868" s="1"/>
      <c r="B868" s="255"/>
      <c r="C868" s="1"/>
      <c r="D868" s="1"/>
      <c r="E868" s="255"/>
      <c r="F868" s="1"/>
      <c r="G868" s="1"/>
      <c r="H868" s="1"/>
      <c r="I868" s="1"/>
      <c r="K868" s="1"/>
      <c r="L868" s="1"/>
    </row>
    <row r="869" spans="1:12">
      <c r="A869" s="1"/>
      <c r="B869" s="255"/>
      <c r="C869" s="1"/>
      <c r="D869" s="1"/>
      <c r="E869" s="255"/>
      <c r="F869" s="1"/>
      <c r="G869" s="1"/>
      <c r="H869" s="1"/>
      <c r="I869" s="1"/>
      <c r="K869" s="1"/>
      <c r="L869" s="1"/>
    </row>
    <row r="870" spans="1:12">
      <c r="A870" s="1"/>
      <c r="B870" s="255"/>
      <c r="C870" s="1"/>
      <c r="D870" s="1"/>
      <c r="E870" s="255"/>
      <c r="F870" s="1"/>
      <c r="G870" s="1"/>
      <c r="H870" s="1"/>
      <c r="I870" s="1"/>
      <c r="K870" s="1"/>
      <c r="L870" s="1"/>
    </row>
    <row r="871" spans="1:12">
      <c r="A871" s="1"/>
      <c r="B871" s="255"/>
      <c r="C871" s="1"/>
      <c r="D871" s="1"/>
      <c r="E871" s="255"/>
      <c r="F871" s="1"/>
      <c r="G871" s="1"/>
      <c r="H871" s="1"/>
      <c r="I871" s="1"/>
      <c r="K871" s="1"/>
      <c r="L871" s="1"/>
    </row>
    <row r="872" spans="1:12">
      <c r="A872" s="1"/>
      <c r="B872" s="255"/>
      <c r="C872" s="1"/>
      <c r="D872" s="1"/>
      <c r="E872" s="255"/>
      <c r="F872" s="1"/>
      <c r="G872" s="1"/>
      <c r="H872" s="1"/>
      <c r="I872" s="1"/>
      <c r="K872" s="1"/>
      <c r="L872" s="1"/>
    </row>
    <row r="873" spans="1:12">
      <c r="A873" s="1"/>
      <c r="B873" s="255"/>
      <c r="C873" s="1"/>
      <c r="D873" s="1"/>
      <c r="E873" s="255"/>
      <c r="F873" s="1"/>
      <c r="G873" s="1"/>
      <c r="H873" s="1"/>
      <c r="I873" s="1"/>
      <c r="K873" s="1"/>
      <c r="L873" s="1"/>
    </row>
    <row r="874" spans="1:12">
      <c r="A874" s="1"/>
      <c r="B874" s="255"/>
      <c r="C874" s="1"/>
      <c r="D874" s="1"/>
      <c r="E874" s="255"/>
      <c r="F874" s="1"/>
      <c r="G874" s="1"/>
      <c r="H874" s="1"/>
      <c r="I874" s="1"/>
      <c r="K874" s="1"/>
      <c r="L874" s="1"/>
    </row>
    <row r="875" spans="1:12">
      <c r="A875" s="1"/>
      <c r="B875" s="255"/>
      <c r="C875" s="1"/>
      <c r="D875" s="1"/>
      <c r="E875" s="255"/>
      <c r="F875" s="1"/>
      <c r="G875" s="1"/>
      <c r="H875" s="1"/>
      <c r="I875" s="1"/>
      <c r="K875" s="1"/>
    </row>
    <row r="876" spans="1:12">
      <c r="A876" s="1"/>
      <c r="B876" s="255"/>
      <c r="C876" s="1"/>
      <c r="D876" s="1"/>
      <c r="E876" s="255"/>
      <c r="F876" s="1"/>
      <c r="G876" s="1"/>
      <c r="H876" s="1"/>
      <c r="I876" s="1"/>
      <c r="K876" s="1"/>
    </row>
    <row r="877" spans="1:12">
      <c r="A877" s="1"/>
      <c r="B877" s="255"/>
      <c r="C877" s="1"/>
      <c r="D877" s="1"/>
      <c r="E877" s="255"/>
      <c r="F877" s="1"/>
      <c r="G877" s="1"/>
      <c r="H877" s="1"/>
      <c r="I877" s="1"/>
      <c r="K877" s="1"/>
      <c r="L877" s="1"/>
    </row>
    <row r="878" spans="1:12">
      <c r="A878" s="1"/>
      <c r="B878" s="255"/>
      <c r="C878" s="1"/>
      <c r="D878" s="1"/>
      <c r="E878" s="255"/>
      <c r="F878" s="1"/>
      <c r="G878" s="1"/>
      <c r="H878" s="1"/>
      <c r="I878" s="1"/>
      <c r="K878" s="1"/>
      <c r="L878" s="1"/>
    </row>
    <row r="879" spans="1:12">
      <c r="A879" s="1"/>
      <c r="B879" s="255"/>
      <c r="C879" s="1"/>
      <c r="D879" s="1"/>
      <c r="E879" s="255"/>
      <c r="F879" s="1"/>
      <c r="G879" s="1"/>
      <c r="H879" s="1"/>
      <c r="I879" s="1"/>
      <c r="K879" s="1"/>
      <c r="L879" s="1"/>
    </row>
    <row r="880" spans="1:12">
      <c r="A880" s="1"/>
      <c r="B880" s="255"/>
      <c r="C880" s="1"/>
      <c r="D880" s="1"/>
      <c r="E880" s="255"/>
      <c r="F880" s="1"/>
      <c r="G880" s="1"/>
      <c r="H880" s="1"/>
      <c r="I880" s="1"/>
      <c r="K880" s="1"/>
      <c r="L880" s="1"/>
    </row>
    <row r="881" spans="1:12">
      <c r="A881" s="1"/>
      <c r="B881" s="255"/>
      <c r="C881" s="1"/>
      <c r="D881" s="1"/>
      <c r="E881" s="255"/>
      <c r="F881" s="1"/>
      <c r="G881" s="1"/>
      <c r="H881" s="1"/>
      <c r="I881" s="1"/>
      <c r="K881" s="1"/>
      <c r="L881" s="1"/>
    </row>
    <row r="882" spans="1:12">
      <c r="A882" s="1"/>
      <c r="B882" s="255"/>
      <c r="C882" s="1"/>
      <c r="D882" s="1"/>
      <c r="E882" s="255"/>
      <c r="F882" s="1"/>
      <c r="G882" s="1"/>
      <c r="H882" s="1"/>
      <c r="I882" s="1"/>
      <c r="K882" s="1"/>
      <c r="L882" s="1"/>
    </row>
    <row r="883" spans="1:12">
      <c r="A883" s="1"/>
      <c r="B883" s="255"/>
      <c r="C883" s="1"/>
      <c r="D883" s="1"/>
      <c r="E883" s="255"/>
      <c r="F883" s="1"/>
      <c r="G883" s="1"/>
      <c r="H883" s="1"/>
      <c r="I883" s="1"/>
      <c r="K883" s="1"/>
    </row>
    <row r="884" spans="1:12">
      <c r="A884" s="1"/>
      <c r="B884" s="255"/>
      <c r="C884" s="1"/>
      <c r="D884" s="1"/>
      <c r="E884" s="255"/>
      <c r="F884" s="1"/>
      <c r="G884" s="1"/>
      <c r="H884" s="1"/>
      <c r="I884" s="1"/>
      <c r="K884" s="1"/>
    </row>
    <row r="885" spans="1:12">
      <c r="A885" s="1"/>
      <c r="B885" s="255"/>
      <c r="C885" s="1"/>
      <c r="D885" s="1"/>
      <c r="E885" s="255"/>
      <c r="F885" s="1"/>
      <c r="G885" s="1"/>
      <c r="H885" s="1"/>
      <c r="I885" s="1"/>
      <c r="K885" s="1"/>
      <c r="L885" s="1"/>
    </row>
    <row r="886" spans="1:12">
      <c r="A886" s="1"/>
      <c r="B886" s="255"/>
      <c r="C886" s="1"/>
      <c r="D886" s="1"/>
      <c r="E886" s="255"/>
      <c r="F886" s="1"/>
      <c r="G886" s="1"/>
      <c r="H886" s="1"/>
      <c r="I886" s="1"/>
      <c r="K886" s="1"/>
      <c r="L886" s="1"/>
    </row>
    <row r="887" spans="1:12">
      <c r="A887" s="1"/>
      <c r="B887" s="255"/>
      <c r="C887" s="1"/>
      <c r="D887" s="1"/>
      <c r="E887" s="255"/>
      <c r="F887" s="1"/>
      <c r="G887" s="1"/>
      <c r="H887" s="1"/>
      <c r="I887" s="1"/>
      <c r="K887" s="1"/>
      <c r="L887" s="1"/>
    </row>
    <row r="888" spans="1:12">
      <c r="A888" s="1"/>
      <c r="B888" s="255"/>
      <c r="C888" s="1"/>
      <c r="D888" s="1"/>
      <c r="E888" s="255"/>
      <c r="F888" s="1"/>
      <c r="G888" s="1"/>
      <c r="H888" s="1"/>
      <c r="I888" s="1"/>
      <c r="K888" s="1"/>
      <c r="L888" s="1"/>
    </row>
    <row r="889" spans="1:12">
      <c r="A889" s="1"/>
      <c r="B889" s="255"/>
      <c r="C889" s="1"/>
      <c r="D889" s="1"/>
      <c r="E889" s="255"/>
      <c r="F889" s="1"/>
      <c r="G889" s="1"/>
      <c r="H889" s="1"/>
      <c r="I889" s="1"/>
      <c r="K889" s="1"/>
      <c r="L889" s="1"/>
    </row>
    <row r="890" spans="1:12">
      <c r="A890" s="1"/>
      <c r="B890" s="255"/>
      <c r="C890" s="1"/>
      <c r="D890" s="1"/>
      <c r="E890" s="255"/>
      <c r="F890" s="1"/>
      <c r="G890" s="1"/>
      <c r="H890" s="1"/>
      <c r="I890" s="1"/>
      <c r="K890" s="1"/>
      <c r="L890" s="1"/>
    </row>
    <row r="891" spans="1:12">
      <c r="A891" s="1"/>
      <c r="B891" s="255"/>
      <c r="C891" s="1"/>
      <c r="D891" s="1"/>
      <c r="E891" s="255"/>
      <c r="F891" s="1"/>
      <c r="G891" s="1"/>
      <c r="H891" s="1"/>
      <c r="I891" s="1"/>
      <c r="K891" s="1"/>
      <c r="L891" s="1"/>
    </row>
    <row r="892" spans="1:12">
      <c r="A892" s="1"/>
      <c r="B892" s="255"/>
      <c r="C892" s="1"/>
      <c r="D892" s="1"/>
      <c r="E892" s="255"/>
      <c r="F892" s="1"/>
      <c r="G892" s="1"/>
      <c r="H892" s="1"/>
      <c r="I892" s="1"/>
      <c r="K892" s="1"/>
      <c r="L892" s="1"/>
    </row>
    <row r="893" spans="1:12">
      <c r="A893" s="1"/>
      <c r="B893" s="255"/>
      <c r="C893" s="1"/>
      <c r="D893" s="1"/>
      <c r="E893" s="255"/>
      <c r="F893" s="1"/>
      <c r="G893" s="1"/>
      <c r="H893" s="1"/>
      <c r="I893" s="1"/>
      <c r="K893" s="1"/>
      <c r="L893" s="1"/>
    </row>
    <row r="894" spans="1:12">
      <c r="A894" s="1"/>
      <c r="B894" s="255"/>
      <c r="C894" s="1"/>
      <c r="D894" s="1"/>
      <c r="E894" s="255"/>
      <c r="F894" s="1"/>
      <c r="G894" s="1"/>
      <c r="H894" s="1"/>
      <c r="I894" s="1"/>
      <c r="K894" s="1"/>
      <c r="L894" s="1"/>
    </row>
    <row r="895" spans="1:12">
      <c r="A895" s="1"/>
      <c r="B895" s="255"/>
      <c r="C895" s="1"/>
      <c r="D895" s="1"/>
      <c r="E895" s="255"/>
      <c r="F895" s="1"/>
      <c r="G895" s="1"/>
      <c r="H895" s="1"/>
      <c r="I895" s="1"/>
      <c r="K895" s="1"/>
      <c r="L895" s="1"/>
    </row>
    <row r="896" spans="1:12">
      <c r="A896" s="1"/>
      <c r="B896" s="255"/>
      <c r="C896" s="1"/>
      <c r="D896" s="1"/>
      <c r="E896" s="255"/>
      <c r="F896" s="1"/>
      <c r="G896" s="1"/>
      <c r="H896" s="1"/>
      <c r="I896" s="1"/>
      <c r="K896" s="1"/>
      <c r="L896" s="1"/>
    </row>
    <row r="897" spans="1:12">
      <c r="A897" s="1"/>
      <c r="B897" s="255"/>
      <c r="C897" s="1"/>
      <c r="D897" s="1"/>
      <c r="E897" s="255"/>
      <c r="F897" s="1"/>
      <c r="G897" s="1"/>
      <c r="H897" s="1"/>
      <c r="I897" s="1"/>
      <c r="K897" s="1"/>
      <c r="L897" s="1"/>
    </row>
    <row r="898" spans="1:12">
      <c r="A898" s="1"/>
      <c r="B898" s="255"/>
      <c r="C898" s="1"/>
      <c r="D898" s="1"/>
      <c r="E898" s="255"/>
      <c r="F898" s="1"/>
      <c r="G898" s="1"/>
      <c r="H898" s="1"/>
      <c r="I898" s="1"/>
      <c r="K898" s="1"/>
      <c r="L898" s="1"/>
    </row>
    <row r="899" spans="1:12">
      <c r="A899" s="1"/>
      <c r="B899" s="255"/>
      <c r="C899" s="1"/>
      <c r="D899" s="1"/>
      <c r="E899" s="255"/>
      <c r="F899" s="1"/>
      <c r="G899" s="1"/>
      <c r="H899" s="1"/>
      <c r="I899" s="1"/>
      <c r="K899" s="1"/>
      <c r="L899" s="1"/>
    </row>
    <row r="900" spans="1:12">
      <c r="A900" s="1"/>
      <c r="B900" s="255"/>
      <c r="C900" s="1"/>
      <c r="D900" s="1"/>
      <c r="E900" s="255"/>
      <c r="F900" s="1"/>
      <c r="G900" s="1"/>
      <c r="H900" s="1"/>
      <c r="I900" s="1"/>
      <c r="K900" s="1"/>
      <c r="L900" s="1"/>
    </row>
    <row r="901" spans="1:12">
      <c r="A901" s="1"/>
      <c r="B901" s="255"/>
      <c r="C901" s="1"/>
      <c r="D901" s="1"/>
      <c r="E901" s="255"/>
      <c r="F901" s="1"/>
      <c r="G901" s="1"/>
      <c r="H901" s="1"/>
      <c r="I901" s="1"/>
      <c r="K901" s="1"/>
    </row>
    <row r="902" spans="1:12">
      <c r="A902" s="1"/>
      <c r="B902" s="255"/>
      <c r="C902" s="1"/>
      <c r="D902" s="1"/>
      <c r="E902" s="255"/>
      <c r="F902" s="1"/>
      <c r="G902" s="1"/>
      <c r="H902" s="1"/>
      <c r="I902" s="1"/>
      <c r="K902" s="1"/>
    </row>
    <row r="903" spans="1:12">
      <c r="A903" s="1"/>
      <c r="B903" s="255"/>
      <c r="C903" s="1"/>
      <c r="D903" s="1"/>
      <c r="E903" s="255"/>
      <c r="F903" s="1"/>
      <c r="G903" s="1"/>
      <c r="H903" s="1"/>
      <c r="I903" s="1"/>
      <c r="K903" s="1"/>
      <c r="L903" s="1"/>
    </row>
    <row r="904" spans="1:12">
      <c r="A904" s="1"/>
      <c r="B904" s="255"/>
      <c r="C904" s="1"/>
      <c r="D904" s="1"/>
      <c r="E904" s="255"/>
      <c r="F904" s="1"/>
      <c r="G904" s="1"/>
      <c r="H904" s="1"/>
      <c r="I904" s="1"/>
      <c r="K904" s="1"/>
      <c r="L904" s="1"/>
    </row>
    <row r="905" spans="1:12">
      <c r="A905" s="1"/>
      <c r="B905" s="255"/>
      <c r="C905" s="1"/>
      <c r="D905" s="1"/>
      <c r="E905" s="255"/>
      <c r="F905" s="1"/>
      <c r="G905" s="1"/>
      <c r="H905" s="1"/>
      <c r="I905" s="1"/>
      <c r="K905" s="1"/>
      <c r="L905" s="1"/>
    </row>
    <row r="906" spans="1:12">
      <c r="A906" s="1"/>
      <c r="B906" s="255"/>
      <c r="C906" s="1"/>
      <c r="D906" s="1"/>
      <c r="E906" s="255"/>
      <c r="F906" s="1"/>
      <c r="G906" s="1"/>
      <c r="H906" s="1"/>
      <c r="I906" s="1"/>
      <c r="K906" s="1"/>
      <c r="L906" s="1"/>
    </row>
    <row r="907" spans="1:12">
      <c r="A907" s="1"/>
      <c r="B907" s="255"/>
      <c r="C907" s="1"/>
      <c r="D907" s="1"/>
      <c r="E907" s="255"/>
      <c r="F907" s="1"/>
      <c r="G907" s="1"/>
      <c r="H907" s="1"/>
      <c r="I907" s="1"/>
      <c r="K907" s="1"/>
      <c r="L907" s="1"/>
    </row>
    <row r="908" spans="1:12">
      <c r="A908" s="1"/>
      <c r="B908" s="255"/>
      <c r="C908" s="1"/>
      <c r="D908" s="1"/>
      <c r="E908" s="255"/>
      <c r="F908" s="1"/>
      <c r="G908" s="1"/>
      <c r="H908" s="1"/>
      <c r="I908" s="1"/>
      <c r="K908" s="1"/>
      <c r="L908" s="1"/>
    </row>
    <row r="909" spans="1:12">
      <c r="A909" s="1"/>
      <c r="B909" s="255"/>
      <c r="C909" s="1"/>
      <c r="D909" s="1"/>
      <c r="E909" s="255"/>
      <c r="F909" s="1"/>
      <c r="G909" s="1"/>
      <c r="H909" s="1"/>
      <c r="I909" s="1"/>
      <c r="K909" s="1"/>
    </row>
    <row r="910" spans="1:12">
      <c r="A910" s="1"/>
      <c r="B910" s="255"/>
      <c r="C910" s="1"/>
      <c r="D910" s="1"/>
      <c r="E910" s="255"/>
      <c r="F910" s="1"/>
      <c r="G910" s="1"/>
      <c r="H910" s="1"/>
      <c r="I910" s="1"/>
      <c r="K910" s="1"/>
    </row>
    <row r="911" spans="1:12">
      <c r="A911" s="1"/>
      <c r="B911" s="255"/>
      <c r="C911" s="1"/>
      <c r="D911" s="1"/>
      <c r="E911" s="255"/>
      <c r="F911" s="1"/>
      <c r="G911" s="1"/>
      <c r="H911" s="1"/>
      <c r="I911" s="1"/>
      <c r="K911" s="1"/>
      <c r="L911" s="1"/>
    </row>
    <row r="912" spans="1:12">
      <c r="A912" s="1"/>
      <c r="B912" s="255"/>
      <c r="C912" s="1"/>
      <c r="D912" s="1"/>
      <c r="E912" s="255"/>
      <c r="F912" s="1"/>
      <c r="G912" s="1"/>
      <c r="H912" s="1"/>
      <c r="I912" s="1"/>
      <c r="K912" s="1"/>
      <c r="L912" s="1"/>
    </row>
    <row r="913" spans="1:12">
      <c r="A913" s="1"/>
      <c r="B913" s="255"/>
      <c r="C913" s="1"/>
      <c r="D913" s="1"/>
      <c r="E913" s="255"/>
      <c r="F913" s="1"/>
      <c r="G913" s="1"/>
      <c r="H913" s="1"/>
      <c r="I913" s="1"/>
      <c r="K913" s="1"/>
      <c r="L913" s="1"/>
    </row>
    <row r="914" spans="1:12">
      <c r="A914" s="1"/>
      <c r="B914" s="255"/>
      <c r="C914" s="1"/>
      <c r="D914" s="1"/>
      <c r="E914" s="255"/>
      <c r="F914" s="1"/>
      <c r="G914" s="1"/>
      <c r="H914" s="1"/>
      <c r="I914" s="1"/>
      <c r="K914" s="1"/>
      <c r="L914" s="1"/>
    </row>
    <row r="915" spans="1:12">
      <c r="A915" s="1"/>
      <c r="B915" s="255"/>
      <c r="C915" s="1"/>
      <c r="D915" s="1"/>
      <c r="E915" s="255"/>
      <c r="F915" s="1"/>
      <c r="G915" s="1"/>
      <c r="H915" s="1"/>
      <c r="I915" s="1"/>
      <c r="K915" s="1"/>
      <c r="L915" s="1"/>
    </row>
    <row r="916" spans="1:12">
      <c r="A916" s="1"/>
      <c r="B916" s="255"/>
      <c r="C916" s="1"/>
      <c r="D916" s="1"/>
      <c r="E916" s="255"/>
      <c r="F916" s="1"/>
      <c r="G916" s="1"/>
      <c r="H916" s="1"/>
      <c r="I916" s="1"/>
      <c r="K916" s="1"/>
      <c r="L916" s="1"/>
    </row>
    <row r="917" spans="1:12">
      <c r="A917" s="1"/>
      <c r="B917" s="255"/>
      <c r="C917" s="1"/>
      <c r="D917" s="1"/>
      <c r="E917" s="255"/>
      <c r="F917" s="1"/>
      <c r="G917" s="1"/>
      <c r="H917" s="1"/>
      <c r="I917" s="1"/>
      <c r="K917" s="1"/>
    </row>
    <row r="918" spans="1:12">
      <c r="A918" s="1"/>
      <c r="B918" s="255"/>
      <c r="C918" s="1"/>
      <c r="D918" s="1"/>
      <c r="E918" s="255"/>
      <c r="F918" s="1"/>
      <c r="G918" s="1"/>
      <c r="H918" s="1"/>
      <c r="I918" s="1"/>
      <c r="K918" s="1"/>
    </row>
    <row r="919" spans="1:12">
      <c r="A919" s="1"/>
      <c r="B919" s="255"/>
      <c r="C919" s="1"/>
      <c r="D919" s="1"/>
      <c r="E919" s="255"/>
      <c r="F919" s="1"/>
      <c r="G919" s="1"/>
      <c r="H919" s="1"/>
      <c r="I919" s="1"/>
      <c r="K919" s="1"/>
      <c r="L919" s="1"/>
    </row>
    <row r="920" spans="1:12">
      <c r="A920" s="1"/>
      <c r="B920" s="255"/>
      <c r="C920" s="1"/>
      <c r="D920" s="1"/>
      <c r="E920" s="255"/>
      <c r="F920" s="1"/>
      <c r="G920" s="1"/>
      <c r="H920" s="1"/>
      <c r="I920" s="1"/>
      <c r="K920" s="1"/>
      <c r="L920" s="1"/>
    </row>
    <row r="921" spans="1:12">
      <c r="A921" s="1"/>
      <c r="B921" s="255"/>
      <c r="C921" s="1"/>
      <c r="D921" s="1"/>
      <c r="E921" s="255"/>
      <c r="F921" s="1"/>
      <c r="G921" s="1"/>
      <c r="H921" s="1"/>
      <c r="I921" s="1"/>
      <c r="K921" s="1"/>
    </row>
    <row r="922" spans="1:12">
      <c r="A922" s="1"/>
      <c r="B922" s="255"/>
      <c r="C922" s="1"/>
      <c r="D922" s="1"/>
      <c r="E922" s="255"/>
      <c r="F922" s="1"/>
      <c r="G922" s="1"/>
      <c r="H922" s="1"/>
      <c r="I922" s="1"/>
      <c r="K922" s="1"/>
    </row>
    <row r="923" spans="1:12">
      <c r="A923" s="1"/>
      <c r="B923" s="255"/>
      <c r="C923" s="1"/>
      <c r="D923" s="1"/>
      <c r="E923" s="255"/>
      <c r="F923" s="1"/>
      <c r="G923" s="1"/>
      <c r="H923" s="1"/>
      <c r="I923" s="1"/>
      <c r="K923" s="1"/>
      <c r="L923" s="1"/>
    </row>
    <row r="924" spans="1:12">
      <c r="A924" s="1"/>
      <c r="B924" s="255"/>
      <c r="C924" s="1"/>
      <c r="D924" s="1"/>
      <c r="E924" s="255"/>
      <c r="F924" s="1"/>
      <c r="G924" s="1"/>
      <c r="H924" s="1"/>
      <c r="I924" s="1"/>
      <c r="K924" s="1"/>
      <c r="L924" s="1"/>
    </row>
    <row r="925" spans="1:12">
      <c r="A925" s="1"/>
      <c r="B925" s="255"/>
      <c r="C925" s="1"/>
      <c r="D925" s="1"/>
      <c r="E925" s="255"/>
      <c r="F925" s="1"/>
      <c r="G925" s="1"/>
      <c r="H925" s="1"/>
      <c r="I925" s="1"/>
      <c r="K925" s="1"/>
      <c r="L925" s="1"/>
    </row>
    <row r="926" spans="1:12">
      <c r="A926" s="1"/>
      <c r="B926" s="255"/>
      <c r="C926" s="1"/>
      <c r="D926" s="1"/>
      <c r="E926" s="255"/>
      <c r="F926" s="1"/>
      <c r="G926" s="1"/>
      <c r="H926" s="1"/>
      <c r="I926" s="1"/>
      <c r="K926" s="1"/>
      <c r="L926" s="1"/>
    </row>
    <row r="927" spans="1:12">
      <c r="A927" s="1"/>
      <c r="B927" s="255"/>
      <c r="C927" s="1"/>
      <c r="D927" s="1"/>
      <c r="E927" s="255"/>
      <c r="F927" s="1"/>
      <c r="G927" s="1"/>
      <c r="H927" s="1"/>
      <c r="I927" s="1"/>
      <c r="K927" s="1"/>
      <c r="L927" s="1"/>
    </row>
    <row r="928" spans="1:12">
      <c r="A928" s="1"/>
      <c r="B928" s="255"/>
      <c r="C928" s="1"/>
      <c r="D928" s="1"/>
      <c r="E928" s="255"/>
      <c r="F928" s="1"/>
      <c r="G928" s="1"/>
      <c r="H928" s="1"/>
      <c r="I928" s="1"/>
      <c r="K928" s="1"/>
      <c r="L928" s="1"/>
    </row>
    <row r="929" spans="1:12">
      <c r="A929" s="1"/>
      <c r="B929" s="255"/>
      <c r="C929" s="1"/>
      <c r="D929" s="1"/>
      <c r="E929" s="255"/>
      <c r="F929" s="1"/>
      <c r="G929" s="1"/>
      <c r="H929" s="1"/>
      <c r="I929" s="1"/>
      <c r="K929" s="1"/>
      <c r="L929" s="1"/>
    </row>
    <row r="930" spans="1:12">
      <c r="A930" s="1"/>
      <c r="B930" s="255"/>
      <c r="C930" s="1"/>
      <c r="D930" s="1"/>
      <c r="E930" s="255"/>
      <c r="F930" s="1"/>
      <c r="G930" s="1"/>
      <c r="H930" s="1"/>
      <c r="I930" s="1"/>
      <c r="K930" s="1"/>
      <c r="L930" s="1"/>
    </row>
    <row r="931" spans="1:12">
      <c r="A931" s="1"/>
      <c r="B931" s="255"/>
      <c r="C931" s="1"/>
      <c r="D931" s="1"/>
      <c r="E931" s="255"/>
      <c r="F931" s="1"/>
      <c r="G931" s="1"/>
      <c r="H931" s="1"/>
      <c r="I931" s="1"/>
      <c r="K931" s="1"/>
      <c r="L931" s="1"/>
    </row>
    <row r="932" spans="1:12">
      <c r="A932" s="1"/>
      <c r="B932" s="255"/>
      <c r="C932" s="1"/>
      <c r="D932" s="1"/>
      <c r="E932" s="255"/>
      <c r="F932" s="1"/>
      <c r="G932" s="1"/>
      <c r="H932" s="1"/>
      <c r="I932" s="1"/>
      <c r="K932" s="1"/>
      <c r="L932" s="1"/>
    </row>
    <row r="933" spans="1:12">
      <c r="A933" s="1"/>
      <c r="B933" s="255"/>
      <c r="C933" s="1"/>
      <c r="D933" s="1"/>
      <c r="E933" s="255"/>
      <c r="F933" s="1"/>
      <c r="G933" s="1"/>
      <c r="H933" s="1"/>
      <c r="I933" s="1"/>
      <c r="K933" s="1"/>
      <c r="L933" s="1"/>
    </row>
    <row r="934" spans="1:12">
      <c r="A934" s="1"/>
      <c r="B934" s="255"/>
      <c r="C934" s="1"/>
      <c r="D934" s="1"/>
      <c r="E934" s="255"/>
      <c r="F934" s="1"/>
      <c r="G934" s="1"/>
      <c r="H934" s="1"/>
      <c r="I934" s="1"/>
      <c r="K934" s="1"/>
      <c r="L934" s="1"/>
    </row>
    <row r="935" spans="1:12">
      <c r="A935" s="1"/>
      <c r="B935" s="255"/>
      <c r="C935" s="1"/>
      <c r="D935" s="1"/>
      <c r="E935" s="255"/>
      <c r="F935" s="1"/>
      <c r="G935" s="1"/>
      <c r="H935" s="1"/>
      <c r="I935" s="1"/>
      <c r="K935" s="1"/>
      <c r="L935" s="1"/>
    </row>
    <row r="936" spans="1:12">
      <c r="A936" s="1"/>
      <c r="B936" s="255"/>
      <c r="C936" s="1"/>
      <c r="D936" s="1"/>
      <c r="E936" s="255"/>
      <c r="F936" s="1"/>
      <c r="G936" s="1"/>
      <c r="H936" s="1"/>
      <c r="I936" s="1"/>
      <c r="K936" s="1"/>
      <c r="L936" s="1"/>
    </row>
    <row r="937" spans="1:12">
      <c r="A937" s="1"/>
      <c r="B937" s="255"/>
      <c r="C937" s="1"/>
      <c r="D937" s="1"/>
      <c r="E937" s="255"/>
      <c r="F937" s="1"/>
      <c r="G937" s="1"/>
      <c r="H937" s="1"/>
      <c r="I937" s="1"/>
      <c r="K937" s="1"/>
    </row>
    <row r="938" spans="1:12">
      <c r="A938" s="1"/>
      <c r="B938" s="255"/>
      <c r="C938" s="1"/>
      <c r="D938" s="1"/>
      <c r="E938" s="255"/>
      <c r="F938" s="1"/>
      <c r="G938" s="1"/>
      <c r="H938" s="1"/>
      <c r="I938" s="1"/>
      <c r="K938" s="1"/>
    </row>
    <row r="939" spans="1:12">
      <c r="A939" s="1"/>
      <c r="B939" s="255"/>
      <c r="C939" s="1"/>
      <c r="D939" s="1"/>
      <c r="E939" s="255"/>
      <c r="F939" s="1"/>
      <c r="G939" s="1"/>
      <c r="H939" s="1"/>
      <c r="I939" s="1"/>
      <c r="K939" s="1"/>
      <c r="L939" s="1"/>
    </row>
    <row r="940" spans="1:12">
      <c r="A940" s="1"/>
      <c r="B940" s="255"/>
      <c r="C940" s="1"/>
      <c r="D940" s="1"/>
      <c r="E940" s="255"/>
      <c r="F940" s="1"/>
      <c r="G940" s="1"/>
      <c r="H940" s="1"/>
      <c r="I940" s="1"/>
      <c r="K940" s="1"/>
      <c r="L940" s="1"/>
    </row>
    <row r="941" spans="1:12">
      <c r="A941" s="1"/>
      <c r="B941" s="255"/>
      <c r="C941" s="1"/>
      <c r="D941" s="1"/>
      <c r="E941" s="255"/>
      <c r="F941" s="1"/>
      <c r="G941" s="1"/>
      <c r="H941" s="1"/>
      <c r="I941" s="1"/>
      <c r="K941" s="1"/>
      <c r="L941" s="1"/>
    </row>
    <row r="942" spans="1:12">
      <c r="A942" s="1"/>
      <c r="B942" s="255"/>
      <c r="C942" s="1"/>
      <c r="D942" s="1"/>
      <c r="E942" s="255"/>
      <c r="F942" s="1"/>
      <c r="G942" s="1"/>
      <c r="H942" s="1"/>
      <c r="I942" s="1"/>
      <c r="K942" s="1"/>
      <c r="L942" s="1"/>
    </row>
    <row r="943" spans="1:12">
      <c r="A943" s="1"/>
      <c r="B943" s="255"/>
      <c r="C943" s="1"/>
      <c r="D943" s="1"/>
      <c r="E943" s="255"/>
      <c r="F943" s="1"/>
      <c r="G943" s="1"/>
      <c r="H943" s="1"/>
      <c r="I943" s="1"/>
      <c r="K943" s="1"/>
    </row>
    <row r="944" spans="1:12">
      <c r="A944" s="1"/>
      <c r="B944" s="255"/>
      <c r="C944" s="1"/>
      <c r="D944" s="1"/>
      <c r="E944" s="255"/>
      <c r="F944" s="1"/>
      <c r="G944" s="1"/>
      <c r="H944" s="1"/>
      <c r="I944" s="1"/>
      <c r="K944" s="1"/>
    </row>
    <row r="945" spans="1:12">
      <c r="A945" s="1"/>
      <c r="B945" s="255"/>
      <c r="C945" s="1"/>
      <c r="D945" s="1"/>
      <c r="E945" s="255"/>
      <c r="F945" s="1"/>
      <c r="G945" s="1"/>
      <c r="H945" s="1"/>
      <c r="I945" s="1"/>
      <c r="K945" s="1"/>
      <c r="L945" s="1"/>
    </row>
    <row r="946" spans="1:12">
      <c r="A946" s="1"/>
      <c r="B946" s="255"/>
      <c r="C946" s="1"/>
      <c r="D946" s="1"/>
      <c r="E946" s="255"/>
      <c r="F946" s="1"/>
      <c r="G946" s="1"/>
      <c r="H946" s="1"/>
      <c r="I946" s="1"/>
      <c r="K946" s="1"/>
      <c r="L946" s="1"/>
    </row>
    <row r="947" spans="1:12">
      <c r="A947" s="1"/>
      <c r="B947" s="255"/>
      <c r="C947" s="1"/>
      <c r="D947" s="1"/>
      <c r="E947" s="255"/>
      <c r="F947" s="1"/>
      <c r="G947" s="1"/>
      <c r="H947" s="1"/>
      <c r="I947" s="1"/>
      <c r="K947" s="1"/>
      <c r="L947" s="1"/>
    </row>
    <row r="948" spans="1:12">
      <c r="A948" s="1"/>
      <c r="B948" s="255"/>
      <c r="C948" s="1"/>
      <c r="D948" s="1"/>
      <c r="E948" s="255"/>
      <c r="F948" s="1"/>
      <c r="G948" s="1"/>
      <c r="H948" s="1"/>
      <c r="I948" s="1"/>
      <c r="K948" s="1"/>
      <c r="L948" s="1"/>
    </row>
    <row r="949" spans="1:12">
      <c r="A949" s="1"/>
      <c r="B949" s="255"/>
      <c r="C949" s="1"/>
      <c r="D949" s="1"/>
      <c r="E949" s="255"/>
      <c r="F949" s="1"/>
      <c r="G949" s="1"/>
      <c r="H949" s="1"/>
      <c r="I949" s="1"/>
      <c r="K949" s="1"/>
      <c r="L949" s="1"/>
    </row>
    <row r="950" spans="1:12">
      <c r="A950" s="1"/>
      <c r="B950" s="255"/>
      <c r="C950" s="1"/>
      <c r="D950" s="1"/>
      <c r="E950" s="255"/>
      <c r="F950" s="1"/>
      <c r="G950" s="1"/>
      <c r="H950" s="1"/>
      <c r="I950" s="1"/>
      <c r="K950" s="1"/>
      <c r="L950" s="1"/>
    </row>
    <row r="951" spans="1:12">
      <c r="A951" s="1"/>
      <c r="B951" s="255"/>
      <c r="C951" s="1"/>
      <c r="D951" s="1"/>
      <c r="E951" s="255"/>
      <c r="F951" s="1"/>
      <c r="G951" s="1"/>
      <c r="H951" s="1"/>
      <c r="I951" s="1"/>
      <c r="K951" s="1"/>
      <c r="L951" s="1"/>
    </row>
    <row r="952" spans="1:12">
      <c r="A952" s="1"/>
      <c r="B952" s="255"/>
      <c r="C952" s="1"/>
      <c r="D952" s="1"/>
      <c r="E952" s="255"/>
      <c r="F952" s="1"/>
      <c r="G952" s="1"/>
      <c r="H952" s="1"/>
      <c r="I952" s="1"/>
      <c r="K952" s="1"/>
      <c r="L952" s="1"/>
    </row>
    <row r="953" spans="1:12">
      <c r="A953" s="1"/>
      <c r="B953" s="255"/>
      <c r="C953" s="1"/>
      <c r="D953" s="1"/>
      <c r="E953" s="255"/>
      <c r="F953" s="1"/>
      <c r="G953" s="1"/>
      <c r="H953" s="1"/>
      <c r="I953" s="1"/>
      <c r="K953" s="1"/>
      <c r="L953" s="1"/>
    </row>
    <row r="954" spans="1:12">
      <c r="A954" s="1"/>
      <c r="B954" s="255"/>
      <c r="C954" s="1"/>
      <c r="D954" s="1"/>
      <c r="E954" s="255"/>
      <c r="F954" s="1"/>
      <c r="G954" s="1"/>
      <c r="H954" s="1"/>
      <c r="I954" s="1"/>
      <c r="K954" s="1"/>
      <c r="L954" s="1"/>
    </row>
    <row r="955" spans="1:12">
      <c r="A955" s="1"/>
      <c r="B955" s="255"/>
      <c r="C955" s="1"/>
      <c r="D955" s="1"/>
      <c r="E955" s="255"/>
      <c r="F955" s="1"/>
      <c r="G955" s="1"/>
      <c r="H955" s="1"/>
      <c r="I955" s="1"/>
      <c r="K955" s="1"/>
    </row>
    <row r="956" spans="1:12">
      <c r="A956" s="1"/>
      <c r="B956" s="255"/>
      <c r="C956" s="1"/>
      <c r="D956" s="1"/>
      <c r="E956" s="255"/>
      <c r="F956" s="1"/>
      <c r="G956" s="1"/>
      <c r="H956" s="1"/>
      <c r="I956" s="1"/>
      <c r="K956" s="1"/>
    </row>
    <row r="957" spans="1:12">
      <c r="A957" s="1"/>
      <c r="B957" s="255"/>
      <c r="C957" s="1"/>
      <c r="D957" s="1"/>
      <c r="E957" s="255"/>
      <c r="F957" s="1"/>
      <c r="G957" s="1"/>
      <c r="H957" s="1"/>
      <c r="I957" s="1"/>
      <c r="K957" s="1"/>
    </row>
    <row r="958" spans="1:12">
      <c r="A958" s="1"/>
      <c r="B958" s="255"/>
      <c r="C958" s="1"/>
      <c r="D958" s="1"/>
      <c r="E958" s="255"/>
      <c r="F958" s="1"/>
      <c r="G958" s="1"/>
      <c r="H958" s="1"/>
      <c r="I958" s="1"/>
      <c r="K958" s="1"/>
    </row>
    <row r="959" spans="1:12">
      <c r="A959" s="1"/>
      <c r="B959" s="255"/>
      <c r="C959" s="1"/>
      <c r="D959" s="1"/>
      <c r="E959" s="255"/>
      <c r="F959" s="1"/>
      <c r="G959" s="1"/>
      <c r="H959" s="1"/>
      <c r="I959" s="1"/>
      <c r="K959" s="1"/>
      <c r="L959" s="1"/>
    </row>
    <row r="960" spans="1:12">
      <c r="A960" s="1"/>
      <c r="B960" s="255"/>
      <c r="C960" s="1"/>
      <c r="D960" s="1"/>
      <c r="E960" s="255"/>
      <c r="F960" s="1"/>
      <c r="G960" s="1"/>
      <c r="H960" s="1"/>
      <c r="I960" s="1"/>
      <c r="K960" s="1"/>
      <c r="L960" s="1"/>
    </row>
    <row r="961" spans="1:12">
      <c r="A961" s="1"/>
      <c r="B961" s="255"/>
      <c r="C961" s="1"/>
      <c r="D961" s="1"/>
      <c r="E961" s="255"/>
      <c r="F961" s="1"/>
      <c r="G961" s="1"/>
      <c r="H961" s="1"/>
      <c r="I961" s="1"/>
      <c r="K961" s="1"/>
      <c r="L961" s="1"/>
    </row>
    <row r="962" spans="1:12">
      <c r="A962" s="1"/>
      <c r="B962" s="255"/>
      <c r="C962" s="1"/>
      <c r="D962" s="1"/>
      <c r="E962" s="255"/>
      <c r="F962" s="1"/>
      <c r="G962" s="1"/>
      <c r="H962" s="1"/>
      <c r="I962" s="1"/>
      <c r="K962" s="1"/>
      <c r="L962" s="1"/>
    </row>
    <row r="963" spans="1:12">
      <c r="A963" s="1"/>
      <c r="B963" s="255"/>
      <c r="C963" s="1"/>
      <c r="D963" s="1"/>
      <c r="E963" s="255"/>
      <c r="F963" s="1"/>
      <c r="G963" s="1"/>
      <c r="H963" s="1"/>
      <c r="I963" s="1"/>
      <c r="K963" s="1"/>
      <c r="L963" s="1"/>
    </row>
    <row r="964" spans="1:12">
      <c r="A964" s="1"/>
      <c r="B964" s="255"/>
      <c r="C964" s="1"/>
      <c r="D964" s="1"/>
      <c r="E964" s="255"/>
      <c r="F964" s="1"/>
      <c r="G964" s="1"/>
      <c r="H964" s="1"/>
      <c r="I964" s="1"/>
      <c r="K964" s="1"/>
      <c r="L964" s="1"/>
    </row>
    <row r="965" spans="1:12">
      <c r="A965" s="1"/>
      <c r="B965" s="255"/>
      <c r="C965" s="1"/>
      <c r="D965" s="1"/>
      <c r="E965" s="255"/>
      <c r="F965" s="1"/>
      <c r="G965" s="1"/>
      <c r="H965" s="1"/>
      <c r="I965" s="1"/>
      <c r="K965" s="1"/>
      <c r="L965" s="1"/>
    </row>
    <row r="966" spans="1:12">
      <c r="A966" s="1"/>
      <c r="B966" s="255"/>
      <c r="C966" s="1"/>
      <c r="D966" s="1"/>
      <c r="E966" s="255"/>
      <c r="F966" s="1"/>
      <c r="G966" s="1"/>
      <c r="H966" s="1"/>
      <c r="I966" s="1"/>
      <c r="K966" s="1"/>
      <c r="L966" s="1"/>
    </row>
    <row r="967" spans="1:12">
      <c r="A967" s="1"/>
      <c r="B967" s="255"/>
      <c r="C967" s="1"/>
      <c r="D967" s="1"/>
      <c r="E967" s="255"/>
      <c r="F967" s="1"/>
      <c r="G967" s="1"/>
      <c r="H967" s="1"/>
      <c r="I967" s="1"/>
      <c r="K967" s="1"/>
      <c r="L967" s="1"/>
    </row>
    <row r="968" spans="1:12">
      <c r="A968" s="1"/>
      <c r="B968" s="255"/>
      <c r="C968" s="1"/>
      <c r="D968" s="1"/>
      <c r="E968" s="255"/>
      <c r="F968" s="1"/>
      <c r="G968" s="1"/>
      <c r="H968" s="1"/>
      <c r="I968" s="1"/>
      <c r="K968" s="1"/>
      <c r="L968" s="1"/>
    </row>
    <row r="969" spans="1:12">
      <c r="A969" s="1"/>
      <c r="B969" s="255"/>
      <c r="C969" s="1"/>
      <c r="D969" s="1"/>
      <c r="E969" s="255"/>
      <c r="F969" s="1"/>
      <c r="G969" s="1"/>
      <c r="H969" s="1"/>
      <c r="I969" s="1"/>
      <c r="K969" s="1"/>
    </row>
    <row r="970" spans="1:12">
      <c r="A970" s="1"/>
      <c r="B970" s="255"/>
      <c r="C970" s="1"/>
      <c r="D970" s="1"/>
      <c r="E970" s="255"/>
      <c r="F970" s="1"/>
      <c r="G970" s="1"/>
      <c r="H970" s="1"/>
      <c r="I970" s="1"/>
      <c r="K970" s="1"/>
    </row>
    <row r="971" spans="1:12">
      <c r="A971" s="1"/>
      <c r="B971" s="255"/>
      <c r="C971" s="1"/>
      <c r="D971" s="1"/>
      <c r="E971" s="255"/>
      <c r="F971" s="1"/>
      <c r="G971" s="1"/>
      <c r="H971" s="1"/>
      <c r="I971" s="1"/>
      <c r="K971" s="1"/>
    </row>
    <row r="972" spans="1:12">
      <c r="A972" s="1"/>
      <c r="B972" s="255"/>
      <c r="C972" s="1"/>
      <c r="D972" s="1"/>
      <c r="E972" s="255"/>
      <c r="F972" s="1"/>
      <c r="G972" s="1"/>
      <c r="H972" s="1"/>
      <c r="I972" s="1"/>
      <c r="K972" s="1"/>
    </row>
    <row r="973" spans="1:12">
      <c r="A973" s="1"/>
      <c r="B973" s="255"/>
      <c r="C973" s="1"/>
      <c r="D973" s="1"/>
      <c r="E973" s="255"/>
      <c r="F973" s="1"/>
      <c r="G973" s="1"/>
      <c r="H973" s="1"/>
      <c r="I973" s="1"/>
      <c r="K973" s="1"/>
      <c r="L973" s="1"/>
    </row>
    <row r="974" spans="1:12">
      <c r="A974" s="1"/>
      <c r="B974" s="255"/>
      <c r="C974" s="1"/>
      <c r="D974" s="1"/>
      <c r="E974" s="255"/>
      <c r="F974" s="1"/>
      <c r="G974" s="1"/>
      <c r="H974" s="1"/>
      <c r="I974" s="1"/>
      <c r="K974" s="1"/>
      <c r="L974" s="1"/>
    </row>
    <row r="975" spans="1:12">
      <c r="A975" s="1"/>
      <c r="B975" s="255"/>
      <c r="C975" s="1"/>
      <c r="D975" s="1"/>
      <c r="E975" s="255"/>
      <c r="F975" s="1"/>
      <c r="G975" s="1"/>
      <c r="H975" s="1"/>
      <c r="I975" s="1"/>
      <c r="K975" s="1"/>
      <c r="L975" s="1"/>
    </row>
    <row r="976" spans="1:12">
      <c r="A976" s="1"/>
      <c r="B976" s="255"/>
      <c r="C976" s="1"/>
      <c r="D976" s="1"/>
      <c r="E976" s="255"/>
      <c r="F976" s="1"/>
      <c r="G976" s="1"/>
      <c r="H976" s="1"/>
      <c r="I976" s="1"/>
      <c r="K976" s="1"/>
      <c r="L976" s="1"/>
    </row>
    <row r="977" spans="1:12">
      <c r="A977" s="1"/>
      <c r="B977" s="255"/>
      <c r="C977" s="1"/>
      <c r="D977" s="1"/>
      <c r="E977" s="255"/>
      <c r="F977" s="1"/>
      <c r="G977" s="1"/>
      <c r="H977" s="1"/>
      <c r="I977" s="1"/>
      <c r="K977" s="1"/>
      <c r="L977" s="1"/>
    </row>
    <row r="978" spans="1:12">
      <c r="A978" s="1"/>
      <c r="B978" s="255"/>
      <c r="C978" s="1"/>
      <c r="D978" s="1"/>
      <c r="E978" s="255"/>
      <c r="F978" s="1"/>
      <c r="G978" s="1"/>
      <c r="H978" s="1"/>
      <c r="I978" s="1"/>
      <c r="K978" s="1"/>
      <c r="L978" s="1"/>
    </row>
    <row r="979" spans="1:12">
      <c r="A979" s="1"/>
      <c r="B979" s="255"/>
      <c r="C979" s="1"/>
      <c r="D979" s="1"/>
      <c r="E979" s="255"/>
      <c r="F979" s="1"/>
      <c r="G979" s="1"/>
      <c r="H979" s="1"/>
      <c r="I979" s="1"/>
      <c r="K979" s="1"/>
      <c r="L979" s="1"/>
    </row>
    <row r="980" spans="1:12">
      <c r="A980" s="1"/>
      <c r="B980" s="255"/>
      <c r="C980" s="1"/>
      <c r="D980" s="1"/>
      <c r="E980" s="255"/>
      <c r="F980" s="1"/>
      <c r="G980" s="1"/>
      <c r="H980" s="1"/>
      <c r="I980" s="1"/>
      <c r="K980" s="1"/>
      <c r="L980" s="1"/>
    </row>
    <row r="981" spans="1:12">
      <c r="A981" s="1"/>
      <c r="B981" s="255"/>
      <c r="C981" s="1"/>
      <c r="D981" s="1"/>
      <c r="E981" s="255"/>
      <c r="F981" s="1"/>
      <c r="G981" s="1"/>
      <c r="H981" s="1"/>
      <c r="I981" s="1"/>
      <c r="K981" s="1"/>
    </row>
    <row r="982" spans="1:12">
      <c r="A982" s="1"/>
      <c r="B982" s="255"/>
      <c r="C982" s="1"/>
      <c r="D982" s="1"/>
      <c r="E982" s="255"/>
      <c r="F982" s="1"/>
      <c r="G982" s="1"/>
      <c r="H982" s="1"/>
      <c r="I982" s="1"/>
      <c r="K982" s="1"/>
    </row>
    <row r="983" spans="1:12">
      <c r="A983" s="1"/>
      <c r="B983" s="255"/>
      <c r="C983" s="1"/>
      <c r="D983" s="1"/>
      <c r="E983" s="255"/>
      <c r="F983" s="1"/>
      <c r="G983" s="1"/>
      <c r="H983" s="1"/>
      <c r="I983" s="1"/>
      <c r="K983" s="1"/>
      <c r="L983" s="1"/>
    </row>
    <row r="984" spans="1:12">
      <c r="A984" s="1"/>
      <c r="B984" s="255"/>
      <c r="C984" s="1"/>
      <c r="D984" s="1"/>
      <c r="E984" s="255"/>
      <c r="F984" s="1"/>
      <c r="G984" s="1"/>
      <c r="H984" s="1"/>
      <c r="I984" s="1"/>
      <c r="K984" s="1"/>
      <c r="L984" s="1"/>
    </row>
    <row r="985" spans="1:12">
      <c r="A985" s="1"/>
      <c r="B985" s="255"/>
      <c r="C985" s="1"/>
      <c r="D985" s="1"/>
      <c r="E985" s="255"/>
      <c r="F985" s="1"/>
      <c r="G985" s="1"/>
      <c r="H985" s="1"/>
      <c r="I985" s="1"/>
      <c r="K985" s="1"/>
      <c r="L985" s="1"/>
    </row>
    <row r="986" spans="1:12">
      <c r="A986" s="1"/>
      <c r="B986" s="255"/>
      <c r="C986" s="1"/>
      <c r="D986" s="1"/>
      <c r="E986" s="255"/>
      <c r="F986" s="1"/>
      <c r="G986" s="1"/>
      <c r="H986" s="1"/>
      <c r="I986" s="1"/>
      <c r="K986" s="1"/>
      <c r="L986" s="1"/>
    </row>
    <row r="987" spans="1:12">
      <c r="A987" s="1"/>
      <c r="B987" s="255"/>
      <c r="C987" s="1"/>
      <c r="D987" s="1"/>
      <c r="E987" s="255"/>
      <c r="F987" s="1"/>
      <c r="G987" s="1"/>
      <c r="H987" s="1"/>
      <c r="I987" s="1"/>
      <c r="K987" s="1"/>
      <c r="L987" s="1"/>
    </row>
    <row r="988" spans="1:12">
      <c r="A988" s="1"/>
      <c r="B988" s="255"/>
      <c r="C988" s="1"/>
      <c r="D988" s="1"/>
      <c r="E988" s="255"/>
      <c r="F988" s="1"/>
      <c r="G988" s="1"/>
      <c r="H988" s="1"/>
      <c r="I988" s="1"/>
      <c r="K988" s="1"/>
      <c r="L988" s="1"/>
    </row>
    <row r="989" spans="1:12">
      <c r="A989" s="1"/>
      <c r="B989" s="255"/>
      <c r="C989" s="1"/>
      <c r="D989" s="1"/>
      <c r="E989" s="255"/>
      <c r="F989" s="1"/>
      <c r="G989" s="1"/>
      <c r="H989" s="1"/>
      <c r="I989" s="1"/>
      <c r="K989" s="1"/>
    </row>
    <row r="990" spans="1:12">
      <c r="A990" s="1"/>
      <c r="B990" s="255"/>
      <c r="C990" s="1"/>
      <c r="D990" s="1"/>
      <c r="E990" s="255"/>
      <c r="F990" s="1"/>
      <c r="G990" s="1"/>
      <c r="H990" s="1"/>
      <c r="I990" s="1"/>
      <c r="K990" s="1"/>
    </row>
    <row r="991" spans="1:12">
      <c r="A991" s="1"/>
      <c r="B991" s="255"/>
      <c r="C991" s="1"/>
      <c r="D991" s="1"/>
      <c r="E991" s="255"/>
      <c r="F991" s="1"/>
      <c r="G991" s="1"/>
      <c r="H991" s="1"/>
      <c r="I991" s="1"/>
      <c r="K991" s="1"/>
      <c r="L991" s="1"/>
    </row>
    <row r="992" spans="1:12">
      <c r="A992" s="1"/>
      <c r="B992" s="255"/>
      <c r="C992" s="1"/>
      <c r="D992" s="1"/>
      <c r="E992" s="255"/>
      <c r="F992" s="1"/>
      <c r="G992" s="1"/>
      <c r="H992" s="1"/>
      <c r="I992" s="1"/>
      <c r="K992" s="1"/>
      <c r="L992" s="1"/>
    </row>
    <row r="993" spans="1:12">
      <c r="A993" s="1"/>
      <c r="B993" s="255"/>
      <c r="C993" s="1"/>
      <c r="D993" s="1"/>
      <c r="E993" s="255"/>
      <c r="F993" s="1"/>
      <c r="G993" s="1"/>
      <c r="H993" s="1"/>
      <c r="I993" s="1"/>
      <c r="K993" s="1"/>
      <c r="L993" s="1"/>
    </row>
    <row r="994" spans="1:12">
      <c r="A994" s="1"/>
      <c r="B994" s="255"/>
      <c r="C994" s="1"/>
      <c r="D994" s="1"/>
      <c r="E994" s="255"/>
      <c r="F994" s="1"/>
      <c r="G994" s="1"/>
      <c r="H994" s="1"/>
      <c r="I994" s="1"/>
      <c r="K994" s="1"/>
      <c r="L994" s="1"/>
    </row>
    <row r="995" spans="1:12">
      <c r="A995" s="1"/>
      <c r="B995" s="255"/>
      <c r="C995" s="1"/>
      <c r="D995" s="1"/>
      <c r="E995" s="255"/>
      <c r="F995" s="1"/>
      <c r="G995" s="1"/>
      <c r="H995" s="1"/>
      <c r="I995" s="1"/>
      <c r="K995" s="1"/>
      <c r="L995" s="1"/>
    </row>
    <row r="996" spans="1:12">
      <c r="A996" s="1"/>
      <c r="B996" s="255"/>
      <c r="C996" s="1"/>
      <c r="D996" s="1"/>
      <c r="E996" s="255"/>
      <c r="F996" s="1"/>
      <c r="G996" s="1"/>
      <c r="H996" s="1"/>
      <c r="I996" s="1"/>
      <c r="K996" s="1"/>
      <c r="L996" s="1"/>
    </row>
    <row r="997" spans="1:12">
      <c r="A997" s="1"/>
      <c r="B997" s="255"/>
      <c r="C997" s="1"/>
      <c r="D997" s="1"/>
      <c r="E997" s="255"/>
      <c r="F997" s="1"/>
      <c r="G997" s="1"/>
      <c r="H997" s="1"/>
      <c r="I997" s="1"/>
      <c r="K997" s="1"/>
      <c r="L997" s="1"/>
    </row>
    <row r="998" spans="1:12">
      <c r="A998" s="1"/>
      <c r="B998" s="255"/>
      <c r="C998" s="1"/>
      <c r="D998" s="1"/>
      <c r="E998" s="255"/>
      <c r="F998" s="1"/>
      <c r="G998" s="1"/>
      <c r="H998" s="1"/>
      <c r="I998" s="1"/>
      <c r="K998" s="1"/>
      <c r="L998" s="1"/>
    </row>
    <row r="999" spans="1:12">
      <c r="A999" s="1"/>
      <c r="B999" s="255"/>
      <c r="C999" s="1"/>
      <c r="D999" s="1"/>
      <c r="E999" s="255"/>
      <c r="F999" s="1"/>
      <c r="G999" s="1"/>
      <c r="H999" s="1"/>
      <c r="I999" s="1"/>
      <c r="K999" s="1"/>
      <c r="L999" s="1"/>
    </row>
    <row r="1000" spans="1:12">
      <c r="A1000" s="1"/>
      <c r="B1000" s="255"/>
      <c r="C1000" s="1"/>
      <c r="D1000" s="1"/>
      <c r="E1000" s="255"/>
      <c r="F1000" s="1"/>
      <c r="G1000" s="1"/>
      <c r="H1000" s="1"/>
      <c r="I1000" s="1"/>
      <c r="K1000" s="1"/>
      <c r="L1000" s="1"/>
    </row>
    <row r="1001" spans="1:12">
      <c r="A1001" s="1"/>
      <c r="B1001" s="255"/>
      <c r="C1001" s="1"/>
      <c r="D1001" s="1"/>
      <c r="E1001" s="255"/>
      <c r="F1001" s="1"/>
      <c r="G1001" s="1"/>
      <c r="H1001" s="1"/>
      <c r="I1001" s="1"/>
      <c r="K1001" s="1"/>
      <c r="L1001" s="1"/>
    </row>
    <row r="1002" spans="1:12">
      <c r="A1002" s="1"/>
      <c r="B1002" s="255"/>
      <c r="C1002" s="1"/>
      <c r="D1002" s="1"/>
      <c r="E1002" s="255"/>
      <c r="F1002" s="1"/>
      <c r="G1002" s="1"/>
      <c r="H1002" s="1"/>
      <c r="I1002" s="1"/>
      <c r="K1002" s="1"/>
      <c r="L1002" s="1"/>
    </row>
    <row r="1003" spans="1:12">
      <c r="A1003" s="1"/>
      <c r="B1003" s="255"/>
      <c r="C1003" s="1"/>
      <c r="D1003" s="1"/>
      <c r="E1003" s="255"/>
      <c r="F1003" s="1"/>
      <c r="G1003" s="1"/>
      <c r="H1003" s="1"/>
      <c r="I1003" s="1"/>
      <c r="K1003" s="1"/>
      <c r="L1003" s="1"/>
    </row>
    <row r="1004" spans="1:12">
      <c r="A1004" s="1"/>
      <c r="B1004" s="255"/>
      <c r="C1004" s="1"/>
      <c r="D1004" s="1"/>
      <c r="E1004" s="255"/>
      <c r="F1004" s="1"/>
      <c r="G1004" s="1"/>
      <c r="H1004" s="1"/>
      <c r="I1004" s="1"/>
      <c r="K1004" s="1"/>
      <c r="L1004" s="1"/>
    </row>
    <row r="1005" spans="1:12">
      <c r="A1005" s="1"/>
      <c r="B1005" s="255"/>
      <c r="C1005" s="1"/>
      <c r="D1005" s="1"/>
      <c r="E1005" s="255"/>
      <c r="F1005" s="1"/>
      <c r="G1005" s="1"/>
      <c r="H1005" s="1"/>
      <c r="I1005" s="1"/>
      <c r="K1005" s="1"/>
      <c r="L1005" s="1"/>
    </row>
    <row r="1006" spans="1:12">
      <c r="A1006" s="1"/>
      <c r="B1006" s="255"/>
      <c r="C1006" s="1"/>
      <c r="D1006" s="1"/>
      <c r="E1006" s="255"/>
      <c r="F1006" s="1"/>
      <c r="G1006" s="1"/>
      <c r="H1006" s="1"/>
      <c r="I1006" s="1"/>
      <c r="K1006" s="1"/>
      <c r="L1006" s="1"/>
    </row>
    <row r="1007" spans="1:12">
      <c r="A1007" s="1"/>
      <c r="B1007" s="255"/>
      <c r="C1007" s="1"/>
      <c r="D1007" s="1"/>
      <c r="E1007" s="255"/>
      <c r="F1007" s="1"/>
      <c r="G1007" s="1"/>
      <c r="H1007" s="1"/>
      <c r="I1007" s="1"/>
      <c r="K1007" s="1"/>
    </row>
    <row r="1008" spans="1:12">
      <c r="A1008" s="1"/>
      <c r="B1008" s="255"/>
      <c r="C1008" s="1"/>
      <c r="D1008" s="1"/>
      <c r="E1008" s="255"/>
      <c r="F1008" s="1"/>
      <c r="G1008" s="1"/>
      <c r="H1008" s="1"/>
      <c r="I1008" s="1"/>
      <c r="K1008" s="1"/>
    </row>
    <row r="1009" spans="1:12">
      <c r="A1009" s="1"/>
      <c r="B1009" s="255"/>
      <c r="C1009" s="1"/>
      <c r="D1009" s="1"/>
      <c r="E1009" s="255"/>
      <c r="F1009" s="1"/>
      <c r="G1009" s="1"/>
      <c r="H1009" s="1"/>
      <c r="I1009" s="1"/>
      <c r="K1009" s="1"/>
      <c r="L1009" s="1"/>
    </row>
    <row r="1010" spans="1:12">
      <c r="A1010" s="1"/>
      <c r="B1010" s="255"/>
      <c r="C1010" s="1"/>
      <c r="D1010" s="1"/>
      <c r="E1010" s="255"/>
      <c r="F1010" s="1"/>
      <c r="G1010" s="1"/>
      <c r="H1010" s="1"/>
      <c r="I1010" s="1"/>
      <c r="K1010" s="1"/>
      <c r="L1010" s="1"/>
    </row>
    <row r="1011" spans="1:12">
      <c r="A1011" s="1"/>
      <c r="B1011" s="255"/>
      <c r="C1011" s="1"/>
      <c r="D1011" s="1"/>
      <c r="E1011" s="255"/>
      <c r="F1011" s="1"/>
      <c r="G1011" s="1"/>
      <c r="H1011" s="1"/>
      <c r="I1011" s="1"/>
      <c r="K1011" s="1"/>
      <c r="L1011" s="1"/>
    </row>
    <row r="1012" spans="1:12">
      <c r="A1012" s="1"/>
      <c r="B1012" s="255"/>
      <c r="C1012" s="1"/>
      <c r="D1012" s="1"/>
      <c r="E1012" s="255"/>
      <c r="F1012" s="1"/>
      <c r="G1012" s="1"/>
      <c r="H1012" s="1"/>
      <c r="I1012" s="1"/>
      <c r="K1012" s="1"/>
      <c r="L1012" s="1"/>
    </row>
    <row r="1013" spans="1:12">
      <c r="A1013" s="1"/>
      <c r="B1013" s="255"/>
      <c r="C1013" s="1"/>
      <c r="D1013" s="1"/>
      <c r="E1013" s="255"/>
      <c r="F1013" s="1"/>
      <c r="G1013" s="1"/>
      <c r="H1013" s="1"/>
      <c r="I1013" s="1"/>
      <c r="K1013" s="1"/>
      <c r="L1013" s="1"/>
    </row>
    <row r="1014" spans="1:12">
      <c r="A1014" s="1"/>
      <c r="B1014" s="255"/>
      <c r="C1014" s="1"/>
      <c r="D1014" s="1"/>
      <c r="E1014" s="255"/>
      <c r="F1014" s="1"/>
      <c r="G1014" s="1"/>
      <c r="H1014" s="1"/>
      <c r="I1014" s="1"/>
      <c r="K1014" s="1"/>
      <c r="L1014" s="1"/>
    </row>
    <row r="1015" spans="1:12">
      <c r="A1015" s="1"/>
      <c r="B1015" s="255"/>
      <c r="C1015" s="1"/>
      <c r="D1015" s="1"/>
      <c r="E1015" s="255"/>
      <c r="F1015" s="1"/>
      <c r="G1015" s="1"/>
      <c r="H1015" s="1"/>
      <c r="I1015" s="1"/>
      <c r="K1015" s="1"/>
      <c r="L1015" s="1"/>
    </row>
    <row r="1016" spans="1:12">
      <c r="A1016" s="1"/>
      <c r="B1016" s="255"/>
      <c r="C1016" s="1"/>
      <c r="D1016" s="1"/>
      <c r="E1016" s="255"/>
      <c r="F1016" s="1"/>
      <c r="G1016" s="1"/>
      <c r="H1016" s="1"/>
      <c r="I1016" s="1"/>
      <c r="K1016" s="1"/>
      <c r="L1016" s="1"/>
    </row>
    <row r="1017" spans="1:12">
      <c r="A1017" s="1"/>
      <c r="B1017" s="255"/>
      <c r="C1017" s="1"/>
      <c r="D1017" s="1"/>
      <c r="E1017" s="255"/>
      <c r="F1017" s="1"/>
      <c r="G1017" s="1"/>
      <c r="H1017" s="1"/>
      <c r="I1017" s="1"/>
      <c r="K1017" s="1"/>
    </row>
    <row r="1018" spans="1:12">
      <c r="A1018" s="1"/>
      <c r="B1018" s="255"/>
      <c r="C1018" s="1"/>
      <c r="D1018" s="1"/>
      <c r="E1018" s="255"/>
      <c r="F1018" s="1"/>
      <c r="G1018" s="1"/>
      <c r="H1018" s="1"/>
      <c r="I1018" s="1"/>
      <c r="K1018" s="1"/>
    </row>
    <row r="1019" spans="1:12">
      <c r="A1019" s="1"/>
      <c r="B1019" s="255"/>
      <c r="C1019" s="1"/>
      <c r="D1019" s="1"/>
      <c r="E1019" s="255"/>
      <c r="F1019" s="1"/>
      <c r="G1019" s="1"/>
      <c r="H1019" s="1"/>
      <c r="I1019" s="1"/>
      <c r="K1019" s="1"/>
      <c r="L1019" s="1"/>
    </row>
    <row r="1020" spans="1:12">
      <c r="A1020" s="1"/>
      <c r="B1020" s="255"/>
      <c r="C1020" s="1"/>
      <c r="D1020" s="1"/>
      <c r="E1020" s="255"/>
      <c r="F1020" s="1"/>
      <c r="G1020" s="1"/>
      <c r="H1020" s="1"/>
      <c r="I1020" s="1"/>
      <c r="K1020" s="1"/>
      <c r="L1020" s="1"/>
    </row>
    <row r="1021" spans="1:12">
      <c r="A1021" s="1"/>
      <c r="B1021" s="255"/>
      <c r="C1021" s="1"/>
      <c r="D1021" s="1"/>
      <c r="E1021" s="255"/>
      <c r="F1021" s="1"/>
      <c r="G1021" s="1"/>
      <c r="H1021" s="1"/>
      <c r="I1021" s="1"/>
      <c r="K1021" s="1"/>
      <c r="L1021" s="1"/>
    </row>
    <row r="1022" spans="1:12">
      <c r="A1022" s="1"/>
      <c r="B1022" s="255"/>
      <c r="C1022" s="1"/>
      <c r="D1022" s="1"/>
      <c r="E1022" s="255"/>
      <c r="F1022" s="1"/>
      <c r="G1022" s="1"/>
      <c r="H1022" s="1"/>
      <c r="I1022" s="1"/>
      <c r="K1022" s="1"/>
      <c r="L1022" s="1"/>
    </row>
    <row r="1023" spans="1:12">
      <c r="A1023" s="1"/>
      <c r="B1023" s="255"/>
      <c r="C1023" s="1"/>
      <c r="D1023" s="1"/>
      <c r="E1023" s="255"/>
      <c r="F1023" s="1"/>
      <c r="G1023" s="1"/>
      <c r="H1023" s="1"/>
      <c r="I1023" s="1"/>
      <c r="K1023" s="1"/>
      <c r="L1023" s="1"/>
    </row>
    <row r="1024" spans="1:12">
      <c r="A1024" s="1"/>
      <c r="B1024" s="255"/>
      <c r="C1024" s="1"/>
      <c r="D1024" s="1"/>
      <c r="E1024" s="255"/>
      <c r="F1024" s="1"/>
      <c r="G1024" s="1"/>
      <c r="H1024" s="1"/>
      <c r="I1024" s="1"/>
      <c r="K1024" s="1"/>
      <c r="L1024" s="1"/>
    </row>
    <row r="1025" spans="1:12">
      <c r="A1025" s="1"/>
      <c r="B1025" s="255"/>
      <c r="C1025" s="1"/>
      <c r="D1025" s="1"/>
      <c r="E1025" s="255"/>
      <c r="F1025" s="1"/>
      <c r="G1025" s="1"/>
      <c r="H1025" s="1"/>
      <c r="I1025" s="1"/>
      <c r="K1025" s="1"/>
    </row>
    <row r="1026" spans="1:12">
      <c r="A1026" s="1"/>
      <c r="B1026" s="255"/>
      <c r="C1026" s="1"/>
      <c r="D1026" s="1"/>
      <c r="E1026" s="255"/>
      <c r="F1026" s="1"/>
      <c r="G1026" s="1"/>
      <c r="H1026" s="1"/>
      <c r="I1026" s="1"/>
      <c r="K1026" s="1"/>
    </row>
    <row r="1027" spans="1:12">
      <c r="A1027" s="1"/>
      <c r="B1027" s="255"/>
      <c r="C1027" s="1"/>
      <c r="D1027" s="1"/>
      <c r="E1027" s="255"/>
      <c r="F1027" s="1"/>
      <c r="G1027" s="1"/>
      <c r="H1027" s="1"/>
      <c r="I1027" s="1"/>
      <c r="K1027" s="1"/>
      <c r="L1027" s="1"/>
    </row>
    <row r="1028" spans="1:12">
      <c r="A1028" s="1"/>
      <c r="B1028" s="255"/>
      <c r="C1028" s="1"/>
      <c r="D1028" s="1"/>
      <c r="E1028" s="255"/>
      <c r="F1028" s="1"/>
      <c r="G1028" s="1"/>
      <c r="H1028" s="1"/>
      <c r="I1028" s="1"/>
      <c r="K1028" s="1"/>
      <c r="L1028" s="1"/>
    </row>
    <row r="1029" spans="1:12">
      <c r="A1029" s="1"/>
      <c r="B1029" s="255"/>
      <c r="C1029" s="1"/>
      <c r="D1029" s="1"/>
      <c r="E1029" s="255"/>
      <c r="F1029" s="1"/>
      <c r="G1029" s="1"/>
      <c r="H1029" s="1"/>
      <c r="I1029" s="1"/>
      <c r="K1029" s="1"/>
    </row>
    <row r="1030" spans="1:12">
      <c r="A1030" s="1"/>
      <c r="B1030" s="255"/>
      <c r="C1030" s="1"/>
      <c r="D1030" s="1"/>
      <c r="E1030" s="255"/>
      <c r="F1030" s="1"/>
      <c r="G1030" s="1"/>
      <c r="H1030" s="1"/>
      <c r="I1030" s="1"/>
      <c r="K1030" s="1"/>
    </row>
    <row r="1031" spans="1:12">
      <c r="A1031" s="1"/>
      <c r="B1031" s="255"/>
      <c r="C1031" s="1"/>
      <c r="D1031" s="1"/>
      <c r="E1031" s="255"/>
      <c r="F1031" s="1"/>
      <c r="G1031" s="1"/>
      <c r="H1031" s="1"/>
      <c r="I1031" s="1"/>
      <c r="K1031" s="1"/>
    </row>
    <row r="1032" spans="1:12">
      <c r="A1032" s="1"/>
      <c r="B1032" s="255"/>
      <c r="C1032" s="1"/>
      <c r="D1032" s="1"/>
      <c r="E1032" s="255"/>
      <c r="F1032" s="1"/>
      <c r="G1032" s="1"/>
      <c r="H1032" s="1"/>
      <c r="I1032" s="1"/>
      <c r="K1032" s="1"/>
    </row>
    <row r="1033" spans="1:12">
      <c r="A1033" s="1"/>
      <c r="B1033" s="255"/>
      <c r="C1033" s="1"/>
      <c r="D1033" s="1"/>
      <c r="E1033" s="255"/>
      <c r="F1033" s="1"/>
      <c r="G1033" s="1"/>
      <c r="H1033" s="1"/>
      <c r="I1033" s="1"/>
      <c r="K1033" s="1"/>
      <c r="L1033" s="1"/>
    </row>
    <row r="1034" spans="1:12">
      <c r="A1034" s="1"/>
      <c r="B1034" s="255"/>
      <c r="C1034" s="1"/>
      <c r="D1034" s="1"/>
      <c r="E1034" s="255"/>
      <c r="F1034" s="1"/>
      <c r="G1034" s="1"/>
      <c r="H1034" s="1"/>
      <c r="I1034" s="1"/>
      <c r="K1034" s="1"/>
      <c r="L1034" s="1"/>
    </row>
    <row r="1035" spans="1:12">
      <c r="A1035" s="1"/>
      <c r="B1035" s="255"/>
      <c r="C1035" s="1"/>
      <c r="D1035" s="1"/>
      <c r="E1035" s="255"/>
      <c r="F1035" s="1"/>
      <c r="G1035" s="1"/>
      <c r="H1035" s="1"/>
      <c r="I1035" s="1"/>
      <c r="K1035" s="1"/>
      <c r="L1035" s="1"/>
    </row>
    <row r="1036" spans="1:12">
      <c r="A1036" s="1"/>
      <c r="B1036" s="255"/>
      <c r="C1036" s="1"/>
      <c r="D1036" s="1"/>
      <c r="E1036" s="255"/>
      <c r="F1036" s="1"/>
      <c r="G1036" s="1"/>
      <c r="H1036" s="1"/>
      <c r="I1036" s="1"/>
      <c r="K1036" s="1"/>
      <c r="L1036" s="1"/>
    </row>
    <row r="1037" spans="1:12">
      <c r="A1037" s="1"/>
      <c r="B1037" s="255"/>
      <c r="C1037" s="1"/>
      <c r="D1037" s="1"/>
      <c r="E1037" s="255"/>
      <c r="F1037" s="1"/>
      <c r="G1037" s="1"/>
      <c r="H1037" s="1"/>
      <c r="I1037" s="1"/>
      <c r="K1037" s="1"/>
      <c r="L1037" s="1"/>
    </row>
    <row r="1038" spans="1:12">
      <c r="A1038" s="1"/>
      <c r="B1038" s="255"/>
      <c r="C1038" s="1"/>
      <c r="D1038" s="1"/>
      <c r="E1038" s="255"/>
      <c r="F1038" s="1"/>
      <c r="G1038" s="1"/>
      <c r="H1038" s="1"/>
      <c r="I1038" s="1"/>
      <c r="K1038" s="1"/>
      <c r="L1038" s="1"/>
    </row>
    <row r="1039" spans="1:12">
      <c r="A1039" s="1"/>
      <c r="B1039" s="255"/>
      <c r="C1039" s="1"/>
      <c r="D1039" s="1"/>
      <c r="E1039" s="255"/>
      <c r="F1039" s="1"/>
      <c r="G1039" s="1"/>
      <c r="H1039" s="1"/>
      <c r="I1039" s="1"/>
      <c r="K1039" s="1"/>
      <c r="L1039" s="1"/>
    </row>
    <row r="1040" spans="1:12">
      <c r="A1040" s="1"/>
      <c r="B1040" s="255"/>
      <c r="C1040" s="1"/>
      <c r="D1040" s="1"/>
      <c r="E1040" s="255"/>
      <c r="F1040" s="1"/>
      <c r="G1040" s="1"/>
      <c r="H1040" s="1"/>
      <c r="I1040" s="1"/>
      <c r="K1040" s="1"/>
      <c r="L1040" s="1"/>
    </row>
    <row r="1041" spans="1:12">
      <c r="A1041" s="1"/>
      <c r="B1041" s="255"/>
      <c r="C1041" s="1"/>
      <c r="D1041" s="1"/>
      <c r="E1041" s="255"/>
      <c r="F1041" s="1"/>
      <c r="G1041" s="1"/>
      <c r="H1041" s="1"/>
      <c r="I1041" s="1"/>
      <c r="K1041" s="1"/>
      <c r="L1041" s="1"/>
    </row>
    <row r="1042" spans="1:12">
      <c r="A1042" s="1"/>
      <c r="B1042" s="255"/>
      <c r="C1042" s="1"/>
      <c r="D1042" s="1"/>
      <c r="E1042" s="255"/>
      <c r="F1042" s="1"/>
      <c r="G1042" s="1"/>
      <c r="H1042" s="1"/>
      <c r="I1042" s="1"/>
      <c r="K1042" s="1"/>
      <c r="L1042" s="1"/>
    </row>
    <row r="1043" spans="1:12">
      <c r="A1043" s="1"/>
      <c r="B1043" s="255"/>
      <c r="C1043" s="1"/>
      <c r="D1043" s="1"/>
      <c r="E1043" s="255"/>
      <c r="F1043" s="1"/>
      <c r="G1043" s="1"/>
      <c r="H1043" s="1"/>
      <c r="I1043" s="1"/>
      <c r="K1043" s="1"/>
      <c r="L1043" s="1"/>
    </row>
    <row r="1044" spans="1:12">
      <c r="A1044" s="1"/>
      <c r="B1044" s="255"/>
      <c r="C1044" s="1"/>
      <c r="D1044" s="1"/>
      <c r="E1044" s="255"/>
      <c r="F1044" s="1"/>
      <c r="G1044" s="1"/>
      <c r="H1044" s="1"/>
      <c r="I1044" s="1"/>
      <c r="K1044" s="1"/>
      <c r="L1044" s="1"/>
    </row>
    <row r="1045" spans="1:12">
      <c r="A1045" s="1"/>
      <c r="B1045" s="255"/>
      <c r="C1045" s="1"/>
      <c r="D1045" s="1"/>
      <c r="E1045" s="255"/>
      <c r="F1045" s="1"/>
      <c r="G1045" s="1"/>
      <c r="H1045" s="1"/>
      <c r="I1045" s="1"/>
      <c r="K1045" s="1"/>
      <c r="L1045" s="1"/>
    </row>
    <row r="1046" spans="1:12">
      <c r="A1046" s="1"/>
      <c r="B1046" s="255"/>
      <c r="C1046" s="1"/>
      <c r="D1046" s="1"/>
      <c r="E1046" s="255"/>
      <c r="F1046" s="1"/>
      <c r="G1046" s="1"/>
      <c r="H1046" s="1"/>
      <c r="I1046" s="1"/>
      <c r="K1046" s="1"/>
      <c r="L1046" s="1"/>
    </row>
    <row r="1047" spans="1:12">
      <c r="A1047" s="1"/>
      <c r="B1047" s="255"/>
      <c r="C1047" s="1"/>
      <c r="D1047" s="1"/>
      <c r="E1047" s="255"/>
      <c r="F1047" s="1"/>
      <c r="G1047" s="1"/>
      <c r="H1047" s="1"/>
      <c r="I1047" s="1"/>
      <c r="K1047" s="1"/>
      <c r="L1047" s="1"/>
    </row>
    <row r="1048" spans="1:12">
      <c r="A1048" s="1"/>
      <c r="B1048" s="255"/>
      <c r="C1048" s="1"/>
      <c r="D1048" s="1"/>
      <c r="E1048" s="255"/>
      <c r="F1048" s="1"/>
      <c r="G1048" s="1"/>
      <c r="H1048" s="1"/>
      <c r="I1048" s="1"/>
      <c r="K1048" s="1"/>
      <c r="L1048" s="1"/>
    </row>
    <row r="1049" spans="1:12">
      <c r="A1049" s="1"/>
      <c r="B1049" s="255"/>
      <c r="C1049" s="1"/>
      <c r="D1049" s="1"/>
      <c r="E1049" s="255"/>
      <c r="F1049" s="1"/>
      <c r="G1049" s="1"/>
      <c r="H1049" s="1"/>
      <c r="I1049" s="1"/>
      <c r="K1049" s="1"/>
      <c r="L1049" s="1"/>
    </row>
    <row r="1050" spans="1:12">
      <c r="A1050" s="1"/>
      <c r="B1050" s="255"/>
      <c r="C1050" s="1"/>
      <c r="D1050" s="1"/>
      <c r="E1050" s="255"/>
      <c r="F1050" s="1"/>
      <c r="G1050" s="1"/>
      <c r="H1050" s="1"/>
      <c r="I1050" s="1"/>
      <c r="K1050" s="1"/>
      <c r="L1050" s="1"/>
    </row>
    <row r="1051" spans="1:12">
      <c r="A1051" s="1"/>
      <c r="B1051" s="255"/>
      <c r="C1051" s="1"/>
      <c r="D1051" s="1"/>
      <c r="E1051" s="255"/>
      <c r="F1051" s="1"/>
      <c r="G1051" s="1"/>
      <c r="H1051" s="1"/>
      <c r="I1051" s="1"/>
      <c r="K1051" s="1"/>
    </row>
    <row r="1052" spans="1:12">
      <c r="A1052" s="1"/>
      <c r="B1052" s="255"/>
      <c r="C1052" s="1"/>
      <c r="D1052" s="1"/>
      <c r="E1052" s="255"/>
      <c r="F1052" s="1"/>
      <c r="G1052" s="1"/>
      <c r="H1052" s="1"/>
      <c r="I1052" s="1"/>
      <c r="K1052" s="1"/>
    </row>
    <row r="1053" spans="1:12">
      <c r="A1053" s="1"/>
      <c r="B1053" s="255"/>
      <c r="C1053" s="1"/>
      <c r="D1053" s="1"/>
      <c r="E1053" s="255"/>
      <c r="F1053" s="1"/>
      <c r="G1053" s="1"/>
      <c r="H1053" s="1"/>
      <c r="I1053" s="1"/>
      <c r="K1053" s="1"/>
      <c r="L1053" s="1"/>
    </row>
    <row r="1054" spans="1:12">
      <c r="A1054" s="1"/>
      <c r="B1054" s="255"/>
      <c r="C1054" s="1"/>
      <c r="D1054" s="1"/>
      <c r="E1054" s="255"/>
      <c r="F1054" s="1"/>
      <c r="G1054" s="1"/>
      <c r="H1054" s="1"/>
      <c r="I1054" s="1"/>
      <c r="K1054" s="1"/>
      <c r="L1054" s="1"/>
    </row>
    <row r="1055" spans="1:12">
      <c r="A1055" s="1"/>
      <c r="B1055" s="255"/>
      <c r="C1055" s="1"/>
      <c r="D1055" s="1"/>
      <c r="E1055" s="255"/>
      <c r="F1055" s="1"/>
      <c r="G1055" s="1"/>
      <c r="H1055" s="1"/>
      <c r="I1055" s="1"/>
      <c r="K1055" s="1"/>
    </row>
    <row r="1056" spans="1:12">
      <c r="A1056" s="1"/>
      <c r="B1056" s="255"/>
      <c r="C1056" s="1"/>
      <c r="D1056" s="1"/>
      <c r="E1056" s="255"/>
      <c r="F1056" s="1"/>
      <c r="G1056" s="1"/>
      <c r="H1056" s="1"/>
      <c r="I1056" s="1"/>
      <c r="K1056" s="1"/>
    </row>
    <row r="1057" spans="1:12">
      <c r="A1057" s="1"/>
      <c r="B1057" s="255"/>
      <c r="C1057" s="1"/>
      <c r="D1057" s="1"/>
      <c r="E1057" s="255"/>
      <c r="F1057" s="1"/>
      <c r="G1057" s="1"/>
      <c r="H1057" s="1"/>
      <c r="I1057" s="1"/>
      <c r="K1057" s="1"/>
      <c r="L1057" s="1"/>
    </row>
    <row r="1058" spans="1:12">
      <c r="A1058" s="1"/>
      <c r="B1058" s="255"/>
      <c r="C1058" s="1"/>
      <c r="D1058" s="1"/>
      <c r="E1058" s="255"/>
      <c r="F1058" s="1"/>
      <c r="G1058" s="1"/>
      <c r="H1058" s="1"/>
      <c r="I1058" s="1"/>
      <c r="K1058" s="1"/>
      <c r="L1058" s="1"/>
    </row>
    <row r="1059" spans="1:12">
      <c r="A1059" s="1"/>
      <c r="B1059" s="255"/>
      <c r="C1059" s="1"/>
      <c r="D1059" s="1"/>
      <c r="E1059" s="255"/>
      <c r="F1059" s="1"/>
      <c r="G1059" s="1"/>
      <c r="H1059" s="1"/>
      <c r="I1059" s="1"/>
      <c r="K1059" s="1"/>
      <c r="L1059" s="1"/>
    </row>
    <row r="1060" spans="1:12">
      <c r="A1060" s="1"/>
      <c r="B1060" s="255"/>
      <c r="C1060" s="1"/>
      <c r="D1060" s="1"/>
      <c r="E1060" s="255"/>
      <c r="F1060" s="1"/>
      <c r="G1060" s="1"/>
      <c r="H1060" s="1"/>
      <c r="I1060" s="1"/>
      <c r="K1060" s="1"/>
      <c r="L1060" s="1"/>
    </row>
    <row r="1061" spans="1:12">
      <c r="A1061" s="1"/>
      <c r="B1061" s="255"/>
      <c r="C1061" s="1"/>
      <c r="D1061" s="1"/>
      <c r="E1061" s="255"/>
      <c r="F1061" s="1"/>
      <c r="G1061" s="1"/>
      <c r="H1061" s="1"/>
      <c r="I1061" s="1"/>
      <c r="K1061" s="1"/>
      <c r="L1061" s="1"/>
    </row>
    <row r="1062" spans="1:12">
      <c r="A1062" s="1"/>
      <c r="B1062" s="255"/>
      <c r="C1062" s="1"/>
      <c r="D1062" s="1"/>
      <c r="E1062" s="255"/>
      <c r="F1062" s="1"/>
      <c r="G1062" s="1"/>
      <c r="H1062" s="1"/>
      <c r="I1062" s="1"/>
      <c r="K1062" s="1"/>
      <c r="L1062" s="1"/>
    </row>
    <row r="1063" spans="1:12">
      <c r="A1063" s="1"/>
      <c r="B1063" s="255"/>
      <c r="C1063" s="1"/>
      <c r="D1063" s="1"/>
      <c r="E1063" s="255"/>
      <c r="F1063" s="1"/>
      <c r="G1063" s="1"/>
      <c r="H1063" s="1"/>
      <c r="I1063" s="1"/>
      <c r="K1063" s="1"/>
      <c r="L1063" s="1"/>
    </row>
    <row r="1064" spans="1:12">
      <c r="A1064" s="1"/>
      <c r="B1064" s="255"/>
      <c r="C1064" s="1"/>
      <c r="D1064" s="1"/>
      <c r="E1064" s="255"/>
      <c r="F1064" s="1"/>
      <c r="G1064" s="1"/>
      <c r="H1064" s="1"/>
      <c r="I1064" s="1"/>
      <c r="K1064" s="1"/>
      <c r="L1064" s="1"/>
    </row>
    <row r="1065" spans="1:12">
      <c r="A1065" s="1"/>
      <c r="B1065" s="255"/>
      <c r="C1065" s="1"/>
      <c r="D1065" s="1"/>
      <c r="E1065" s="255"/>
      <c r="F1065" s="1"/>
      <c r="G1065" s="1"/>
      <c r="H1065" s="1"/>
      <c r="I1065" s="1"/>
      <c r="K1065" s="1"/>
      <c r="L1065" s="1"/>
    </row>
    <row r="1066" spans="1:12">
      <c r="A1066" s="1"/>
      <c r="B1066" s="255"/>
      <c r="C1066" s="1"/>
      <c r="D1066" s="1"/>
      <c r="E1066" s="255"/>
      <c r="F1066" s="1"/>
      <c r="G1066" s="1"/>
      <c r="H1066" s="1"/>
      <c r="I1066" s="1"/>
      <c r="K1066" s="1"/>
      <c r="L1066" s="1"/>
    </row>
    <row r="1067" spans="1:12">
      <c r="A1067" s="1"/>
      <c r="B1067" s="255"/>
      <c r="C1067" s="1"/>
      <c r="D1067" s="1"/>
      <c r="E1067" s="255"/>
      <c r="F1067" s="1"/>
      <c r="G1067" s="1"/>
      <c r="H1067" s="1"/>
      <c r="I1067" s="1"/>
      <c r="K1067" s="1"/>
    </row>
    <row r="1068" spans="1:12">
      <c r="A1068" s="1"/>
      <c r="B1068" s="255"/>
      <c r="C1068" s="1"/>
      <c r="D1068" s="1"/>
      <c r="E1068" s="255"/>
      <c r="F1068" s="1"/>
      <c r="G1068" s="1"/>
      <c r="H1068" s="1"/>
      <c r="I1068" s="1"/>
      <c r="K1068" s="1"/>
    </row>
    <row r="1069" spans="1:12">
      <c r="A1069" s="1"/>
      <c r="B1069" s="255"/>
      <c r="C1069" s="1"/>
      <c r="D1069" s="1"/>
      <c r="E1069" s="255"/>
      <c r="F1069" s="1"/>
      <c r="G1069" s="1"/>
      <c r="H1069" s="1"/>
      <c r="I1069" s="1"/>
      <c r="K1069" s="1"/>
      <c r="L1069" s="1"/>
    </row>
    <row r="1070" spans="1:12">
      <c r="A1070" s="1"/>
      <c r="B1070" s="255"/>
      <c r="C1070" s="1"/>
      <c r="D1070" s="1"/>
      <c r="E1070" s="255"/>
      <c r="F1070" s="1"/>
      <c r="G1070" s="1"/>
      <c r="H1070" s="1"/>
      <c r="I1070" s="1"/>
      <c r="K1070" s="1"/>
      <c r="L1070" s="1"/>
    </row>
    <row r="1071" spans="1:12">
      <c r="A1071" s="1"/>
      <c r="B1071" s="255"/>
      <c r="C1071" s="1"/>
      <c r="D1071" s="1"/>
      <c r="E1071" s="255"/>
      <c r="F1071" s="1"/>
      <c r="G1071" s="1"/>
      <c r="H1071" s="1"/>
      <c r="I1071" s="1"/>
      <c r="K1071" s="1"/>
      <c r="L1071" s="1"/>
    </row>
    <row r="1072" spans="1:12">
      <c r="A1072" s="1"/>
      <c r="B1072" s="255"/>
      <c r="C1072" s="1"/>
      <c r="D1072" s="1"/>
      <c r="E1072" s="255"/>
      <c r="F1072" s="1"/>
      <c r="G1072" s="1"/>
      <c r="H1072" s="1"/>
      <c r="I1072" s="1"/>
      <c r="K1072" s="1"/>
      <c r="L1072" s="1"/>
    </row>
    <row r="1073" spans="1:12">
      <c r="A1073" s="1"/>
      <c r="B1073" s="255"/>
      <c r="C1073" s="1"/>
      <c r="D1073" s="1"/>
      <c r="E1073" s="255"/>
      <c r="F1073" s="1"/>
      <c r="G1073" s="1"/>
      <c r="H1073" s="1"/>
      <c r="I1073" s="1"/>
      <c r="K1073" s="1"/>
      <c r="L1073" s="1"/>
    </row>
    <row r="1074" spans="1:12">
      <c r="A1074" s="1"/>
      <c r="B1074" s="255"/>
      <c r="C1074" s="1"/>
      <c r="D1074" s="1"/>
      <c r="E1074" s="255"/>
      <c r="F1074" s="1"/>
      <c r="G1074" s="1"/>
      <c r="H1074" s="1"/>
      <c r="I1074" s="1"/>
      <c r="K1074" s="1"/>
      <c r="L1074" s="1"/>
    </row>
    <row r="1075" spans="1:12">
      <c r="A1075" s="1"/>
      <c r="B1075" s="255"/>
      <c r="C1075" s="1"/>
      <c r="D1075" s="1"/>
      <c r="E1075" s="255"/>
      <c r="F1075" s="1"/>
      <c r="G1075" s="1"/>
      <c r="H1075" s="1"/>
      <c r="I1075" s="1"/>
      <c r="K1075" s="1"/>
      <c r="L1075" s="1"/>
    </row>
    <row r="1076" spans="1:12">
      <c r="A1076" s="1"/>
      <c r="B1076" s="255"/>
      <c r="C1076" s="1"/>
      <c r="D1076" s="1"/>
      <c r="E1076" s="255"/>
      <c r="F1076" s="1"/>
      <c r="G1076" s="1"/>
      <c r="H1076" s="1"/>
      <c r="I1076" s="1"/>
      <c r="K1076" s="1"/>
      <c r="L1076" s="1"/>
    </row>
    <row r="1077" spans="1:12">
      <c r="A1077" s="1"/>
      <c r="B1077" s="255"/>
      <c r="C1077" s="1"/>
      <c r="D1077" s="1"/>
      <c r="E1077" s="255"/>
      <c r="F1077" s="1"/>
      <c r="G1077" s="1"/>
      <c r="H1077" s="1"/>
      <c r="I1077" s="1"/>
      <c r="K1077" s="1"/>
    </row>
    <row r="1078" spans="1:12">
      <c r="A1078" s="1"/>
      <c r="B1078" s="255"/>
      <c r="C1078" s="1"/>
      <c r="D1078" s="1"/>
      <c r="E1078" s="255"/>
      <c r="F1078" s="1"/>
      <c r="G1078" s="1"/>
      <c r="H1078" s="1"/>
      <c r="I1078" s="1"/>
      <c r="K1078" s="1"/>
    </row>
    <row r="1079" spans="1:12">
      <c r="A1079" s="1"/>
      <c r="B1079" s="255"/>
      <c r="C1079" s="1"/>
      <c r="D1079" s="1"/>
      <c r="E1079" s="255"/>
      <c r="F1079" s="1"/>
      <c r="G1079" s="1"/>
      <c r="H1079" s="1"/>
      <c r="I1079" s="1"/>
      <c r="K1079" s="1"/>
    </row>
    <row r="1080" spans="1:12">
      <c r="A1080" s="1"/>
      <c r="B1080" s="255"/>
      <c r="C1080" s="1"/>
      <c r="D1080" s="1"/>
      <c r="E1080" s="255"/>
      <c r="F1080" s="1"/>
      <c r="G1080" s="1"/>
      <c r="H1080" s="1"/>
      <c r="I1080" s="1"/>
      <c r="K1080" s="1"/>
    </row>
    <row r="1081" spans="1:12">
      <c r="A1081" s="1"/>
      <c r="B1081" s="255"/>
      <c r="C1081" s="1"/>
      <c r="D1081" s="1"/>
      <c r="E1081" s="255"/>
      <c r="F1081" s="1"/>
      <c r="G1081" s="1"/>
      <c r="H1081" s="1"/>
      <c r="I1081" s="1"/>
      <c r="K1081" s="1"/>
      <c r="L1081" s="1"/>
    </row>
    <row r="1082" spans="1:12">
      <c r="A1082" s="1"/>
      <c r="B1082" s="255"/>
      <c r="C1082" s="1"/>
      <c r="D1082" s="1"/>
      <c r="E1082" s="255"/>
      <c r="F1082" s="1"/>
      <c r="G1082" s="1"/>
      <c r="H1082" s="1"/>
      <c r="I1082" s="1"/>
      <c r="K1082" s="1"/>
      <c r="L1082" s="1"/>
    </row>
    <row r="1083" spans="1:12">
      <c r="A1083" s="1"/>
      <c r="B1083" s="255"/>
      <c r="C1083" s="1"/>
      <c r="D1083" s="1"/>
      <c r="E1083" s="255"/>
      <c r="F1083" s="1"/>
      <c r="G1083" s="1"/>
      <c r="H1083" s="1"/>
      <c r="I1083" s="1"/>
      <c r="K1083" s="1"/>
      <c r="L1083" s="1"/>
    </row>
    <row r="1084" spans="1:12">
      <c r="A1084" s="1"/>
      <c r="B1084" s="255"/>
      <c r="C1084" s="1"/>
      <c r="D1084" s="1"/>
      <c r="E1084" s="255"/>
      <c r="F1084" s="1"/>
      <c r="G1084" s="1"/>
      <c r="H1084" s="1"/>
      <c r="I1084" s="1"/>
      <c r="K1084" s="1"/>
      <c r="L1084" s="1"/>
    </row>
    <row r="1085" spans="1:12">
      <c r="A1085" s="1"/>
      <c r="B1085" s="255"/>
      <c r="C1085" s="1"/>
      <c r="D1085" s="1"/>
      <c r="E1085" s="255"/>
      <c r="F1085" s="1"/>
      <c r="G1085" s="1"/>
      <c r="H1085" s="1"/>
      <c r="I1085" s="1"/>
      <c r="K1085" s="1"/>
      <c r="L1085" s="1"/>
    </row>
    <row r="1086" spans="1:12">
      <c r="A1086" s="1"/>
      <c r="B1086" s="255"/>
      <c r="C1086" s="1"/>
      <c r="D1086" s="1"/>
      <c r="E1086" s="255"/>
      <c r="F1086" s="1"/>
      <c r="G1086" s="1"/>
      <c r="H1086" s="1"/>
      <c r="I1086" s="1"/>
      <c r="K1086" s="1"/>
      <c r="L1086" s="1"/>
    </row>
    <row r="1087" spans="1:12">
      <c r="A1087" s="1"/>
      <c r="B1087" s="255"/>
      <c r="C1087" s="1"/>
      <c r="D1087" s="1"/>
      <c r="E1087" s="255"/>
      <c r="F1087" s="1"/>
      <c r="G1087" s="1"/>
      <c r="H1087" s="1"/>
      <c r="I1087" s="1"/>
      <c r="K1087" s="1"/>
      <c r="L1087" s="1"/>
    </row>
    <row r="1088" spans="1:12">
      <c r="A1088" s="1"/>
      <c r="B1088" s="255"/>
      <c r="C1088" s="1"/>
      <c r="D1088" s="1"/>
      <c r="E1088" s="255"/>
      <c r="F1088" s="1"/>
      <c r="G1088" s="1"/>
      <c r="H1088" s="1"/>
      <c r="I1088" s="1"/>
      <c r="K1088" s="1"/>
      <c r="L1088" s="1"/>
    </row>
    <row r="1089" spans="1:12">
      <c r="A1089" s="1"/>
      <c r="B1089" s="255"/>
      <c r="C1089" s="1"/>
      <c r="D1089" s="1"/>
      <c r="E1089" s="255"/>
      <c r="F1089" s="1"/>
      <c r="G1089" s="1"/>
      <c r="H1089" s="1"/>
      <c r="I1089" s="1"/>
      <c r="K1089" s="1"/>
    </row>
    <row r="1090" spans="1:12">
      <c r="A1090" s="1"/>
      <c r="B1090" s="255"/>
      <c r="C1090" s="1"/>
      <c r="D1090" s="1"/>
      <c r="E1090" s="255"/>
      <c r="F1090" s="1"/>
      <c r="G1090" s="1"/>
      <c r="H1090" s="1"/>
      <c r="I1090" s="1"/>
      <c r="K1090" s="1"/>
    </row>
    <row r="1091" spans="1:12">
      <c r="A1091" s="1"/>
      <c r="B1091" s="255"/>
      <c r="C1091" s="1"/>
      <c r="D1091" s="1"/>
      <c r="E1091" s="255"/>
      <c r="F1091" s="1"/>
      <c r="G1091" s="1"/>
      <c r="H1091" s="1"/>
      <c r="I1091" s="1"/>
      <c r="K1091" s="1"/>
      <c r="L1091" s="1"/>
    </row>
    <row r="1092" spans="1:12">
      <c r="A1092" s="1"/>
      <c r="B1092" s="255"/>
      <c r="C1092" s="1"/>
      <c r="D1092" s="1"/>
      <c r="E1092" s="255"/>
      <c r="F1092" s="1"/>
      <c r="G1092" s="1"/>
      <c r="H1092" s="1"/>
      <c r="I1092" s="1"/>
      <c r="K1092" s="1"/>
      <c r="L1092" s="1"/>
    </row>
    <row r="1093" spans="1:12">
      <c r="A1093" s="1"/>
      <c r="B1093" s="255"/>
      <c r="C1093" s="1"/>
      <c r="D1093" s="1"/>
      <c r="E1093" s="255"/>
      <c r="F1093" s="1"/>
      <c r="G1093" s="1"/>
      <c r="H1093" s="1"/>
      <c r="I1093" s="1"/>
      <c r="K1093" s="1"/>
      <c r="L1093" s="1"/>
    </row>
    <row r="1094" spans="1:12">
      <c r="A1094" s="1"/>
      <c r="B1094" s="255"/>
      <c r="C1094" s="1"/>
      <c r="D1094" s="1"/>
      <c r="E1094" s="255"/>
      <c r="F1094" s="1"/>
      <c r="G1094" s="1"/>
      <c r="H1094" s="1"/>
      <c r="I1094" s="1"/>
      <c r="K1094" s="1"/>
      <c r="L1094" s="1"/>
    </row>
    <row r="1095" spans="1:12">
      <c r="A1095" s="1"/>
      <c r="B1095" s="255"/>
      <c r="C1095" s="1"/>
      <c r="D1095" s="1"/>
      <c r="E1095" s="255"/>
      <c r="F1095" s="1"/>
      <c r="G1095" s="1"/>
      <c r="H1095" s="1"/>
      <c r="I1095" s="1"/>
      <c r="K1095" s="1"/>
      <c r="L1095" s="1"/>
    </row>
    <row r="1096" spans="1:12">
      <c r="A1096" s="1"/>
      <c r="B1096" s="255"/>
      <c r="C1096" s="1"/>
      <c r="D1096" s="1"/>
      <c r="E1096" s="255"/>
      <c r="F1096" s="1"/>
      <c r="G1096" s="1"/>
      <c r="H1096" s="1"/>
      <c r="I1096" s="1"/>
      <c r="K1096" s="1"/>
      <c r="L1096" s="1"/>
    </row>
    <row r="1097" spans="1:12">
      <c r="A1097" s="1"/>
      <c r="B1097" s="255"/>
      <c r="C1097" s="1"/>
      <c r="D1097" s="1"/>
      <c r="E1097" s="255"/>
      <c r="F1097" s="1"/>
      <c r="G1097" s="1"/>
      <c r="H1097" s="1"/>
      <c r="I1097" s="1"/>
      <c r="K1097" s="1"/>
    </row>
    <row r="1098" spans="1:12">
      <c r="A1098" s="1"/>
      <c r="B1098" s="255"/>
      <c r="C1098" s="1"/>
      <c r="D1098" s="1"/>
      <c r="E1098" s="255"/>
      <c r="F1098" s="1"/>
      <c r="G1098" s="1"/>
      <c r="H1098" s="1"/>
      <c r="I1098" s="1"/>
      <c r="K1098" s="1"/>
    </row>
    <row r="1099" spans="1:12">
      <c r="A1099" s="1"/>
      <c r="B1099" s="255"/>
      <c r="C1099" s="1"/>
      <c r="D1099" s="1"/>
      <c r="E1099" s="255"/>
      <c r="F1099" s="1"/>
      <c r="G1099" s="1"/>
      <c r="H1099" s="1"/>
      <c r="I1099" s="1"/>
      <c r="K1099" s="1"/>
      <c r="L1099" s="1"/>
    </row>
    <row r="1100" spans="1:12">
      <c r="A1100" s="1"/>
      <c r="B1100" s="255"/>
      <c r="C1100" s="1"/>
      <c r="D1100" s="1"/>
      <c r="E1100" s="255"/>
      <c r="F1100" s="1"/>
      <c r="G1100" s="1"/>
      <c r="H1100" s="1"/>
      <c r="I1100" s="1"/>
      <c r="K1100" s="1"/>
      <c r="L1100" s="1"/>
    </row>
    <row r="1101" spans="1:12">
      <c r="A1101" s="1"/>
      <c r="B1101" s="255"/>
      <c r="C1101" s="1"/>
      <c r="D1101" s="1"/>
      <c r="E1101" s="255"/>
      <c r="F1101" s="1"/>
      <c r="G1101" s="1"/>
      <c r="H1101" s="1"/>
      <c r="I1101" s="1"/>
      <c r="K1101" s="1"/>
      <c r="L1101" s="1"/>
    </row>
    <row r="1102" spans="1:12">
      <c r="A1102" s="1"/>
      <c r="B1102" s="255"/>
      <c r="C1102" s="1"/>
      <c r="D1102" s="1"/>
      <c r="E1102" s="255"/>
      <c r="F1102" s="1"/>
      <c r="G1102" s="1"/>
      <c r="H1102" s="1"/>
      <c r="I1102" s="1"/>
      <c r="K1102" s="1"/>
      <c r="L1102" s="1"/>
    </row>
    <row r="1103" spans="1:12">
      <c r="A1103" s="1"/>
      <c r="B1103" s="255"/>
      <c r="C1103" s="1"/>
      <c r="D1103" s="1"/>
      <c r="E1103" s="255"/>
      <c r="F1103" s="1"/>
      <c r="G1103" s="1"/>
      <c r="H1103" s="1"/>
      <c r="I1103" s="1"/>
      <c r="K1103" s="1"/>
      <c r="L1103" s="1"/>
    </row>
    <row r="1104" spans="1:12">
      <c r="A1104" s="1"/>
      <c r="B1104" s="255"/>
      <c r="C1104" s="1"/>
      <c r="D1104" s="1"/>
      <c r="E1104" s="255"/>
      <c r="F1104" s="1"/>
      <c r="G1104" s="1"/>
      <c r="H1104" s="1"/>
      <c r="I1104" s="1"/>
      <c r="K1104" s="1"/>
      <c r="L1104" s="1"/>
    </row>
    <row r="1105" spans="1:12">
      <c r="A1105" s="1"/>
      <c r="B1105" s="255"/>
      <c r="C1105" s="1"/>
      <c r="D1105" s="1"/>
      <c r="E1105" s="255"/>
      <c r="F1105" s="1"/>
      <c r="G1105" s="1"/>
      <c r="H1105" s="1"/>
      <c r="I1105" s="1"/>
      <c r="K1105" s="1"/>
      <c r="L1105" s="1"/>
    </row>
    <row r="1106" spans="1:12">
      <c r="A1106" s="1"/>
      <c r="B1106" s="255"/>
      <c r="C1106" s="1"/>
      <c r="D1106" s="1"/>
      <c r="E1106" s="255"/>
      <c r="F1106" s="1"/>
      <c r="G1106" s="1"/>
      <c r="H1106" s="1"/>
      <c r="I1106" s="1"/>
      <c r="K1106" s="1"/>
      <c r="L1106" s="1"/>
    </row>
    <row r="1107" spans="1:12">
      <c r="A1107" s="1"/>
      <c r="B1107" s="255"/>
      <c r="C1107" s="1"/>
      <c r="D1107" s="1"/>
      <c r="E1107" s="255"/>
      <c r="F1107" s="1"/>
      <c r="G1107" s="1"/>
      <c r="H1107" s="1"/>
      <c r="I1107" s="1"/>
      <c r="K1107" s="1"/>
      <c r="L1107" s="1"/>
    </row>
    <row r="1108" spans="1:12">
      <c r="A1108" s="1"/>
      <c r="B1108" s="255"/>
      <c r="C1108" s="1"/>
      <c r="D1108" s="1"/>
      <c r="E1108" s="255"/>
      <c r="F1108" s="1"/>
      <c r="G1108" s="1"/>
      <c r="H1108" s="1"/>
      <c r="I1108" s="1"/>
      <c r="K1108" s="1"/>
      <c r="L1108" s="1"/>
    </row>
    <row r="1109" spans="1:12">
      <c r="A1109" s="1"/>
      <c r="B1109" s="255"/>
      <c r="C1109" s="1"/>
      <c r="D1109" s="1"/>
      <c r="E1109" s="255"/>
      <c r="F1109" s="1"/>
      <c r="G1109" s="1"/>
      <c r="H1109" s="1"/>
      <c r="I1109" s="1"/>
      <c r="K1109" s="1"/>
      <c r="L1109" s="1"/>
    </row>
    <row r="1110" spans="1:12">
      <c r="A1110" s="1"/>
      <c r="B1110" s="255"/>
      <c r="C1110" s="1"/>
      <c r="D1110" s="1"/>
      <c r="E1110" s="255"/>
      <c r="F1110" s="1"/>
      <c r="G1110" s="1"/>
      <c r="H1110" s="1"/>
      <c r="I1110" s="1"/>
      <c r="K1110" s="1"/>
      <c r="L1110" s="1"/>
    </row>
    <row r="1111" spans="1:12">
      <c r="A1111" s="1"/>
      <c r="B1111" s="255"/>
      <c r="C1111" s="1"/>
      <c r="D1111" s="1"/>
      <c r="E1111" s="255"/>
      <c r="F1111" s="1"/>
      <c r="G1111" s="1"/>
      <c r="H1111" s="1"/>
      <c r="I1111" s="1"/>
      <c r="K1111" s="1"/>
      <c r="L1111" s="1"/>
    </row>
    <row r="1112" spans="1:12">
      <c r="A1112" s="1"/>
      <c r="B1112" s="255"/>
      <c r="C1112" s="1"/>
      <c r="D1112" s="1"/>
      <c r="E1112" s="255"/>
      <c r="F1112" s="1"/>
      <c r="G1112" s="1"/>
      <c r="H1112" s="1"/>
      <c r="I1112" s="1"/>
      <c r="K1112" s="1"/>
      <c r="L1112" s="1"/>
    </row>
    <row r="1113" spans="1:12">
      <c r="A1113" s="1"/>
      <c r="B1113" s="255"/>
      <c r="C1113" s="1"/>
      <c r="D1113" s="1"/>
      <c r="E1113" s="255"/>
      <c r="F1113" s="1"/>
      <c r="G1113" s="1"/>
      <c r="H1113" s="1"/>
      <c r="I1113" s="1"/>
      <c r="K1113" s="1"/>
      <c r="L1113" s="1"/>
    </row>
    <row r="1114" spans="1:12">
      <c r="A1114" s="1"/>
      <c r="B1114" s="255"/>
      <c r="C1114" s="1"/>
      <c r="D1114" s="1"/>
      <c r="E1114" s="255"/>
      <c r="F1114" s="1"/>
      <c r="G1114" s="1"/>
      <c r="H1114" s="1"/>
      <c r="I1114" s="1"/>
      <c r="K1114" s="1"/>
      <c r="L1114" s="1"/>
    </row>
    <row r="1115" spans="1:12">
      <c r="A1115" s="1"/>
      <c r="B1115" s="255"/>
      <c r="C1115" s="1"/>
      <c r="D1115" s="1"/>
      <c r="E1115" s="255"/>
      <c r="F1115" s="1"/>
      <c r="G1115" s="1"/>
      <c r="H1115" s="1"/>
      <c r="I1115" s="1"/>
      <c r="K1115" s="1"/>
    </row>
    <row r="1116" spans="1:12">
      <c r="A1116" s="1"/>
      <c r="B1116" s="255"/>
      <c r="C1116" s="1"/>
      <c r="D1116" s="1"/>
      <c r="E1116" s="255"/>
      <c r="F1116" s="1"/>
      <c r="G1116" s="1"/>
      <c r="H1116" s="1"/>
      <c r="I1116" s="1"/>
      <c r="K1116" s="1"/>
    </row>
    <row r="1117" spans="1:12">
      <c r="A1117" s="1"/>
      <c r="B1117" s="255"/>
      <c r="C1117" s="1"/>
      <c r="D1117" s="1"/>
      <c r="E1117" s="255"/>
      <c r="F1117" s="1"/>
      <c r="G1117" s="1"/>
      <c r="H1117" s="1"/>
      <c r="I1117" s="1"/>
      <c r="K1117" s="1"/>
      <c r="L1117" s="1"/>
    </row>
    <row r="1118" spans="1:12">
      <c r="A1118" s="1"/>
      <c r="B1118" s="255"/>
      <c r="C1118" s="1"/>
      <c r="D1118" s="1"/>
      <c r="E1118" s="255"/>
      <c r="F1118" s="1"/>
      <c r="G1118" s="1"/>
      <c r="H1118" s="1"/>
      <c r="I1118" s="1"/>
      <c r="K1118" s="1"/>
      <c r="L1118" s="1"/>
    </row>
    <row r="1119" spans="1:12">
      <c r="A1119" s="1"/>
      <c r="B1119" s="255"/>
      <c r="C1119" s="1"/>
      <c r="D1119" s="1"/>
      <c r="E1119" s="255"/>
      <c r="F1119" s="1"/>
      <c r="G1119" s="1"/>
      <c r="H1119" s="1"/>
      <c r="I1119" s="1"/>
      <c r="K1119" s="1"/>
      <c r="L1119" s="1"/>
    </row>
    <row r="1120" spans="1:12">
      <c r="A1120" s="1"/>
      <c r="B1120" s="255"/>
      <c r="C1120" s="1"/>
      <c r="D1120" s="1"/>
      <c r="E1120" s="255"/>
      <c r="F1120" s="1"/>
      <c r="G1120" s="1"/>
      <c r="H1120" s="1"/>
      <c r="I1120" s="1"/>
      <c r="K1120" s="1"/>
      <c r="L1120" s="1"/>
    </row>
    <row r="1121" spans="1:12">
      <c r="A1121" s="1"/>
      <c r="B1121" s="255"/>
      <c r="C1121" s="1"/>
      <c r="D1121" s="1"/>
      <c r="E1121" s="255"/>
      <c r="F1121" s="1"/>
      <c r="G1121" s="1"/>
      <c r="H1121" s="1"/>
      <c r="I1121" s="1"/>
      <c r="K1121" s="1"/>
      <c r="L1121" s="1"/>
    </row>
    <row r="1122" spans="1:12">
      <c r="A1122" s="1"/>
      <c r="B1122" s="255"/>
      <c r="C1122" s="1"/>
      <c r="D1122" s="1"/>
      <c r="E1122" s="255"/>
      <c r="F1122" s="1"/>
      <c r="G1122" s="1"/>
      <c r="H1122" s="1"/>
      <c r="I1122" s="1"/>
      <c r="K1122" s="1"/>
      <c r="L1122" s="1"/>
    </row>
    <row r="1123" spans="1:12">
      <c r="A1123" s="1"/>
      <c r="B1123" s="255"/>
      <c r="C1123" s="1"/>
      <c r="D1123" s="1"/>
      <c r="E1123" s="255"/>
      <c r="F1123" s="1"/>
      <c r="G1123" s="1"/>
      <c r="H1123" s="1"/>
      <c r="I1123" s="1"/>
      <c r="K1123" s="1"/>
      <c r="L1123" s="1"/>
    </row>
    <row r="1124" spans="1:12">
      <c r="A1124" s="1"/>
      <c r="B1124" s="255"/>
      <c r="C1124" s="1"/>
      <c r="D1124" s="1"/>
      <c r="E1124" s="255"/>
      <c r="F1124" s="1"/>
      <c r="G1124" s="1"/>
      <c r="H1124" s="1"/>
      <c r="I1124" s="1"/>
      <c r="K1124" s="1"/>
      <c r="L1124" s="1"/>
    </row>
    <row r="1125" spans="1:12">
      <c r="A1125" s="1"/>
      <c r="B1125" s="255"/>
      <c r="C1125" s="1"/>
      <c r="D1125" s="1"/>
      <c r="E1125" s="255"/>
      <c r="F1125" s="1"/>
      <c r="G1125" s="1"/>
      <c r="H1125" s="1"/>
      <c r="I1125" s="1"/>
      <c r="K1125" s="1"/>
    </row>
    <row r="1126" spans="1:12">
      <c r="A1126" s="1"/>
      <c r="B1126" s="255"/>
      <c r="C1126" s="1"/>
      <c r="D1126" s="1"/>
      <c r="E1126" s="255"/>
      <c r="F1126" s="1"/>
      <c r="G1126" s="1"/>
      <c r="H1126" s="1"/>
      <c r="I1126" s="1"/>
      <c r="K1126" s="1"/>
    </row>
    <row r="1127" spans="1:12">
      <c r="A1127" s="1"/>
      <c r="B1127" s="255"/>
      <c r="C1127" s="1"/>
      <c r="D1127" s="1"/>
      <c r="E1127" s="255"/>
      <c r="F1127" s="1"/>
      <c r="G1127" s="1"/>
      <c r="H1127" s="1"/>
      <c r="I1127" s="1"/>
      <c r="K1127" s="1"/>
      <c r="L1127" s="1"/>
    </row>
    <row r="1128" spans="1:12">
      <c r="A1128" s="1"/>
      <c r="B1128" s="255"/>
      <c r="C1128" s="1"/>
      <c r="D1128" s="1"/>
      <c r="E1128" s="255"/>
      <c r="F1128" s="1"/>
      <c r="G1128" s="1"/>
      <c r="H1128" s="1"/>
      <c r="I1128" s="1"/>
      <c r="K1128" s="1"/>
      <c r="L1128" s="1"/>
    </row>
    <row r="1129" spans="1:12">
      <c r="A1129" s="1"/>
      <c r="B1129" s="255"/>
      <c r="C1129" s="1"/>
      <c r="D1129" s="1"/>
      <c r="E1129" s="255"/>
      <c r="F1129" s="1"/>
      <c r="G1129" s="1"/>
      <c r="H1129" s="1"/>
      <c r="I1129" s="1"/>
      <c r="K1129" s="1"/>
      <c r="L1129" s="1"/>
    </row>
    <row r="1130" spans="1:12">
      <c r="A1130" s="1"/>
      <c r="B1130" s="255"/>
      <c r="C1130" s="1"/>
      <c r="D1130" s="1"/>
      <c r="E1130" s="255"/>
      <c r="F1130" s="1"/>
      <c r="G1130" s="1"/>
      <c r="H1130" s="1"/>
      <c r="I1130" s="1"/>
      <c r="K1130" s="1"/>
      <c r="L1130" s="1"/>
    </row>
    <row r="1131" spans="1:12">
      <c r="A1131" s="1"/>
      <c r="B1131" s="255"/>
      <c r="C1131" s="1"/>
      <c r="D1131" s="1"/>
      <c r="E1131" s="255"/>
      <c r="F1131" s="1"/>
      <c r="G1131" s="1"/>
      <c r="H1131" s="1"/>
      <c r="I1131" s="1"/>
      <c r="K1131" s="1"/>
      <c r="L1131" s="1"/>
    </row>
    <row r="1132" spans="1:12">
      <c r="A1132" s="1"/>
      <c r="B1132" s="255"/>
      <c r="C1132" s="1"/>
      <c r="D1132" s="1"/>
      <c r="E1132" s="255"/>
      <c r="F1132" s="1"/>
      <c r="G1132" s="1"/>
      <c r="H1132" s="1"/>
      <c r="I1132" s="1"/>
      <c r="K1132" s="1"/>
      <c r="L1132" s="1"/>
    </row>
    <row r="1133" spans="1:12">
      <c r="A1133" s="1"/>
      <c r="B1133" s="255"/>
      <c r="C1133" s="1"/>
      <c r="D1133" s="1"/>
      <c r="E1133" s="255"/>
      <c r="F1133" s="1"/>
      <c r="G1133" s="1"/>
      <c r="H1133" s="1"/>
      <c r="I1133" s="1"/>
      <c r="K1133" s="1"/>
    </row>
    <row r="1134" spans="1:12">
      <c r="A1134" s="1"/>
      <c r="B1134" s="255"/>
      <c r="C1134" s="1"/>
      <c r="D1134" s="1"/>
      <c r="E1134" s="255"/>
      <c r="F1134" s="1"/>
      <c r="G1134" s="1"/>
      <c r="H1134" s="1"/>
      <c r="I1134" s="1"/>
      <c r="K1134" s="1"/>
    </row>
    <row r="1135" spans="1:12">
      <c r="A1135" s="1"/>
      <c r="B1135" s="255"/>
      <c r="C1135" s="1"/>
      <c r="D1135" s="1"/>
      <c r="E1135" s="255"/>
      <c r="F1135" s="1"/>
      <c r="G1135" s="1"/>
      <c r="H1135" s="1"/>
      <c r="I1135" s="1"/>
      <c r="K1135" s="1"/>
      <c r="L1135" s="1"/>
    </row>
    <row r="1136" spans="1:12">
      <c r="A1136" s="1"/>
      <c r="B1136" s="255"/>
      <c r="C1136" s="1"/>
      <c r="D1136" s="1"/>
      <c r="E1136" s="255"/>
      <c r="F1136" s="1"/>
      <c r="G1136" s="1"/>
      <c r="H1136" s="1"/>
      <c r="I1136" s="1"/>
      <c r="K1136" s="1"/>
      <c r="L1136" s="1"/>
    </row>
    <row r="1137" spans="1:12">
      <c r="A1137" s="1"/>
      <c r="B1137" s="255"/>
      <c r="C1137" s="1"/>
      <c r="D1137" s="1"/>
      <c r="E1137" s="255"/>
      <c r="F1137" s="1"/>
      <c r="G1137" s="1"/>
      <c r="H1137" s="1"/>
      <c r="I1137" s="1"/>
      <c r="K1137" s="1"/>
    </row>
    <row r="1138" spans="1:12">
      <c r="A1138" s="1"/>
      <c r="B1138" s="255"/>
      <c r="C1138" s="1"/>
      <c r="D1138" s="1"/>
      <c r="E1138" s="255"/>
      <c r="F1138" s="1"/>
      <c r="G1138" s="1"/>
      <c r="H1138" s="1"/>
      <c r="I1138" s="1"/>
      <c r="K1138" s="1"/>
    </row>
    <row r="1139" spans="1:12">
      <c r="A1139" s="1"/>
      <c r="B1139" s="255"/>
      <c r="C1139" s="1"/>
      <c r="D1139" s="1"/>
      <c r="E1139" s="255"/>
      <c r="F1139" s="1"/>
      <c r="G1139" s="1"/>
      <c r="H1139" s="1"/>
      <c r="I1139" s="1"/>
      <c r="K1139" s="1"/>
      <c r="L1139" s="1"/>
    </row>
    <row r="1140" spans="1:12">
      <c r="A1140" s="1"/>
      <c r="B1140" s="255"/>
      <c r="C1140" s="1"/>
      <c r="D1140" s="1"/>
      <c r="E1140" s="255"/>
      <c r="F1140" s="1"/>
      <c r="G1140" s="1"/>
      <c r="H1140" s="1"/>
      <c r="I1140" s="1"/>
      <c r="K1140" s="1"/>
      <c r="L1140" s="1"/>
    </row>
    <row r="1141" spans="1:12">
      <c r="A1141" s="1"/>
      <c r="B1141" s="255"/>
      <c r="C1141" s="1"/>
      <c r="D1141" s="1"/>
      <c r="E1141" s="255"/>
      <c r="F1141" s="1"/>
      <c r="G1141" s="1"/>
      <c r="H1141" s="1"/>
      <c r="I1141" s="1"/>
      <c r="K1141" s="1"/>
      <c r="L1141" s="1"/>
    </row>
    <row r="1142" spans="1:12">
      <c r="A1142" s="1"/>
      <c r="B1142" s="255"/>
      <c r="C1142" s="1"/>
      <c r="D1142" s="1"/>
      <c r="E1142" s="255"/>
      <c r="F1142" s="1"/>
      <c r="G1142" s="1"/>
      <c r="H1142" s="1"/>
      <c r="I1142" s="1"/>
      <c r="K1142" s="1"/>
      <c r="L1142" s="1"/>
    </row>
    <row r="1143" spans="1:12">
      <c r="A1143" s="1"/>
      <c r="B1143" s="255"/>
      <c r="C1143" s="1"/>
      <c r="D1143" s="1"/>
      <c r="E1143" s="255"/>
      <c r="F1143" s="1"/>
      <c r="G1143" s="1"/>
      <c r="H1143" s="1"/>
      <c r="I1143" s="1"/>
      <c r="K1143" s="1"/>
      <c r="L1143" s="1"/>
    </row>
    <row r="1144" spans="1:12">
      <c r="A1144" s="1"/>
      <c r="B1144" s="255"/>
      <c r="C1144" s="1"/>
      <c r="D1144" s="1"/>
      <c r="E1144" s="255"/>
      <c r="F1144" s="1"/>
      <c r="G1144" s="1"/>
      <c r="H1144" s="1"/>
      <c r="I1144" s="1"/>
      <c r="K1144" s="1"/>
      <c r="L1144" s="1"/>
    </row>
    <row r="1145" spans="1:12">
      <c r="A1145" s="1"/>
      <c r="B1145" s="255"/>
      <c r="C1145" s="1"/>
      <c r="D1145" s="1"/>
      <c r="E1145" s="255"/>
      <c r="F1145" s="1"/>
      <c r="G1145" s="1"/>
      <c r="H1145" s="1"/>
      <c r="I1145" s="1"/>
      <c r="K1145" s="1"/>
      <c r="L1145" s="1"/>
    </row>
    <row r="1146" spans="1:12">
      <c r="A1146" s="1"/>
      <c r="B1146" s="255"/>
      <c r="C1146" s="1"/>
      <c r="D1146" s="1"/>
      <c r="E1146" s="255"/>
      <c r="F1146" s="1"/>
      <c r="G1146" s="1"/>
      <c r="H1146" s="1"/>
      <c r="I1146" s="1"/>
      <c r="K1146" s="1"/>
      <c r="L1146" s="1"/>
    </row>
    <row r="1147" spans="1:12">
      <c r="A1147" s="1"/>
      <c r="B1147" s="255"/>
      <c r="C1147" s="1"/>
      <c r="D1147" s="1"/>
      <c r="E1147" s="255"/>
      <c r="F1147" s="1"/>
      <c r="G1147" s="1"/>
      <c r="H1147" s="1"/>
      <c r="I1147" s="1"/>
      <c r="K1147" s="1"/>
      <c r="L1147" s="1"/>
    </row>
    <row r="1148" spans="1:12">
      <c r="A1148" s="1"/>
      <c r="B1148" s="255"/>
      <c r="C1148" s="1"/>
      <c r="D1148" s="1"/>
      <c r="E1148" s="255"/>
      <c r="F1148" s="1"/>
      <c r="G1148" s="1"/>
      <c r="H1148" s="1"/>
      <c r="I1148" s="1"/>
      <c r="K1148" s="1"/>
      <c r="L1148" s="1"/>
    </row>
    <row r="1149" spans="1:12">
      <c r="A1149" s="1"/>
      <c r="B1149" s="255"/>
      <c r="C1149" s="1"/>
      <c r="D1149" s="1"/>
      <c r="E1149" s="255"/>
      <c r="F1149" s="1"/>
      <c r="G1149" s="1"/>
      <c r="H1149" s="1"/>
      <c r="I1149" s="1"/>
      <c r="K1149" s="1"/>
      <c r="L1149" s="1"/>
    </row>
    <row r="1150" spans="1:12">
      <c r="A1150" s="1"/>
      <c r="B1150" s="255"/>
      <c r="C1150" s="1"/>
      <c r="D1150" s="1"/>
      <c r="E1150" s="255"/>
      <c r="F1150" s="1"/>
      <c r="G1150" s="1"/>
      <c r="H1150" s="1"/>
      <c r="I1150" s="1"/>
      <c r="K1150" s="1"/>
      <c r="L1150" s="1"/>
    </row>
    <row r="1151" spans="1:12">
      <c r="A1151" s="1"/>
      <c r="B1151" s="255"/>
      <c r="C1151" s="1"/>
      <c r="D1151" s="1"/>
      <c r="E1151" s="255"/>
      <c r="F1151" s="1"/>
      <c r="G1151" s="1"/>
      <c r="H1151" s="1"/>
      <c r="I1151" s="1"/>
      <c r="K1151" s="1"/>
      <c r="L1151" s="1"/>
    </row>
    <row r="1152" spans="1:12">
      <c r="A1152" s="1"/>
      <c r="B1152" s="255"/>
      <c r="C1152" s="1"/>
      <c r="D1152" s="1"/>
      <c r="E1152" s="255"/>
      <c r="F1152" s="1"/>
      <c r="G1152" s="1"/>
      <c r="H1152" s="1"/>
      <c r="I1152" s="1"/>
      <c r="K1152" s="1"/>
      <c r="L1152" s="1"/>
    </row>
    <row r="1153" spans="1:12">
      <c r="A1153" s="1"/>
      <c r="B1153" s="255"/>
      <c r="C1153" s="1"/>
      <c r="D1153" s="1"/>
      <c r="E1153" s="255"/>
      <c r="F1153" s="1"/>
      <c r="G1153" s="1"/>
      <c r="H1153" s="1"/>
      <c r="I1153" s="1"/>
      <c r="K1153" s="1"/>
    </row>
    <row r="1154" spans="1:12">
      <c r="A1154" s="1"/>
      <c r="B1154" s="255"/>
      <c r="C1154" s="1"/>
      <c r="D1154" s="1"/>
      <c r="E1154" s="255"/>
      <c r="F1154" s="1"/>
      <c r="G1154" s="1"/>
      <c r="H1154" s="1"/>
      <c r="I1154" s="1"/>
      <c r="K1154" s="1"/>
    </row>
    <row r="1155" spans="1:12">
      <c r="A1155" s="1"/>
      <c r="B1155" s="255"/>
      <c r="C1155" s="1"/>
      <c r="D1155" s="1"/>
      <c r="E1155" s="255"/>
      <c r="F1155" s="1"/>
      <c r="G1155" s="1"/>
      <c r="H1155" s="1"/>
      <c r="I1155" s="1"/>
      <c r="K1155" s="1"/>
      <c r="L1155" s="1"/>
    </row>
    <row r="1156" spans="1:12">
      <c r="A1156" s="1"/>
      <c r="B1156" s="255"/>
      <c r="C1156" s="1"/>
      <c r="D1156" s="1"/>
      <c r="E1156" s="255"/>
      <c r="F1156" s="1"/>
      <c r="G1156" s="1"/>
      <c r="H1156" s="1"/>
      <c r="I1156" s="1"/>
      <c r="K1156" s="1"/>
      <c r="L1156" s="1"/>
    </row>
    <row r="1157" spans="1:12">
      <c r="A1157" s="1"/>
      <c r="B1157" s="255"/>
      <c r="C1157" s="1"/>
      <c r="D1157" s="1"/>
      <c r="E1157" s="255"/>
      <c r="F1157" s="1"/>
      <c r="G1157" s="1"/>
      <c r="H1157" s="1"/>
      <c r="I1157" s="1"/>
      <c r="K1157" s="1"/>
    </row>
    <row r="1158" spans="1:12">
      <c r="A1158" s="1"/>
      <c r="B1158" s="255"/>
      <c r="C1158" s="1"/>
      <c r="D1158" s="1"/>
      <c r="E1158" s="255"/>
      <c r="F1158" s="1"/>
      <c r="G1158" s="1"/>
      <c r="H1158" s="1"/>
      <c r="I1158" s="1"/>
      <c r="K1158" s="1"/>
    </row>
    <row r="1159" spans="1:12">
      <c r="A1159" s="1"/>
      <c r="B1159" s="255"/>
      <c r="C1159" s="1"/>
      <c r="D1159" s="1"/>
      <c r="E1159" s="255"/>
      <c r="F1159" s="1"/>
      <c r="G1159" s="1"/>
      <c r="H1159" s="1"/>
      <c r="I1159" s="1"/>
      <c r="K1159" s="1"/>
      <c r="L1159" s="1"/>
    </row>
    <row r="1160" spans="1:12">
      <c r="A1160" s="1"/>
      <c r="B1160" s="255"/>
      <c r="C1160" s="1"/>
      <c r="D1160" s="1"/>
      <c r="E1160" s="255"/>
      <c r="F1160" s="1"/>
      <c r="G1160" s="1"/>
      <c r="H1160" s="1"/>
      <c r="I1160" s="1"/>
      <c r="K1160" s="1"/>
      <c r="L1160" s="1"/>
    </row>
    <row r="1161" spans="1:12">
      <c r="A1161" s="1"/>
      <c r="B1161" s="255"/>
      <c r="C1161" s="1"/>
      <c r="D1161" s="1"/>
      <c r="E1161" s="255"/>
      <c r="F1161" s="1"/>
      <c r="G1161" s="1"/>
      <c r="H1161" s="1"/>
      <c r="I1161" s="1"/>
      <c r="K1161" s="1"/>
      <c r="L1161" s="1"/>
    </row>
    <row r="1162" spans="1:12">
      <c r="A1162" s="1"/>
      <c r="B1162" s="255"/>
      <c r="C1162" s="1"/>
      <c r="D1162" s="1"/>
      <c r="E1162" s="255"/>
      <c r="F1162" s="1"/>
      <c r="G1162" s="1"/>
      <c r="H1162" s="1"/>
      <c r="I1162" s="1"/>
      <c r="K1162" s="1"/>
      <c r="L1162" s="1"/>
    </row>
    <row r="1163" spans="1:12">
      <c r="A1163" s="1"/>
      <c r="B1163" s="255"/>
      <c r="C1163" s="1"/>
      <c r="D1163" s="1"/>
      <c r="E1163" s="255"/>
      <c r="F1163" s="1"/>
      <c r="G1163" s="1"/>
      <c r="H1163" s="1"/>
      <c r="I1163" s="1"/>
      <c r="K1163" s="1"/>
    </row>
    <row r="1164" spans="1:12">
      <c r="A1164" s="1"/>
      <c r="B1164" s="255"/>
      <c r="C1164" s="1"/>
      <c r="D1164" s="1"/>
      <c r="E1164" s="255"/>
      <c r="F1164" s="1"/>
      <c r="G1164" s="1"/>
      <c r="H1164" s="1"/>
      <c r="I1164" s="1"/>
      <c r="K1164" s="1"/>
    </row>
    <row r="1165" spans="1:12">
      <c r="A1165" s="1"/>
      <c r="B1165" s="255"/>
      <c r="C1165" s="1"/>
      <c r="D1165" s="1"/>
      <c r="E1165" s="255"/>
      <c r="F1165" s="1"/>
      <c r="G1165" s="1"/>
      <c r="H1165" s="1"/>
      <c r="I1165" s="1"/>
      <c r="K1165" s="1"/>
      <c r="L1165" s="1"/>
    </row>
    <row r="1166" spans="1:12">
      <c r="A1166" s="1"/>
      <c r="B1166" s="255"/>
      <c r="C1166" s="1"/>
      <c r="D1166" s="1"/>
      <c r="E1166" s="255"/>
      <c r="F1166" s="1"/>
      <c r="G1166" s="1"/>
      <c r="H1166" s="1"/>
      <c r="I1166" s="1"/>
      <c r="K1166" s="1"/>
      <c r="L1166" s="1"/>
    </row>
    <row r="1167" spans="1:12">
      <c r="A1167" s="1"/>
      <c r="B1167" s="255"/>
      <c r="C1167" s="1"/>
      <c r="D1167" s="1"/>
      <c r="E1167" s="255"/>
      <c r="F1167" s="1"/>
      <c r="G1167" s="1"/>
      <c r="H1167" s="1"/>
      <c r="I1167" s="1"/>
      <c r="K1167" s="1"/>
      <c r="L1167" s="1"/>
    </row>
    <row r="1168" spans="1:12">
      <c r="A1168" s="1"/>
      <c r="B1168" s="255"/>
      <c r="C1168" s="1"/>
      <c r="D1168" s="1"/>
      <c r="E1168" s="255"/>
      <c r="F1168" s="1"/>
      <c r="G1168" s="1"/>
      <c r="H1168" s="1"/>
      <c r="I1168" s="1"/>
      <c r="K1168" s="1"/>
      <c r="L1168" s="1"/>
    </row>
    <row r="1169" spans="1:12">
      <c r="A1169" s="1"/>
      <c r="B1169" s="255"/>
      <c r="C1169" s="1"/>
      <c r="D1169" s="1"/>
      <c r="E1169" s="255"/>
      <c r="F1169" s="1"/>
      <c r="G1169" s="1"/>
      <c r="H1169" s="1"/>
      <c r="I1169" s="1"/>
      <c r="K1169" s="1"/>
      <c r="L1169" s="1"/>
    </row>
    <row r="1170" spans="1:12">
      <c r="A1170" s="1"/>
      <c r="B1170" s="255"/>
      <c r="C1170" s="1"/>
      <c r="D1170" s="1"/>
      <c r="E1170" s="255"/>
      <c r="F1170" s="1"/>
      <c r="G1170" s="1"/>
      <c r="H1170" s="1"/>
      <c r="I1170" s="1"/>
      <c r="K1170" s="1"/>
      <c r="L1170" s="1"/>
    </row>
    <row r="1171" spans="1:12">
      <c r="A1171" s="1"/>
      <c r="B1171" s="255"/>
      <c r="C1171" s="1"/>
      <c r="D1171" s="1"/>
      <c r="E1171" s="255"/>
      <c r="F1171" s="1"/>
      <c r="G1171" s="1"/>
      <c r="H1171" s="1"/>
      <c r="I1171" s="1"/>
      <c r="K1171" s="1"/>
      <c r="L1171" s="1"/>
    </row>
    <row r="1172" spans="1:12">
      <c r="A1172" s="1"/>
      <c r="B1172" s="255"/>
      <c r="C1172" s="1"/>
      <c r="D1172" s="1"/>
      <c r="E1172" s="255"/>
      <c r="F1172" s="1"/>
      <c r="G1172" s="1"/>
      <c r="H1172" s="1"/>
      <c r="I1172" s="1"/>
      <c r="K1172" s="1"/>
      <c r="L1172" s="1"/>
    </row>
    <row r="1173" spans="1:12">
      <c r="A1173" s="1"/>
      <c r="B1173" s="255"/>
      <c r="C1173" s="1"/>
      <c r="D1173" s="1"/>
      <c r="E1173" s="255"/>
      <c r="F1173" s="1"/>
      <c r="G1173" s="1"/>
      <c r="H1173" s="1"/>
      <c r="I1173" s="1"/>
      <c r="K1173" s="1"/>
      <c r="L1173" s="1"/>
    </row>
    <row r="1174" spans="1:12">
      <c r="A1174" s="1"/>
      <c r="B1174" s="255"/>
      <c r="C1174" s="1"/>
      <c r="D1174" s="1"/>
      <c r="E1174" s="255"/>
      <c r="F1174" s="1"/>
      <c r="G1174" s="1"/>
      <c r="H1174" s="1"/>
      <c r="I1174" s="1"/>
      <c r="K1174" s="1"/>
      <c r="L1174" s="1"/>
    </row>
    <row r="1175" spans="1:12">
      <c r="A1175" s="1"/>
      <c r="B1175" s="255"/>
      <c r="C1175" s="1"/>
      <c r="D1175" s="1"/>
      <c r="E1175" s="255"/>
      <c r="F1175" s="1"/>
      <c r="G1175" s="1"/>
      <c r="H1175" s="1"/>
      <c r="I1175" s="1"/>
      <c r="K1175" s="1"/>
    </row>
    <row r="1176" spans="1:12">
      <c r="A1176" s="1"/>
      <c r="B1176" s="255"/>
      <c r="C1176" s="1"/>
      <c r="D1176" s="1"/>
      <c r="E1176" s="255"/>
      <c r="F1176" s="1"/>
      <c r="G1176" s="1"/>
      <c r="H1176" s="1"/>
      <c r="I1176" s="1"/>
      <c r="K1176" s="1"/>
    </row>
    <row r="1177" spans="1:12">
      <c r="A1177" s="1"/>
      <c r="B1177" s="255"/>
      <c r="C1177" s="1"/>
      <c r="D1177" s="1"/>
      <c r="E1177" s="255"/>
      <c r="F1177" s="1"/>
      <c r="G1177" s="1"/>
      <c r="H1177" s="1"/>
      <c r="I1177" s="1"/>
      <c r="K1177" s="1"/>
      <c r="L1177" s="1"/>
    </row>
    <row r="1178" spans="1:12">
      <c r="A1178" s="1"/>
      <c r="B1178" s="255"/>
      <c r="C1178" s="1"/>
      <c r="D1178" s="1"/>
      <c r="E1178" s="255"/>
      <c r="F1178" s="1"/>
      <c r="G1178" s="1"/>
      <c r="H1178" s="1"/>
      <c r="I1178" s="1"/>
      <c r="K1178" s="1"/>
      <c r="L1178" s="1"/>
    </row>
    <row r="1179" spans="1:12">
      <c r="A1179" s="1"/>
      <c r="B1179" s="255"/>
      <c r="C1179" s="1"/>
      <c r="D1179" s="1"/>
      <c r="E1179" s="255"/>
      <c r="F1179" s="1"/>
      <c r="G1179" s="1"/>
      <c r="H1179" s="1"/>
      <c r="I1179" s="1"/>
      <c r="K1179" s="1"/>
      <c r="L1179" s="1"/>
    </row>
    <row r="1180" spans="1:12">
      <c r="A1180" s="1"/>
      <c r="B1180" s="255"/>
      <c r="C1180" s="1"/>
      <c r="D1180" s="1"/>
      <c r="E1180" s="255"/>
      <c r="F1180" s="1"/>
      <c r="G1180" s="1"/>
      <c r="H1180" s="1"/>
      <c r="I1180" s="1"/>
      <c r="K1180" s="1"/>
      <c r="L1180" s="1"/>
    </row>
    <row r="1181" spans="1:12">
      <c r="A1181" s="1"/>
      <c r="B1181" s="255"/>
      <c r="C1181" s="1"/>
      <c r="D1181" s="1"/>
      <c r="E1181" s="255"/>
      <c r="F1181" s="1"/>
      <c r="G1181" s="1"/>
      <c r="H1181" s="1"/>
      <c r="I1181" s="1"/>
      <c r="K1181" s="1"/>
      <c r="L1181" s="1"/>
    </row>
    <row r="1182" spans="1:12">
      <c r="A1182" s="1"/>
      <c r="B1182" s="255"/>
      <c r="C1182" s="1"/>
      <c r="D1182" s="1"/>
      <c r="E1182" s="255"/>
      <c r="F1182" s="1"/>
      <c r="G1182" s="1"/>
      <c r="H1182" s="1"/>
      <c r="I1182" s="1"/>
      <c r="K1182" s="1"/>
      <c r="L1182" s="1"/>
    </row>
    <row r="1183" spans="1:12">
      <c r="A1183" s="1"/>
      <c r="B1183" s="255"/>
      <c r="C1183" s="1"/>
      <c r="D1183" s="1"/>
      <c r="E1183" s="255"/>
      <c r="F1183" s="1"/>
      <c r="G1183" s="1"/>
      <c r="H1183" s="1"/>
      <c r="I1183" s="1"/>
      <c r="K1183" s="1"/>
      <c r="L1183" s="1"/>
    </row>
    <row r="1184" spans="1:12">
      <c r="A1184" s="1"/>
      <c r="B1184" s="255"/>
      <c r="C1184" s="1"/>
      <c r="D1184" s="1"/>
      <c r="E1184" s="255"/>
      <c r="F1184" s="1"/>
      <c r="G1184" s="1"/>
      <c r="H1184" s="1"/>
      <c r="I1184" s="1"/>
      <c r="K1184" s="1"/>
      <c r="L1184" s="1"/>
    </row>
    <row r="1185" spans="1:12">
      <c r="A1185" s="1"/>
      <c r="B1185" s="255"/>
      <c r="C1185" s="1"/>
      <c r="D1185" s="1"/>
      <c r="E1185" s="255"/>
      <c r="F1185" s="1"/>
      <c r="G1185" s="1"/>
      <c r="H1185" s="1"/>
      <c r="I1185" s="1"/>
      <c r="K1185" s="1"/>
    </row>
    <row r="1186" spans="1:12">
      <c r="A1186" s="1"/>
      <c r="B1186" s="255"/>
      <c r="C1186" s="1"/>
      <c r="D1186" s="1"/>
      <c r="E1186" s="255"/>
      <c r="F1186" s="1"/>
      <c r="G1186" s="1"/>
      <c r="H1186" s="1"/>
      <c r="I1186" s="1"/>
      <c r="K1186" s="1"/>
    </row>
    <row r="1187" spans="1:12">
      <c r="A1187" s="1"/>
      <c r="B1187" s="255"/>
      <c r="C1187" s="1"/>
      <c r="D1187" s="1"/>
      <c r="E1187" s="255"/>
      <c r="F1187" s="1"/>
      <c r="G1187" s="1"/>
      <c r="H1187" s="1"/>
      <c r="I1187" s="1"/>
      <c r="K1187" s="1"/>
    </row>
    <row r="1188" spans="1:12">
      <c r="A1188" s="1"/>
      <c r="B1188" s="255"/>
      <c r="C1188" s="1"/>
      <c r="D1188" s="1"/>
      <c r="E1188" s="255"/>
      <c r="F1188" s="1"/>
      <c r="G1188" s="1"/>
      <c r="H1188" s="1"/>
      <c r="I1188" s="1"/>
      <c r="K1188" s="1"/>
    </row>
    <row r="1189" spans="1:12">
      <c r="A1189" s="1"/>
      <c r="B1189" s="255"/>
      <c r="C1189" s="1"/>
      <c r="D1189" s="1"/>
      <c r="E1189" s="255"/>
      <c r="F1189" s="1"/>
      <c r="G1189" s="1"/>
      <c r="H1189" s="1"/>
      <c r="I1189" s="1"/>
      <c r="K1189" s="1"/>
      <c r="L1189" s="1"/>
    </row>
    <row r="1190" spans="1:12">
      <c r="A1190" s="1"/>
      <c r="B1190" s="255"/>
      <c r="C1190" s="1"/>
      <c r="D1190" s="1"/>
      <c r="E1190" s="255"/>
      <c r="F1190" s="1"/>
      <c r="G1190" s="1"/>
      <c r="H1190" s="1"/>
      <c r="I1190" s="1"/>
      <c r="K1190" s="1"/>
      <c r="L1190" s="1"/>
    </row>
    <row r="1191" spans="1:12">
      <c r="A1191" s="1"/>
      <c r="B1191" s="255"/>
      <c r="C1191" s="1"/>
      <c r="D1191" s="1"/>
      <c r="E1191" s="255"/>
      <c r="F1191" s="1"/>
      <c r="G1191" s="1"/>
      <c r="H1191" s="1"/>
      <c r="I1191" s="1"/>
      <c r="K1191" s="1"/>
      <c r="L1191" s="1"/>
    </row>
    <row r="1192" spans="1:12">
      <c r="A1192" s="1"/>
      <c r="B1192" s="255"/>
      <c r="C1192" s="1"/>
      <c r="D1192" s="1"/>
      <c r="E1192" s="255"/>
      <c r="F1192" s="1"/>
      <c r="G1192" s="1"/>
      <c r="H1192" s="1"/>
      <c r="I1192" s="1"/>
      <c r="K1192" s="1"/>
      <c r="L1192" s="1"/>
    </row>
    <row r="1193" spans="1:12">
      <c r="A1193" s="1"/>
      <c r="B1193" s="255"/>
      <c r="C1193" s="1"/>
      <c r="D1193" s="1"/>
      <c r="E1193" s="255"/>
      <c r="F1193" s="1"/>
      <c r="G1193" s="1"/>
      <c r="H1193" s="1"/>
      <c r="I1193" s="1"/>
      <c r="K1193" s="1"/>
      <c r="L1193" s="1"/>
    </row>
    <row r="1194" spans="1:12">
      <c r="A1194" s="1"/>
      <c r="B1194" s="255"/>
      <c r="C1194" s="1"/>
      <c r="D1194" s="1"/>
      <c r="E1194" s="255"/>
      <c r="F1194" s="1"/>
      <c r="G1194" s="1"/>
      <c r="H1194" s="1"/>
      <c r="I1194" s="1"/>
      <c r="K1194" s="1"/>
      <c r="L1194" s="1"/>
    </row>
    <row r="1195" spans="1:12">
      <c r="A1195" s="1"/>
      <c r="B1195" s="255"/>
      <c r="C1195" s="1"/>
      <c r="D1195" s="1"/>
      <c r="E1195" s="255"/>
      <c r="F1195" s="1"/>
      <c r="G1195" s="1"/>
      <c r="H1195" s="1"/>
      <c r="I1195" s="1"/>
      <c r="K1195" s="1"/>
      <c r="L1195" s="1"/>
    </row>
    <row r="1196" spans="1:12">
      <c r="A1196" s="1"/>
      <c r="B1196" s="255"/>
      <c r="C1196" s="1"/>
      <c r="D1196" s="1"/>
      <c r="E1196" s="255"/>
      <c r="F1196" s="1"/>
      <c r="G1196" s="1"/>
      <c r="H1196" s="1"/>
      <c r="I1196" s="1"/>
      <c r="K1196" s="1"/>
      <c r="L1196" s="1"/>
    </row>
    <row r="1197" spans="1:12">
      <c r="A1197" s="1"/>
      <c r="B1197" s="255"/>
      <c r="C1197" s="1"/>
      <c r="D1197" s="1"/>
      <c r="E1197" s="255"/>
      <c r="F1197" s="1"/>
      <c r="G1197" s="1"/>
      <c r="H1197" s="1"/>
      <c r="I1197" s="1"/>
      <c r="K1197" s="1"/>
    </row>
    <row r="1198" spans="1:12">
      <c r="A1198" s="1"/>
      <c r="B1198" s="255"/>
      <c r="C1198" s="1"/>
      <c r="D1198" s="1"/>
      <c r="E1198" s="255"/>
      <c r="F1198" s="1"/>
      <c r="G1198" s="1"/>
      <c r="H1198" s="1"/>
      <c r="I1198" s="1"/>
      <c r="K1198" s="1"/>
    </row>
    <row r="1199" spans="1:12">
      <c r="A1199" s="1"/>
      <c r="B1199" s="255"/>
      <c r="C1199" s="1"/>
      <c r="D1199" s="1"/>
      <c r="E1199" s="255"/>
      <c r="F1199" s="1"/>
      <c r="G1199" s="1"/>
      <c r="H1199" s="1"/>
      <c r="I1199" s="1"/>
      <c r="K1199" s="1"/>
      <c r="L1199" s="1"/>
    </row>
    <row r="1200" spans="1:12">
      <c r="A1200" s="1"/>
      <c r="B1200" s="255"/>
      <c r="C1200" s="1"/>
      <c r="D1200" s="1"/>
      <c r="E1200" s="255"/>
      <c r="F1200" s="1"/>
      <c r="G1200" s="1"/>
      <c r="H1200" s="1"/>
      <c r="I1200" s="1"/>
      <c r="K1200" s="1"/>
      <c r="L1200" s="1"/>
    </row>
    <row r="1201" spans="1:12">
      <c r="A1201" s="1"/>
      <c r="B1201" s="255"/>
      <c r="C1201" s="1"/>
      <c r="D1201" s="1"/>
      <c r="E1201" s="255"/>
      <c r="F1201" s="1"/>
      <c r="G1201" s="1"/>
      <c r="H1201" s="1"/>
      <c r="I1201" s="1"/>
      <c r="K1201" s="1"/>
      <c r="L1201" s="1"/>
    </row>
    <row r="1202" spans="1:12">
      <c r="A1202" s="1"/>
      <c r="B1202" s="255"/>
      <c r="C1202" s="1"/>
      <c r="D1202" s="1"/>
      <c r="E1202" s="255"/>
      <c r="F1202" s="1"/>
      <c r="G1202" s="1"/>
      <c r="H1202" s="1"/>
      <c r="I1202" s="1"/>
      <c r="K1202" s="1"/>
      <c r="L1202" s="1"/>
    </row>
    <row r="1203" spans="1:12">
      <c r="A1203" s="1"/>
      <c r="B1203" s="255"/>
      <c r="C1203" s="1"/>
      <c r="D1203" s="1"/>
      <c r="E1203" s="255"/>
      <c r="F1203" s="1"/>
      <c r="G1203" s="1"/>
      <c r="H1203" s="1"/>
      <c r="I1203" s="1"/>
      <c r="K1203" s="1"/>
      <c r="L1203" s="1"/>
    </row>
    <row r="1204" spans="1:12">
      <c r="A1204" s="1"/>
      <c r="B1204" s="255"/>
      <c r="C1204" s="1"/>
      <c r="D1204" s="1"/>
      <c r="E1204" s="255"/>
      <c r="F1204" s="1"/>
      <c r="G1204" s="1"/>
      <c r="H1204" s="1"/>
      <c r="I1204" s="1"/>
      <c r="K1204" s="1"/>
      <c r="L1204" s="1"/>
    </row>
    <row r="1205" spans="1:12">
      <c r="A1205" s="1"/>
      <c r="B1205" s="255"/>
      <c r="C1205" s="1"/>
      <c r="D1205" s="1"/>
      <c r="E1205" s="255"/>
      <c r="F1205" s="1"/>
      <c r="G1205" s="1"/>
      <c r="H1205" s="1"/>
      <c r="I1205" s="1"/>
      <c r="K1205" s="1"/>
    </row>
    <row r="1206" spans="1:12">
      <c r="A1206" s="1"/>
      <c r="B1206" s="255"/>
      <c r="C1206" s="1"/>
      <c r="D1206" s="1"/>
      <c r="E1206" s="255"/>
      <c r="F1206" s="1"/>
      <c r="G1206" s="1"/>
      <c r="H1206" s="1"/>
      <c r="I1206" s="1"/>
      <c r="K1206" s="1"/>
    </row>
    <row r="1207" spans="1:12">
      <c r="A1207" s="1"/>
      <c r="B1207" s="255"/>
      <c r="C1207" s="1"/>
      <c r="D1207" s="1"/>
      <c r="E1207" s="255"/>
      <c r="F1207" s="1"/>
      <c r="G1207" s="1"/>
      <c r="H1207" s="1"/>
      <c r="I1207" s="1"/>
      <c r="K1207" s="1"/>
      <c r="L1207" s="1"/>
    </row>
    <row r="1208" spans="1:12">
      <c r="A1208" s="1"/>
      <c r="B1208" s="255"/>
      <c r="C1208" s="1"/>
      <c r="D1208" s="1"/>
      <c r="E1208" s="255"/>
      <c r="F1208" s="1"/>
      <c r="G1208" s="1"/>
      <c r="H1208" s="1"/>
      <c r="I1208" s="1"/>
      <c r="K1208" s="1"/>
      <c r="L1208" s="1"/>
    </row>
    <row r="1209" spans="1:12">
      <c r="A1209" s="1"/>
      <c r="B1209" s="255"/>
      <c r="C1209" s="1"/>
      <c r="D1209" s="1"/>
      <c r="E1209" s="255"/>
      <c r="F1209" s="1"/>
      <c r="G1209" s="1"/>
      <c r="H1209" s="1"/>
      <c r="I1209" s="1"/>
      <c r="K1209" s="1"/>
      <c r="L1209" s="1"/>
    </row>
    <row r="1210" spans="1:12">
      <c r="A1210" s="1"/>
      <c r="B1210" s="255"/>
      <c r="C1210" s="1"/>
      <c r="D1210" s="1"/>
      <c r="E1210" s="255"/>
      <c r="F1210" s="1"/>
      <c r="G1210" s="1"/>
      <c r="H1210" s="1"/>
      <c r="I1210" s="1"/>
      <c r="K1210" s="1"/>
      <c r="L1210" s="1"/>
    </row>
    <row r="1211" spans="1:12">
      <c r="A1211" s="1"/>
      <c r="B1211" s="255"/>
      <c r="C1211" s="1"/>
      <c r="D1211" s="1"/>
      <c r="E1211" s="255"/>
      <c r="F1211" s="1"/>
      <c r="G1211" s="1"/>
      <c r="H1211" s="1"/>
      <c r="I1211" s="1"/>
      <c r="K1211" s="1"/>
      <c r="L1211" s="1"/>
    </row>
    <row r="1212" spans="1:12">
      <c r="A1212" s="1"/>
      <c r="B1212" s="255"/>
      <c r="C1212" s="1"/>
      <c r="D1212" s="1"/>
      <c r="E1212" s="255"/>
      <c r="F1212" s="1"/>
      <c r="G1212" s="1"/>
      <c r="H1212" s="1"/>
      <c r="I1212" s="1"/>
      <c r="K1212" s="1"/>
      <c r="L1212" s="1"/>
    </row>
    <row r="1213" spans="1:12">
      <c r="A1213" s="1"/>
      <c r="B1213" s="255"/>
      <c r="C1213" s="1"/>
      <c r="D1213" s="1"/>
      <c r="E1213" s="255"/>
      <c r="F1213" s="1"/>
      <c r="G1213" s="1"/>
      <c r="H1213" s="1"/>
      <c r="I1213" s="1"/>
      <c r="K1213" s="1"/>
      <c r="L1213" s="1"/>
    </row>
    <row r="1214" spans="1:12">
      <c r="A1214" s="1"/>
      <c r="B1214" s="255"/>
      <c r="C1214" s="1"/>
      <c r="D1214" s="1"/>
      <c r="E1214" s="255"/>
      <c r="F1214" s="1"/>
      <c r="G1214" s="1"/>
      <c r="H1214" s="1"/>
      <c r="I1214" s="1"/>
      <c r="K1214" s="1"/>
      <c r="L1214" s="1"/>
    </row>
    <row r="1215" spans="1:12">
      <c r="A1215" s="1"/>
      <c r="B1215" s="255"/>
      <c r="C1215" s="1"/>
      <c r="D1215" s="1"/>
      <c r="E1215" s="255"/>
      <c r="F1215" s="1"/>
      <c r="G1215" s="1"/>
      <c r="H1215" s="1"/>
      <c r="I1215" s="1"/>
      <c r="K1215" s="1"/>
      <c r="L1215" s="1"/>
    </row>
    <row r="1216" spans="1:12">
      <c r="A1216" s="1"/>
      <c r="B1216" s="255"/>
      <c r="C1216" s="1"/>
      <c r="D1216" s="1"/>
      <c r="E1216" s="255"/>
      <c r="F1216" s="1"/>
      <c r="G1216" s="1"/>
      <c r="H1216" s="1"/>
      <c r="I1216" s="1"/>
      <c r="K1216" s="1"/>
      <c r="L1216" s="1"/>
    </row>
    <row r="1217" spans="1:12">
      <c r="A1217" s="1"/>
      <c r="B1217" s="255"/>
      <c r="C1217" s="1"/>
      <c r="D1217" s="1"/>
      <c r="E1217" s="255"/>
      <c r="F1217" s="1"/>
      <c r="G1217" s="1"/>
      <c r="H1217" s="1"/>
      <c r="I1217" s="1"/>
      <c r="K1217" s="1"/>
      <c r="L1217" s="1"/>
    </row>
    <row r="1218" spans="1:12">
      <c r="A1218" s="1"/>
      <c r="B1218" s="255"/>
      <c r="C1218" s="1"/>
      <c r="D1218" s="1"/>
      <c r="E1218" s="255"/>
      <c r="F1218" s="1"/>
      <c r="G1218" s="1"/>
      <c r="H1218" s="1"/>
      <c r="I1218" s="1"/>
      <c r="K1218" s="1"/>
      <c r="L1218" s="1"/>
    </row>
    <row r="1219" spans="1:12">
      <c r="A1219" s="1"/>
      <c r="B1219" s="255"/>
      <c r="C1219" s="1"/>
      <c r="D1219" s="1"/>
      <c r="E1219" s="255"/>
      <c r="F1219" s="1"/>
      <c r="G1219" s="1"/>
      <c r="H1219" s="1"/>
      <c r="I1219" s="1"/>
      <c r="K1219" s="1"/>
      <c r="L1219" s="1"/>
    </row>
    <row r="1220" spans="1:12">
      <c r="A1220" s="1"/>
      <c r="B1220" s="255"/>
      <c r="C1220" s="1"/>
      <c r="D1220" s="1"/>
      <c r="E1220" s="255"/>
      <c r="F1220" s="1"/>
      <c r="G1220" s="1"/>
      <c r="H1220" s="1"/>
      <c r="I1220" s="1"/>
      <c r="K1220" s="1"/>
      <c r="L1220" s="1"/>
    </row>
    <row r="1221" spans="1:12">
      <c r="A1221" s="1"/>
      <c r="B1221" s="255"/>
      <c r="C1221" s="1"/>
      <c r="D1221" s="1"/>
      <c r="E1221" s="255"/>
      <c r="F1221" s="1"/>
      <c r="G1221" s="1"/>
      <c r="H1221" s="1"/>
      <c r="I1221" s="1"/>
      <c r="K1221" s="1"/>
      <c r="L1221" s="1"/>
    </row>
    <row r="1222" spans="1:12">
      <c r="A1222" s="1"/>
      <c r="B1222" s="255"/>
      <c r="C1222" s="1"/>
      <c r="D1222" s="1"/>
      <c r="E1222" s="255"/>
      <c r="F1222" s="1"/>
      <c r="G1222" s="1"/>
      <c r="H1222" s="1"/>
      <c r="I1222" s="1"/>
      <c r="K1222" s="1"/>
      <c r="L1222" s="1"/>
    </row>
    <row r="1223" spans="1:12">
      <c r="A1223" s="1"/>
      <c r="B1223" s="255"/>
      <c r="C1223" s="1"/>
      <c r="D1223" s="1"/>
      <c r="E1223" s="255"/>
      <c r="F1223" s="1"/>
      <c r="G1223" s="1"/>
      <c r="H1223" s="1"/>
      <c r="I1223" s="1"/>
      <c r="K1223" s="1"/>
    </row>
    <row r="1224" spans="1:12">
      <c r="A1224" s="1"/>
      <c r="B1224" s="255"/>
      <c r="C1224" s="1"/>
      <c r="D1224" s="1"/>
      <c r="E1224" s="255"/>
      <c r="F1224" s="1"/>
      <c r="G1224" s="1"/>
      <c r="H1224" s="1"/>
      <c r="I1224" s="1"/>
      <c r="K1224" s="1"/>
    </row>
    <row r="1225" spans="1:12">
      <c r="A1225" s="1"/>
      <c r="B1225" s="255"/>
      <c r="C1225" s="1"/>
      <c r="D1225" s="1"/>
      <c r="E1225" s="255"/>
      <c r="F1225" s="1"/>
      <c r="G1225" s="1"/>
      <c r="H1225" s="1"/>
      <c r="I1225" s="1"/>
      <c r="K1225" s="1"/>
      <c r="L1225" s="1"/>
    </row>
    <row r="1226" spans="1:12">
      <c r="A1226" s="1"/>
      <c r="B1226" s="255"/>
      <c r="C1226" s="1"/>
      <c r="D1226" s="1"/>
      <c r="E1226" s="255"/>
      <c r="F1226" s="1"/>
      <c r="G1226" s="1"/>
      <c r="H1226" s="1"/>
      <c r="I1226" s="1"/>
      <c r="K1226" s="1"/>
      <c r="L1226" s="1"/>
    </row>
    <row r="1227" spans="1:12">
      <c r="A1227" s="1"/>
      <c r="B1227" s="255"/>
      <c r="C1227" s="1"/>
      <c r="D1227" s="1"/>
      <c r="E1227" s="255"/>
      <c r="F1227" s="1"/>
      <c r="G1227" s="1"/>
      <c r="H1227" s="1"/>
      <c r="I1227" s="1"/>
      <c r="K1227" s="1"/>
      <c r="L1227" s="1"/>
    </row>
    <row r="1228" spans="1:12">
      <c r="A1228" s="1"/>
      <c r="B1228" s="255"/>
      <c r="C1228" s="1"/>
      <c r="D1228" s="1"/>
      <c r="E1228" s="255"/>
      <c r="F1228" s="1"/>
      <c r="G1228" s="1"/>
      <c r="H1228" s="1"/>
      <c r="I1228" s="1"/>
      <c r="K1228" s="1"/>
      <c r="L1228" s="1"/>
    </row>
    <row r="1229" spans="1:12">
      <c r="A1229" s="1"/>
      <c r="B1229" s="255"/>
      <c r="C1229" s="1"/>
      <c r="D1229" s="1"/>
      <c r="E1229" s="255"/>
      <c r="F1229" s="1"/>
      <c r="G1229" s="1"/>
      <c r="H1229" s="1"/>
      <c r="I1229" s="1"/>
      <c r="K1229" s="1"/>
      <c r="L1229" s="1"/>
    </row>
    <row r="1230" spans="1:12">
      <c r="A1230" s="1"/>
      <c r="B1230" s="255"/>
      <c r="C1230" s="1"/>
      <c r="D1230" s="1"/>
      <c r="E1230" s="255"/>
      <c r="F1230" s="1"/>
      <c r="G1230" s="1"/>
      <c r="H1230" s="1"/>
      <c r="I1230" s="1"/>
      <c r="K1230" s="1"/>
      <c r="L1230" s="1"/>
    </row>
    <row r="1231" spans="1:12">
      <c r="A1231" s="1"/>
      <c r="B1231" s="255"/>
      <c r="C1231" s="1"/>
      <c r="D1231" s="1"/>
      <c r="E1231" s="255"/>
      <c r="F1231" s="1"/>
      <c r="G1231" s="1"/>
      <c r="H1231" s="1"/>
      <c r="I1231" s="1"/>
      <c r="K1231" s="1"/>
    </row>
    <row r="1232" spans="1:12">
      <c r="A1232" s="1"/>
      <c r="B1232" s="255"/>
      <c r="C1232" s="1"/>
      <c r="D1232" s="1"/>
      <c r="E1232" s="255"/>
      <c r="F1232" s="1"/>
      <c r="G1232" s="1"/>
      <c r="H1232" s="1"/>
      <c r="I1232" s="1"/>
      <c r="K1232" s="1"/>
    </row>
    <row r="1233" spans="1:12">
      <c r="A1233" s="1"/>
      <c r="B1233" s="255"/>
      <c r="C1233" s="1"/>
      <c r="D1233" s="1"/>
      <c r="E1233" s="255"/>
      <c r="F1233" s="1"/>
      <c r="G1233" s="1"/>
      <c r="H1233" s="1"/>
      <c r="I1233" s="1"/>
      <c r="K1233" s="1"/>
      <c r="L1233" s="1"/>
    </row>
    <row r="1234" spans="1:12">
      <c r="A1234" s="1"/>
      <c r="B1234" s="255"/>
      <c r="C1234" s="1"/>
      <c r="D1234" s="1"/>
      <c r="E1234" s="255"/>
      <c r="F1234" s="1"/>
      <c r="G1234" s="1"/>
      <c r="H1234" s="1"/>
      <c r="I1234" s="1"/>
      <c r="K1234" s="1"/>
      <c r="L1234" s="1"/>
    </row>
    <row r="1235" spans="1:12">
      <c r="A1235" s="1"/>
      <c r="B1235" s="255"/>
      <c r="C1235" s="1"/>
      <c r="D1235" s="1"/>
      <c r="E1235" s="255"/>
      <c r="F1235" s="1"/>
      <c r="G1235" s="1"/>
      <c r="H1235" s="1"/>
      <c r="I1235" s="1"/>
      <c r="K1235" s="1"/>
      <c r="L1235" s="1"/>
    </row>
    <row r="1236" spans="1:12">
      <c r="A1236" s="1"/>
      <c r="B1236" s="255"/>
      <c r="C1236" s="1"/>
      <c r="D1236" s="1"/>
      <c r="E1236" s="255"/>
      <c r="F1236" s="1"/>
      <c r="G1236" s="1"/>
      <c r="H1236" s="1"/>
      <c r="I1236" s="1"/>
      <c r="K1236" s="1"/>
      <c r="L1236" s="1"/>
    </row>
    <row r="1237" spans="1:12">
      <c r="A1237" s="1"/>
      <c r="B1237" s="255"/>
      <c r="C1237" s="1"/>
      <c r="D1237" s="1"/>
      <c r="E1237" s="255"/>
      <c r="F1237" s="1"/>
      <c r="G1237" s="1"/>
      <c r="H1237" s="1"/>
      <c r="I1237" s="1"/>
      <c r="K1237" s="1"/>
      <c r="L1237" s="1"/>
    </row>
    <row r="1238" spans="1:12">
      <c r="A1238" s="1"/>
      <c r="B1238" s="255"/>
      <c r="C1238" s="1"/>
      <c r="D1238" s="1"/>
      <c r="E1238" s="255"/>
      <c r="F1238" s="1"/>
      <c r="G1238" s="1"/>
      <c r="H1238" s="1"/>
      <c r="I1238" s="1"/>
      <c r="K1238" s="1"/>
      <c r="L1238" s="1"/>
    </row>
    <row r="1239" spans="1:12">
      <c r="A1239" s="1"/>
      <c r="B1239" s="255"/>
      <c r="C1239" s="1"/>
      <c r="D1239" s="1"/>
      <c r="E1239" s="255"/>
      <c r="F1239" s="1"/>
      <c r="G1239" s="1"/>
      <c r="H1239" s="1"/>
      <c r="I1239" s="1"/>
      <c r="K1239" s="1"/>
    </row>
    <row r="1240" spans="1:12">
      <c r="A1240" s="1"/>
      <c r="B1240" s="255"/>
      <c r="C1240" s="1"/>
      <c r="D1240" s="1"/>
      <c r="E1240" s="255"/>
      <c r="F1240" s="1"/>
      <c r="G1240" s="1"/>
      <c r="H1240" s="1"/>
      <c r="I1240" s="1"/>
      <c r="K1240" s="1"/>
    </row>
    <row r="1241" spans="1:12">
      <c r="A1241" s="1"/>
      <c r="B1241" s="255"/>
      <c r="C1241" s="1"/>
      <c r="D1241" s="1"/>
      <c r="E1241" s="255"/>
      <c r="F1241" s="1"/>
      <c r="G1241" s="1"/>
      <c r="H1241" s="1"/>
      <c r="I1241" s="1"/>
      <c r="K1241" s="1"/>
      <c r="L1241" s="1"/>
    </row>
    <row r="1242" spans="1:12">
      <c r="A1242" s="1"/>
      <c r="B1242" s="255"/>
      <c r="C1242" s="1"/>
      <c r="D1242" s="1"/>
      <c r="E1242" s="255"/>
      <c r="F1242" s="1"/>
      <c r="G1242" s="1"/>
      <c r="H1242" s="1"/>
      <c r="I1242" s="1"/>
      <c r="K1242" s="1"/>
      <c r="L1242" s="1"/>
    </row>
    <row r="1243" spans="1:12">
      <c r="A1243" s="1"/>
      <c r="B1243" s="255"/>
      <c r="C1243" s="1"/>
      <c r="D1243" s="1"/>
      <c r="E1243" s="255"/>
      <c r="F1243" s="1"/>
      <c r="G1243" s="1"/>
      <c r="H1243" s="1"/>
      <c r="I1243" s="1"/>
      <c r="K1243" s="1"/>
      <c r="L1243" s="1"/>
    </row>
    <row r="1244" spans="1:12">
      <c r="A1244" s="1"/>
      <c r="B1244" s="255"/>
      <c r="C1244" s="1"/>
      <c r="D1244" s="1"/>
      <c r="E1244" s="255"/>
      <c r="F1244" s="1"/>
      <c r="G1244" s="1"/>
      <c r="H1244" s="1"/>
      <c r="I1244" s="1"/>
      <c r="K1244" s="1"/>
      <c r="L1244" s="1"/>
    </row>
    <row r="1245" spans="1:12">
      <c r="A1245" s="1"/>
      <c r="B1245" s="255"/>
      <c r="C1245" s="1"/>
      <c r="D1245" s="1"/>
      <c r="E1245" s="255"/>
      <c r="F1245" s="1"/>
      <c r="G1245" s="1"/>
      <c r="H1245" s="1"/>
      <c r="I1245" s="1"/>
      <c r="K1245" s="1"/>
    </row>
    <row r="1246" spans="1:12">
      <c r="A1246" s="1"/>
      <c r="B1246" s="255"/>
      <c r="C1246" s="1"/>
      <c r="D1246" s="1"/>
      <c r="E1246" s="255"/>
      <c r="F1246" s="1"/>
      <c r="G1246" s="1"/>
      <c r="H1246" s="1"/>
      <c r="I1246" s="1"/>
      <c r="K1246" s="1"/>
    </row>
    <row r="1247" spans="1:12">
      <c r="A1247" s="1"/>
      <c r="B1247" s="255"/>
      <c r="C1247" s="1"/>
      <c r="D1247" s="1"/>
      <c r="E1247" s="255"/>
      <c r="F1247" s="1"/>
      <c r="G1247" s="1"/>
      <c r="H1247" s="1"/>
      <c r="I1247" s="1"/>
      <c r="K1247" s="1"/>
      <c r="L1247" s="1"/>
    </row>
    <row r="1248" spans="1:12">
      <c r="A1248" s="1"/>
      <c r="B1248" s="255"/>
      <c r="C1248" s="1"/>
      <c r="D1248" s="1"/>
      <c r="E1248" s="255"/>
      <c r="F1248" s="1"/>
      <c r="G1248" s="1"/>
      <c r="H1248" s="1"/>
      <c r="I1248" s="1"/>
      <c r="K1248" s="1"/>
      <c r="L1248" s="1"/>
    </row>
    <row r="1249" spans="1:12">
      <c r="A1249" s="1"/>
      <c r="B1249" s="255"/>
      <c r="C1249" s="1"/>
      <c r="D1249" s="1"/>
      <c r="E1249" s="255"/>
      <c r="F1249" s="1"/>
      <c r="G1249" s="1"/>
      <c r="H1249" s="1"/>
      <c r="I1249" s="1"/>
      <c r="K1249" s="1"/>
      <c r="L1249" s="1"/>
    </row>
    <row r="1250" spans="1:12">
      <c r="A1250" s="1"/>
      <c r="B1250" s="255"/>
      <c r="C1250" s="1"/>
      <c r="D1250" s="1"/>
      <c r="E1250" s="255"/>
      <c r="F1250" s="1"/>
      <c r="G1250" s="1"/>
      <c r="H1250" s="1"/>
      <c r="I1250" s="1"/>
      <c r="K1250" s="1"/>
      <c r="L1250" s="1"/>
    </row>
    <row r="1251" spans="1:12">
      <c r="A1251" s="1"/>
      <c r="B1251" s="255"/>
      <c r="C1251" s="1"/>
      <c r="D1251" s="1"/>
      <c r="E1251" s="255"/>
      <c r="F1251" s="1"/>
      <c r="G1251" s="1"/>
      <c r="H1251" s="1"/>
      <c r="I1251" s="1"/>
      <c r="K1251" s="1"/>
      <c r="L1251" s="1"/>
    </row>
    <row r="1252" spans="1:12">
      <c r="A1252" s="1"/>
      <c r="B1252" s="255"/>
      <c r="C1252" s="1"/>
      <c r="D1252" s="1"/>
      <c r="E1252" s="255"/>
      <c r="F1252" s="1"/>
      <c r="G1252" s="1"/>
      <c r="H1252" s="1"/>
      <c r="I1252" s="1"/>
      <c r="K1252" s="1"/>
      <c r="L1252" s="1"/>
    </row>
    <row r="1253" spans="1:12">
      <c r="A1253" s="1"/>
      <c r="B1253" s="255"/>
      <c r="C1253" s="1"/>
      <c r="D1253" s="1"/>
      <c r="E1253" s="255"/>
      <c r="F1253" s="1"/>
      <c r="G1253" s="1"/>
      <c r="H1253" s="1"/>
      <c r="I1253" s="1"/>
      <c r="K1253" s="1"/>
      <c r="L1253" s="1"/>
    </row>
    <row r="1254" spans="1:12">
      <c r="A1254" s="1"/>
      <c r="B1254" s="255"/>
      <c r="C1254" s="1"/>
      <c r="D1254" s="1"/>
      <c r="E1254" s="255"/>
      <c r="F1254" s="1"/>
      <c r="G1254" s="1"/>
      <c r="H1254" s="1"/>
      <c r="I1254" s="1"/>
      <c r="K1254" s="1"/>
      <c r="L1254" s="1"/>
    </row>
    <row r="1255" spans="1:12">
      <c r="A1255" s="1"/>
      <c r="B1255" s="255"/>
      <c r="C1255" s="1"/>
      <c r="D1255" s="1"/>
      <c r="E1255" s="255"/>
      <c r="F1255" s="1"/>
      <c r="G1255" s="1"/>
      <c r="H1255" s="1"/>
      <c r="I1255" s="1"/>
      <c r="K1255" s="1"/>
      <c r="L1255" s="1"/>
    </row>
    <row r="1256" spans="1:12">
      <c r="A1256" s="1"/>
      <c r="B1256" s="255"/>
      <c r="C1256" s="1"/>
      <c r="D1256" s="1"/>
      <c r="E1256" s="255"/>
      <c r="F1256" s="1"/>
      <c r="G1256" s="1"/>
      <c r="H1256" s="1"/>
      <c r="I1256" s="1"/>
      <c r="K1256" s="1"/>
      <c r="L1256" s="1"/>
    </row>
    <row r="1257" spans="1:12">
      <c r="A1257" s="1"/>
      <c r="B1257" s="255"/>
      <c r="C1257" s="1"/>
      <c r="D1257" s="1"/>
      <c r="E1257" s="255"/>
      <c r="F1257" s="1"/>
      <c r="G1257" s="1"/>
      <c r="H1257" s="1"/>
      <c r="I1257" s="1"/>
      <c r="K1257" s="1"/>
      <c r="L1257" s="1"/>
    </row>
    <row r="1258" spans="1:12">
      <c r="A1258" s="1"/>
      <c r="B1258" s="255"/>
      <c r="C1258" s="1"/>
      <c r="D1258" s="1"/>
      <c r="E1258" s="255"/>
      <c r="F1258" s="1"/>
      <c r="G1258" s="1"/>
      <c r="H1258" s="1"/>
      <c r="I1258" s="1"/>
      <c r="K1258" s="1"/>
      <c r="L1258" s="1"/>
    </row>
    <row r="1259" spans="1:12">
      <c r="A1259" s="1"/>
      <c r="B1259" s="255"/>
      <c r="C1259" s="1"/>
      <c r="D1259" s="1"/>
      <c r="E1259" s="255"/>
      <c r="F1259" s="1"/>
      <c r="G1259" s="1"/>
      <c r="H1259" s="1"/>
      <c r="I1259" s="1"/>
      <c r="K1259" s="1"/>
      <c r="L1259" s="1"/>
    </row>
    <row r="1260" spans="1:12">
      <c r="A1260" s="1"/>
      <c r="B1260" s="255"/>
      <c r="C1260" s="1"/>
      <c r="D1260" s="1"/>
      <c r="E1260" s="255"/>
      <c r="F1260" s="1"/>
      <c r="G1260" s="1"/>
      <c r="H1260" s="1"/>
      <c r="I1260" s="1"/>
      <c r="K1260" s="1"/>
      <c r="L1260" s="1"/>
    </row>
    <row r="1261" spans="1:12">
      <c r="A1261" s="1"/>
      <c r="B1261" s="255"/>
      <c r="C1261" s="1"/>
      <c r="D1261" s="1"/>
      <c r="E1261" s="255"/>
      <c r="F1261" s="1"/>
      <c r="G1261" s="1"/>
      <c r="H1261" s="1"/>
      <c r="I1261" s="1"/>
      <c r="K1261" s="1"/>
      <c r="L1261" s="1"/>
    </row>
    <row r="1262" spans="1:12">
      <c r="A1262" s="1"/>
      <c r="B1262" s="255"/>
      <c r="C1262" s="1"/>
      <c r="D1262" s="1"/>
      <c r="E1262" s="255"/>
      <c r="F1262" s="1"/>
      <c r="G1262" s="1"/>
      <c r="H1262" s="1"/>
      <c r="I1262" s="1"/>
      <c r="K1262" s="1"/>
    </row>
    <row r="1263" spans="1:12">
      <c r="A1263" s="1"/>
      <c r="B1263" s="255"/>
      <c r="C1263" s="1"/>
      <c r="D1263" s="1"/>
      <c r="E1263" s="255"/>
      <c r="F1263" s="1"/>
      <c r="G1263" s="1"/>
      <c r="H1263" s="1"/>
      <c r="I1263" s="1"/>
      <c r="K1263" s="1"/>
    </row>
    <row r="1264" spans="1:12">
      <c r="A1264" s="1"/>
      <c r="B1264" s="255"/>
      <c r="C1264" s="1"/>
      <c r="D1264" s="1"/>
      <c r="E1264" s="255"/>
      <c r="F1264" s="1"/>
      <c r="G1264" s="1"/>
      <c r="H1264" s="1"/>
      <c r="I1264" s="1"/>
      <c r="K1264" s="1"/>
      <c r="L1264" s="1"/>
    </row>
    <row r="1265" spans="1:12">
      <c r="A1265" s="1"/>
      <c r="B1265" s="255"/>
      <c r="C1265" s="1"/>
      <c r="D1265" s="1"/>
      <c r="E1265" s="255"/>
      <c r="F1265" s="1"/>
      <c r="G1265" s="1"/>
      <c r="H1265" s="1"/>
      <c r="I1265" s="1"/>
      <c r="K1265" s="1"/>
      <c r="L1265" s="1"/>
    </row>
    <row r="1266" spans="1:12">
      <c r="A1266" s="1"/>
      <c r="B1266" s="255"/>
      <c r="C1266" s="1"/>
      <c r="D1266" s="1"/>
      <c r="E1266" s="255"/>
      <c r="F1266" s="1"/>
      <c r="G1266" s="1"/>
      <c r="H1266" s="1"/>
      <c r="I1266" s="1"/>
      <c r="K1266" s="1"/>
      <c r="L1266" s="1"/>
    </row>
    <row r="1267" spans="1:12">
      <c r="A1267" s="1"/>
      <c r="B1267" s="255"/>
      <c r="C1267" s="1"/>
      <c r="D1267" s="1"/>
      <c r="E1267" s="255"/>
      <c r="F1267" s="1"/>
      <c r="G1267" s="1"/>
      <c r="H1267" s="1"/>
      <c r="I1267" s="1"/>
      <c r="K1267" s="1"/>
      <c r="L1267" s="1"/>
    </row>
    <row r="1268" spans="1:12">
      <c r="A1268" s="1"/>
      <c r="B1268" s="255"/>
      <c r="C1268" s="1"/>
      <c r="D1268" s="1"/>
      <c r="E1268" s="255"/>
      <c r="F1268" s="1"/>
      <c r="G1268" s="1"/>
      <c r="H1268" s="1"/>
      <c r="I1268" s="1"/>
      <c r="K1268" s="1"/>
      <c r="L1268" s="1"/>
    </row>
    <row r="1269" spans="1:12">
      <c r="A1269" s="1"/>
      <c r="B1269" s="255"/>
      <c r="C1269" s="1"/>
      <c r="D1269" s="1"/>
      <c r="E1269" s="255"/>
      <c r="F1269" s="1"/>
      <c r="G1269" s="1"/>
      <c r="H1269" s="1"/>
      <c r="I1269" s="1"/>
      <c r="K1269" s="1"/>
      <c r="L1269" s="1"/>
    </row>
    <row r="1270" spans="1:12">
      <c r="A1270" s="1"/>
      <c r="B1270" s="255"/>
      <c r="C1270" s="1"/>
      <c r="D1270" s="1"/>
      <c r="E1270" s="255"/>
      <c r="F1270" s="1"/>
      <c r="G1270" s="1"/>
      <c r="H1270" s="1"/>
      <c r="I1270" s="1"/>
      <c r="K1270" s="1"/>
      <c r="L1270" s="1"/>
    </row>
    <row r="1271" spans="1:12">
      <c r="A1271" s="1"/>
      <c r="B1271" s="255"/>
      <c r="C1271" s="1"/>
      <c r="D1271" s="1"/>
      <c r="E1271" s="255"/>
      <c r="F1271" s="1"/>
      <c r="G1271" s="1"/>
      <c r="H1271" s="1"/>
      <c r="I1271" s="1"/>
      <c r="K1271" s="1"/>
      <c r="L1271" s="1"/>
    </row>
    <row r="1272" spans="1:12">
      <c r="A1272" s="1"/>
      <c r="B1272" s="255"/>
      <c r="C1272" s="1"/>
      <c r="D1272" s="1"/>
      <c r="E1272" s="255"/>
      <c r="F1272" s="1"/>
      <c r="G1272" s="1"/>
      <c r="H1272" s="1"/>
      <c r="I1272" s="1"/>
      <c r="K1272" s="1"/>
      <c r="L1272" s="1"/>
    </row>
    <row r="1273" spans="1:12">
      <c r="A1273" s="1"/>
      <c r="B1273" s="255"/>
      <c r="C1273" s="1"/>
      <c r="D1273" s="1"/>
      <c r="E1273" s="255"/>
      <c r="F1273" s="1"/>
      <c r="G1273" s="1"/>
      <c r="H1273" s="1"/>
      <c r="I1273" s="1"/>
      <c r="K1273" s="1"/>
      <c r="L1273" s="1"/>
    </row>
    <row r="1274" spans="1:12">
      <c r="A1274" s="1"/>
      <c r="B1274" s="255"/>
      <c r="C1274" s="1"/>
      <c r="D1274" s="1"/>
      <c r="E1274" s="255"/>
      <c r="F1274" s="1"/>
      <c r="G1274" s="1"/>
      <c r="H1274" s="1"/>
      <c r="I1274" s="1"/>
      <c r="K1274" s="1"/>
    </row>
    <row r="1275" spans="1:12">
      <c r="A1275" s="1"/>
      <c r="B1275" s="255"/>
      <c r="C1275" s="1"/>
      <c r="D1275" s="1"/>
      <c r="E1275" s="255"/>
      <c r="F1275" s="1"/>
      <c r="G1275" s="1"/>
      <c r="H1275" s="1"/>
      <c r="I1275" s="1"/>
      <c r="K1275" s="1"/>
    </row>
    <row r="1276" spans="1:12">
      <c r="A1276" s="1"/>
      <c r="B1276" s="255"/>
      <c r="C1276" s="1"/>
      <c r="D1276" s="1"/>
      <c r="E1276" s="255"/>
      <c r="F1276" s="1"/>
      <c r="G1276" s="1"/>
      <c r="H1276" s="1"/>
      <c r="I1276" s="1"/>
      <c r="K1276" s="1"/>
    </row>
    <row r="1277" spans="1:12">
      <c r="A1277" s="1"/>
      <c r="B1277" s="255"/>
      <c r="C1277" s="1"/>
      <c r="D1277" s="1"/>
      <c r="E1277" s="255"/>
      <c r="F1277" s="1"/>
      <c r="G1277" s="1"/>
      <c r="H1277" s="1"/>
      <c r="I1277" s="1"/>
      <c r="K1277" s="1"/>
    </row>
    <row r="1278" spans="1:12">
      <c r="A1278" s="1"/>
      <c r="B1278" s="255"/>
      <c r="C1278" s="1"/>
      <c r="D1278" s="1"/>
      <c r="E1278" s="255"/>
      <c r="F1278" s="1"/>
      <c r="G1278" s="1"/>
      <c r="H1278" s="1"/>
      <c r="I1278" s="1"/>
      <c r="K1278" s="1"/>
      <c r="L1278" s="1"/>
    </row>
    <row r="1279" spans="1:12">
      <c r="A1279" s="1"/>
      <c r="B1279" s="255"/>
      <c r="C1279" s="1"/>
      <c r="D1279" s="1"/>
      <c r="E1279" s="255"/>
      <c r="F1279" s="1"/>
      <c r="G1279" s="1"/>
      <c r="H1279" s="1"/>
      <c r="I1279" s="1"/>
      <c r="K1279" s="1"/>
      <c r="L1279" s="1"/>
    </row>
    <row r="1280" spans="1:12">
      <c r="A1280" s="1"/>
      <c r="B1280" s="255"/>
      <c r="C1280" s="1"/>
      <c r="D1280" s="1"/>
      <c r="E1280" s="255"/>
      <c r="F1280" s="1"/>
      <c r="G1280" s="1"/>
      <c r="H1280" s="1"/>
      <c r="I1280" s="1"/>
      <c r="K1280" s="1"/>
      <c r="L1280" s="1"/>
    </row>
    <row r="1281" spans="1:12">
      <c r="A1281" s="1"/>
      <c r="B1281" s="255"/>
      <c r="C1281" s="1"/>
      <c r="D1281" s="1"/>
      <c r="E1281" s="255"/>
      <c r="F1281" s="1"/>
      <c r="G1281" s="1"/>
      <c r="H1281" s="1"/>
      <c r="I1281" s="1"/>
      <c r="K1281" s="1"/>
      <c r="L1281" s="1"/>
    </row>
    <row r="1282" spans="1:12">
      <c r="A1282" s="1"/>
      <c r="B1282" s="255"/>
      <c r="C1282" s="1"/>
      <c r="D1282" s="1"/>
      <c r="E1282" s="255"/>
      <c r="F1282" s="1"/>
      <c r="G1282" s="1"/>
      <c r="H1282" s="1"/>
      <c r="I1282" s="1"/>
      <c r="K1282" s="1"/>
      <c r="L1282" s="1"/>
    </row>
    <row r="1283" spans="1:12">
      <c r="A1283" s="1"/>
      <c r="B1283" s="255"/>
      <c r="C1283" s="1"/>
      <c r="D1283" s="1"/>
      <c r="E1283" s="255"/>
      <c r="F1283" s="1"/>
      <c r="G1283" s="1"/>
      <c r="H1283" s="1"/>
      <c r="I1283" s="1"/>
      <c r="K1283" s="1"/>
      <c r="L1283" s="1"/>
    </row>
    <row r="1284" spans="1:12">
      <c r="A1284" s="1"/>
      <c r="B1284" s="255"/>
      <c r="C1284" s="1"/>
      <c r="D1284" s="1"/>
      <c r="E1284" s="255"/>
      <c r="F1284" s="1"/>
      <c r="G1284" s="1"/>
      <c r="H1284" s="1"/>
      <c r="I1284" s="1"/>
      <c r="K1284" s="1"/>
      <c r="L1284" s="1"/>
    </row>
    <row r="1285" spans="1:12">
      <c r="A1285" s="1"/>
      <c r="B1285" s="255"/>
      <c r="C1285" s="1"/>
      <c r="D1285" s="1"/>
      <c r="E1285" s="255"/>
      <c r="F1285" s="1"/>
      <c r="G1285" s="1"/>
      <c r="H1285" s="1"/>
      <c r="I1285" s="1"/>
      <c r="K1285" s="1"/>
      <c r="L1285" s="1"/>
    </row>
    <row r="1286" spans="1:12">
      <c r="A1286" s="1"/>
      <c r="B1286" s="255"/>
      <c r="C1286" s="1"/>
      <c r="D1286" s="1"/>
      <c r="E1286" s="255"/>
      <c r="F1286" s="1"/>
      <c r="G1286" s="1"/>
      <c r="H1286" s="1"/>
      <c r="I1286" s="1"/>
      <c r="K1286" s="1"/>
      <c r="L1286" s="1"/>
    </row>
    <row r="1287" spans="1:12">
      <c r="A1287" s="1"/>
      <c r="B1287" s="255"/>
      <c r="C1287" s="1"/>
      <c r="D1287" s="1"/>
      <c r="E1287" s="255"/>
      <c r="F1287" s="1"/>
      <c r="G1287" s="1"/>
      <c r="H1287" s="1"/>
      <c r="I1287" s="1"/>
      <c r="K1287" s="1"/>
      <c r="L1287" s="1"/>
    </row>
    <row r="1288" spans="1:12">
      <c r="A1288" s="1"/>
      <c r="B1288" s="255"/>
      <c r="C1288" s="1"/>
      <c r="D1288" s="1"/>
      <c r="E1288" s="255"/>
      <c r="F1288" s="1"/>
      <c r="G1288" s="1"/>
      <c r="H1288" s="1"/>
      <c r="I1288" s="1"/>
      <c r="K1288" s="1"/>
    </row>
    <row r="1289" spans="1:12">
      <c r="A1289" s="1"/>
      <c r="B1289" s="255"/>
      <c r="C1289" s="1"/>
      <c r="D1289" s="1"/>
      <c r="E1289" s="255"/>
      <c r="F1289" s="1"/>
      <c r="G1289" s="1"/>
      <c r="H1289" s="1"/>
      <c r="I1289" s="1"/>
      <c r="K1289" s="1"/>
    </row>
    <row r="1290" spans="1:12">
      <c r="A1290" s="1"/>
      <c r="B1290" s="255"/>
      <c r="C1290" s="1"/>
      <c r="D1290" s="1"/>
      <c r="E1290" s="255"/>
      <c r="F1290" s="1"/>
      <c r="G1290" s="1"/>
      <c r="H1290" s="1"/>
      <c r="I1290" s="1"/>
      <c r="K1290" s="1"/>
    </row>
    <row r="1291" spans="1:12">
      <c r="A1291" s="1"/>
      <c r="B1291" s="255"/>
      <c r="C1291" s="1"/>
      <c r="D1291" s="1"/>
      <c r="E1291" s="255"/>
      <c r="F1291" s="1"/>
      <c r="G1291" s="1"/>
      <c r="H1291" s="1"/>
      <c r="I1291" s="1"/>
      <c r="K1291" s="1"/>
    </row>
    <row r="1292" spans="1:12">
      <c r="A1292" s="1"/>
      <c r="B1292" s="255"/>
      <c r="C1292" s="1"/>
      <c r="D1292" s="1"/>
      <c r="E1292" s="255"/>
      <c r="F1292" s="1"/>
      <c r="G1292" s="1"/>
      <c r="H1292" s="1"/>
      <c r="I1292" s="1"/>
      <c r="K1292" s="1"/>
      <c r="L1292" s="1"/>
    </row>
    <row r="1293" spans="1:12">
      <c r="A1293" s="1"/>
      <c r="B1293" s="255"/>
      <c r="C1293" s="1"/>
      <c r="D1293" s="1"/>
      <c r="E1293" s="255"/>
      <c r="F1293" s="1"/>
      <c r="G1293" s="1"/>
      <c r="H1293" s="1"/>
      <c r="I1293" s="1"/>
      <c r="K1293" s="1"/>
      <c r="L1293" s="1"/>
    </row>
    <row r="1294" spans="1:12">
      <c r="A1294" s="1"/>
      <c r="B1294" s="255"/>
      <c r="C1294" s="1"/>
      <c r="D1294" s="1"/>
      <c r="E1294" s="255"/>
      <c r="F1294" s="1"/>
      <c r="G1294" s="1"/>
      <c r="H1294" s="1"/>
      <c r="I1294" s="1"/>
      <c r="K1294" s="1"/>
      <c r="L1294" s="1"/>
    </row>
    <row r="1295" spans="1:12">
      <c r="A1295" s="1"/>
      <c r="B1295" s="255"/>
      <c r="C1295" s="1"/>
      <c r="D1295" s="1"/>
      <c r="E1295" s="255"/>
      <c r="F1295" s="1"/>
      <c r="G1295" s="1"/>
      <c r="H1295" s="1"/>
      <c r="I1295" s="1"/>
      <c r="K1295" s="1"/>
      <c r="L1295" s="1"/>
    </row>
    <row r="1296" spans="1:12">
      <c r="A1296" s="1"/>
      <c r="B1296" s="255"/>
      <c r="C1296" s="1"/>
      <c r="D1296" s="1"/>
      <c r="E1296" s="255"/>
      <c r="F1296" s="1"/>
      <c r="G1296" s="1"/>
      <c r="H1296" s="1"/>
      <c r="I1296" s="1"/>
      <c r="K1296" s="1"/>
      <c r="L1296" s="1"/>
    </row>
    <row r="1297" spans="1:12">
      <c r="A1297" s="1"/>
      <c r="B1297" s="255"/>
      <c r="C1297" s="1"/>
      <c r="D1297" s="1"/>
      <c r="E1297" s="255"/>
      <c r="F1297" s="1"/>
      <c r="G1297" s="1"/>
      <c r="H1297" s="1"/>
      <c r="I1297" s="1"/>
      <c r="K1297" s="1"/>
      <c r="L1297" s="1"/>
    </row>
    <row r="1298" spans="1:12">
      <c r="A1298" s="1"/>
      <c r="B1298" s="255"/>
      <c r="C1298" s="1"/>
      <c r="D1298" s="1"/>
      <c r="E1298" s="255"/>
      <c r="F1298" s="1"/>
      <c r="G1298" s="1"/>
      <c r="H1298" s="1"/>
      <c r="I1298" s="1"/>
      <c r="K1298" s="1"/>
      <c r="L1298" s="1"/>
    </row>
    <row r="1299" spans="1:12">
      <c r="A1299" s="1"/>
      <c r="B1299" s="255"/>
      <c r="C1299" s="1"/>
      <c r="D1299" s="1"/>
      <c r="E1299" s="255"/>
      <c r="F1299" s="1"/>
      <c r="G1299" s="1"/>
      <c r="H1299" s="1"/>
      <c r="I1299" s="1"/>
      <c r="K1299" s="1"/>
      <c r="L1299" s="1"/>
    </row>
    <row r="1300" spans="1:12">
      <c r="A1300" s="1"/>
      <c r="B1300" s="255"/>
      <c r="C1300" s="1"/>
      <c r="D1300" s="1"/>
      <c r="E1300" s="255"/>
      <c r="F1300" s="1"/>
      <c r="G1300" s="1"/>
      <c r="H1300" s="1"/>
      <c r="I1300" s="1"/>
      <c r="K1300" s="1"/>
    </row>
    <row r="1301" spans="1:12">
      <c r="A1301" s="1"/>
      <c r="B1301" s="255"/>
      <c r="C1301" s="1"/>
      <c r="D1301" s="1"/>
      <c r="E1301" s="255"/>
      <c r="F1301" s="1"/>
      <c r="G1301" s="1"/>
      <c r="H1301" s="1"/>
      <c r="I1301" s="1"/>
      <c r="K1301" s="1"/>
    </row>
    <row r="1302" spans="1:12">
      <c r="A1302" s="1"/>
      <c r="B1302" s="255"/>
      <c r="C1302" s="1"/>
      <c r="D1302" s="1"/>
      <c r="E1302" s="255"/>
      <c r="F1302" s="1"/>
      <c r="G1302" s="1"/>
      <c r="H1302" s="1"/>
      <c r="I1302" s="1"/>
      <c r="K1302" s="1"/>
      <c r="L1302" s="1"/>
    </row>
    <row r="1303" spans="1:12">
      <c r="A1303" s="1"/>
      <c r="B1303" s="255"/>
      <c r="C1303" s="1"/>
      <c r="D1303" s="1"/>
      <c r="E1303" s="255"/>
      <c r="F1303" s="1"/>
      <c r="G1303" s="1"/>
      <c r="H1303" s="1"/>
      <c r="I1303" s="1"/>
      <c r="K1303" s="1"/>
      <c r="L1303" s="1"/>
    </row>
    <row r="1304" spans="1:12">
      <c r="A1304" s="1"/>
      <c r="B1304" s="255"/>
      <c r="C1304" s="1"/>
      <c r="D1304" s="1"/>
      <c r="E1304" s="255"/>
      <c r="F1304" s="1"/>
      <c r="G1304" s="1"/>
      <c r="H1304" s="1"/>
      <c r="I1304" s="1"/>
      <c r="K1304" s="1"/>
      <c r="L1304" s="1"/>
    </row>
    <row r="1305" spans="1:12">
      <c r="A1305" s="1"/>
      <c r="B1305" s="255"/>
      <c r="C1305" s="1"/>
      <c r="D1305" s="1"/>
      <c r="E1305" s="255"/>
      <c r="F1305" s="1"/>
      <c r="G1305" s="1"/>
      <c r="H1305" s="1"/>
      <c r="I1305" s="1"/>
      <c r="K1305" s="1"/>
      <c r="L1305" s="1"/>
    </row>
    <row r="1306" spans="1:12">
      <c r="A1306" s="1"/>
      <c r="B1306" s="255"/>
      <c r="C1306" s="1"/>
      <c r="D1306" s="1"/>
      <c r="E1306" s="255"/>
      <c r="F1306" s="1"/>
      <c r="G1306" s="1"/>
      <c r="H1306" s="1"/>
      <c r="I1306" s="1"/>
      <c r="K1306" s="1"/>
      <c r="L1306" s="1"/>
    </row>
    <row r="1307" spans="1:12">
      <c r="A1307" s="1"/>
      <c r="B1307" s="255"/>
      <c r="C1307" s="1"/>
      <c r="D1307" s="1"/>
      <c r="E1307" s="255"/>
      <c r="F1307" s="1"/>
      <c r="G1307" s="1"/>
      <c r="H1307" s="1"/>
      <c r="I1307" s="1"/>
      <c r="K1307" s="1"/>
      <c r="L1307" s="1"/>
    </row>
    <row r="1308" spans="1:12">
      <c r="A1308" s="1"/>
      <c r="B1308" s="255"/>
      <c r="C1308" s="1"/>
      <c r="D1308" s="1"/>
      <c r="E1308" s="255"/>
      <c r="F1308" s="1"/>
      <c r="G1308" s="1"/>
      <c r="H1308" s="1"/>
      <c r="I1308" s="1"/>
      <c r="K1308" s="1"/>
      <c r="L1308" s="1"/>
    </row>
    <row r="1309" spans="1:12">
      <c r="A1309" s="1"/>
      <c r="B1309" s="255"/>
      <c r="C1309" s="1"/>
      <c r="D1309" s="1"/>
      <c r="E1309" s="255"/>
      <c r="F1309" s="1"/>
      <c r="G1309" s="1"/>
      <c r="H1309" s="1"/>
      <c r="I1309" s="1"/>
      <c r="K1309" s="1"/>
      <c r="L1309" s="1"/>
    </row>
    <row r="1310" spans="1:12">
      <c r="A1310" s="1"/>
      <c r="B1310" s="255"/>
      <c r="C1310" s="1"/>
      <c r="D1310" s="1"/>
      <c r="E1310" s="255"/>
      <c r="F1310" s="1"/>
      <c r="G1310" s="1"/>
      <c r="H1310" s="1"/>
      <c r="I1310" s="1"/>
      <c r="K1310" s="1"/>
      <c r="L1310" s="1"/>
    </row>
    <row r="1311" spans="1:12">
      <c r="A1311" s="1"/>
      <c r="B1311" s="255"/>
      <c r="C1311" s="1"/>
      <c r="D1311" s="1"/>
      <c r="E1311" s="255"/>
      <c r="F1311" s="1"/>
      <c r="G1311" s="1"/>
      <c r="H1311" s="1"/>
      <c r="I1311" s="1"/>
      <c r="K1311" s="1"/>
      <c r="L1311" s="1"/>
    </row>
    <row r="1312" spans="1:12">
      <c r="A1312" s="1"/>
      <c r="B1312" s="255"/>
      <c r="C1312" s="1"/>
      <c r="D1312" s="1"/>
      <c r="E1312" s="255"/>
      <c r="F1312" s="1"/>
      <c r="G1312" s="1"/>
      <c r="H1312" s="1"/>
      <c r="I1312" s="1"/>
      <c r="K1312" s="1"/>
      <c r="L1312" s="1"/>
    </row>
    <row r="1313" spans="1:12">
      <c r="A1313" s="1"/>
      <c r="B1313" s="255"/>
      <c r="C1313" s="1"/>
      <c r="D1313" s="1"/>
      <c r="E1313" s="255"/>
      <c r="F1313" s="1"/>
      <c r="G1313" s="1"/>
      <c r="H1313" s="1"/>
      <c r="I1313" s="1"/>
      <c r="K1313" s="1"/>
      <c r="L1313" s="1"/>
    </row>
    <row r="1314" spans="1:12">
      <c r="A1314" s="1"/>
      <c r="B1314" s="255"/>
      <c r="C1314" s="1"/>
      <c r="D1314" s="1"/>
      <c r="E1314" s="255"/>
      <c r="F1314" s="1"/>
      <c r="G1314" s="1"/>
      <c r="H1314" s="1"/>
      <c r="I1314" s="1"/>
      <c r="K1314" s="1"/>
      <c r="L1314" s="1"/>
    </row>
    <row r="1315" spans="1:12">
      <c r="A1315" s="1"/>
      <c r="B1315" s="255"/>
      <c r="C1315" s="1"/>
      <c r="D1315" s="1"/>
      <c r="E1315" s="255"/>
      <c r="F1315" s="1"/>
      <c r="G1315" s="1"/>
      <c r="H1315" s="1"/>
      <c r="I1315" s="1"/>
      <c r="K1315" s="1"/>
      <c r="L1315" s="1"/>
    </row>
    <row r="1316" spans="1:12">
      <c r="A1316" s="1"/>
      <c r="B1316" s="255"/>
      <c r="C1316" s="1"/>
      <c r="D1316" s="1"/>
      <c r="E1316" s="255"/>
      <c r="F1316" s="1"/>
      <c r="G1316" s="1"/>
      <c r="H1316" s="1"/>
      <c r="I1316" s="1"/>
      <c r="K1316" s="1"/>
      <c r="L1316" s="1"/>
    </row>
    <row r="1317" spans="1:12">
      <c r="A1317" s="1"/>
      <c r="B1317" s="255"/>
      <c r="C1317" s="1"/>
      <c r="D1317" s="1"/>
      <c r="E1317" s="255"/>
      <c r="F1317" s="1"/>
      <c r="G1317" s="1"/>
      <c r="H1317" s="1"/>
      <c r="I1317" s="1"/>
      <c r="K1317" s="1"/>
      <c r="L1317" s="1"/>
    </row>
    <row r="1318" spans="1:12">
      <c r="A1318" s="1"/>
      <c r="B1318" s="255"/>
      <c r="C1318" s="1"/>
      <c r="D1318" s="1"/>
      <c r="E1318" s="255"/>
      <c r="F1318" s="1"/>
      <c r="G1318" s="1"/>
      <c r="H1318" s="1"/>
      <c r="I1318" s="1"/>
      <c r="K1318" s="1"/>
    </row>
    <row r="1319" spans="1:12">
      <c r="A1319" s="1"/>
      <c r="B1319" s="255"/>
      <c r="C1319" s="1"/>
      <c r="D1319" s="1"/>
      <c r="E1319" s="255"/>
      <c r="F1319" s="1"/>
      <c r="G1319" s="1"/>
      <c r="H1319" s="1"/>
      <c r="I1319" s="1"/>
      <c r="K1319" s="1"/>
    </row>
    <row r="1320" spans="1:12">
      <c r="A1320" s="1"/>
      <c r="B1320" s="255"/>
      <c r="C1320" s="1"/>
      <c r="D1320" s="1"/>
      <c r="E1320" s="255"/>
      <c r="F1320" s="1"/>
      <c r="G1320" s="1"/>
      <c r="H1320" s="1"/>
      <c r="I1320" s="1"/>
      <c r="K1320" s="1"/>
      <c r="L1320" s="1"/>
    </row>
    <row r="1321" spans="1:12">
      <c r="A1321" s="1"/>
      <c r="B1321" s="255"/>
      <c r="C1321" s="1"/>
      <c r="D1321" s="1"/>
      <c r="E1321" s="255"/>
      <c r="F1321" s="1"/>
      <c r="G1321" s="1"/>
      <c r="H1321" s="1"/>
      <c r="I1321" s="1"/>
      <c r="K1321" s="1"/>
      <c r="L1321" s="1"/>
    </row>
    <row r="1322" spans="1:12">
      <c r="A1322" s="1"/>
      <c r="B1322" s="255"/>
      <c r="C1322" s="1"/>
      <c r="D1322" s="1"/>
      <c r="E1322" s="255"/>
      <c r="F1322" s="1"/>
      <c r="G1322" s="1"/>
      <c r="H1322" s="1"/>
      <c r="I1322" s="1"/>
      <c r="K1322" s="1"/>
      <c r="L1322" s="1"/>
    </row>
    <row r="1323" spans="1:12">
      <c r="A1323" s="1"/>
      <c r="B1323" s="255"/>
      <c r="C1323" s="1"/>
      <c r="D1323" s="1"/>
      <c r="E1323" s="255"/>
      <c r="F1323" s="1"/>
      <c r="G1323" s="1"/>
      <c r="H1323" s="1"/>
      <c r="I1323" s="1"/>
      <c r="K1323" s="1"/>
      <c r="L1323" s="1"/>
    </row>
    <row r="1324" spans="1:12">
      <c r="A1324" s="1"/>
      <c r="B1324" s="255"/>
      <c r="C1324" s="1"/>
      <c r="D1324" s="1"/>
      <c r="E1324" s="255"/>
      <c r="F1324" s="1"/>
      <c r="G1324" s="1"/>
      <c r="H1324" s="1"/>
      <c r="I1324" s="1"/>
      <c r="K1324" s="1"/>
    </row>
    <row r="1325" spans="1:12">
      <c r="A1325" s="1"/>
      <c r="B1325" s="255"/>
      <c r="C1325" s="1"/>
      <c r="D1325" s="1"/>
      <c r="E1325" s="255"/>
      <c r="F1325" s="1"/>
      <c r="G1325" s="1"/>
      <c r="H1325" s="1"/>
      <c r="I1325" s="1"/>
      <c r="K1325" s="1"/>
    </row>
    <row r="1326" spans="1:12">
      <c r="A1326" s="1"/>
      <c r="B1326" s="255"/>
      <c r="C1326" s="1"/>
      <c r="D1326" s="1"/>
      <c r="E1326" s="255"/>
      <c r="F1326" s="1"/>
      <c r="G1326" s="1"/>
      <c r="H1326" s="1"/>
      <c r="I1326" s="1"/>
      <c r="K1326" s="1"/>
    </row>
    <row r="1327" spans="1:12">
      <c r="A1327" s="1"/>
      <c r="B1327" s="255"/>
      <c r="C1327" s="1"/>
      <c r="D1327" s="1"/>
      <c r="E1327" s="255"/>
      <c r="F1327" s="1"/>
      <c r="G1327" s="1"/>
      <c r="H1327" s="1"/>
      <c r="I1327" s="1"/>
      <c r="K1327" s="1"/>
    </row>
    <row r="1328" spans="1:12">
      <c r="A1328" s="1"/>
      <c r="B1328" s="255"/>
      <c r="C1328" s="1"/>
      <c r="D1328" s="1"/>
      <c r="E1328" s="255"/>
      <c r="F1328" s="1"/>
      <c r="G1328" s="1"/>
      <c r="H1328" s="1"/>
      <c r="I1328" s="1"/>
      <c r="K1328" s="1"/>
      <c r="L1328" s="1"/>
    </row>
    <row r="1329" spans="1:12">
      <c r="A1329" s="1"/>
      <c r="B1329" s="255"/>
      <c r="C1329" s="1"/>
      <c r="D1329" s="1"/>
      <c r="E1329" s="255"/>
      <c r="F1329" s="1"/>
      <c r="G1329" s="1"/>
      <c r="H1329" s="1"/>
      <c r="I1329" s="1"/>
      <c r="K1329" s="1"/>
      <c r="L1329" s="1"/>
    </row>
    <row r="1330" spans="1:12">
      <c r="A1330" s="1"/>
      <c r="B1330" s="255"/>
      <c r="C1330" s="1"/>
      <c r="D1330" s="1"/>
      <c r="E1330" s="255"/>
      <c r="F1330" s="1"/>
      <c r="G1330" s="1"/>
      <c r="H1330" s="1"/>
      <c r="I1330" s="1"/>
      <c r="K1330" s="1"/>
      <c r="L1330" s="1"/>
    </row>
    <row r="1331" spans="1:12">
      <c r="A1331" s="1"/>
      <c r="B1331" s="255"/>
      <c r="C1331" s="1"/>
      <c r="D1331" s="1"/>
      <c r="E1331" s="255"/>
      <c r="F1331" s="1"/>
      <c r="G1331" s="1"/>
      <c r="H1331" s="1"/>
      <c r="I1331" s="1"/>
      <c r="K1331" s="1"/>
      <c r="L1331" s="1"/>
    </row>
    <row r="1332" spans="1:12">
      <c r="A1332" s="1"/>
      <c r="B1332" s="255"/>
      <c r="C1332" s="1"/>
      <c r="D1332" s="1"/>
      <c r="E1332" s="255"/>
      <c r="F1332" s="1"/>
      <c r="G1332" s="1"/>
      <c r="H1332" s="1"/>
      <c r="I1332" s="1"/>
      <c r="K1332" s="1"/>
      <c r="L1332" s="1"/>
    </row>
    <row r="1333" spans="1:12">
      <c r="A1333" s="1"/>
      <c r="B1333" s="255"/>
      <c r="C1333" s="1"/>
      <c r="D1333" s="1"/>
      <c r="E1333" s="255"/>
      <c r="F1333" s="1"/>
      <c r="G1333" s="1"/>
      <c r="H1333" s="1"/>
      <c r="I1333" s="1"/>
      <c r="K1333" s="1"/>
      <c r="L1333" s="1"/>
    </row>
    <row r="1334" spans="1:12">
      <c r="A1334" s="1"/>
      <c r="B1334" s="255"/>
      <c r="C1334" s="1"/>
      <c r="D1334" s="1"/>
      <c r="E1334" s="255"/>
      <c r="F1334" s="1"/>
      <c r="G1334" s="1"/>
      <c r="H1334" s="1"/>
      <c r="I1334" s="1"/>
      <c r="K1334" s="1"/>
      <c r="L1334" s="1"/>
    </row>
    <row r="1335" spans="1:12">
      <c r="A1335" s="1"/>
      <c r="B1335" s="255"/>
      <c r="C1335" s="1"/>
      <c r="D1335" s="1"/>
      <c r="E1335" s="255"/>
      <c r="F1335" s="1"/>
      <c r="G1335" s="1"/>
      <c r="H1335" s="1"/>
      <c r="I1335" s="1"/>
      <c r="K1335" s="1"/>
      <c r="L1335" s="1"/>
    </row>
    <row r="1336" spans="1:12">
      <c r="A1336" s="1"/>
      <c r="B1336" s="255"/>
      <c r="C1336" s="1"/>
      <c r="D1336" s="1"/>
      <c r="E1336" s="255"/>
      <c r="F1336" s="1"/>
      <c r="G1336" s="1"/>
      <c r="H1336" s="1"/>
      <c r="I1336" s="1"/>
      <c r="K1336" s="1"/>
    </row>
    <row r="1337" spans="1:12">
      <c r="A1337" s="1"/>
      <c r="B1337" s="255"/>
      <c r="C1337" s="1"/>
      <c r="D1337" s="1"/>
      <c r="E1337" s="255"/>
      <c r="F1337" s="1"/>
      <c r="G1337" s="1"/>
      <c r="H1337" s="1"/>
      <c r="I1337" s="1"/>
      <c r="K1337" s="1"/>
    </row>
    <row r="1338" spans="1:12">
      <c r="A1338" s="1"/>
      <c r="B1338" s="255"/>
      <c r="C1338" s="1"/>
      <c r="D1338" s="1"/>
      <c r="E1338" s="255"/>
      <c r="F1338" s="1"/>
      <c r="G1338" s="1"/>
      <c r="H1338" s="1"/>
      <c r="I1338" s="1"/>
      <c r="K1338" s="1"/>
      <c r="L1338" s="1"/>
    </row>
    <row r="1339" spans="1:12">
      <c r="A1339" s="1"/>
      <c r="B1339" s="255"/>
      <c r="C1339" s="1"/>
      <c r="D1339" s="1"/>
      <c r="E1339" s="255"/>
      <c r="F1339" s="1"/>
      <c r="G1339" s="1"/>
      <c r="H1339" s="1"/>
      <c r="I1339" s="1"/>
      <c r="K1339" s="1"/>
      <c r="L1339" s="1"/>
    </row>
    <row r="1340" spans="1:12">
      <c r="A1340" s="1"/>
      <c r="B1340" s="255"/>
      <c r="C1340" s="1"/>
      <c r="D1340" s="1"/>
      <c r="E1340" s="255"/>
      <c r="F1340" s="1"/>
      <c r="G1340" s="1"/>
      <c r="H1340" s="1"/>
      <c r="I1340" s="1"/>
      <c r="K1340" s="1"/>
      <c r="L1340" s="1"/>
    </row>
    <row r="1341" spans="1:12">
      <c r="A1341" s="1"/>
      <c r="B1341" s="255"/>
      <c r="C1341" s="1"/>
      <c r="D1341" s="1"/>
      <c r="E1341" s="255"/>
      <c r="F1341" s="1"/>
      <c r="G1341" s="1"/>
      <c r="H1341" s="1"/>
      <c r="I1341" s="1"/>
      <c r="K1341" s="1"/>
      <c r="L1341" s="1"/>
    </row>
    <row r="1342" spans="1:12">
      <c r="A1342" s="1"/>
      <c r="B1342" s="255"/>
      <c r="C1342" s="1"/>
      <c r="D1342" s="1"/>
      <c r="E1342" s="255"/>
      <c r="F1342" s="1"/>
      <c r="G1342" s="1"/>
      <c r="H1342" s="1"/>
      <c r="I1342" s="1"/>
      <c r="K1342" s="1"/>
      <c r="L1342" s="1"/>
    </row>
    <row r="1343" spans="1:12">
      <c r="A1343" s="1"/>
      <c r="B1343" s="255"/>
      <c r="C1343" s="1"/>
      <c r="D1343" s="1"/>
      <c r="E1343" s="255"/>
      <c r="F1343" s="1"/>
      <c r="G1343" s="1"/>
      <c r="H1343" s="1"/>
      <c r="I1343" s="1"/>
      <c r="K1343" s="1"/>
      <c r="L1343" s="1"/>
    </row>
    <row r="1344" spans="1:12">
      <c r="A1344" s="1"/>
      <c r="B1344" s="255"/>
      <c r="C1344" s="1"/>
      <c r="D1344" s="1"/>
      <c r="E1344" s="255"/>
      <c r="F1344" s="1"/>
      <c r="G1344" s="1"/>
      <c r="H1344" s="1"/>
      <c r="I1344" s="1"/>
      <c r="K1344" s="1"/>
    </row>
    <row r="1345" spans="1:12">
      <c r="A1345" s="1"/>
      <c r="B1345" s="255"/>
      <c r="C1345" s="1"/>
      <c r="D1345" s="1"/>
      <c r="E1345" s="255"/>
      <c r="F1345" s="1"/>
      <c r="G1345" s="1"/>
      <c r="H1345" s="1"/>
      <c r="I1345" s="1"/>
      <c r="K1345" s="1"/>
    </row>
    <row r="1346" spans="1:12">
      <c r="A1346" s="1"/>
      <c r="B1346" s="255"/>
      <c r="C1346" s="1"/>
      <c r="D1346" s="1"/>
      <c r="E1346" s="255"/>
      <c r="F1346" s="1"/>
      <c r="G1346" s="1"/>
      <c r="H1346" s="1"/>
      <c r="I1346" s="1"/>
      <c r="K1346" s="1"/>
      <c r="L1346" s="1"/>
    </row>
    <row r="1347" spans="1:12">
      <c r="A1347" s="1"/>
      <c r="B1347" s="255"/>
      <c r="C1347" s="1"/>
      <c r="D1347" s="1"/>
      <c r="E1347" s="255"/>
      <c r="F1347" s="1"/>
      <c r="G1347" s="1"/>
      <c r="H1347" s="1"/>
      <c r="I1347" s="1"/>
      <c r="K1347" s="1"/>
      <c r="L1347" s="1"/>
    </row>
    <row r="1348" spans="1:12">
      <c r="A1348" s="1"/>
      <c r="B1348" s="255"/>
      <c r="C1348" s="1"/>
      <c r="D1348" s="1"/>
      <c r="E1348" s="255"/>
      <c r="F1348" s="1"/>
      <c r="G1348" s="1"/>
      <c r="H1348" s="1"/>
      <c r="I1348" s="1"/>
      <c r="K1348" s="1"/>
      <c r="L1348" s="1"/>
    </row>
    <row r="1349" spans="1:12">
      <c r="A1349" s="1"/>
      <c r="B1349" s="255"/>
      <c r="C1349" s="1"/>
      <c r="D1349" s="1"/>
      <c r="E1349" s="255"/>
      <c r="F1349" s="1"/>
      <c r="G1349" s="1"/>
      <c r="H1349" s="1"/>
      <c r="I1349" s="1"/>
      <c r="K1349" s="1"/>
      <c r="L1349" s="1"/>
    </row>
    <row r="1350" spans="1:12">
      <c r="A1350" s="1"/>
      <c r="B1350" s="255"/>
      <c r="C1350" s="1"/>
      <c r="D1350" s="1"/>
      <c r="E1350" s="255"/>
      <c r="F1350" s="1"/>
      <c r="G1350" s="1"/>
      <c r="H1350" s="1"/>
      <c r="I1350" s="1"/>
      <c r="K1350" s="1"/>
      <c r="L1350" s="1"/>
    </row>
    <row r="1351" spans="1:12">
      <c r="A1351" s="1"/>
      <c r="B1351" s="255"/>
      <c r="C1351" s="1"/>
      <c r="D1351" s="1"/>
      <c r="E1351" s="255"/>
      <c r="F1351" s="1"/>
      <c r="G1351" s="1"/>
      <c r="H1351" s="1"/>
      <c r="I1351" s="1"/>
      <c r="K1351" s="1"/>
      <c r="L1351" s="1"/>
    </row>
    <row r="1352" spans="1:12">
      <c r="A1352" s="1"/>
      <c r="B1352" s="255"/>
      <c r="C1352" s="1"/>
      <c r="D1352" s="1"/>
      <c r="E1352" s="255"/>
      <c r="F1352" s="1"/>
      <c r="G1352" s="1"/>
      <c r="H1352" s="1"/>
      <c r="I1352" s="1"/>
      <c r="K1352" s="1"/>
    </row>
    <row r="1353" spans="1:12">
      <c r="A1353" s="1"/>
      <c r="B1353" s="255"/>
      <c r="C1353" s="1"/>
      <c r="D1353" s="1"/>
      <c r="E1353" s="255"/>
      <c r="F1353" s="1"/>
      <c r="G1353" s="1"/>
      <c r="H1353" s="1"/>
      <c r="I1353" s="1"/>
      <c r="K1353" s="1"/>
    </row>
    <row r="1354" spans="1:12">
      <c r="A1354" s="1"/>
      <c r="B1354" s="255"/>
      <c r="C1354" s="1"/>
      <c r="D1354" s="1"/>
      <c r="E1354" s="255"/>
      <c r="F1354" s="1"/>
      <c r="G1354" s="1"/>
      <c r="H1354" s="1"/>
      <c r="I1354" s="1"/>
      <c r="K1354" s="1"/>
      <c r="L1354" s="1"/>
    </row>
    <row r="1355" spans="1:12">
      <c r="A1355" s="1"/>
      <c r="B1355" s="255"/>
      <c r="C1355" s="1"/>
      <c r="D1355" s="1"/>
      <c r="E1355" s="255"/>
      <c r="F1355" s="1"/>
      <c r="G1355" s="1"/>
      <c r="H1355" s="1"/>
      <c r="I1355" s="1"/>
      <c r="K1355" s="1"/>
      <c r="L1355" s="1"/>
    </row>
    <row r="1356" spans="1:12">
      <c r="A1356" s="1"/>
      <c r="B1356" s="255"/>
      <c r="C1356" s="1"/>
      <c r="D1356" s="1"/>
      <c r="E1356" s="255"/>
      <c r="F1356" s="1"/>
      <c r="G1356" s="1"/>
      <c r="H1356" s="1"/>
      <c r="I1356" s="1"/>
      <c r="K1356" s="1"/>
      <c r="L1356" s="1"/>
    </row>
    <row r="1357" spans="1:12">
      <c r="A1357" s="1"/>
      <c r="B1357" s="255"/>
      <c r="C1357" s="1"/>
      <c r="D1357" s="1"/>
      <c r="E1357" s="255"/>
      <c r="F1357" s="1"/>
      <c r="G1357" s="1"/>
      <c r="H1357" s="1"/>
      <c r="I1357" s="1"/>
      <c r="K1357" s="1"/>
      <c r="L1357" s="1"/>
    </row>
    <row r="1358" spans="1:12">
      <c r="A1358" s="1"/>
      <c r="B1358" s="255"/>
      <c r="C1358" s="1"/>
      <c r="D1358" s="1"/>
      <c r="E1358" s="255"/>
      <c r="F1358" s="1"/>
      <c r="G1358" s="1"/>
      <c r="H1358" s="1"/>
      <c r="I1358" s="1"/>
      <c r="K1358" s="1"/>
      <c r="L1358" s="1"/>
    </row>
    <row r="1359" spans="1:12">
      <c r="A1359" s="1"/>
      <c r="B1359" s="255"/>
      <c r="C1359" s="1"/>
      <c r="D1359" s="1"/>
      <c r="E1359" s="255"/>
      <c r="F1359" s="1"/>
      <c r="G1359" s="1"/>
      <c r="H1359" s="1"/>
      <c r="I1359" s="1"/>
      <c r="K1359" s="1"/>
      <c r="L1359" s="1"/>
    </row>
    <row r="1360" spans="1:12">
      <c r="A1360" s="1"/>
      <c r="B1360" s="255"/>
      <c r="C1360" s="1"/>
      <c r="D1360" s="1"/>
      <c r="E1360" s="255"/>
      <c r="F1360" s="1"/>
      <c r="G1360" s="1"/>
      <c r="H1360" s="1"/>
      <c r="I1360" s="1"/>
      <c r="K1360" s="1"/>
      <c r="L1360" s="1"/>
    </row>
    <row r="1361" spans="1:12">
      <c r="A1361" s="1"/>
      <c r="B1361" s="255"/>
      <c r="C1361" s="1"/>
      <c r="D1361" s="1"/>
      <c r="E1361" s="255"/>
      <c r="F1361" s="1"/>
      <c r="G1361" s="1"/>
      <c r="H1361" s="1"/>
      <c r="I1361" s="1"/>
      <c r="K1361" s="1"/>
      <c r="L1361" s="1"/>
    </row>
    <row r="1362" spans="1:12">
      <c r="A1362" s="1"/>
      <c r="B1362" s="255"/>
      <c r="C1362" s="1"/>
      <c r="D1362" s="1"/>
      <c r="E1362" s="255"/>
      <c r="F1362" s="1"/>
      <c r="G1362" s="1"/>
      <c r="H1362" s="1"/>
      <c r="I1362" s="1"/>
      <c r="K1362" s="1"/>
      <c r="L1362" s="1"/>
    </row>
    <row r="1363" spans="1:12">
      <c r="A1363" s="1"/>
      <c r="B1363" s="255"/>
      <c r="C1363" s="1"/>
      <c r="D1363" s="1"/>
      <c r="E1363" s="255"/>
      <c r="F1363" s="1"/>
      <c r="G1363" s="1"/>
      <c r="H1363" s="1"/>
      <c r="I1363" s="1"/>
      <c r="K1363" s="1"/>
      <c r="L1363" s="1"/>
    </row>
    <row r="1364" spans="1:12">
      <c r="A1364" s="1"/>
      <c r="B1364" s="255"/>
      <c r="C1364" s="1"/>
      <c r="D1364" s="1"/>
      <c r="E1364" s="255"/>
      <c r="F1364" s="1"/>
      <c r="G1364" s="1"/>
      <c r="H1364" s="1"/>
      <c r="I1364" s="1"/>
      <c r="K1364" s="1"/>
      <c r="L1364" s="1"/>
    </row>
    <row r="1365" spans="1:12">
      <c r="A1365" s="1"/>
      <c r="B1365" s="255"/>
      <c r="C1365" s="1"/>
      <c r="D1365" s="1"/>
      <c r="E1365" s="255"/>
      <c r="F1365" s="1"/>
      <c r="G1365" s="1"/>
      <c r="H1365" s="1"/>
      <c r="I1365" s="1"/>
      <c r="K1365" s="1"/>
      <c r="L1365" s="1"/>
    </row>
    <row r="1366" spans="1:12">
      <c r="A1366" s="1"/>
      <c r="B1366" s="255"/>
      <c r="C1366" s="1"/>
      <c r="D1366" s="1"/>
      <c r="E1366" s="255"/>
      <c r="F1366" s="1"/>
      <c r="G1366" s="1"/>
      <c r="H1366" s="1"/>
      <c r="I1366" s="1"/>
      <c r="K1366" s="1"/>
      <c r="L1366" s="1"/>
    </row>
    <row r="1367" spans="1:12">
      <c r="A1367" s="1"/>
      <c r="B1367" s="255"/>
      <c r="C1367" s="1"/>
      <c r="D1367" s="1"/>
      <c r="E1367" s="255"/>
      <c r="F1367" s="1"/>
      <c r="G1367" s="1"/>
      <c r="H1367" s="1"/>
      <c r="I1367" s="1"/>
      <c r="K1367" s="1"/>
      <c r="L1367" s="1"/>
    </row>
    <row r="1368" spans="1:12">
      <c r="A1368" s="1"/>
      <c r="B1368" s="255"/>
      <c r="C1368" s="1"/>
      <c r="D1368" s="1"/>
      <c r="E1368" s="255"/>
      <c r="F1368" s="1"/>
      <c r="G1368" s="1"/>
      <c r="H1368" s="1"/>
      <c r="I1368" s="1"/>
      <c r="K1368" s="1"/>
      <c r="L1368" s="1"/>
    </row>
    <row r="1369" spans="1:12">
      <c r="A1369" s="1"/>
      <c r="B1369" s="255"/>
      <c r="C1369" s="1"/>
      <c r="D1369" s="1"/>
      <c r="E1369" s="255"/>
      <c r="F1369" s="1"/>
      <c r="G1369" s="1"/>
      <c r="H1369" s="1"/>
      <c r="I1369" s="1"/>
      <c r="K1369" s="1"/>
      <c r="L1369" s="1"/>
    </row>
    <row r="1370" spans="1:12">
      <c r="A1370" s="1"/>
      <c r="B1370" s="255"/>
      <c r="C1370" s="1"/>
      <c r="D1370" s="1"/>
      <c r="E1370" s="255"/>
      <c r="F1370" s="1"/>
      <c r="G1370" s="1"/>
      <c r="H1370" s="1"/>
      <c r="I1370" s="1"/>
      <c r="K1370" s="1"/>
    </row>
    <row r="1371" spans="1:12">
      <c r="A1371" s="1"/>
      <c r="B1371" s="255"/>
      <c r="C1371" s="1"/>
      <c r="D1371" s="1"/>
      <c r="E1371" s="255"/>
      <c r="F1371" s="1"/>
      <c r="G1371" s="1"/>
      <c r="H1371" s="1"/>
      <c r="I1371" s="1"/>
      <c r="K1371" s="1"/>
    </row>
    <row r="1372" spans="1:12">
      <c r="A1372" s="1"/>
      <c r="B1372" s="255"/>
      <c r="C1372" s="1"/>
      <c r="D1372" s="1"/>
      <c r="E1372" s="255"/>
      <c r="F1372" s="1"/>
      <c r="G1372" s="1"/>
      <c r="H1372" s="1"/>
      <c r="I1372" s="1"/>
      <c r="K1372" s="1"/>
      <c r="L1372" s="1"/>
    </row>
    <row r="1373" spans="1:12">
      <c r="A1373" s="1"/>
      <c r="B1373" s="255"/>
      <c r="C1373" s="1"/>
      <c r="D1373" s="1"/>
      <c r="E1373" s="255"/>
      <c r="F1373" s="1"/>
      <c r="G1373" s="1"/>
      <c r="H1373" s="1"/>
      <c r="I1373" s="1"/>
      <c r="K1373" s="1"/>
      <c r="L1373" s="1"/>
    </row>
    <row r="1374" spans="1:12">
      <c r="A1374" s="1"/>
      <c r="B1374" s="255"/>
      <c r="C1374" s="1"/>
      <c r="D1374" s="1"/>
      <c r="E1374" s="255"/>
      <c r="F1374" s="1"/>
      <c r="G1374" s="1"/>
      <c r="H1374" s="1"/>
      <c r="I1374" s="1"/>
      <c r="K1374" s="1"/>
    </row>
    <row r="1375" spans="1:12">
      <c r="A1375" s="1"/>
      <c r="B1375" s="255"/>
      <c r="C1375" s="1"/>
      <c r="D1375" s="1"/>
      <c r="E1375" s="255"/>
      <c r="F1375" s="1"/>
      <c r="G1375" s="1"/>
      <c r="H1375" s="1"/>
      <c r="I1375" s="1"/>
      <c r="K1375" s="1"/>
    </row>
    <row r="1376" spans="1:12">
      <c r="A1376" s="1"/>
      <c r="B1376" s="255"/>
      <c r="C1376" s="1"/>
      <c r="D1376" s="1"/>
      <c r="E1376" s="255"/>
      <c r="F1376" s="1"/>
      <c r="G1376" s="1"/>
      <c r="H1376" s="1"/>
      <c r="I1376" s="1"/>
      <c r="K1376" s="1"/>
      <c r="L1376" s="1"/>
    </row>
    <row r="1377" spans="1:12">
      <c r="A1377" s="1"/>
      <c r="B1377" s="255"/>
      <c r="C1377" s="1"/>
      <c r="D1377" s="1"/>
      <c r="E1377" s="255"/>
      <c r="F1377" s="1"/>
      <c r="G1377" s="1"/>
      <c r="H1377" s="1"/>
      <c r="I1377" s="1"/>
      <c r="K1377" s="1"/>
      <c r="L1377" s="1"/>
    </row>
    <row r="1378" spans="1:12">
      <c r="A1378" s="1"/>
      <c r="B1378" s="255"/>
      <c r="C1378" s="1"/>
      <c r="D1378" s="1"/>
      <c r="E1378" s="255"/>
      <c r="F1378" s="1"/>
      <c r="G1378" s="1"/>
      <c r="H1378" s="1"/>
      <c r="I1378" s="1"/>
      <c r="K1378" s="1"/>
      <c r="L1378" s="1"/>
    </row>
    <row r="1379" spans="1:12">
      <c r="A1379" s="1"/>
      <c r="B1379" s="255"/>
      <c r="C1379" s="1"/>
      <c r="D1379" s="1"/>
      <c r="E1379" s="255"/>
      <c r="F1379" s="1"/>
      <c r="G1379" s="1"/>
      <c r="H1379" s="1"/>
      <c r="I1379" s="1"/>
      <c r="K1379" s="1"/>
      <c r="L1379" s="1"/>
    </row>
    <row r="1380" spans="1:12">
      <c r="A1380" s="1"/>
      <c r="B1380" s="255"/>
      <c r="C1380" s="1"/>
      <c r="D1380" s="1"/>
      <c r="E1380" s="255"/>
      <c r="F1380" s="1"/>
      <c r="G1380" s="1"/>
      <c r="H1380" s="1"/>
      <c r="I1380" s="1"/>
      <c r="K1380" s="1"/>
      <c r="L1380" s="1"/>
    </row>
    <row r="1381" spans="1:12">
      <c r="A1381" s="1"/>
      <c r="B1381" s="255"/>
      <c r="C1381" s="1"/>
      <c r="D1381" s="1"/>
      <c r="E1381" s="255"/>
      <c r="F1381" s="1"/>
      <c r="G1381" s="1"/>
      <c r="H1381" s="1"/>
      <c r="I1381" s="1"/>
      <c r="K1381" s="1"/>
      <c r="L1381" s="1"/>
    </row>
    <row r="1382" spans="1:12">
      <c r="A1382" s="1"/>
      <c r="B1382" s="255"/>
      <c r="C1382" s="1"/>
      <c r="D1382" s="1"/>
      <c r="E1382" s="255"/>
      <c r="F1382" s="1"/>
      <c r="G1382" s="1"/>
      <c r="H1382" s="1"/>
      <c r="I1382" s="1"/>
      <c r="K1382" s="1"/>
      <c r="L1382" s="1"/>
    </row>
    <row r="1383" spans="1:12">
      <c r="A1383" s="1"/>
      <c r="B1383" s="255"/>
      <c r="C1383" s="1"/>
      <c r="D1383" s="1"/>
      <c r="E1383" s="255"/>
      <c r="F1383" s="1"/>
      <c r="G1383" s="1"/>
      <c r="H1383" s="1"/>
      <c r="I1383" s="1"/>
      <c r="K1383" s="1"/>
      <c r="L1383" s="1"/>
    </row>
    <row r="1384" spans="1:12">
      <c r="A1384" s="1"/>
      <c r="B1384" s="255"/>
      <c r="C1384" s="1"/>
      <c r="D1384" s="1"/>
      <c r="E1384" s="255"/>
      <c r="F1384" s="1"/>
      <c r="G1384" s="1"/>
      <c r="H1384" s="1"/>
      <c r="I1384" s="1"/>
      <c r="K1384" s="1"/>
      <c r="L1384" s="1"/>
    </row>
    <row r="1385" spans="1:12">
      <c r="A1385" s="1"/>
      <c r="B1385" s="255"/>
      <c r="C1385" s="1"/>
      <c r="D1385" s="1"/>
      <c r="E1385" s="255"/>
      <c r="F1385" s="1"/>
      <c r="G1385" s="1"/>
      <c r="H1385" s="1"/>
      <c r="I1385" s="1"/>
      <c r="K1385" s="1"/>
      <c r="L1385" s="1"/>
    </row>
    <row r="1386" spans="1:12">
      <c r="A1386" s="1"/>
      <c r="B1386" s="255"/>
      <c r="C1386" s="1"/>
      <c r="D1386" s="1"/>
      <c r="E1386" s="255"/>
      <c r="F1386" s="1"/>
      <c r="G1386" s="1"/>
      <c r="H1386" s="1"/>
      <c r="I1386" s="1"/>
      <c r="K1386" s="1"/>
    </row>
    <row r="1387" spans="1:12">
      <c r="A1387" s="1"/>
      <c r="B1387" s="255"/>
      <c r="C1387" s="1"/>
      <c r="D1387" s="1"/>
      <c r="E1387" s="255"/>
      <c r="F1387" s="1"/>
      <c r="G1387" s="1"/>
      <c r="H1387" s="1"/>
      <c r="I1387" s="1"/>
      <c r="K1387" s="1"/>
    </row>
    <row r="1388" spans="1:12">
      <c r="A1388" s="1"/>
      <c r="B1388" s="255"/>
      <c r="C1388" s="1"/>
      <c r="D1388" s="1"/>
      <c r="E1388" s="255"/>
      <c r="F1388" s="1"/>
      <c r="G1388" s="1"/>
      <c r="H1388" s="1"/>
      <c r="I1388" s="1"/>
      <c r="K1388" s="1"/>
    </row>
    <row r="1389" spans="1:12">
      <c r="A1389" s="1"/>
      <c r="B1389" s="255"/>
      <c r="C1389" s="1"/>
      <c r="D1389" s="1"/>
      <c r="E1389" s="255"/>
      <c r="F1389" s="1"/>
      <c r="G1389" s="1"/>
      <c r="H1389" s="1"/>
      <c r="I1389" s="1"/>
      <c r="K1389" s="1"/>
    </row>
    <row r="1390" spans="1:12">
      <c r="A1390" s="1"/>
      <c r="B1390" s="255"/>
      <c r="C1390" s="1"/>
      <c r="D1390" s="1"/>
      <c r="E1390" s="255"/>
      <c r="F1390" s="1"/>
      <c r="G1390" s="1"/>
      <c r="H1390" s="1"/>
      <c r="I1390" s="1"/>
      <c r="K1390" s="1"/>
      <c r="L1390" s="1"/>
    </row>
    <row r="1391" spans="1:12">
      <c r="A1391" s="1"/>
      <c r="B1391" s="255"/>
      <c r="C1391" s="1"/>
      <c r="D1391" s="1"/>
      <c r="E1391" s="255"/>
      <c r="F1391" s="1"/>
      <c r="G1391" s="1"/>
      <c r="H1391" s="1"/>
      <c r="I1391" s="1"/>
      <c r="K1391" s="1"/>
      <c r="L1391" s="1"/>
    </row>
    <row r="1392" spans="1:12">
      <c r="A1392" s="1"/>
      <c r="B1392" s="255"/>
      <c r="C1392" s="1"/>
      <c r="D1392" s="1"/>
      <c r="E1392" s="255"/>
      <c r="F1392" s="1"/>
      <c r="G1392" s="1"/>
      <c r="H1392" s="1"/>
      <c r="I1392" s="1"/>
      <c r="K1392" s="1"/>
      <c r="L1392" s="1"/>
    </row>
    <row r="1393" spans="1:12">
      <c r="A1393" s="1"/>
      <c r="B1393" s="255"/>
      <c r="C1393" s="1"/>
      <c r="D1393" s="1"/>
      <c r="E1393" s="255"/>
      <c r="F1393" s="1"/>
      <c r="G1393" s="1"/>
      <c r="H1393" s="1"/>
      <c r="I1393" s="1"/>
      <c r="K1393" s="1"/>
      <c r="L1393" s="1"/>
    </row>
    <row r="1394" spans="1:12">
      <c r="A1394" s="1"/>
      <c r="B1394" s="255"/>
      <c r="C1394" s="1"/>
      <c r="D1394" s="1"/>
      <c r="E1394" s="255"/>
      <c r="F1394" s="1"/>
      <c r="G1394" s="1"/>
      <c r="H1394" s="1"/>
      <c r="I1394" s="1"/>
      <c r="K1394" s="1"/>
      <c r="L1394" s="1"/>
    </row>
    <row r="1395" spans="1:12">
      <c r="A1395" s="1"/>
      <c r="B1395" s="255"/>
      <c r="C1395" s="1"/>
      <c r="D1395" s="1"/>
      <c r="E1395" s="255"/>
      <c r="F1395" s="1"/>
      <c r="G1395" s="1"/>
      <c r="H1395" s="1"/>
      <c r="I1395" s="1"/>
      <c r="K1395" s="1"/>
      <c r="L1395" s="1"/>
    </row>
    <row r="1396" spans="1:12">
      <c r="A1396" s="1"/>
      <c r="B1396" s="255"/>
      <c r="C1396" s="1"/>
      <c r="D1396" s="1"/>
      <c r="E1396" s="255"/>
      <c r="F1396" s="1"/>
      <c r="G1396" s="1"/>
      <c r="H1396" s="1"/>
      <c r="I1396" s="1"/>
      <c r="K1396" s="1"/>
      <c r="L1396" s="1"/>
    </row>
    <row r="1397" spans="1:12">
      <c r="A1397" s="1"/>
      <c r="B1397" s="255"/>
      <c r="C1397" s="1"/>
      <c r="D1397" s="1"/>
      <c r="E1397" s="255"/>
      <c r="F1397" s="1"/>
      <c r="G1397" s="1"/>
      <c r="H1397" s="1"/>
      <c r="I1397" s="1"/>
      <c r="K1397" s="1"/>
      <c r="L1397" s="1"/>
    </row>
    <row r="1398" spans="1:12">
      <c r="A1398" s="1"/>
      <c r="B1398" s="255"/>
      <c r="C1398" s="1"/>
      <c r="D1398" s="1"/>
      <c r="E1398" s="255"/>
      <c r="F1398" s="1"/>
      <c r="G1398" s="1"/>
      <c r="H1398" s="1"/>
      <c r="I1398" s="1"/>
      <c r="K1398" s="1"/>
      <c r="L1398" s="1"/>
    </row>
    <row r="1399" spans="1:12">
      <c r="A1399" s="1"/>
      <c r="B1399" s="255"/>
      <c r="C1399" s="1"/>
      <c r="D1399" s="1"/>
      <c r="E1399" s="255"/>
      <c r="F1399" s="1"/>
      <c r="G1399" s="1"/>
      <c r="H1399" s="1"/>
      <c r="I1399" s="1"/>
      <c r="K1399" s="1"/>
      <c r="L1399" s="1"/>
    </row>
    <row r="1400" spans="1:12">
      <c r="A1400" s="1"/>
      <c r="B1400" s="255"/>
      <c r="C1400" s="1"/>
      <c r="D1400" s="1"/>
      <c r="E1400" s="255"/>
      <c r="F1400" s="1"/>
      <c r="G1400" s="1"/>
      <c r="H1400" s="1"/>
      <c r="I1400" s="1"/>
      <c r="K1400" s="1"/>
    </row>
    <row r="1401" spans="1:12">
      <c r="A1401" s="1"/>
      <c r="B1401" s="255"/>
      <c r="C1401" s="1"/>
      <c r="D1401" s="1"/>
      <c r="E1401" s="255"/>
      <c r="F1401" s="1"/>
      <c r="G1401" s="1"/>
      <c r="H1401" s="1"/>
      <c r="I1401" s="1"/>
      <c r="K1401" s="1"/>
    </row>
    <row r="1402" spans="1:12">
      <c r="A1402" s="1"/>
      <c r="B1402" s="255"/>
      <c r="C1402" s="1"/>
      <c r="D1402" s="1"/>
      <c r="E1402" s="255"/>
      <c r="F1402" s="1"/>
      <c r="G1402" s="1"/>
      <c r="H1402" s="1"/>
      <c r="I1402" s="1"/>
      <c r="K1402" s="1"/>
      <c r="L1402" s="1"/>
    </row>
    <row r="1403" spans="1:12">
      <c r="A1403" s="1"/>
      <c r="B1403" s="255"/>
      <c r="C1403" s="1"/>
      <c r="D1403" s="1"/>
      <c r="E1403" s="255"/>
      <c r="F1403" s="1"/>
      <c r="G1403" s="1"/>
      <c r="H1403" s="1"/>
      <c r="I1403" s="1"/>
      <c r="K1403" s="1"/>
      <c r="L1403" s="1"/>
    </row>
    <row r="1404" spans="1:12">
      <c r="A1404" s="1"/>
      <c r="B1404" s="255"/>
      <c r="C1404" s="1"/>
      <c r="D1404" s="1"/>
      <c r="E1404" s="255"/>
      <c r="F1404" s="1"/>
      <c r="G1404" s="1"/>
      <c r="H1404" s="1"/>
      <c r="I1404" s="1"/>
      <c r="K1404" s="1"/>
      <c r="L1404" s="1"/>
    </row>
    <row r="1405" spans="1:12">
      <c r="A1405" s="1"/>
      <c r="B1405" s="255"/>
      <c r="C1405" s="1"/>
      <c r="D1405" s="1"/>
      <c r="E1405" s="255"/>
      <c r="F1405" s="1"/>
      <c r="G1405" s="1"/>
      <c r="H1405" s="1"/>
      <c r="I1405" s="1"/>
      <c r="K1405" s="1"/>
      <c r="L1405" s="1"/>
    </row>
    <row r="1406" spans="1:12">
      <c r="A1406" s="1"/>
      <c r="B1406" s="255"/>
      <c r="C1406" s="1"/>
      <c r="D1406" s="1"/>
      <c r="E1406" s="255"/>
      <c r="F1406" s="1"/>
      <c r="G1406" s="1"/>
      <c r="H1406" s="1"/>
      <c r="I1406" s="1"/>
      <c r="K1406" s="1"/>
      <c r="L1406" s="1"/>
    </row>
    <row r="1407" spans="1:12">
      <c r="A1407" s="1"/>
      <c r="B1407" s="255"/>
      <c r="C1407" s="1"/>
      <c r="D1407" s="1"/>
      <c r="E1407" s="255"/>
      <c r="F1407" s="1"/>
      <c r="G1407" s="1"/>
      <c r="H1407" s="1"/>
      <c r="I1407" s="1"/>
      <c r="K1407" s="1"/>
      <c r="L1407" s="1"/>
    </row>
    <row r="1408" spans="1:12">
      <c r="A1408" s="1"/>
      <c r="B1408" s="255"/>
      <c r="C1408" s="1"/>
      <c r="D1408" s="1"/>
      <c r="E1408" s="255"/>
      <c r="F1408" s="1"/>
      <c r="G1408" s="1"/>
      <c r="H1408" s="1"/>
      <c r="I1408" s="1"/>
      <c r="K1408" s="1"/>
    </row>
    <row r="1409" spans="1:12">
      <c r="A1409" s="1"/>
      <c r="B1409" s="255"/>
      <c r="C1409" s="1"/>
      <c r="D1409" s="1"/>
      <c r="E1409" s="255"/>
      <c r="F1409" s="1"/>
      <c r="G1409" s="1"/>
      <c r="H1409" s="1"/>
      <c r="I1409" s="1"/>
      <c r="K1409" s="1"/>
    </row>
    <row r="1410" spans="1:12">
      <c r="A1410" s="1"/>
      <c r="B1410" s="255"/>
      <c r="C1410" s="1"/>
      <c r="D1410" s="1"/>
      <c r="E1410" s="255"/>
      <c r="F1410" s="1"/>
      <c r="G1410" s="1"/>
      <c r="H1410" s="1"/>
      <c r="I1410" s="1"/>
      <c r="K1410" s="1"/>
      <c r="L1410" s="1"/>
    </row>
    <row r="1411" spans="1:12">
      <c r="A1411" s="1"/>
      <c r="B1411" s="255"/>
      <c r="C1411" s="1"/>
      <c r="D1411" s="1"/>
      <c r="E1411" s="255"/>
      <c r="F1411" s="1"/>
      <c r="G1411" s="1"/>
      <c r="H1411" s="1"/>
      <c r="I1411" s="1"/>
      <c r="K1411" s="1"/>
      <c r="L1411" s="1"/>
    </row>
    <row r="1412" spans="1:12">
      <c r="A1412" s="1"/>
      <c r="B1412" s="255"/>
      <c r="C1412" s="1"/>
      <c r="D1412" s="1"/>
      <c r="E1412" s="255"/>
      <c r="F1412" s="1"/>
      <c r="G1412" s="1"/>
      <c r="H1412" s="1"/>
      <c r="I1412" s="1"/>
      <c r="K1412" s="1"/>
      <c r="L1412" s="1"/>
    </row>
    <row r="1413" spans="1:12">
      <c r="A1413" s="1"/>
      <c r="B1413" s="255"/>
      <c r="C1413" s="1"/>
      <c r="D1413" s="1"/>
      <c r="E1413" s="255"/>
      <c r="F1413" s="1"/>
      <c r="G1413" s="1"/>
      <c r="H1413" s="1"/>
      <c r="I1413" s="1"/>
      <c r="K1413" s="1"/>
      <c r="L1413" s="1"/>
    </row>
    <row r="1414" spans="1:12">
      <c r="A1414" s="1"/>
      <c r="B1414" s="255"/>
      <c r="C1414" s="1"/>
      <c r="D1414" s="1"/>
      <c r="E1414" s="255"/>
      <c r="F1414" s="1"/>
      <c r="G1414" s="1"/>
      <c r="H1414" s="1"/>
      <c r="I1414" s="1"/>
      <c r="K1414" s="1"/>
      <c r="L1414" s="1"/>
    </row>
    <row r="1415" spans="1:12">
      <c r="A1415" s="1"/>
      <c r="B1415" s="255"/>
      <c r="C1415" s="1"/>
      <c r="D1415" s="1"/>
      <c r="E1415" s="255"/>
      <c r="F1415" s="1"/>
      <c r="G1415" s="1"/>
      <c r="H1415" s="1"/>
      <c r="I1415" s="1"/>
      <c r="K1415" s="1"/>
      <c r="L1415" s="1"/>
    </row>
    <row r="1416" spans="1:12">
      <c r="A1416" s="1"/>
      <c r="B1416" s="255"/>
      <c r="C1416" s="1"/>
      <c r="D1416" s="1"/>
      <c r="E1416" s="255"/>
      <c r="F1416" s="1"/>
      <c r="G1416" s="1"/>
      <c r="H1416" s="1"/>
      <c r="I1416" s="1"/>
      <c r="K1416" s="1"/>
    </row>
    <row r="1417" spans="1:12">
      <c r="A1417" s="1"/>
      <c r="B1417" s="255"/>
      <c r="C1417" s="1"/>
      <c r="D1417" s="1"/>
      <c r="E1417" s="255"/>
      <c r="F1417" s="1"/>
      <c r="G1417" s="1"/>
      <c r="H1417" s="1"/>
      <c r="I1417" s="1"/>
      <c r="K1417" s="1"/>
    </row>
    <row r="1418" spans="1:12">
      <c r="A1418" s="1"/>
      <c r="B1418" s="255"/>
      <c r="C1418" s="1"/>
      <c r="D1418" s="1"/>
      <c r="E1418" s="255"/>
      <c r="F1418" s="1"/>
      <c r="G1418" s="1"/>
      <c r="H1418" s="1"/>
      <c r="I1418" s="1"/>
      <c r="K1418" s="1"/>
      <c r="L1418" s="1"/>
    </row>
    <row r="1419" spans="1:12">
      <c r="A1419" s="1"/>
      <c r="B1419" s="255"/>
      <c r="C1419" s="1"/>
      <c r="D1419" s="1"/>
      <c r="E1419" s="255"/>
      <c r="F1419" s="1"/>
      <c r="G1419" s="1"/>
      <c r="H1419" s="1"/>
      <c r="I1419" s="1"/>
      <c r="K1419" s="1"/>
      <c r="L1419" s="1"/>
    </row>
    <row r="1420" spans="1:12">
      <c r="A1420" s="1"/>
      <c r="B1420" s="255"/>
      <c r="C1420" s="1"/>
      <c r="D1420" s="1"/>
      <c r="E1420" s="255"/>
      <c r="F1420" s="1"/>
      <c r="G1420" s="1"/>
      <c r="H1420" s="1"/>
      <c r="I1420" s="1"/>
      <c r="K1420" s="1"/>
      <c r="L1420" s="1"/>
    </row>
    <row r="1421" spans="1:12">
      <c r="A1421" s="1"/>
      <c r="B1421" s="255"/>
      <c r="C1421" s="1"/>
      <c r="D1421" s="1"/>
      <c r="E1421" s="255"/>
      <c r="F1421" s="1"/>
      <c r="G1421" s="1"/>
      <c r="H1421" s="1"/>
      <c r="I1421" s="1"/>
      <c r="K1421" s="1"/>
      <c r="L1421" s="1"/>
    </row>
    <row r="1422" spans="1:12">
      <c r="A1422" s="1"/>
      <c r="B1422" s="255"/>
      <c r="C1422" s="1"/>
      <c r="D1422" s="1"/>
      <c r="E1422" s="255"/>
      <c r="F1422" s="1"/>
      <c r="G1422" s="1"/>
      <c r="H1422" s="1"/>
      <c r="I1422" s="1"/>
      <c r="K1422" s="1"/>
      <c r="L1422" s="1"/>
    </row>
    <row r="1423" spans="1:12">
      <c r="A1423" s="1"/>
      <c r="B1423" s="255"/>
      <c r="C1423" s="1"/>
      <c r="D1423" s="1"/>
      <c r="E1423" s="255"/>
      <c r="F1423" s="1"/>
      <c r="G1423" s="1"/>
      <c r="H1423" s="1"/>
      <c r="I1423" s="1"/>
      <c r="K1423" s="1"/>
      <c r="L1423" s="1"/>
    </row>
    <row r="1424" spans="1:12">
      <c r="A1424" s="1"/>
      <c r="B1424" s="255"/>
      <c r="C1424" s="1"/>
      <c r="D1424" s="1"/>
      <c r="E1424" s="255"/>
      <c r="F1424" s="1"/>
      <c r="G1424" s="1"/>
      <c r="H1424" s="1"/>
      <c r="I1424" s="1"/>
      <c r="K1424" s="1"/>
      <c r="L1424" s="1"/>
    </row>
    <row r="1425" spans="1:12">
      <c r="A1425" s="1"/>
      <c r="B1425" s="255"/>
      <c r="C1425" s="1"/>
      <c r="D1425" s="1"/>
      <c r="E1425" s="255"/>
      <c r="F1425" s="1"/>
      <c r="G1425" s="1"/>
      <c r="H1425" s="1"/>
      <c r="I1425" s="1"/>
      <c r="K1425" s="1"/>
      <c r="L1425" s="1"/>
    </row>
    <row r="1426" spans="1:12">
      <c r="A1426" s="1"/>
      <c r="B1426" s="255"/>
      <c r="C1426" s="1"/>
      <c r="D1426" s="1"/>
      <c r="E1426" s="255"/>
      <c r="F1426" s="1"/>
      <c r="G1426" s="1"/>
      <c r="H1426" s="1"/>
      <c r="I1426" s="1"/>
      <c r="K1426" s="1"/>
      <c r="L1426" s="1"/>
    </row>
    <row r="1427" spans="1:12">
      <c r="A1427" s="1"/>
      <c r="B1427" s="255"/>
      <c r="C1427" s="1"/>
      <c r="D1427" s="1"/>
      <c r="E1427" s="255"/>
      <c r="F1427" s="1"/>
      <c r="G1427" s="1"/>
      <c r="H1427" s="1"/>
      <c r="I1427" s="1"/>
      <c r="K1427" s="1"/>
      <c r="L1427" s="1"/>
    </row>
    <row r="1428" spans="1:12">
      <c r="A1428" s="1"/>
      <c r="B1428" s="255"/>
      <c r="C1428" s="1"/>
      <c r="D1428" s="1"/>
      <c r="E1428" s="255"/>
      <c r="F1428" s="1"/>
      <c r="G1428" s="1"/>
      <c r="H1428" s="1"/>
      <c r="I1428" s="1"/>
      <c r="K1428" s="1"/>
      <c r="L1428" s="1"/>
    </row>
    <row r="1429" spans="1:12">
      <c r="A1429" s="1"/>
      <c r="B1429" s="255"/>
      <c r="C1429" s="1"/>
      <c r="D1429" s="1"/>
      <c r="E1429" s="255"/>
      <c r="F1429" s="1"/>
      <c r="G1429" s="1"/>
      <c r="H1429" s="1"/>
      <c r="I1429" s="1"/>
      <c r="K1429" s="1"/>
      <c r="L1429" s="1"/>
    </row>
    <row r="1430" spans="1:12">
      <c r="A1430" s="1"/>
      <c r="B1430" s="255"/>
      <c r="C1430" s="1"/>
      <c r="D1430" s="1"/>
      <c r="E1430" s="255"/>
      <c r="F1430" s="1"/>
      <c r="G1430" s="1"/>
      <c r="H1430" s="1"/>
      <c r="I1430" s="1"/>
      <c r="K1430" s="1"/>
      <c r="L1430" s="1"/>
    </row>
    <row r="1431" spans="1:12">
      <c r="A1431" s="1"/>
      <c r="B1431" s="255"/>
      <c r="C1431" s="1"/>
      <c r="D1431" s="1"/>
      <c r="E1431" s="255"/>
      <c r="F1431" s="1"/>
      <c r="G1431" s="1"/>
      <c r="H1431" s="1"/>
      <c r="I1431" s="1"/>
      <c r="K1431" s="1"/>
      <c r="L1431" s="1"/>
    </row>
    <row r="1432" spans="1:12">
      <c r="A1432" s="1"/>
      <c r="B1432" s="255"/>
      <c r="C1432" s="1"/>
      <c r="D1432" s="1"/>
      <c r="E1432" s="255"/>
      <c r="F1432" s="1"/>
      <c r="G1432" s="1"/>
      <c r="H1432" s="1"/>
      <c r="I1432" s="1"/>
      <c r="K1432" s="1"/>
      <c r="L1432" s="1"/>
    </row>
    <row r="1433" spans="1:12">
      <c r="A1433" s="1"/>
      <c r="B1433" s="255"/>
      <c r="C1433" s="1"/>
      <c r="D1433" s="1"/>
      <c r="E1433" s="255"/>
      <c r="F1433" s="1"/>
      <c r="G1433" s="1"/>
      <c r="H1433" s="1"/>
      <c r="I1433" s="1"/>
      <c r="K1433" s="1"/>
      <c r="L1433" s="1"/>
    </row>
    <row r="1434" spans="1:12">
      <c r="A1434" s="1"/>
      <c r="B1434" s="255"/>
      <c r="C1434" s="1"/>
      <c r="D1434" s="1"/>
      <c r="E1434" s="255"/>
      <c r="F1434" s="1"/>
      <c r="G1434" s="1"/>
      <c r="H1434" s="1"/>
      <c r="I1434" s="1"/>
      <c r="K1434" s="1"/>
    </row>
    <row r="1435" spans="1:12">
      <c r="A1435" s="1"/>
      <c r="B1435" s="255"/>
      <c r="C1435" s="1"/>
      <c r="D1435" s="1"/>
      <c r="E1435" s="255"/>
      <c r="F1435" s="1"/>
      <c r="G1435" s="1"/>
      <c r="H1435" s="1"/>
      <c r="I1435" s="1"/>
      <c r="K1435" s="1"/>
    </row>
    <row r="1436" spans="1:12">
      <c r="A1436" s="1"/>
      <c r="B1436" s="255"/>
      <c r="C1436" s="1"/>
      <c r="D1436" s="1"/>
      <c r="E1436" s="255"/>
      <c r="F1436" s="1"/>
      <c r="G1436" s="1"/>
      <c r="H1436" s="1"/>
      <c r="I1436" s="1"/>
      <c r="K1436" s="1"/>
    </row>
    <row r="1437" spans="1:12">
      <c r="A1437" s="1"/>
      <c r="B1437" s="255"/>
      <c r="C1437" s="1"/>
      <c r="D1437" s="1"/>
      <c r="E1437" s="255"/>
      <c r="F1437" s="1"/>
      <c r="G1437" s="1"/>
      <c r="H1437" s="1"/>
      <c r="I1437" s="1"/>
      <c r="K1437" s="1"/>
    </row>
    <row r="1438" spans="1:12">
      <c r="A1438" s="1"/>
      <c r="B1438" s="255"/>
      <c r="C1438" s="1"/>
      <c r="D1438" s="1"/>
      <c r="E1438" s="255"/>
      <c r="F1438" s="1"/>
      <c r="G1438" s="1"/>
      <c r="H1438" s="1"/>
      <c r="I1438" s="1"/>
      <c r="K1438" s="1"/>
      <c r="L1438" s="1"/>
    </row>
    <row r="1439" spans="1:12">
      <c r="A1439" s="1"/>
      <c r="B1439" s="255"/>
      <c r="C1439" s="1"/>
      <c r="D1439" s="1"/>
      <c r="E1439" s="255"/>
      <c r="F1439" s="1"/>
      <c r="G1439" s="1"/>
      <c r="H1439" s="1"/>
      <c r="I1439" s="1"/>
      <c r="K1439" s="1"/>
      <c r="L1439" s="1"/>
    </row>
    <row r="1440" spans="1:12">
      <c r="A1440" s="1"/>
      <c r="B1440" s="255"/>
      <c r="C1440" s="1"/>
      <c r="D1440" s="1"/>
      <c r="E1440" s="255"/>
      <c r="F1440" s="1"/>
      <c r="G1440" s="1"/>
      <c r="H1440" s="1"/>
      <c r="I1440" s="1"/>
      <c r="K1440" s="1"/>
      <c r="L1440" s="1"/>
    </row>
    <row r="1441" spans="1:12">
      <c r="A1441" s="1"/>
      <c r="B1441" s="255"/>
      <c r="C1441" s="1"/>
      <c r="D1441" s="1"/>
      <c r="E1441" s="255"/>
      <c r="F1441" s="1"/>
      <c r="G1441" s="1"/>
      <c r="H1441" s="1"/>
      <c r="I1441" s="1"/>
      <c r="K1441" s="1"/>
      <c r="L1441" s="1"/>
    </row>
    <row r="1442" spans="1:12">
      <c r="A1442" s="1"/>
      <c r="B1442" s="255"/>
      <c r="C1442" s="1"/>
      <c r="D1442" s="1"/>
      <c r="E1442" s="255"/>
      <c r="F1442" s="1"/>
      <c r="G1442" s="1"/>
      <c r="H1442" s="1"/>
      <c r="I1442" s="1"/>
      <c r="K1442" s="1"/>
      <c r="L1442" s="1"/>
    </row>
    <row r="1443" spans="1:12">
      <c r="A1443" s="1"/>
      <c r="B1443" s="255"/>
      <c r="C1443" s="1"/>
      <c r="D1443" s="1"/>
      <c r="E1443" s="255"/>
      <c r="F1443" s="1"/>
      <c r="G1443" s="1"/>
      <c r="H1443" s="1"/>
      <c r="I1443" s="1"/>
      <c r="K1443" s="1"/>
      <c r="L1443" s="1"/>
    </row>
    <row r="1444" spans="1:12">
      <c r="A1444" s="1"/>
      <c r="B1444" s="255"/>
      <c r="C1444" s="1"/>
      <c r="D1444" s="1"/>
      <c r="E1444" s="255"/>
      <c r="F1444" s="1"/>
      <c r="G1444" s="1"/>
      <c r="H1444" s="1"/>
      <c r="I1444" s="1"/>
      <c r="K1444" s="1"/>
      <c r="L1444" s="1"/>
    </row>
    <row r="1445" spans="1:12">
      <c r="A1445" s="1"/>
      <c r="B1445" s="255"/>
      <c r="C1445" s="1"/>
      <c r="D1445" s="1"/>
      <c r="E1445" s="255"/>
      <c r="F1445" s="1"/>
      <c r="G1445" s="1"/>
      <c r="H1445" s="1"/>
      <c r="I1445" s="1"/>
      <c r="K1445" s="1"/>
      <c r="L1445" s="1"/>
    </row>
    <row r="1446" spans="1:12">
      <c r="A1446" s="1"/>
      <c r="B1446" s="255"/>
      <c r="C1446" s="1"/>
      <c r="D1446" s="1"/>
      <c r="E1446" s="255"/>
      <c r="F1446" s="1"/>
      <c r="G1446" s="1"/>
      <c r="H1446" s="1"/>
      <c r="I1446" s="1"/>
      <c r="K1446" s="1"/>
    </row>
    <row r="1447" spans="1:12">
      <c r="A1447" s="1"/>
      <c r="B1447" s="255"/>
      <c r="C1447" s="1"/>
      <c r="D1447" s="1"/>
      <c r="E1447" s="255"/>
      <c r="F1447" s="1"/>
      <c r="G1447" s="1"/>
      <c r="H1447" s="1"/>
      <c r="I1447" s="1"/>
      <c r="K1447" s="1"/>
    </row>
    <row r="1448" spans="1:12">
      <c r="A1448" s="1"/>
      <c r="B1448" s="255"/>
      <c r="C1448" s="1"/>
      <c r="D1448" s="1"/>
      <c r="E1448" s="255"/>
      <c r="F1448" s="1"/>
      <c r="G1448" s="1"/>
      <c r="H1448" s="1"/>
      <c r="I1448" s="1"/>
      <c r="K1448" s="1"/>
      <c r="L1448" s="1"/>
    </row>
    <row r="1449" spans="1:12">
      <c r="A1449" s="1"/>
      <c r="B1449" s="255"/>
      <c r="C1449" s="1"/>
      <c r="D1449" s="1"/>
      <c r="E1449" s="255"/>
      <c r="F1449" s="1"/>
      <c r="G1449" s="1"/>
      <c r="H1449" s="1"/>
      <c r="I1449" s="1"/>
      <c r="K1449" s="1"/>
      <c r="L1449" s="1"/>
    </row>
    <row r="1450" spans="1:12">
      <c r="A1450" s="1"/>
      <c r="B1450" s="255"/>
      <c r="C1450" s="1"/>
      <c r="D1450" s="1"/>
      <c r="E1450" s="255"/>
      <c r="F1450" s="1"/>
      <c r="G1450" s="1"/>
      <c r="H1450" s="1"/>
      <c r="I1450" s="1"/>
      <c r="K1450" s="1"/>
      <c r="L1450" s="1"/>
    </row>
    <row r="1451" spans="1:12">
      <c r="A1451" s="1"/>
      <c r="B1451" s="255"/>
      <c r="C1451" s="1"/>
      <c r="D1451" s="1"/>
      <c r="E1451" s="255"/>
      <c r="F1451" s="1"/>
      <c r="G1451" s="1"/>
      <c r="H1451" s="1"/>
      <c r="I1451" s="1"/>
      <c r="K1451" s="1"/>
      <c r="L1451" s="1"/>
    </row>
    <row r="1452" spans="1:12">
      <c r="A1452" s="1"/>
      <c r="B1452" s="255"/>
      <c r="C1452" s="1"/>
      <c r="D1452" s="1"/>
      <c r="E1452" s="255"/>
      <c r="F1452" s="1"/>
      <c r="G1452" s="1"/>
      <c r="H1452" s="1"/>
      <c r="I1452" s="1"/>
      <c r="K1452" s="1"/>
      <c r="L1452" s="1"/>
    </row>
    <row r="1453" spans="1:12">
      <c r="A1453" s="1"/>
      <c r="B1453" s="255"/>
      <c r="C1453" s="1"/>
      <c r="D1453" s="1"/>
      <c r="E1453" s="255"/>
      <c r="F1453" s="1"/>
      <c r="G1453" s="1"/>
      <c r="H1453" s="1"/>
      <c r="I1453" s="1"/>
      <c r="K1453" s="1"/>
      <c r="L1453" s="1"/>
    </row>
    <row r="1454" spans="1:12">
      <c r="A1454" s="1"/>
      <c r="B1454" s="255"/>
      <c r="C1454" s="1"/>
      <c r="D1454" s="1"/>
      <c r="E1454" s="255"/>
      <c r="F1454" s="1"/>
      <c r="G1454" s="1"/>
      <c r="H1454" s="1"/>
      <c r="I1454" s="1"/>
      <c r="K1454" s="1"/>
    </row>
    <row r="1455" spans="1:12">
      <c r="A1455" s="1"/>
      <c r="B1455" s="255"/>
      <c r="C1455" s="1"/>
      <c r="D1455" s="1"/>
      <c r="E1455" s="255"/>
      <c r="F1455" s="1"/>
      <c r="G1455" s="1"/>
      <c r="H1455" s="1"/>
      <c r="I1455" s="1"/>
      <c r="K1455" s="1"/>
    </row>
    <row r="1456" spans="1:12">
      <c r="A1456" s="1"/>
      <c r="B1456" s="255"/>
      <c r="C1456" s="1"/>
      <c r="D1456" s="1"/>
      <c r="E1456" s="255"/>
      <c r="F1456" s="1"/>
      <c r="G1456" s="1"/>
      <c r="H1456" s="1"/>
      <c r="I1456" s="1"/>
      <c r="K1456" s="1"/>
      <c r="L1456" s="1"/>
    </row>
    <row r="1457" spans="1:12">
      <c r="A1457" s="1"/>
      <c r="B1457" s="255"/>
      <c r="C1457" s="1"/>
      <c r="D1457" s="1"/>
      <c r="E1457" s="255"/>
      <c r="F1457" s="1"/>
      <c r="G1457" s="1"/>
      <c r="H1457" s="1"/>
      <c r="I1457" s="1"/>
      <c r="K1457" s="1"/>
      <c r="L1457" s="1"/>
    </row>
    <row r="1458" spans="1:12">
      <c r="A1458" s="1"/>
      <c r="B1458" s="255"/>
      <c r="C1458" s="1"/>
      <c r="D1458" s="1"/>
      <c r="E1458" s="255"/>
      <c r="F1458" s="1"/>
      <c r="G1458" s="1"/>
      <c r="H1458" s="1"/>
      <c r="I1458" s="1"/>
      <c r="K1458" s="1"/>
      <c r="L1458" s="1"/>
    </row>
    <row r="1459" spans="1:12">
      <c r="A1459" s="1"/>
      <c r="B1459" s="255"/>
      <c r="C1459" s="1"/>
      <c r="D1459" s="1"/>
      <c r="E1459" s="255"/>
      <c r="F1459" s="1"/>
      <c r="G1459" s="1"/>
      <c r="H1459" s="1"/>
      <c r="I1459" s="1"/>
      <c r="K1459" s="1"/>
      <c r="L1459" s="1"/>
    </row>
    <row r="1460" spans="1:12">
      <c r="A1460" s="1"/>
      <c r="B1460" s="255"/>
      <c r="C1460" s="1"/>
      <c r="D1460" s="1"/>
      <c r="E1460" s="255"/>
      <c r="F1460" s="1"/>
      <c r="G1460" s="1"/>
      <c r="H1460" s="1"/>
      <c r="I1460" s="1"/>
      <c r="K1460" s="1"/>
    </row>
    <row r="1461" spans="1:12">
      <c r="A1461" s="1"/>
      <c r="B1461" s="255"/>
      <c r="C1461" s="1"/>
      <c r="D1461" s="1"/>
      <c r="E1461" s="255"/>
      <c r="F1461" s="1"/>
      <c r="G1461" s="1"/>
      <c r="H1461" s="1"/>
      <c r="I1461" s="1"/>
      <c r="K1461" s="1"/>
    </row>
    <row r="1462" spans="1:12">
      <c r="A1462" s="1"/>
      <c r="B1462" s="255"/>
      <c r="C1462" s="1"/>
      <c r="D1462" s="1"/>
      <c r="E1462" s="255"/>
      <c r="F1462" s="1"/>
      <c r="G1462" s="1"/>
      <c r="H1462" s="1"/>
      <c r="I1462" s="1"/>
      <c r="K1462" s="1"/>
    </row>
    <row r="1463" spans="1:12">
      <c r="A1463" s="1"/>
      <c r="B1463" s="255"/>
      <c r="C1463" s="1"/>
      <c r="D1463" s="1"/>
      <c r="E1463" s="255"/>
      <c r="F1463" s="1"/>
      <c r="G1463" s="1"/>
      <c r="H1463" s="1"/>
      <c r="I1463" s="1"/>
      <c r="K1463" s="1"/>
    </row>
    <row r="1464" spans="1:12">
      <c r="A1464" s="1"/>
      <c r="B1464" s="255"/>
      <c r="C1464" s="1"/>
      <c r="D1464" s="1"/>
      <c r="E1464" s="255"/>
      <c r="F1464" s="1"/>
      <c r="G1464" s="1"/>
      <c r="H1464" s="1"/>
      <c r="I1464" s="1"/>
      <c r="K1464" s="1"/>
      <c r="L1464" s="1"/>
    </row>
    <row r="1465" spans="1:12">
      <c r="A1465" s="1"/>
      <c r="B1465" s="255"/>
      <c r="C1465" s="1"/>
      <c r="D1465" s="1"/>
      <c r="E1465" s="255"/>
      <c r="F1465" s="1"/>
      <c r="G1465" s="1"/>
      <c r="H1465" s="1"/>
      <c r="I1465" s="1"/>
      <c r="K1465" s="1"/>
      <c r="L1465" s="1"/>
    </row>
    <row r="1466" spans="1:12">
      <c r="A1466" s="1"/>
      <c r="B1466" s="255"/>
      <c r="C1466" s="1"/>
      <c r="D1466" s="1"/>
      <c r="E1466" s="255"/>
      <c r="F1466" s="1"/>
      <c r="G1466" s="1"/>
      <c r="H1466" s="1"/>
      <c r="I1466" s="1"/>
      <c r="K1466" s="1"/>
    </row>
    <row r="1467" spans="1:12">
      <c r="A1467" s="1"/>
      <c r="B1467" s="255"/>
      <c r="C1467" s="1"/>
      <c r="D1467" s="1"/>
      <c r="E1467" s="255"/>
      <c r="F1467" s="1"/>
      <c r="G1467" s="1"/>
      <c r="H1467" s="1"/>
      <c r="I1467" s="1"/>
      <c r="K1467" s="1"/>
    </row>
    <row r="1468" spans="1:12">
      <c r="A1468" s="1"/>
      <c r="B1468" s="255"/>
      <c r="C1468" s="1"/>
      <c r="D1468" s="1"/>
      <c r="E1468" s="255"/>
      <c r="F1468" s="1"/>
      <c r="G1468" s="1"/>
      <c r="H1468" s="1"/>
      <c r="I1468" s="1"/>
      <c r="K1468" s="1"/>
      <c r="L1468" s="1"/>
    </row>
    <row r="1469" spans="1:12">
      <c r="A1469" s="1"/>
      <c r="B1469" s="255"/>
      <c r="C1469" s="1"/>
      <c r="D1469" s="1"/>
      <c r="E1469" s="255"/>
      <c r="F1469" s="1"/>
      <c r="G1469" s="1"/>
      <c r="H1469" s="1"/>
      <c r="I1469" s="1"/>
      <c r="K1469" s="1"/>
      <c r="L1469" s="1"/>
    </row>
    <row r="1470" spans="1:12">
      <c r="A1470" s="1"/>
      <c r="B1470" s="255"/>
      <c r="C1470" s="1"/>
      <c r="D1470" s="1"/>
      <c r="E1470" s="255"/>
      <c r="F1470" s="1"/>
      <c r="G1470" s="1"/>
      <c r="H1470" s="1"/>
      <c r="I1470" s="1"/>
      <c r="K1470" s="1"/>
      <c r="L1470" s="1"/>
    </row>
    <row r="1471" spans="1:12">
      <c r="A1471" s="1"/>
      <c r="B1471" s="255"/>
      <c r="C1471" s="1"/>
      <c r="D1471" s="1"/>
      <c r="E1471" s="255"/>
      <c r="F1471" s="1"/>
      <c r="G1471" s="1"/>
      <c r="H1471" s="1"/>
      <c r="I1471" s="1"/>
      <c r="K1471" s="1"/>
      <c r="L1471" s="1"/>
    </row>
    <row r="1472" spans="1:12">
      <c r="A1472" s="1"/>
      <c r="B1472" s="255"/>
      <c r="C1472" s="1"/>
      <c r="D1472" s="1"/>
      <c r="E1472" s="255"/>
      <c r="F1472" s="1"/>
      <c r="G1472" s="1"/>
      <c r="H1472" s="1"/>
      <c r="I1472" s="1"/>
      <c r="K1472" s="1"/>
      <c r="L1472" s="1"/>
    </row>
    <row r="1473" spans="1:12">
      <c r="A1473" s="1"/>
      <c r="B1473" s="255"/>
      <c r="C1473" s="1"/>
      <c r="D1473" s="1"/>
      <c r="E1473" s="255"/>
      <c r="F1473" s="1"/>
      <c r="G1473" s="1"/>
      <c r="H1473" s="1"/>
      <c r="I1473" s="1"/>
      <c r="K1473" s="1"/>
      <c r="L1473" s="1"/>
    </row>
    <row r="1474" spans="1:12">
      <c r="A1474" s="1"/>
      <c r="B1474" s="255"/>
      <c r="C1474" s="1"/>
      <c r="D1474" s="1"/>
      <c r="E1474" s="255"/>
      <c r="F1474" s="1"/>
      <c r="G1474" s="1"/>
      <c r="H1474" s="1"/>
      <c r="I1474" s="1"/>
      <c r="K1474" s="1"/>
      <c r="L1474" s="1"/>
    </row>
    <row r="1475" spans="1:12">
      <c r="A1475" s="1"/>
      <c r="B1475" s="255"/>
      <c r="C1475" s="1"/>
      <c r="D1475" s="1"/>
      <c r="E1475" s="255"/>
      <c r="F1475" s="1"/>
      <c r="G1475" s="1"/>
      <c r="H1475" s="1"/>
      <c r="I1475" s="1"/>
      <c r="K1475" s="1"/>
      <c r="L1475" s="1"/>
    </row>
    <row r="1476" spans="1:12">
      <c r="A1476" s="1"/>
      <c r="B1476" s="255"/>
      <c r="C1476" s="1"/>
      <c r="D1476" s="1"/>
      <c r="E1476" s="255"/>
      <c r="F1476" s="1"/>
      <c r="G1476" s="1"/>
      <c r="H1476" s="1"/>
      <c r="I1476" s="1"/>
      <c r="K1476" s="1"/>
      <c r="L1476" s="1"/>
    </row>
    <row r="1477" spans="1:12">
      <c r="A1477" s="1"/>
      <c r="B1477" s="255"/>
      <c r="C1477" s="1"/>
      <c r="D1477" s="1"/>
      <c r="E1477" s="255"/>
      <c r="F1477" s="1"/>
      <c r="G1477" s="1"/>
      <c r="H1477" s="1"/>
      <c r="I1477" s="1"/>
      <c r="K1477" s="1"/>
      <c r="L1477" s="1"/>
    </row>
    <row r="1478" spans="1:12">
      <c r="A1478" s="1"/>
      <c r="B1478" s="255"/>
      <c r="C1478" s="1"/>
      <c r="D1478" s="1"/>
      <c r="E1478" s="255"/>
      <c r="F1478" s="1"/>
      <c r="G1478" s="1"/>
      <c r="H1478" s="1"/>
      <c r="I1478" s="1"/>
      <c r="K1478" s="1"/>
    </row>
    <row r="1479" spans="1:12">
      <c r="A1479" s="1"/>
      <c r="B1479" s="255"/>
      <c r="C1479" s="1"/>
      <c r="D1479" s="1"/>
      <c r="E1479" s="255"/>
      <c r="F1479" s="1"/>
      <c r="G1479" s="1"/>
      <c r="H1479" s="1"/>
      <c r="I1479" s="1"/>
      <c r="K1479" s="1"/>
    </row>
    <row r="1480" spans="1:12">
      <c r="A1480" s="1"/>
      <c r="B1480" s="255"/>
      <c r="C1480" s="1"/>
      <c r="D1480" s="1"/>
      <c r="E1480" s="255"/>
      <c r="F1480" s="1"/>
      <c r="G1480" s="1"/>
      <c r="H1480" s="1"/>
      <c r="I1480" s="1"/>
      <c r="K1480" s="1"/>
      <c r="L1480" s="1"/>
    </row>
    <row r="1481" spans="1:12">
      <c r="A1481" s="1"/>
      <c r="B1481" s="255"/>
      <c r="C1481" s="1"/>
      <c r="D1481" s="1"/>
      <c r="E1481" s="255"/>
      <c r="F1481" s="1"/>
      <c r="G1481" s="1"/>
      <c r="H1481" s="1"/>
      <c r="I1481" s="1"/>
      <c r="K1481" s="1"/>
      <c r="L1481" s="1"/>
    </row>
    <row r="1482" spans="1:12">
      <c r="A1482" s="1"/>
      <c r="B1482" s="255"/>
      <c r="C1482" s="1"/>
      <c r="D1482" s="1"/>
      <c r="E1482" s="255"/>
      <c r="F1482" s="1"/>
      <c r="G1482" s="1"/>
      <c r="H1482" s="1"/>
      <c r="I1482" s="1"/>
      <c r="K1482" s="1"/>
      <c r="L1482" s="1"/>
    </row>
    <row r="1483" spans="1:12">
      <c r="A1483" s="1"/>
      <c r="B1483" s="255"/>
      <c r="C1483" s="1"/>
      <c r="D1483" s="1"/>
      <c r="E1483" s="255"/>
      <c r="F1483" s="1"/>
      <c r="G1483" s="1"/>
      <c r="H1483" s="1"/>
      <c r="I1483" s="1"/>
      <c r="K1483" s="1"/>
      <c r="L1483" s="1"/>
    </row>
    <row r="1484" spans="1:12">
      <c r="A1484" s="1"/>
      <c r="B1484" s="255"/>
      <c r="C1484" s="1"/>
      <c r="D1484" s="1"/>
      <c r="E1484" s="255"/>
      <c r="F1484" s="1"/>
      <c r="G1484" s="1"/>
      <c r="H1484" s="1"/>
      <c r="I1484" s="1"/>
      <c r="K1484" s="1"/>
      <c r="L1484" s="1"/>
    </row>
    <row r="1485" spans="1:12">
      <c r="A1485" s="1"/>
      <c r="B1485" s="255"/>
      <c r="C1485" s="1"/>
      <c r="D1485" s="1"/>
      <c r="E1485" s="255"/>
      <c r="F1485" s="1"/>
      <c r="G1485" s="1"/>
      <c r="H1485" s="1"/>
      <c r="I1485" s="1"/>
      <c r="K1485" s="1"/>
      <c r="L1485" s="1"/>
    </row>
    <row r="1486" spans="1:12">
      <c r="A1486" s="1"/>
      <c r="B1486" s="255"/>
      <c r="C1486" s="1"/>
      <c r="D1486" s="1"/>
      <c r="E1486" s="255"/>
      <c r="F1486" s="1"/>
      <c r="G1486" s="1"/>
      <c r="H1486" s="1"/>
      <c r="I1486" s="1"/>
      <c r="K1486" s="1"/>
      <c r="L1486" s="1"/>
    </row>
    <row r="1487" spans="1:12">
      <c r="A1487" s="1"/>
      <c r="B1487" s="255"/>
      <c r="C1487" s="1"/>
      <c r="D1487" s="1"/>
      <c r="E1487" s="255"/>
      <c r="F1487" s="1"/>
      <c r="G1487" s="1"/>
      <c r="H1487" s="1"/>
      <c r="I1487" s="1"/>
      <c r="K1487" s="1"/>
      <c r="L1487" s="1"/>
    </row>
    <row r="1488" spans="1:12">
      <c r="A1488" s="1"/>
      <c r="B1488" s="255"/>
      <c r="C1488" s="1"/>
      <c r="D1488" s="1"/>
      <c r="E1488" s="255"/>
      <c r="F1488" s="1"/>
      <c r="G1488" s="1"/>
      <c r="H1488" s="1"/>
      <c r="I1488" s="1"/>
      <c r="K1488" s="1"/>
      <c r="L1488" s="1"/>
    </row>
    <row r="1489" spans="1:12">
      <c r="A1489" s="1"/>
      <c r="B1489" s="255"/>
      <c r="C1489" s="1"/>
      <c r="D1489" s="1"/>
      <c r="E1489" s="255"/>
      <c r="F1489" s="1"/>
      <c r="G1489" s="1"/>
      <c r="H1489" s="1"/>
      <c r="I1489" s="1"/>
      <c r="K1489" s="1"/>
      <c r="L1489" s="1"/>
    </row>
    <row r="1490" spans="1:12">
      <c r="A1490" s="1"/>
      <c r="B1490" s="255"/>
      <c r="C1490" s="1"/>
      <c r="D1490" s="1"/>
      <c r="E1490" s="255"/>
      <c r="F1490" s="1"/>
      <c r="G1490" s="1"/>
      <c r="H1490" s="1"/>
      <c r="I1490" s="1"/>
      <c r="K1490" s="1"/>
      <c r="L1490" s="1"/>
    </row>
    <row r="1491" spans="1:12">
      <c r="A1491" s="1"/>
      <c r="B1491" s="255"/>
      <c r="C1491" s="1"/>
      <c r="D1491" s="1"/>
      <c r="E1491" s="255"/>
      <c r="F1491" s="1"/>
      <c r="G1491" s="1"/>
      <c r="H1491" s="1"/>
      <c r="I1491" s="1"/>
      <c r="K1491" s="1"/>
      <c r="L1491" s="1"/>
    </row>
    <row r="1492" spans="1:12">
      <c r="A1492" s="1"/>
      <c r="B1492" s="255"/>
      <c r="C1492" s="1"/>
      <c r="D1492" s="1"/>
      <c r="E1492" s="255"/>
      <c r="F1492" s="1"/>
      <c r="G1492" s="1"/>
      <c r="H1492" s="1"/>
      <c r="I1492" s="1"/>
      <c r="K1492" s="1"/>
      <c r="L1492" s="1"/>
    </row>
    <row r="1493" spans="1:12">
      <c r="A1493" s="1"/>
      <c r="B1493" s="255"/>
      <c r="C1493" s="1"/>
      <c r="D1493" s="1"/>
      <c r="E1493" s="255"/>
      <c r="F1493" s="1"/>
      <c r="G1493" s="1"/>
      <c r="H1493" s="1"/>
      <c r="I1493" s="1"/>
      <c r="K1493" s="1"/>
      <c r="L1493" s="1"/>
    </row>
    <row r="1494" spans="1:12">
      <c r="A1494" s="1"/>
      <c r="B1494" s="255"/>
      <c r="C1494" s="1"/>
      <c r="D1494" s="1"/>
      <c r="E1494" s="255"/>
      <c r="F1494" s="1"/>
      <c r="G1494" s="1"/>
      <c r="H1494" s="1"/>
      <c r="I1494" s="1"/>
      <c r="K1494" s="1"/>
      <c r="L1494" s="1"/>
    </row>
    <row r="1495" spans="1:12">
      <c r="A1495" s="1"/>
      <c r="B1495" s="255"/>
      <c r="C1495" s="1"/>
      <c r="D1495" s="1"/>
      <c r="E1495" s="255"/>
      <c r="F1495" s="1"/>
      <c r="G1495" s="1"/>
      <c r="H1495" s="1"/>
      <c r="I1495" s="1"/>
      <c r="K1495" s="1"/>
      <c r="L1495" s="1"/>
    </row>
    <row r="1496" spans="1:12">
      <c r="A1496" s="1"/>
      <c r="B1496" s="255"/>
      <c r="C1496" s="1"/>
      <c r="D1496" s="1"/>
      <c r="E1496" s="255"/>
      <c r="F1496" s="1"/>
      <c r="G1496" s="1"/>
      <c r="H1496" s="1"/>
      <c r="I1496" s="1"/>
      <c r="K1496" s="1"/>
    </row>
    <row r="1497" spans="1:12">
      <c r="A1497" s="1"/>
      <c r="B1497" s="255"/>
      <c r="C1497" s="1"/>
      <c r="D1497" s="1"/>
      <c r="E1497" s="255"/>
      <c r="F1497" s="1"/>
      <c r="G1497" s="1"/>
      <c r="H1497" s="1"/>
      <c r="I1497" s="1"/>
      <c r="K1497" s="1"/>
    </row>
    <row r="1498" spans="1:12">
      <c r="A1498" s="1"/>
      <c r="B1498" s="255"/>
      <c r="C1498" s="1"/>
      <c r="D1498" s="1"/>
      <c r="E1498" s="255"/>
      <c r="F1498" s="1"/>
      <c r="G1498" s="1"/>
      <c r="H1498" s="1"/>
      <c r="I1498" s="1"/>
      <c r="K1498" s="1"/>
      <c r="L1498" s="1"/>
    </row>
    <row r="1499" spans="1:12">
      <c r="A1499" s="1"/>
      <c r="B1499" s="255"/>
      <c r="C1499" s="1"/>
      <c r="D1499" s="1"/>
      <c r="E1499" s="255"/>
      <c r="F1499" s="1"/>
      <c r="G1499" s="1"/>
      <c r="H1499" s="1"/>
      <c r="I1499" s="1"/>
      <c r="K1499" s="1"/>
      <c r="L1499" s="1"/>
    </row>
    <row r="1500" spans="1:12">
      <c r="A1500" s="1"/>
      <c r="B1500" s="255"/>
      <c r="C1500" s="1"/>
      <c r="D1500" s="1"/>
      <c r="E1500" s="255"/>
      <c r="F1500" s="1"/>
      <c r="G1500" s="1"/>
      <c r="H1500" s="1"/>
      <c r="I1500" s="1"/>
      <c r="K1500" s="1"/>
      <c r="L1500" s="1"/>
    </row>
    <row r="1501" spans="1:12">
      <c r="A1501" s="1"/>
      <c r="B1501" s="255"/>
      <c r="C1501" s="1"/>
      <c r="D1501" s="1"/>
      <c r="E1501" s="255"/>
      <c r="F1501" s="1"/>
      <c r="G1501" s="1"/>
      <c r="H1501" s="1"/>
      <c r="I1501" s="1"/>
      <c r="K1501" s="1"/>
      <c r="L1501" s="1"/>
    </row>
    <row r="1502" spans="1:12">
      <c r="A1502" s="1"/>
      <c r="B1502" s="255"/>
      <c r="C1502" s="1"/>
      <c r="D1502" s="1"/>
      <c r="E1502" s="255"/>
      <c r="F1502" s="1"/>
      <c r="G1502" s="1"/>
      <c r="H1502" s="1"/>
      <c r="I1502" s="1"/>
      <c r="K1502" s="1"/>
      <c r="L1502" s="1"/>
    </row>
    <row r="1503" spans="1:12">
      <c r="A1503" s="1"/>
      <c r="B1503" s="255"/>
      <c r="C1503" s="1"/>
      <c r="D1503" s="1"/>
      <c r="E1503" s="255"/>
      <c r="F1503" s="1"/>
      <c r="G1503" s="1"/>
      <c r="H1503" s="1"/>
      <c r="I1503" s="1"/>
      <c r="K1503" s="1"/>
      <c r="L1503" s="1"/>
    </row>
    <row r="1504" spans="1:12">
      <c r="A1504" s="1"/>
      <c r="B1504" s="255"/>
      <c r="C1504" s="1"/>
      <c r="D1504" s="1"/>
      <c r="E1504" s="255"/>
      <c r="F1504" s="1"/>
      <c r="G1504" s="1"/>
      <c r="H1504" s="1"/>
      <c r="I1504" s="1"/>
      <c r="K1504" s="1"/>
      <c r="L1504" s="1"/>
    </row>
    <row r="1505" spans="1:12">
      <c r="A1505" s="1"/>
      <c r="B1505" s="255"/>
      <c r="C1505" s="1"/>
      <c r="D1505" s="1"/>
      <c r="E1505" s="255"/>
      <c r="F1505" s="1"/>
      <c r="G1505" s="1"/>
      <c r="H1505" s="1"/>
      <c r="I1505" s="1"/>
      <c r="K1505" s="1"/>
      <c r="L1505" s="1"/>
    </row>
    <row r="1506" spans="1:12">
      <c r="A1506" s="1"/>
      <c r="B1506" s="255"/>
      <c r="C1506" s="1"/>
      <c r="D1506" s="1"/>
      <c r="E1506" s="255"/>
      <c r="F1506" s="1"/>
      <c r="G1506" s="1"/>
      <c r="H1506" s="1"/>
      <c r="I1506" s="1"/>
      <c r="K1506" s="1"/>
      <c r="L1506" s="1"/>
    </row>
    <row r="1507" spans="1:12">
      <c r="A1507" s="1"/>
      <c r="B1507" s="255"/>
      <c r="C1507" s="1"/>
      <c r="D1507" s="1"/>
      <c r="E1507" s="255"/>
      <c r="F1507" s="1"/>
      <c r="G1507" s="1"/>
      <c r="H1507" s="1"/>
      <c r="I1507" s="1"/>
      <c r="K1507" s="1"/>
      <c r="L1507" s="1"/>
    </row>
    <row r="1508" spans="1:12">
      <c r="A1508" s="1"/>
      <c r="B1508" s="255"/>
      <c r="C1508" s="1"/>
      <c r="D1508" s="1"/>
      <c r="E1508" s="255"/>
      <c r="F1508" s="1"/>
      <c r="G1508" s="1"/>
      <c r="H1508" s="1"/>
      <c r="I1508" s="1"/>
      <c r="K1508" s="1"/>
    </row>
    <row r="1509" spans="1:12">
      <c r="A1509" s="1"/>
      <c r="B1509" s="255"/>
      <c r="C1509" s="1"/>
      <c r="D1509" s="1"/>
      <c r="E1509" s="255"/>
      <c r="F1509" s="1"/>
      <c r="G1509" s="1"/>
      <c r="H1509" s="1"/>
      <c r="I1509" s="1"/>
      <c r="K1509" s="1"/>
    </row>
    <row r="1510" spans="1:12">
      <c r="A1510" s="1"/>
      <c r="B1510" s="255"/>
      <c r="C1510" s="1"/>
      <c r="D1510" s="1"/>
      <c r="E1510" s="255"/>
      <c r="F1510" s="1"/>
      <c r="G1510" s="1"/>
      <c r="H1510" s="1"/>
      <c r="I1510" s="1"/>
      <c r="K1510" s="1"/>
    </row>
    <row r="1511" spans="1:12">
      <c r="A1511" s="1"/>
      <c r="B1511" s="255"/>
      <c r="C1511" s="1"/>
      <c r="D1511" s="1"/>
      <c r="E1511" s="255"/>
      <c r="F1511" s="1"/>
      <c r="G1511" s="1"/>
      <c r="H1511" s="1"/>
      <c r="I1511" s="1"/>
      <c r="K1511" s="1"/>
    </row>
    <row r="1512" spans="1:12">
      <c r="A1512" s="1"/>
      <c r="B1512" s="255"/>
      <c r="C1512" s="1"/>
      <c r="D1512" s="1"/>
      <c r="E1512" s="255"/>
      <c r="F1512" s="1"/>
      <c r="G1512" s="1"/>
      <c r="H1512" s="1"/>
      <c r="I1512" s="1"/>
      <c r="K1512" s="1"/>
      <c r="L1512" s="1"/>
    </row>
    <row r="1513" spans="1:12">
      <c r="A1513" s="1"/>
      <c r="B1513" s="255"/>
      <c r="C1513" s="1"/>
      <c r="D1513" s="1"/>
      <c r="E1513" s="255"/>
      <c r="F1513" s="1"/>
      <c r="G1513" s="1"/>
      <c r="H1513" s="1"/>
      <c r="I1513" s="1"/>
      <c r="K1513" s="1"/>
      <c r="L1513" s="1"/>
    </row>
    <row r="1514" spans="1:12">
      <c r="A1514" s="1"/>
      <c r="B1514" s="255"/>
      <c r="C1514" s="1"/>
      <c r="D1514" s="1"/>
      <c r="E1514" s="255"/>
      <c r="F1514" s="1"/>
      <c r="G1514" s="1"/>
      <c r="H1514" s="1"/>
      <c r="I1514" s="1"/>
      <c r="K1514" s="1"/>
      <c r="L1514" s="1"/>
    </row>
    <row r="1515" spans="1:12">
      <c r="A1515" s="1"/>
      <c r="B1515" s="255"/>
      <c r="C1515" s="1"/>
      <c r="D1515" s="1"/>
      <c r="E1515" s="255"/>
      <c r="F1515" s="1"/>
      <c r="G1515" s="1"/>
      <c r="H1515" s="1"/>
      <c r="I1515" s="1"/>
      <c r="K1515" s="1"/>
      <c r="L1515" s="1"/>
    </row>
    <row r="1516" spans="1:12">
      <c r="A1516" s="1"/>
      <c r="B1516" s="255"/>
      <c r="C1516" s="1"/>
      <c r="D1516" s="1"/>
      <c r="E1516" s="255"/>
      <c r="F1516" s="1"/>
      <c r="G1516" s="1"/>
      <c r="H1516" s="1"/>
      <c r="I1516" s="1"/>
      <c r="K1516" s="1"/>
      <c r="L1516" s="1"/>
    </row>
    <row r="1517" spans="1:12">
      <c r="A1517" s="1"/>
      <c r="B1517" s="255"/>
      <c r="C1517" s="1"/>
      <c r="D1517" s="1"/>
      <c r="E1517" s="255"/>
      <c r="F1517" s="1"/>
      <c r="G1517" s="1"/>
      <c r="H1517" s="1"/>
      <c r="I1517" s="1"/>
      <c r="K1517" s="1"/>
      <c r="L1517" s="1"/>
    </row>
    <row r="1518" spans="1:12">
      <c r="A1518" s="1"/>
      <c r="B1518" s="255"/>
      <c r="C1518" s="1"/>
      <c r="D1518" s="1"/>
      <c r="E1518" s="255"/>
      <c r="F1518" s="1"/>
      <c r="G1518" s="1"/>
      <c r="H1518" s="1"/>
      <c r="I1518" s="1"/>
      <c r="K1518" s="1"/>
      <c r="L1518" s="1"/>
    </row>
    <row r="1519" spans="1:12">
      <c r="A1519" s="1"/>
      <c r="B1519" s="255"/>
      <c r="C1519" s="1"/>
      <c r="D1519" s="1"/>
      <c r="E1519" s="255"/>
      <c r="F1519" s="1"/>
      <c r="G1519" s="1"/>
      <c r="H1519" s="1"/>
      <c r="I1519" s="1"/>
      <c r="K1519" s="1"/>
      <c r="L1519" s="1"/>
    </row>
    <row r="1520" spans="1:12">
      <c r="A1520" s="1"/>
      <c r="B1520" s="255"/>
      <c r="C1520" s="1"/>
      <c r="D1520" s="1"/>
      <c r="E1520" s="255"/>
      <c r="F1520" s="1"/>
      <c r="G1520" s="1"/>
      <c r="H1520" s="1"/>
      <c r="I1520" s="1"/>
      <c r="K1520" s="1"/>
    </row>
    <row r="1521" spans="1:12">
      <c r="A1521" s="1"/>
      <c r="B1521" s="255"/>
      <c r="C1521" s="1"/>
      <c r="D1521" s="1"/>
      <c r="E1521" s="255"/>
      <c r="F1521" s="1"/>
      <c r="G1521" s="1"/>
      <c r="H1521" s="1"/>
      <c r="I1521" s="1"/>
      <c r="K1521" s="1"/>
    </row>
    <row r="1522" spans="1:12">
      <c r="A1522" s="1"/>
      <c r="B1522" s="255"/>
      <c r="C1522" s="1"/>
      <c r="D1522" s="1"/>
      <c r="E1522" s="255"/>
      <c r="F1522" s="1"/>
      <c r="G1522" s="1"/>
      <c r="H1522" s="1"/>
      <c r="I1522" s="1"/>
      <c r="K1522" s="1"/>
      <c r="L1522" s="1"/>
    </row>
    <row r="1523" spans="1:12">
      <c r="A1523" s="1"/>
      <c r="B1523" s="255"/>
      <c r="C1523" s="1"/>
      <c r="D1523" s="1"/>
      <c r="E1523" s="255"/>
      <c r="F1523" s="1"/>
      <c r="G1523" s="1"/>
      <c r="H1523" s="1"/>
      <c r="I1523" s="1"/>
      <c r="K1523" s="1"/>
      <c r="L1523" s="1"/>
    </row>
    <row r="1524" spans="1:12">
      <c r="A1524" s="1"/>
      <c r="B1524" s="255"/>
      <c r="C1524" s="1"/>
      <c r="D1524" s="1"/>
      <c r="E1524" s="255"/>
      <c r="F1524" s="1"/>
      <c r="G1524" s="1"/>
      <c r="H1524" s="1"/>
      <c r="I1524" s="1"/>
      <c r="K1524" s="1"/>
      <c r="L1524" s="1"/>
    </row>
    <row r="1525" spans="1:12">
      <c r="A1525" s="1"/>
      <c r="B1525" s="255"/>
      <c r="C1525" s="1"/>
      <c r="D1525" s="1"/>
      <c r="E1525" s="255"/>
      <c r="F1525" s="1"/>
      <c r="G1525" s="1"/>
      <c r="H1525" s="1"/>
      <c r="I1525" s="1"/>
      <c r="K1525" s="1"/>
      <c r="L1525" s="1"/>
    </row>
    <row r="1526" spans="1:12">
      <c r="A1526" s="1"/>
      <c r="B1526" s="255"/>
      <c r="C1526" s="1"/>
      <c r="D1526" s="1"/>
      <c r="E1526" s="255"/>
      <c r="F1526" s="1"/>
      <c r="G1526" s="1"/>
      <c r="H1526" s="1"/>
      <c r="I1526" s="1"/>
      <c r="K1526" s="1"/>
      <c r="L1526" s="1"/>
    </row>
    <row r="1527" spans="1:12">
      <c r="A1527" s="1"/>
      <c r="B1527" s="255"/>
      <c r="C1527" s="1"/>
      <c r="D1527" s="1"/>
      <c r="E1527" s="255"/>
      <c r="F1527" s="1"/>
      <c r="G1527" s="1"/>
      <c r="H1527" s="1"/>
      <c r="I1527" s="1"/>
      <c r="K1527" s="1"/>
      <c r="L1527" s="1"/>
    </row>
    <row r="1528" spans="1:12">
      <c r="A1528" s="1"/>
      <c r="B1528" s="255"/>
      <c r="C1528" s="1"/>
      <c r="D1528" s="1"/>
      <c r="E1528" s="255"/>
      <c r="F1528" s="1"/>
      <c r="G1528" s="1"/>
      <c r="H1528" s="1"/>
      <c r="I1528" s="1"/>
      <c r="K1528" s="1"/>
    </row>
    <row r="1529" spans="1:12">
      <c r="A1529" s="1"/>
      <c r="B1529" s="255"/>
      <c r="C1529" s="1"/>
      <c r="D1529" s="1"/>
      <c r="E1529" s="255"/>
      <c r="F1529" s="1"/>
      <c r="G1529" s="1"/>
      <c r="H1529" s="1"/>
      <c r="I1529" s="1"/>
      <c r="K1529" s="1"/>
    </row>
    <row r="1530" spans="1:12">
      <c r="A1530" s="1"/>
      <c r="B1530" s="255"/>
      <c r="C1530" s="1"/>
      <c r="D1530" s="1"/>
      <c r="E1530" s="255"/>
      <c r="F1530" s="1"/>
      <c r="G1530" s="1"/>
      <c r="H1530" s="1"/>
      <c r="I1530" s="1"/>
      <c r="K1530" s="1"/>
      <c r="L1530" s="1"/>
    </row>
    <row r="1531" spans="1:12">
      <c r="A1531" s="1"/>
      <c r="B1531" s="255"/>
      <c r="C1531" s="1"/>
      <c r="D1531" s="1"/>
      <c r="E1531" s="255"/>
      <c r="F1531" s="1"/>
      <c r="G1531" s="1"/>
      <c r="H1531" s="1"/>
      <c r="I1531" s="1"/>
      <c r="K1531" s="1"/>
      <c r="L1531" s="1"/>
    </row>
    <row r="1532" spans="1:12">
      <c r="A1532" s="1"/>
      <c r="B1532" s="255"/>
      <c r="C1532" s="1"/>
      <c r="D1532" s="1"/>
      <c r="E1532" s="255"/>
      <c r="F1532" s="1"/>
      <c r="G1532" s="1"/>
      <c r="H1532" s="1"/>
      <c r="I1532" s="1"/>
      <c r="K1532" s="1"/>
      <c r="L1532" s="1"/>
    </row>
    <row r="1533" spans="1:12">
      <c r="A1533" s="1"/>
      <c r="B1533" s="255"/>
      <c r="C1533" s="1"/>
      <c r="D1533" s="1"/>
      <c r="E1533" s="255"/>
      <c r="F1533" s="1"/>
      <c r="G1533" s="1"/>
      <c r="H1533" s="1"/>
      <c r="I1533" s="1"/>
      <c r="K1533" s="1"/>
      <c r="L1533" s="1"/>
    </row>
    <row r="1534" spans="1:12">
      <c r="A1534" s="1"/>
      <c r="B1534" s="255"/>
      <c r="C1534" s="1"/>
      <c r="D1534" s="1"/>
      <c r="E1534" s="255"/>
      <c r="F1534" s="1"/>
      <c r="G1534" s="1"/>
      <c r="H1534" s="1"/>
      <c r="I1534" s="1"/>
      <c r="K1534" s="1"/>
      <c r="L1534" s="1"/>
    </row>
    <row r="1535" spans="1:12">
      <c r="A1535" s="1"/>
      <c r="B1535" s="255"/>
      <c r="C1535" s="1"/>
      <c r="D1535" s="1"/>
      <c r="E1535" s="255"/>
      <c r="F1535" s="1"/>
      <c r="G1535" s="1"/>
      <c r="H1535" s="1"/>
      <c r="I1535" s="1"/>
      <c r="K1535" s="1"/>
      <c r="L1535" s="1"/>
    </row>
    <row r="1536" spans="1:12">
      <c r="A1536" s="1"/>
      <c r="B1536" s="255"/>
      <c r="C1536" s="1"/>
      <c r="D1536" s="1"/>
      <c r="E1536" s="255"/>
      <c r="F1536" s="1"/>
      <c r="G1536" s="1"/>
      <c r="H1536" s="1"/>
      <c r="I1536" s="1"/>
      <c r="K1536" s="1"/>
      <c r="L1536" s="1"/>
    </row>
    <row r="1537" spans="1:12">
      <c r="A1537" s="1"/>
      <c r="B1537" s="255"/>
      <c r="C1537" s="1"/>
      <c r="D1537" s="1"/>
      <c r="E1537" s="255"/>
      <c r="F1537" s="1"/>
      <c r="G1537" s="1"/>
      <c r="H1537" s="1"/>
      <c r="I1537" s="1"/>
      <c r="K1537" s="1"/>
      <c r="L1537" s="1"/>
    </row>
    <row r="1538" spans="1:12">
      <c r="A1538" s="1"/>
      <c r="B1538" s="255"/>
      <c r="C1538" s="1"/>
      <c r="D1538" s="1"/>
      <c r="E1538" s="255"/>
      <c r="F1538" s="1"/>
      <c r="G1538" s="1"/>
      <c r="H1538" s="1"/>
      <c r="I1538" s="1"/>
      <c r="K1538" s="1"/>
      <c r="L1538" s="1"/>
    </row>
    <row r="1539" spans="1:12">
      <c r="A1539" s="1"/>
      <c r="B1539" s="255"/>
      <c r="C1539" s="1"/>
      <c r="D1539" s="1"/>
      <c r="E1539" s="255"/>
      <c r="F1539" s="1"/>
      <c r="G1539" s="1"/>
      <c r="H1539" s="1"/>
      <c r="I1539" s="1"/>
      <c r="K1539" s="1"/>
      <c r="L1539" s="1"/>
    </row>
    <row r="1540" spans="1:12">
      <c r="A1540" s="1"/>
      <c r="B1540" s="255"/>
      <c r="C1540" s="1"/>
      <c r="D1540" s="1"/>
      <c r="E1540" s="255"/>
      <c r="F1540" s="1"/>
      <c r="G1540" s="1"/>
      <c r="H1540" s="1"/>
      <c r="I1540" s="1"/>
      <c r="K1540" s="1"/>
      <c r="L1540" s="1"/>
    </row>
    <row r="1541" spans="1:12">
      <c r="A1541" s="1"/>
      <c r="B1541" s="255"/>
      <c r="C1541" s="1"/>
      <c r="D1541" s="1"/>
      <c r="E1541" s="255"/>
      <c r="F1541" s="1"/>
      <c r="G1541" s="1"/>
      <c r="H1541" s="1"/>
      <c r="I1541" s="1"/>
      <c r="K1541" s="1"/>
      <c r="L1541" s="1"/>
    </row>
    <row r="1542" spans="1:12">
      <c r="A1542" s="1"/>
      <c r="B1542" s="255"/>
      <c r="C1542" s="1"/>
      <c r="D1542" s="1"/>
      <c r="E1542" s="255"/>
      <c r="F1542" s="1"/>
      <c r="G1542" s="1"/>
      <c r="H1542" s="1"/>
      <c r="I1542" s="1"/>
      <c r="K1542" s="1"/>
      <c r="L1542" s="1"/>
    </row>
    <row r="1543" spans="1:12">
      <c r="A1543" s="1"/>
      <c r="B1543" s="255"/>
      <c r="C1543" s="1"/>
      <c r="D1543" s="1"/>
      <c r="E1543" s="255"/>
      <c r="F1543" s="1"/>
      <c r="G1543" s="1"/>
      <c r="H1543" s="1"/>
      <c r="I1543" s="1"/>
      <c r="K1543" s="1"/>
      <c r="L1543" s="1"/>
    </row>
    <row r="1544" spans="1:12">
      <c r="A1544" s="1"/>
      <c r="B1544" s="255"/>
      <c r="C1544" s="1"/>
      <c r="D1544" s="1"/>
      <c r="E1544" s="255"/>
      <c r="F1544" s="1"/>
      <c r="G1544" s="1"/>
      <c r="H1544" s="1"/>
      <c r="I1544" s="1"/>
      <c r="K1544" s="1"/>
      <c r="L1544" s="1"/>
    </row>
    <row r="1545" spans="1:12">
      <c r="A1545" s="1"/>
      <c r="B1545" s="255"/>
      <c r="C1545" s="1"/>
      <c r="D1545" s="1"/>
      <c r="E1545" s="255"/>
      <c r="F1545" s="1"/>
      <c r="G1545" s="1"/>
      <c r="H1545" s="1"/>
      <c r="I1545" s="1"/>
      <c r="K1545" s="1"/>
      <c r="L1545" s="1"/>
    </row>
    <row r="1546" spans="1:12">
      <c r="A1546" s="1"/>
      <c r="B1546" s="255"/>
      <c r="C1546" s="1"/>
      <c r="D1546" s="1"/>
      <c r="E1546" s="255"/>
      <c r="F1546" s="1"/>
      <c r="G1546" s="1"/>
      <c r="H1546" s="1"/>
      <c r="I1546" s="1"/>
      <c r="K1546" s="1"/>
    </row>
    <row r="1547" spans="1:12">
      <c r="A1547" s="1"/>
      <c r="B1547" s="255"/>
      <c r="C1547" s="1"/>
      <c r="D1547" s="1"/>
      <c r="E1547" s="255"/>
      <c r="F1547" s="1"/>
      <c r="G1547" s="1"/>
      <c r="H1547" s="1"/>
      <c r="I1547" s="1"/>
      <c r="K1547" s="1"/>
    </row>
    <row r="1548" spans="1:12">
      <c r="A1548" s="1"/>
      <c r="B1548" s="255"/>
      <c r="C1548" s="1"/>
      <c r="D1548" s="1"/>
      <c r="E1548" s="255"/>
      <c r="F1548" s="1"/>
      <c r="G1548" s="1"/>
      <c r="H1548" s="1"/>
      <c r="I1548" s="1"/>
      <c r="K1548" s="1"/>
      <c r="L1548" s="1"/>
    </row>
    <row r="1549" spans="1:12">
      <c r="A1549" s="1"/>
      <c r="B1549" s="255"/>
      <c r="C1549" s="1"/>
      <c r="D1549" s="1"/>
      <c r="E1549" s="255"/>
      <c r="F1549" s="1"/>
      <c r="G1549" s="1"/>
      <c r="H1549" s="1"/>
      <c r="I1549" s="1"/>
      <c r="K1549" s="1"/>
      <c r="L1549" s="1"/>
    </row>
    <row r="1550" spans="1:12">
      <c r="A1550" s="1"/>
      <c r="B1550" s="255"/>
      <c r="C1550" s="1"/>
      <c r="D1550" s="1"/>
      <c r="E1550" s="255"/>
      <c r="F1550" s="1"/>
      <c r="G1550" s="1"/>
      <c r="H1550" s="1"/>
      <c r="I1550" s="1"/>
      <c r="K1550" s="1"/>
      <c r="L1550" s="1"/>
    </row>
    <row r="1551" spans="1:12">
      <c r="A1551" s="1"/>
      <c r="B1551" s="255"/>
      <c r="C1551" s="1"/>
      <c r="D1551" s="1"/>
      <c r="E1551" s="255"/>
      <c r="F1551" s="1"/>
      <c r="G1551" s="1"/>
      <c r="H1551" s="1"/>
      <c r="I1551" s="1"/>
      <c r="K1551" s="1"/>
      <c r="L1551" s="1"/>
    </row>
    <row r="1552" spans="1:12">
      <c r="A1552" s="1"/>
      <c r="B1552" s="255"/>
      <c r="C1552" s="1"/>
      <c r="D1552" s="1"/>
      <c r="E1552" s="255"/>
      <c r="F1552" s="1"/>
      <c r="G1552" s="1"/>
      <c r="H1552" s="1"/>
      <c r="I1552" s="1"/>
      <c r="K1552" s="1"/>
      <c r="L1552" s="1"/>
    </row>
    <row r="1553" spans="1:12">
      <c r="A1553" s="1"/>
      <c r="B1553" s="255"/>
      <c r="C1553" s="1"/>
      <c r="D1553" s="1"/>
      <c r="E1553" s="255"/>
      <c r="F1553" s="1"/>
      <c r="G1553" s="1"/>
      <c r="H1553" s="1"/>
      <c r="I1553" s="1"/>
      <c r="K1553" s="1"/>
      <c r="L1553" s="1"/>
    </row>
    <row r="1554" spans="1:12">
      <c r="A1554" s="1"/>
      <c r="B1554" s="255"/>
      <c r="C1554" s="1"/>
      <c r="D1554" s="1"/>
      <c r="E1554" s="255"/>
      <c r="F1554" s="1"/>
      <c r="G1554" s="1"/>
      <c r="H1554" s="1"/>
      <c r="I1554" s="1"/>
      <c r="K1554" s="1"/>
    </row>
    <row r="1555" spans="1:12">
      <c r="A1555" s="1"/>
      <c r="B1555" s="255"/>
      <c r="C1555" s="1"/>
      <c r="D1555" s="1"/>
      <c r="E1555" s="255"/>
      <c r="F1555" s="1"/>
      <c r="G1555" s="1"/>
      <c r="H1555" s="1"/>
      <c r="I1555" s="1"/>
      <c r="K1555" s="1"/>
    </row>
    <row r="1556" spans="1:12">
      <c r="A1556" s="1"/>
      <c r="B1556" s="255"/>
      <c r="C1556" s="1"/>
      <c r="D1556" s="1"/>
      <c r="E1556" s="255"/>
      <c r="F1556" s="1"/>
      <c r="G1556" s="1"/>
      <c r="H1556" s="1"/>
      <c r="I1556" s="1"/>
      <c r="K1556" s="1"/>
      <c r="L1556" s="1"/>
    </row>
    <row r="1557" spans="1:12">
      <c r="A1557" s="1"/>
      <c r="B1557" s="255"/>
      <c r="C1557" s="1"/>
      <c r="D1557" s="1"/>
      <c r="E1557" s="255"/>
      <c r="F1557" s="1"/>
      <c r="G1557" s="1"/>
      <c r="H1557" s="1"/>
      <c r="I1557" s="1"/>
      <c r="K1557" s="1"/>
      <c r="L1557" s="1"/>
    </row>
    <row r="1558" spans="1:12">
      <c r="A1558" s="1"/>
      <c r="B1558" s="255"/>
      <c r="C1558" s="1"/>
      <c r="D1558" s="1"/>
      <c r="E1558" s="255"/>
      <c r="F1558" s="1"/>
      <c r="G1558" s="1"/>
      <c r="H1558" s="1"/>
      <c r="I1558" s="1"/>
      <c r="K1558" s="1"/>
      <c r="L1558" s="1"/>
    </row>
    <row r="1559" spans="1:12">
      <c r="A1559" s="1"/>
      <c r="B1559" s="255"/>
      <c r="C1559" s="1"/>
      <c r="D1559" s="1"/>
      <c r="E1559" s="255"/>
      <c r="F1559" s="1"/>
      <c r="G1559" s="1"/>
      <c r="H1559" s="1"/>
      <c r="I1559" s="1"/>
      <c r="K1559" s="1"/>
      <c r="L1559" s="1"/>
    </row>
    <row r="1560" spans="1:12">
      <c r="A1560" s="1"/>
      <c r="B1560" s="255"/>
      <c r="C1560" s="1"/>
      <c r="D1560" s="1"/>
      <c r="E1560" s="255"/>
      <c r="F1560" s="1"/>
      <c r="G1560" s="1"/>
      <c r="H1560" s="1"/>
      <c r="I1560" s="1"/>
      <c r="K1560" s="1"/>
      <c r="L1560" s="1"/>
    </row>
    <row r="1561" spans="1:12">
      <c r="A1561" s="1"/>
      <c r="B1561" s="255"/>
      <c r="C1561" s="1"/>
      <c r="D1561" s="1"/>
      <c r="E1561" s="255"/>
      <c r="F1561" s="1"/>
      <c r="G1561" s="1"/>
      <c r="H1561" s="1"/>
      <c r="I1561" s="1"/>
      <c r="K1561" s="1"/>
      <c r="L1561" s="1"/>
    </row>
    <row r="1562" spans="1:12">
      <c r="A1562" s="1"/>
      <c r="B1562" s="255"/>
      <c r="C1562" s="1"/>
      <c r="D1562" s="1"/>
      <c r="E1562" s="255"/>
      <c r="F1562" s="1"/>
      <c r="G1562" s="1"/>
      <c r="H1562" s="1"/>
      <c r="I1562" s="1"/>
      <c r="K1562" s="1"/>
    </row>
    <row r="1563" spans="1:12">
      <c r="A1563" s="1"/>
      <c r="B1563" s="255"/>
      <c r="C1563" s="1"/>
      <c r="D1563" s="1"/>
      <c r="E1563" s="255"/>
      <c r="F1563" s="1"/>
      <c r="G1563" s="1"/>
      <c r="H1563" s="1"/>
      <c r="I1563" s="1"/>
      <c r="K1563" s="1"/>
    </row>
    <row r="1564" spans="1:12">
      <c r="A1564" s="1"/>
      <c r="B1564" s="255"/>
      <c r="C1564" s="1"/>
      <c r="D1564" s="1"/>
      <c r="E1564" s="255"/>
      <c r="F1564" s="1"/>
      <c r="G1564" s="1"/>
      <c r="H1564" s="1"/>
      <c r="I1564" s="1"/>
      <c r="K1564" s="1"/>
      <c r="L1564" s="1"/>
    </row>
    <row r="1565" spans="1:12">
      <c r="A1565" s="1"/>
      <c r="B1565" s="255"/>
      <c r="C1565" s="1"/>
      <c r="D1565" s="1"/>
      <c r="E1565" s="255"/>
      <c r="F1565" s="1"/>
      <c r="G1565" s="1"/>
      <c r="H1565" s="1"/>
      <c r="I1565" s="1"/>
      <c r="K1565" s="1"/>
      <c r="L1565" s="1"/>
    </row>
    <row r="1566" spans="1:12">
      <c r="A1566" s="1"/>
      <c r="B1566" s="255"/>
      <c r="C1566" s="1"/>
      <c r="D1566" s="1"/>
      <c r="E1566" s="255"/>
      <c r="F1566" s="1"/>
      <c r="G1566" s="1"/>
      <c r="H1566" s="1"/>
      <c r="I1566" s="1"/>
      <c r="K1566" s="1"/>
      <c r="L1566" s="1"/>
    </row>
    <row r="1567" spans="1:12">
      <c r="A1567" s="1"/>
      <c r="B1567" s="255"/>
      <c r="C1567" s="1"/>
      <c r="D1567" s="1"/>
      <c r="E1567" s="255"/>
      <c r="F1567" s="1"/>
      <c r="G1567" s="1"/>
      <c r="H1567" s="1"/>
      <c r="I1567" s="1"/>
      <c r="K1567" s="1"/>
      <c r="L1567" s="1"/>
    </row>
    <row r="1568" spans="1:12">
      <c r="A1568" s="1"/>
      <c r="B1568" s="255"/>
      <c r="C1568" s="1"/>
      <c r="D1568" s="1"/>
      <c r="E1568" s="255"/>
      <c r="F1568" s="1"/>
      <c r="G1568" s="1"/>
      <c r="H1568" s="1"/>
      <c r="I1568" s="1"/>
      <c r="K1568" s="1"/>
    </row>
    <row r="1569" spans="1:12">
      <c r="A1569" s="1"/>
      <c r="B1569" s="255"/>
      <c r="C1569" s="1"/>
      <c r="D1569" s="1"/>
      <c r="E1569" s="255"/>
      <c r="F1569" s="1"/>
      <c r="G1569" s="1"/>
      <c r="H1569" s="1"/>
      <c r="I1569" s="1"/>
      <c r="K1569" s="1"/>
    </row>
    <row r="1570" spans="1:12">
      <c r="A1570" s="1"/>
      <c r="B1570" s="255"/>
      <c r="C1570" s="1"/>
      <c r="D1570" s="1"/>
      <c r="E1570" s="255"/>
      <c r="F1570" s="1"/>
      <c r="G1570" s="1"/>
      <c r="H1570" s="1"/>
      <c r="I1570" s="1"/>
      <c r="K1570" s="1"/>
    </row>
    <row r="1571" spans="1:12">
      <c r="A1571" s="1"/>
      <c r="B1571" s="255"/>
      <c r="C1571" s="1"/>
      <c r="D1571" s="1"/>
      <c r="E1571" s="255"/>
      <c r="F1571" s="1"/>
      <c r="G1571" s="1"/>
      <c r="H1571" s="1"/>
      <c r="I1571" s="1"/>
      <c r="K1571" s="1"/>
    </row>
    <row r="1572" spans="1:12">
      <c r="A1572" s="1"/>
      <c r="B1572" s="255"/>
      <c r="C1572" s="1"/>
      <c r="D1572" s="1"/>
      <c r="E1572" s="255"/>
      <c r="F1572" s="1"/>
      <c r="G1572" s="1"/>
      <c r="H1572" s="1"/>
      <c r="I1572" s="1"/>
      <c r="K1572" s="1"/>
      <c r="L1572" s="1"/>
    </row>
    <row r="1573" spans="1:12">
      <c r="A1573" s="1"/>
      <c r="B1573" s="255"/>
      <c r="C1573" s="1"/>
      <c r="D1573" s="1"/>
      <c r="E1573" s="255"/>
      <c r="F1573" s="1"/>
      <c r="G1573" s="1"/>
      <c r="H1573" s="1"/>
      <c r="I1573" s="1"/>
      <c r="K1573" s="1"/>
      <c r="L1573" s="1"/>
    </row>
    <row r="1574" spans="1:12">
      <c r="A1574" s="1"/>
      <c r="B1574" s="255"/>
      <c r="C1574" s="1"/>
      <c r="D1574" s="1"/>
      <c r="E1574" s="255"/>
      <c r="F1574" s="1"/>
      <c r="G1574" s="1"/>
      <c r="H1574" s="1"/>
      <c r="I1574" s="1"/>
      <c r="K1574" s="1"/>
      <c r="L1574" s="1"/>
    </row>
    <row r="1575" spans="1:12">
      <c r="A1575" s="1"/>
      <c r="B1575" s="255"/>
      <c r="C1575" s="1"/>
      <c r="D1575" s="1"/>
      <c r="E1575" s="255"/>
      <c r="F1575" s="1"/>
      <c r="G1575" s="1"/>
      <c r="H1575" s="1"/>
      <c r="I1575" s="1"/>
      <c r="K1575" s="1"/>
      <c r="L1575" s="1"/>
    </row>
    <row r="1576" spans="1:12">
      <c r="A1576" s="1"/>
      <c r="B1576" s="255"/>
      <c r="C1576" s="1"/>
      <c r="D1576" s="1"/>
      <c r="E1576" s="255"/>
      <c r="F1576" s="1"/>
      <c r="G1576" s="1"/>
      <c r="H1576" s="1"/>
      <c r="I1576" s="1"/>
      <c r="K1576" s="1"/>
      <c r="L1576" s="1"/>
    </row>
    <row r="1577" spans="1:12">
      <c r="A1577" s="1"/>
      <c r="B1577" s="255"/>
      <c r="C1577" s="1"/>
      <c r="D1577" s="1"/>
      <c r="E1577" s="255"/>
      <c r="F1577" s="1"/>
      <c r="G1577" s="1"/>
      <c r="H1577" s="1"/>
      <c r="I1577" s="1"/>
      <c r="K1577" s="1"/>
      <c r="L1577" s="1"/>
    </row>
    <row r="1578" spans="1:12">
      <c r="A1578" s="1"/>
      <c r="B1578" s="255"/>
      <c r="C1578" s="1"/>
      <c r="D1578" s="1"/>
      <c r="E1578" s="255"/>
      <c r="F1578" s="1"/>
      <c r="G1578" s="1"/>
      <c r="H1578" s="1"/>
      <c r="I1578" s="1"/>
      <c r="K1578" s="1"/>
      <c r="L1578" s="1"/>
    </row>
    <row r="1579" spans="1:12">
      <c r="A1579" s="1"/>
      <c r="B1579" s="255"/>
      <c r="C1579" s="1"/>
      <c r="D1579" s="1"/>
      <c r="E1579" s="255"/>
      <c r="F1579" s="1"/>
      <c r="G1579" s="1"/>
      <c r="H1579" s="1"/>
      <c r="I1579" s="1"/>
      <c r="K1579" s="1"/>
      <c r="L1579" s="1"/>
    </row>
    <row r="1580" spans="1:12">
      <c r="A1580" s="1"/>
      <c r="B1580" s="255"/>
      <c r="C1580" s="1"/>
      <c r="D1580" s="1"/>
      <c r="E1580" s="255"/>
      <c r="F1580" s="1"/>
      <c r="G1580" s="1"/>
      <c r="H1580" s="1"/>
      <c r="I1580" s="1"/>
      <c r="K1580" s="1"/>
      <c r="L1580" s="1"/>
    </row>
    <row r="1581" spans="1:12">
      <c r="A1581" s="1"/>
      <c r="B1581" s="255"/>
      <c r="C1581" s="1"/>
      <c r="D1581" s="1"/>
      <c r="E1581" s="255"/>
      <c r="F1581" s="1"/>
      <c r="G1581" s="1"/>
      <c r="H1581" s="1"/>
      <c r="I1581" s="1"/>
      <c r="K1581" s="1"/>
      <c r="L1581" s="1"/>
    </row>
    <row r="1582" spans="1:12">
      <c r="A1582" s="1"/>
      <c r="B1582" s="255"/>
      <c r="C1582" s="1"/>
      <c r="D1582" s="1"/>
      <c r="E1582" s="255"/>
      <c r="F1582" s="1"/>
      <c r="G1582" s="1"/>
      <c r="H1582" s="1"/>
      <c r="I1582" s="1"/>
      <c r="K1582" s="1"/>
      <c r="L1582" s="1"/>
    </row>
    <row r="1583" spans="1:12">
      <c r="A1583" s="1"/>
      <c r="B1583" s="255"/>
      <c r="C1583" s="1"/>
      <c r="D1583" s="1"/>
      <c r="E1583" s="255"/>
      <c r="F1583" s="1"/>
      <c r="G1583" s="1"/>
      <c r="H1583" s="1"/>
      <c r="I1583" s="1"/>
      <c r="K1583" s="1"/>
      <c r="L1583" s="1"/>
    </row>
    <row r="1584" spans="1:12">
      <c r="A1584" s="1"/>
      <c r="B1584" s="255"/>
      <c r="C1584" s="1"/>
      <c r="D1584" s="1"/>
      <c r="E1584" s="255"/>
      <c r="F1584" s="1"/>
      <c r="G1584" s="1"/>
      <c r="H1584" s="1"/>
      <c r="I1584" s="1"/>
      <c r="K1584" s="1"/>
      <c r="L1584" s="1"/>
    </row>
    <row r="1585" spans="1:12">
      <c r="A1585" s="1"/>
      <c r="B1585" s="255"/>
      <c r="C1585" s="1"/>
      <c r="D1585" s="1"/>
      <c r="E1585" s="255"/>
      <c r="F1585" s="1"/>
      <c r="G1585" s="1"/>
      <c r="H1585" s="1"/>
      <c r="I1585" s="1"/>
      <c r="K1585" s="1"/>
      <c r="L1585" s="1"/>
    </row>
    <row r="1586" spans="1:12">
      <c r="A1586" s="1"/>
      <c r="B1586" s="255"/>
      <c r="C1586" s="1"/>
      <c r="D1586" s="1"/>
      <c r="E1586" s="255"/>
      <c r="F1586" s="1"/>
      <c r="G1586" s="1"/>
      <c r="H1586" s="1"/>
      <c r="I1586" s="1"/>
      <c r="K1586" s="1"/>
      <c r="L1586" s="1"/>
    </row>
    <row r="1587" spans="1:12">
      <c r="A1587" s="1"/>
      <c r="B1587" s="255"/>
      <c r="C1587" s="1"/>
      <c r="D1587" s="1"/>
      <c r="E1587" s="255"/>
      <c r="F1587" s="1"/>
      <c r="G1587" s="1"/>
      <c r="H1587" s="1"/>
      <c r="I1587" s="1"/>
      <c r="K1587" s="1"/>
      <c r="L1587" s="1"/>
    </row>
    <row r="1588" spans="1:12">
      <c r="A1588" s="1"/>
      <c r="B1588" s="255"/>
      <c r="C1588" s="1"/>
      <c r="D1588" s="1"/>
      <c r="E1588" s="255"/>
      <c r="F1588" s="1"/>
      <c r="G1588" s="1"/>
      <c r="H1588" s="1"/>
      <c r="I1588" s="1"/>
      <c r="K1588" s="1"/>
      <c r="L1588" s="1"/>
    </row>
    <row r="1589" spans="1:12">
      <c r="A1589" s="1"/>
      <c r="B1589" s="255"/>
      <c r="C1589" s="1"/>
      <c r="D1589" s="1"/>
      <c r="E1589" s="255"/>
      <c r="F1589" s="1"/>
      <c r="G1589" s="1"/>
      <c r="H1589" s="1"/>
      <c r="I1589" s="1"/>
      <c r="K1589" s="1"/>
      <c r="L1589" s="1"/>
    </row>
    <row r="1590" spans="1:12">
      <c r="A1590" s="1"/>
      <c r="B1590" s="255"/>
      <c r="C1590" s="1"/>
      <c r="D1590" s="1"/>
      <c r="E1590" s="255"/>
      <c r="F1590" s="1"/>
      <c r="G1590" s="1"/>
      <c r="H1590" s="1"/>
      <c r="I1590" s="1"/>
      <c r="K1590" s="1"/>
    </row>
    <row r="1591" spans="1:12">
      <c r="A1591" s="1"/>
      <c r="B1591" s="255"/>
      <c r="C1591" s="1"/>
      <c r="D1591" s="1"/>
      <c r="E1591" s="255"/>
      <c r="F1591" s="1"/>
      <c r="G1591" s="1"/>
      <c r="H1591" s="1"/>
      <c r="I1591" s="1"/>
      <c r="K1591" s="1"/>
    </row>
    <row r="1592" spans="1:12">
      <c r="A1592" s="1"/>
      <c r="B1592" s="255"/>
      <c r="C1592" s="1"/>
      <c r="D1592" s="1"/>
      <c r="E1592" s="255"/>
      <c r="F1592" s="1"/>
      <c r="G1592" s="1"/>
      <c r="H1592" s="1"/>
      <c r="I1592" s="1"/>
      <c r="K1592" s="1"/>
      <c r="L1592" s="1"/>
    </row>
    <row r="1593" spans="1:12">
      <c r="A1593" s="1"/>
      <c r="B1593" s="255"/>
      <c r="C1593" s="1"/>
      <c r="D1593" s="1"/>
      <c r="E1593" s="255"/>
      <c r="F1593" s="1"/>
      <c r="G1593" s="1"/>
      <c r="H1593" s="1"/>
      <c r="I1593" s="1"/>
      <c r="K1593" s="1"/>
      <c r="L1593" s="1"/>
    </row>
    <row r="1594" spans="1:12">
      <c r="A1594" s="1"/>
      <c r="B1594" s="255"/>
      <c r="C1594" s="1"/>
      <c r="D1594" s="1"/>
      <c r="E1594" s="255"/>
      <c r="F1594" s="1"/>
      <c r="G1594" s="1"/>
      <c r="H1594" s="1"/>
      <c r="I1594" s="1"/>
      <c r="K1594" s="1"/>
      <c r="L1594" s="1"/>
    </row>
    <row r="1595" spans="1:12">
      <c r="A1595" s="1"/>
      <c r="B1595" s="255"/>
      <c r="C1595" s="1"/>
      <c r="D1595" s="1"/>
      <c r="E1595" s="255"/>
      <c r="F1595" s="1"/>
      <c r="G1595" s="1"/>
      <c r="H1595" s="1"/>
      <c r="I1595" s="1"/>
      <c r="K1595" s="1"/>
      <c r="L1595" s="1"/>
    </row>
    <row r="1596" spans="1:12">
      <c r="A1596" s="1"/>
      <c r="B1596" s="255"/>
      <c r="C1596" s="1"/>
      <c r="D1596" s="1"/>
      <c r="E1596" s="255"/>
      <c r="F1596" s="1"/>
      <c r="G1596" s="1"/>
      <c r="H1596" s="1"/>
      <c r="I1596" s="1"/>
      <c r="K1596" s="1"/>
      <c r="L1596" s="1"/>
    </row>
    <row r="1597" spans="1:12">
      <c r="A1597" s="1"/>
      <c r="B1597" s="255"/>
      <c r="C1597" s="1"/>
      <c r="D1597" s="1"/>
      <c r="E1597" s="255"/>
      <c r="F1597" s="1"/>
      <c r="G1597" s="1"/>
      <c r="H1597" s="1"/>
      <c r="I1597" s="1"/>
      <c r="K1597" s="1"/>
      <c r="L1597" s="1"/>
    </row>
    <row r="1598" spans="1:12">
      <c r="A1598" s="1"/>
      <c r="B1598" s="255"/>
      <c r="C1598" s="1"/>
      <c r="D1598" s="1"/>
      <c r="E1598" s="255"/>
      <c r="F1598" s="1"/>
      <c r="G1598" s="1"/>
      <c r="H1598" s="1"/>
      <c r="I1598" s="1"/>
      <c r="K1598" s="1"/>
      <c r="L1598" s="1"/>
    </row>
    <row r="1599" spans="1:12">
      <c r="A1599" s="1"/>
      <c r="B1599" s="255"/>
      <c r="C1599" s="1"/>
      <c r="D1599" s="1"/>
      <c r="E1599" s="255"/>
      <c r="F1599" s="1"/>
      <c r="G1599" s="1"/>
      <c r="H1599" s="1"/>
      <c r="I1599" s="1"/>
      <c r="K1599" s="1"/>
      <c r="L1599" s="1"/>
    </row>
    <row r="1600" spans="1:12">
      <c r="A1600" s="1"/>
      <c r="B1600" s="255"/>
      <c r="C1600" s="1"/>
      <c r="D1600" s="1"/>
      <c r="E1600" s="255"/>
      <c r="F1600" s="1"/>
      <c r="G1600" s="1"/>
      <c r="H1600" s="1"/>
      <c r="I1600" s="1"/>
      <c r="K1600" s="1"/>
      <c r="L1600" s="1"/>
    </row>
    <row r="1601" spans="1:12">
      <c r="A1601" s="1"/>
      <c r="B1601" s="255"/>
      <c r="C1601" s="1"/>
      <c r="D1601" s="1"/>
      <c r="E1601" s="255"/>
      <c r="F1601" s="1"/>
      <c r="G1601" s="1"/>
      <c r="H1601" s="1"/>
      <c r="I1601" s="1"/>
      <c r="K1601" s="1"/>
      <c r="L1601" s="1"/>
    </row>
    <row r="1602" spans="1:12">
      <c r="A1602" s="1"/>
      <c r="B1602" s="255"/>
      <c r="C1602" s="1"/>
      <c r="D1602" s="1"/>
      <c r="E1602" s="255"/>
      <c r="F1602" s="1"/>
      <c r="G1602" s="1"/>
      <c r="H1602" s="1"/>
      <c r="I1602" s="1"/>
      <c r="K1602" s="1"/>
    </row>
    <row r="1603" spans="1:12">
      <c r="A1603" s="1"/>
      <c r="B1603" s="255"/>
      <c r="C1603" s="1"/>
      <c r="D1603" s="1"/>
      <c r="E1603" s="255"/>
      <c r="F1603" s="1"/>
      <c r="G1603" s="1"/>
      <c r="H1603" s="1"/>
      <c r="I1603" s="1"/>
      <c r="K1603" s="1"/>
    </row>
    <row r="1604" spans="1:12">
      <c r="A1604" s="1"/>
      <c r="B1604" s="255"/>
      <c r="C1604" s="1"/>
      <c r="D1604" s="1"/>
      <c r="E1604" s="255"/>
      <c r="F1604" s="1"/>
      <c r="G1604" s="1"/>
      <c r="H1604" s="1"/>
      <c r="I1604" s="1"/>
      <c r="K1604" s="1"/>
    </row>
    <row r="1605" spans="1:12">
      <c r="A1605" s="1"/>
      <c r="B1605" s="255"/>
      <c r="C1605" s="1"/>
      <c r="D1605" s="1"/>
      <c r="E1605" s="255"/>
      <c r="F1605" s="1"/>
      <c r="G1605" s="1"/>
      <c r="H1605" s="1"/>
      <c r="I1605" s="1"/>
      <c r="K1605" s="1"/>
    </row>
    <row r="1606" spans="1:12">
      <c r="A1606" s="1"/>
      <c r="B1606" s="255"/>
      <c r="C1606" s="1"/>
      <c r="D1606" s="1"/>
      <c r="E1606" s="255"/>
      <c r="F1606" s="1"/>
      <c r="G1606" s="1"/>
      <c r="H1606" s="1"/>
      <c r="I1606" s="1"/>
      <c r="K1606" s="1"/>
      <c r="L1606" s="1"/>
    </row>
    <row r="1607" spans="1:12">
      <c r="A1607" s="1"/>
      <c r="B1607" s="255"/>
      <c r="C1607" s="1"/>
      <c r="D1607" s="1"/>
      <c r="E1607" s="255"/>
      <c r="F1607" s="1"/>
      <c r="G1607" s="1"/>
      <c r="H1607" s="1"/>
      <c r="I1607" s="1"/>
      <c r="K1607" s="1"/>
      <c r="L1607" s="1"/>
    </row>
    <row r="1608" spans="1:12">
      <c r="A1608" s="1"/>
      <c r="B1608" s="255"/>
      <c r="C1608" s="1"/>
      <c r="D1608" s="1"/>
      <c r="E1608" s="255"/>
      <c r="F1608" s="1"/>
      <c r="G1608" s="1"/>
      <c r="H1608" s="1"/>
      <c r="I1608" s="1"/>
      <c r="K1608" s="1"/>
    </row>
    <row r="1609" spans="1:12">
      <c r="A1609" s="1"/>
      <c r="B1609" s="255"/>
      <c r="C1609" s="1"/>
      <c r="D1609" s="1"/>
      <c r="E1609" s="255"/>
      <c r="F1609" s="1"/>
      <c r="G1609" s="1"/>
      <c r="H1609" s="1"/>
      <c r="I1609" s="1"/>
      <c r="K1609" s="1"/>
    </row>
    <row r="1610" spans="1:12">
      <c r="A1610" s="1"/>
      <c r="B1610" s="255"/>
      <c r="C1610" s="1"/>
      <c r="D1610" s="1"/>
      <c r="E1610" s="255"/>
      <c r="F1610" s="1"/>
      <c r="G1610" s="1"/>
      <c r="H1610" s="1"/>
      <c r="I1610" s="1"/>
      <c r="K1610" s="1"/>
      <c r="L1610" s="1"/>
    </row>
    <row r="1611" spans="1:12">
      <c r="A1611" s="1"/>
      <c r="B1611" s="255"/>
      <c r="C1611" s="1"/>
      <c r="D1611" s="1"/>
      <c r="E1611" s="255"/>
      <c r="F1611" s="1"/>
      <c r="G1611" s="1"/>
      <c r="H1611" s="1"/>
      <c r="I1611" s="1"/>
      <c r="K1611" s="1"/>
      <c r="L1611" s="1"/>
    </row>
    <row r="1612" spans="1:12">
      <c r="A1612" s="1"/>
      <c r="B1612" s="255"/>
      <c r="C1612" s="1"/>
      <c r="D1612" s="1"/>
      <c r="E1612" s="255"/>
      <c r="F1612" s="1"/>
      <c r="G1612" s="1"/>
      <c r="H1612" s="1"/>
      <c r="I1612" s="1"/>
      <c r="K1612" s="1"/>
      <c r="L1612" s="1"/>
    </row>
    <row r="1613" spans="1:12">
      <c r="A1613" s="1"/>
      <c r="B1613" s="255"/>
      <c r="C1613" s="1"/>
      <c r="D1613" s="1"/>
      <c r="E1613" s="255"/>
      <c r="F1613" s="1"/>
      <c r="G1613" s="1"/>
      <c r="H1613" s="1"/>
      <c r="I1613" s="1"/>
      <c r="K1613" s="1"/>
      <c r="L1613" s="1"/>
    </row>
    <row r="1614" spans="1:12">
      <c r="A1614" s="1"/>
      <c r="B1614" s="255"/>
      <c r="C1614" s="1"/>
      <c r="D1614" s="1"/>
      <c r="E1614" s="255"/>
      <c r="F1614" s="1"/>
      <c r="G1614" s="1"/>
      <c r="H1614" s="1"/>
      <c r="I1614" s="1"/>
      <c r="K1614" s="1"/>
    </row>
    <row r="1615" spans="1:12">
      <c r="A1615" s="1"/>
      <c r="B1615" s="255"/>
      <c r="C1615" s="1"/>
      <c r="D1615" s="1"/>
      <c r="E1615" s="255"/>
      <c r="F1615" s="1"/>
      <c r="G1615" s="1"/>
      <c r="H1615" s="1"/>
      <c r="I1615" s="1"/>
      <c r="K1615" s="1"/>
    </row>
    <row r="1616" spans="1:12">
      <c r="A1616" s="1"/>
      <c r="B1616" s="255"/>
      <c r="C1616" s="1"/>
      <c r="D1616" s="1"/>
      <c r="E1616" s="255"/>
      <c r="F1616" s="1"/>
      <c r="G1616" s="1"/>
      <c r="H1616" s="1"/>
      <c r="I1616" s="1"/>
      <c r="K1616" s="1"/>
      <c r="L1616" s="1"/>
    </row>
    <row r="1617" spans="1:12">
      <c r="A1617" s="1"/>
      <c r="B1617" s="255"/>
      <c r="C1617" s="1"/>
      <c r="D1617" s="1"/>
      <c r="E1617" s="255"/>
      <c r="F1617" s="1"/>
      <c r="G1617" s="1"/>
      <c r="H1617" s="1"/>
      <c r="I1617" s="1"/>
      <c r="K1617" s="1"/>
      <c r="L1617" s="1"/>
    </row>
    <row r="1618" spans="1:12">
      <c r="A1618" s="1"/>
      <c r="B1618" s="255"/>
      <c r="C1618" s="1"/>
      <c r="D1618" s="1"/>
      <c r="E1618" s="255"/>
      <c r="F1618" s="1"/>
      <c r="G1618" s="1"/>
      <c r="H1618" s="1"/>
      <c r="I1618" s="1"/>
      <c r="K1618" s="1"/>
      <c r="L1618" s="1"/>
    </row>
    <row r="1619" spans="1:12">
      <c r="A1619" s="1"/>
      <c r="B1619" s="255"/>
      <c r="C1619" s="1"/>
      <c r="D1619" s="1"/>
      <c r="E1619" s="255"/>
      <c r="F1619" s="1"/>
      <c r="G1619" s="1"/>
      <c r="H1619" s="1"/>
      <c r="I1619" s="1"/>
      <c r="K1619" s="1"/>
      <c r="L1619" s="1"/>
    </row>
    <row r="1620" spans="1:12">
      <c r="A1620" s="1"/>
      <c r="B1620" s="255"/>
      <c r="C1620" s="1"/>
      <c r="D1620" s="1"/>
      <c r="E1620" s="255"/>
      <c r="F1620" s="1"/>
      <c r="G1620" s="1"/>
      <c r="H1620" s="1"/>
      <c r="I1620" s="1"/>
      <c r="K1620" s="1"/>
      <c r="L1620" s="1"/>
    </row>
    <row r="1621" spans="1:12">
      <c r="A1621" s="1"/>
      <c r="B1621" s="255"/>
      <c r="C1621" s="1"/>
      <c r="D1621" s="1"/>
      <c r="E1621" s="255"/>
      <c r="F1621" s="1"/>
      <c r="G1621" s="1"/>
      <c r="H1621" s="1"/>
      <c r="I1621" s="1"/>
      <c r="K1621" s="1"/>
      <c r="L1621" s="1"/>
    </row>
    <row r="1622" spans="1:12">
      <c r="A1622" s="1"/>
      <c r="B1622" s="255"/>
      <c r="C1622" s="1"/>
      <c r="D1622" s="1"/>
      <c r="E1622" s="255"/>
      <c r="F1622" s="1"/>
      <c r="G1622" s="1"/>
      <c r="H1622" s="1"/>
      <c r="I1622" s="1"/>
      <c r="K1622" s="1"/>
    </row>
    <row r="1623" spans="1:12">
      <c r="A1623" s="1"/>
      <c r="B1623" s="255"/>
      <c r="C1623" s="1"/>
      <c r="D1623" s="1"/>
      <c r="E1623" s="255"/>
      <c r="F1623" s="1"/>
      <c r="G1623" s="1"/>
      <c r="H1623" s="1"/>
      <c r="I1623" s="1"/>
      <c r="K1623" s="1"/>
    </row>
    <row r="1624" spans="1:12">
      <c r="A1624" s="1"/>
      <c r="B1624" s="255"/>
      <c r="C1624" s="1"/>
      <c r="D1624" s="1"/>
      <c r="E1624" s="255"/>
      <c r="F1624" s="1"/>
      <c r="G1624" s="1"/>
      <c r="H1624" s="1"/>
      <c r="I1624" s="1"/>
      <c r="K1624" s="1"/>
      <c r="L1624" s="1"/>
    </row>
    <row r="1625" spans="1:12">
      <c r="A1625" s="1"/>
      <c r="B1625" s="255"/>
      <c r="C1625" s="1"/>
      <c r="D1625" s="1"/>
      <c r="E1625" s="255"/>
      <c r="F1625" s="1"/>
      <c r="G1625" s="1"/>
      <c r="H1625" s="1"/>
      <c r="I1625" s="1"/>
      <c r="K1625" s="1"/>
      <c r="L1625" s="1"/>
    </row>
    <row r="1626" spans="1:12">
      <c r="A1626" s="1"/>
      <c r="B1626" s="255"/>
      <c r="C1626" s="1"/>
      <c r="D1626" s="1"/>
      <c r="E1626" s="255"/>
      <c r="F1626" s="1"/>
      <c r="G1626" s="1"/>
      <c r="H1626" s="1"/>
      <c r="I1626" s="1"/>
      <c r="K1626" s="1"/>
      <c r="L1626" s="1"/>
    </row>
    <row r="1627" spans="1:12">
      <c r="A1627" s="1"/>
      <c r="B1627" s="255"/>
      <c r="C1627" s="1"/>
      <c r="D1627" s="1"/>
      <c r="E1627" s="255"/>
      <c r="F1627" s="1"/>
      <c r="G1627" s="1"/>
      <c r="H1627" s="1"/>
      <c r="I1627" s="1"/>
      <c r="K1627" s="1"/>
      <c r="L1627" s="1"/>
    </row>
    <row r="1628" spans="1:12">
      <c r="A1628" s="1"/>
      <c r="B1628" s="255"/>
      <c r="C1628" s="1"/>
      <c r="D1628" s="1"/>
      <c r="E1628" s="255"/>
      <c r="F1628" s="1"/>
      <c r="G1628" s="1"/>
      <c r="H1628" s="1"/>
      <c r="I1628" s="1"/>
      <c r="K1628" s="1"/>
      <c r="L1628" s="1"/>
    </row>
    <row r="1629" spans="1:12">
      <c r="A1629" s="1"/>
      <c r="B1629" s="255"/>
      <c r="C1629" s="1"/>
      <c r="D1629" s="1"/>
      <c r="E1629" s="255"/>
      <c r="F1629" s="1"/>
      <c r="G1629" s="1"/>
      <c r="H1629" s="1"/>
      <c r="I1629" s="1"/>
      <c r="K1629" s="1"/>
      <c r="L1629" s="1"/>
    </row>
    <row r="1630" spans="1:12">
      <c r="A1630" s="1"/>
      <c r="B1630" s="255"/>
      <c r="C1630" s="1"/>
      <c r="D1630" s="1"/>
      <c r="E1630" s="255"/>
      <c r="F1630" s="1"/>
      <c r="G1630" s="1"/>
      <c r="H1630" s="1"/>
      <c r="I1630" s="1"/>
      <c r="K1630" s="1"/>
      <c r="L1630" s="1"/>
    </row>
    <row r="1631" spans="1:12">
      <c r="A1631" s="1"/>
      <c r="B1631" s="255"/>
      <c r="C1631" s="1"/>
      <c r="D1631" s="1"/>
      <c r="E1631" s="255"/>
      <c r="F1631" s="1"/>
      <c r="G1631" s="1"/>
      <c r="H1631" s="1"/>
      <c r="I1631" s="1"/>
      <c r="K1631" s="1"/>
      <c r="L1631" s="1"/>
    </row>
    <row r="1632" spans="1:12">
      <c r="A1632" s="1"/>
      <c r="B1632" s="255"/>
      <c r="C1632" s="1"/>
      <c r="D1632" s="1"/>
      <c r="E1632" s="255"/>
      <c r="F1632" s="1"/>
      <c r="G1632" s="1"/>
      <c r="H1632" s="1"/>
      <c r="I1632" s="1"/>
      <c r="K1632" s="1"/>
      <c r="L1632" s="1"/>
    </row>
    <row r="1633" spans="1:12">
      <c r="A1633" s="1"/>
      <c r="B1633" s="255"/>
      <c r="C1633" s="1"/>
      <c r="D1633" s="1"/>
      <c r="E1633" s="255"/>
      <c r="F1633" s="1"/>
      <c r="G1633" s="1"/>
      <c r="H1633" s="1"/>
      <c r="I1633" s="1"/>
      <c r="K1633" s="1"/>
      <c r="L1633" s="1"/>
    </row>
    <row r="1634" spans="1:12">
      <c r="A1634" s="1"/>
      <c r="B1634" s="255"/>
      <c r="C1634" s="1"/>
      <c r="D1634" s="1"/>
      <c r="E1634" s="255"/>
      <c r="F1634" s="1"/>
      <c r="G1634" s="1"/>
      <c r="H1634" s="1"/>
      <c r="I1634" s="1"/>
      <c r="K1634" s="1"/>
    </row>
    <row r="1635" spans="1:12">
      <c r="A1635" s="1"/>
      <c r="B1635" s="255"/>
      <c r="C1635" s="1"/>
      <c r="D1635" s="1"/>
      <c r="E1635" s="255"/>
      <c r="F1635" s="1"/>
      <c r="G1635" s="1"/>
      <c r="H1635" s="1"/>
      <c r="I1635" s="1"/>
      <c r="K1635" s="1"/>
    </row>
    <row r="1636" spans="1:12">
      <c r="A1636" s="1"/>
      <c r="B1636" s="255"/>
      <c r="C1636" s="1"/>
      <c r="D1636" s="1"/>
      <c r="E1636" s="255"/>
      <c r="F1636" s="1"/>
      <c r="G1636" s="1"/>
      <c r="H1636" s="1"/>
      <c r="I1636" s="1"/>
      <c r="K1636" s="1"/>
      <c r="L1636" s="1"/>
    </row>
    <row r="1637" spans="1:12">
      <c r="A1637" s="1"/>
      <c r="B1637" s="255"/>
      <c r="C1637" s="1"/>
      <c r="D1637" s="1"/>
      <c r="E1637" s="255"/>
      <c r="F1637" s="1"/>
      <c r="G1637" s="1"/>
      <c r="H1637" s="1"/>
      <c r="I1637" s="1"/>
      <c r="K1637" s="1"/>
      <c r="L1637" s="1"/>
    </row>
    <row r="1638" spans="1:12">
      <c r="A1638" s="1"/>
      <c r="B1638" s="255"/>
      <c r="C1638" s="1"/>
      <c r="D1638" s="1"/>
      <c r="E1638" s="255"/>
      <c r="F1638" s="1"/>
      <c r="G1638" s="1"/>
      <c r="H1638" s="1"/>
      <c r="I1638" s="1"/>
      <c r="K1638" s="1"/>
      <c r="L1638" s="1"/>
    </row>
    <row r="1639" spans="1:12">
      <c r="A1639" s="1"/>
      <c r="B1639" s="255"/>
      <c r="C1639" s="1"/>
      <c r="D1639" s="1"/>
      <c r="E1639" s="255"/>
      <c r="F1639" s="1"/>
      <c r="G1639" s="1"/>
      <c r="H1639" s="1"/>
      <c r="I1639" s="1"/>
      <c r="K1639" s="1"/>
      <c r="L1639" s="1"/>
    </row>
    <row r="1640" spans="1:12">
      <c r="A1640" s="1"/>
      <c r="B1640" s="255"/>
      <c r="C1640" s="1"/>
      <c r="D1640" s="1"/>
      <c r="E1640" s="255"/>
      <c r="F1640" s="1"/>
      <c r="G1640" s="1"/>
      <c r="H1640" s="1"/>
      <c r="I1640" s="1"/>
      <c r="K1640" s="1"/>
      <c r="L1640" s="1"/>
    </row>
    <row r="1641" spans="1:12">
      <c r="A1641" s="1"/>
      <c r="B1641" s="255"/>
      <c r="C1641" s="1"/>
      <c r="D1641" s="1"/>
      <c r="E1641" s="255"/>
      <c r="F1641" s="1"/>
      <c r="G1641" s="1"/>
      <c r="H1641" s="1"/>
      <c r="I1641" s="1"/>
      <c r="K1641" s="1"/>
      <c r="L1641" s="1"/>
    </row>
    <row r="1642" spans="1:12">
      <c r="A1642" s="1"/>
      <c r="B1642" s="255"/>
      <c r="C1642" s="1"/>
      <c r="D1642" s="1"/>
      <c r="E1642" s="255"/>
      <c r="F1642" s="1"/>
      <c r="G1642" s="1"/>
      <c r="H1642" s="1"/>
      <c r="I1642" s="1"/>
      <c r="K1642" s="1"/>
      <c r="L1642" s="1"/>
    </row>
    <row r="1643" spans="1:12">
      <c r="A1643" s="1"/>
      <c r="B1643" s="255"/>
      <c r="C1643" s="1"/>
      <c r="D1643" s="1"/>
      <c r="E1643" s="255"/>
      <c r="F1643" s="1"/>
      <c r="G1643" s="1"/>
      <c r="H1643" s="1"/>
      <c r="I1643" s="1"/>
      <c r="K1643" s="1"/>
      <c r="L1643" s="1"/>
    </row>
    <row r="1644" spans="1:12">
      <c r="A1644" s="1"/>
      <c r="B1644" s="255"/>
      <c r="C1644" s="1"/>
      <c r="D1644" s="1"/>
      <c r="E1644" s="255"/>
      <c r="F1644" s="1"/>
      <c r="G1644" s="1"/>
      <c r="H1644" s="1"/>
      <c r="I1644" s="1"/>
      <c r="K1644" s="1"/>
      <c r="L1644" s="1"/>
    </row>
    <row r="1645" spans="1:12">
      <c r="A1645" s="1"/>
      <c r="B1645" s="255"/>
      <c r="C1645" s="1"/>
      <c r="D1645" s="1"/>
      <c r="E1645" s="255"/>
      <c r="F1645" s="1"/>
      <c r="G1645" s="1"/>
      <c r="H1645" s="1"/>
      <c r="I1645" s="1"/>
      <c r="K1645" s="1"/>
      <c r="L1645" s="1"/>
    </row>
    <row r="1646" spans="1:12">
      <c r="A1646" s="1"/>
      <c r="B1646" s="255"/>
      <c r="C1646" s="1"/>
      <c r="D1646" s="1"/>
      <c r="E1646" s="255"/>
      <c r="F1646" s="1"/>
      <c r="G1646" s="1"/>
      <c r="H1646" s="1"/>
      <c r="I1646" s="1"/>
      <c r="K1646" s="1"/>
      <c r="L1646" s="1"/>
    </row>
    <row r="1647" spans="1:12">
      <c r="A1647" s="1"/>
      <c r="B1647" s="255"/>
      <c r="C1647" s="1"/>
      <c r="D1647" s="1"/>
      <c r="E1647" s="255"/>
      <c r="F1647" s="1"/>
      <c r="G1647" s="1"/>
      <c r="H1647" s="1"/>
      <c r="I1647" s="1"/>
      <c r="K1647" s="1"/>
      <c r="L1647" s="1"/>
    </row>
    <row r="1648" spans="1:12">
      <c r="A1648" s="1"/>
      <c r="B1648" s="255"/>
      <c r="C1648" s="1"/>
      <c r="D1648" s="1"/>
      <c r="E1648" s="255"/>
      <c r="F1648" s="1"/>
      <c r="G1648" s="1"/>
      <c r="H1648" s="1"/>
      <c r="I1648" s="1"/>
      <c r="K1648" s="1"/>
      <c r="L1648" s="1"/>
    </row>
    <row r="1649" spans="1:12">
      <c r="A1649" s="1"/>
      <c r="B1649" s="255"/>
      <c r="C1649" s="1"/>
      <c r="D1649" s="1"/>
      <c r="E1649" s="255"/>
      <c r="F1649" s="1"/>
      <c r="G1649" s="1"/>
      <c r="H1649" s="1"/>
      <c r="I1649" s="1"/>
      <c r="K1649" s="1"/>
      <c r="L1649" s="1"/>
    </row>
    <row r="1650" spans="1:12">
      <c r="A1650" s="1"/>
      <c r="B1650" s="255"/>
      <c r="C1650" s="1"/>
      <c r="D1650" s="1"/>
      <c r="E1650" s="255"/>
      <c r="F1650" s="1"/>
      <c r="G1650" s="1"/>
      <c r="H1650" s="1"/>
      <c r="I1650" s="1"/>
      <c r="K1650" s="1"/>
    </row>
    <row r="1651" spans="1:12">
      <c r="A1651" s="1"/>
      <c r="B1651" s="255"/>
      <c r="C1651" s="1"/>
      <c r="D1651" s="1"/>
      <c r="E1651" s="255"/>
      <c r="F1651" s="1"/>
      <c r="G1651" s="1"/>
      <c r="H1651" s="1"/>
      <c r="I1651" s="1"/>
      <c r="K1651" s="1"/>
    </row>
    <row r="1652" spans="1:12">
      <c r="A1652" s="1"/>
      <c r="B1652" s="255"/>
      <c r="C1652" s="1"/>
      <c r="D1652" s="1"/>
      <c r="E1652" s="255"/>
      <c r="F1652" s="1"/>
      <c r="G1652" s="1"/>
      <c r="H1652" s="1"/>
      <c r="I1652" s="1"/>
      <c r="K1652" s="1"/>
      <c r="L1652" s="1"/>
    </row>
    <row r="1653" spans="1:12">
      <c r="A1653" s="1"/>
      <c r="B1653" s="255"/>
      <c r="C1653" s="1"/>
      <c r="D1653" s="1"/>
      <c r="E1653" s="255"/>
      <c r="F1653" s="1"/>
      <c r="G1653" s="1"/>
      <c r="H1653" s="1"/>
      <c r="I1653" s="1"/>
      <c r="K1653" s="1"/>
      <c r="L1653" s="1"/>
    </row>
    <row r="1654" spans="1:12">
      <c r="A1654" s="1"/>
      <c r="B1654" s="255"/>
      <c r="C1654" s="1"/>
      <c r="D1654" s="1"/>
      <c r="E1654" s="255"/>
      <c r="F1654" s="1"/>
      <c r="G1654" s="1"/>
      <c r="H1654" s="1"/>
      <c r="I1654" s="1"/>
      <c r="K1654" s="1"/>
      <c r="L1654" s="1"/>
    </row>
    <row r="1655" spans="1:12">
      <c r="A1655" s="1"/>
      <c r="B1655" s="255"/>
      <c r="C1655" s="1"/>
      <c r="D1655" s="1"/>
      <c r="E1655" s="255"/>
      <c r="F1655" s="1"/>
      <c r="G1655" s="1"/>
      <c r="H1655" s="1"/>
      <c r="I1655" s="1"/>
      <c r="K1655" s="1"/>
      <c r="L1655" s="1"/>
    </row>
    <row r="1656" spans="1:12">
      <c r="A1656" s="1"/>
      <c r="B1656" s="255"/>
      <c r="C1656" s="1"/>
      <c r="D1656" s="1"/>
      <c r="E1656" s="255"/>
      <c r="F1656" s="1"/>
      <c r="G1656" s="1"/>
      <c r="H1656" s="1"/>
      <c r="I1656" s="1"/>
      <c r="K1656" s="1"/>
      <c r="L1656" s="1"/>
    </row>
    <row r="1657" spans="1:12">
      <c r="A1657" s="1"/>
      <c r="B1657" s="255"/>
      <c r="C1657" s="1"/>
      <c r="D1657" s="1"/>
      <c r="E1657" s="255"/>
      <c r="F1657" s="1"/>
      <c r="G1657" s="1"/>
      <c r="H1657" s="1"/>
      <c r="I1657" s="1"/>
      <c r="K1657" s="1"/>
      <c r="L1657" s="1"/>
    </row>
    <row r="1658" spans="1:12">
      <c r="A1658" s="1"/>
      <c r="B1658" s="255"/>
      <c r="C1658" s="1"/>
      <c r="D1658" s="1"/>
      <c r="E1658" s="255"/>
      <c r="F1658" s="1"/>
      <c r="G1658" s="1"/>
      <c r="H1658" s="1"/>
      <c r="I1658" s="1"/>
      <c r="K1658" s="1"/>
    </row>
    <row r="1659" spans="1:12">
      <c r="A1659" s="1"/>
      <c r="B1659" s="255"/>
      <c r="C1659" s="1"/>
      <c r="D1659" s="1"/>
      <c r="E1659" s="255"/>
      <c r="F1659" s="1"/>
      <c r="G1659" s="1"/>
      <c r="H1659" s="1"/>
      <c r="I1659" s="1"/>
      <c r="K1659" s="1"/>
    </row>
    <row r="1660" spans="1:12">
      <c r="A1660" s="1"/>
      <c r="B1660" s="255"/>
      <c r="C1660" s="1"/>
      <c r="D1660" s="1"/>
      <c r="E1660" s="255"/>
      <c r="F1660" s="1"/>
      <c r="G1660" s="1"/>
      <c r="H1660" s="1"/>
      <c r="I1660" s="1"/>
      <c r="K1660" s="1"/>
      <c r="L1660" s="1"/>
    </row>
    <row r="1661" spans="1:12">
      <c r="A1661" s="1"/>
      <c r="B1661" s="255"/>
      <c r="C1661" s="1"/>
      <c r="D1661" s="1"/>
      <c r="E1661" s="255"/>
      <c r="F1661" s="1"/>
      <c r="G1661" s="1"/>
      <c r="H1661" s="1"/>
      <c r="I1661" s="1"/>
      <c r="K1661" s="1"/>
      <c r="L1661" s="1"/>
    </row>
    <row r="1662" spans="1:12">
      <c r="A1662" s="1"/>
      <c r="B1662" s="255"/>
      <c r="C1662" s="1"/>
      <c r="D1662" s="1"/>
      <c r="E1662" s="255"/>
      <c r="F1662" s="1"/>
      <c r="G1662" s="1"/>
      <c r="H1662" s="1"/>
      <c r="I1662" s="1"/>
      <c r="K1662" s="1"/>
      <c r="L1662" s="1"/>
    </row>
    <row r="1663" spans="1:12">
      <c r="A1663" s="1"/>
      <c r="B1663" s="255"/>
      <c r="C1663" s="1"/>
      <c r="D1663" s="1"/>
      <c r="E1663" s="255"/>
      <c r="F1663" s="1"/>
      <c r="G1663" s="1"/>
      <c r="H1663" s="1"/>
      <c r="I1663" s="1"/>
      <c r="K1663" s="1"/>
      <c r="L1663" s="1"/>
    </row>
    <row r="1664" spans="1:12">
      <c r="A1664" s="1"/>
      <c r="B1664" s="255"/>
      <c r="C1664" s="1"/>
      <c r="D1664" s="1"/>
      <c r="E1664" s="255"/>
      <c r="F1664" s="1"/>
      <c r="G1664" s="1"/>
      <c r="H1664" s="1"/>
      <c r="I1664" s="1"/>
      <c r="K1664" s="1"/>
      <c r="L1664" s="1"/>
    </row>
    <row r="1665" spans="1:12">
      <c r="A1665" s="1"/>
      <c r="B1665" s="255"/>
      <c r="C1665" s="1"/>
      <c r="D1665" s="1"/>
      <c r="E1665" s="255"/>
      <c r="F1665" s="1"/>
      <c r="G1665" s="1"/>
      <c r="H1665" s="1"/>
      <c r="I1665" s="1"/>
      <c r="K1665" s="1"/>
      <c r="L1665" s="1"/>
    </row>
    <row r="1666" spans="1:12">
      <c r="A1666" s="1"/>
      <c r="B1666" s="255"/>
      <c r="C1666" s="1"/>
      <c r="D1666" s="1"/>
      <c r="E1666" s="255"/>
      <c r="F1666" s="1"/>
      <c r="G1666" s="1"/>
      <c r="H1666" s="1"/>
      <c r="I1666" s="1"/>
      <c r="K1666" s="1"/>
    </row>
    <row r="1667" spans="1:12">
      <c r="A1667" s="1"/>
      <c r="B1667" s="255"/>
      <c r="C1667" s="1"/>
      <c r="D1667" s="1"/>
      <c r="E1667" s="255"/>
      <c r="F1667" s="1"/>
      <c r="G1667" s="1"/>
      <c r="H1667" s="1"/>
      <c r="I1667" s="1"/>
      <c r="K1667" s="1"/>
    </row>
    <row r="1668" spans="1:12">
      <c r="A1668" s="1"/>
      <c r="B1668" s="255"/>
      <c r="C1668" s="1"/>
      <c r="D1668" s="1"/>
      <c r="E1668" s="255"/>
      <c r="F1668" s="1"/>
      <c r="G1668" s="1"/>
      <c r="H1668" s="1"/>
      <c r="I1668" s="1"/>
      <c r="K1668" s="1"/>
      <c r="L1668" s="1"/>
    </row>
    <row r="1669" spans="1:12">
      <c r="A1669" s="1"/>
      <c r="B1669" s="255"/>
      <c r="C1669" s="1"/>
      <c r="D1669" s="1"/>
      <c r="E1669" s="255"/>
      <c r="F1669" s="1"/>
      <c r="G1669" s="1"/>
      <c r="H1669" s="1"/>
      <c r="I1669" s="1"/>
      <c r="K1669" s="1"/>
      <c r="L1669" s="1"/>
    </row>
    <row r="1670" spans="1:12">
      <c r="A1670" s="1"/>
      <c r="B1670" s="255"/>
      <c r="C1670" s="1"/>
      <c r="D1670" s="1"/>
      <c r="E1670" s="255"/>
      <c r="F1670" s="1"/>
      <c r="G1670" s="1"/>
      <c r="H1670" s="1"/>
      <c r="I1670" s="1"/>
      <c r="K1670" s="1"/>
      <c r="L1670" s="1"/>
    </row>
    <row r="1671" spans="1:12">
      <c r="A1671" s="1"/>
      <c r="B1671" s="255"/>
      <c r="C1671" s="1"/>
      <c r="D1671" s="1"/>
      <c r="E1671" s="255"/>
      <c r="F1671" s="1"/>
      <c r="G1671" s="1"/>
      <c r="H1671" s="1"/>
      <c r="I1671" s="1"/>
      <c r="K1671" s="1"/>
      <c r="L1671" s="1"/>
    </row>
    <row r="1672" spans="1:12">
      <c r="A1672" s="1"/>
      <c r="B1672" s="255"/>
      <c r="C1672" s="1"/>
      <c r="D1672" s="1"/>
      <c r="E1672" s="255"/>
      <c r="F1672" s="1"/>
      <c r="G1672" s="1"/>
      <c r="H1672" s="1"/>
      <c r="I1672" s="1"/>
      <c r="K1672" s="1"/>
    </row>
    <row r="1673" spans="1:12">
      <c r="A1673" s="1"/>
      <c r="B1673" s="255"/>
      <c r="C1673" s="1"/>
      <c r="D1673" s="1"/>
      <c r="E1673" s="255"/>
      <c r="F1673" s="1"/>
      <c r="G1673" s="1"/>
      <c r="H1673" s="1"/>
      <c r="I1673" s="1"/>
      <c r="K1673" s="1"/>
    </row>
    <row r="1674" spans="1:12">
      <c r="A1674" s="1"/>
      <c r="B1674" s="255"/>
      <c r="C1674" s="1"/>
      <c r="D1674" s="1"/>
      <c r="E1674" s="255"/>
      <c r="F1674" s="1"/>
      <c r="G1674" s="1"/>
      <c r="H1674" s="1"/>
      <c r="I1674" s="1"/>
      <c r="K1674" s="1"/>
      <c r="L1674" s="1"/>
    </row>
    <row r="1675" spans="1:12">
      <c r="A1675" s="1"/>
      <c r="B1675" s="255"/>
      <c r="C1675" s="1"/>
      <c r="D1675" s="1"/>
      <c r="E1675" s="255"/>
      <c r="F1675" s="1"/>
      <c r="G1675" s="1"/>
      <c r="H1675" s="1"/>
      <c r="I1675" s="1"/>
      <c r="K1675" s="1"/>
      <c r="L1675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L345"/>
  <sheetViews>
    <sheetView workbookViewId="0">
      <selection activeCell="A5" sqref="A5"/>
    </sheetView>
  </sheetViews>
  <sheetFormatPr defaultColWidth="12.5703125" defaultRowHeight="15" customHeight="1"/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55"/>
      <c r="C2" s="1"/>
      <c r="D2" s="256"/>
      <c r="E2" s="255"/>
      <c r="F2" s="1"/>
      <c r="G2" s="1"/>
      <c r="H2" s="1"/>
      <c r="I2" s="1"/>
      <c r="K2" s="1"/>
      <c r="L2" s="1"/>
    </row>
    <row r="3" spans="1:12">
      <c r="A3" s="1"/>
      <c r="B3" s="255"/>
      <c r="C3" s="1"/>
      <c r="D3" s="256"/>
      <c r="E3" s="255"/>
      <c r="F3" s="1"/>
      <c r="G3" s="1"/>
      <c r="H3" s="1"/>
      <c r="I3" s="1"/>
      <c r="K3" s="1"/>
      <c r="L3" s="1"/>
    </row>
    <row r="4" spans="1:12">
      <c r="A4" s="1"/>
      <c r="B4" s="255"/>
      <c r="C4" s="1"/>
      <c r="D4" s="1"/>
      <c r="E4" s="255"/>
      <c r="F4" s="1"/>
      <c r="G4" s="1"/>
      <c r="H4" s="1"/>
      <c r="I4" s="1"/>
      <c r="K4" s="1"/>
      <c r="L4" s="1"/>
    </row>
    <row r="5" spans="1:12">
      <c r="A5" s="1"/>
      <c r="B5" s="255"/>
      <c r="C5" s="1"/>
      <c r="D5" s="1"/>
      <c r="E5" s="255"/>
      <c r="F5" s="1"/>
      <c r="G5" s="1"/>
      <c r="H5" s="1"/>
      <c r="I5" s="1"/>
      <c r="K5" s="1"/>
      <c r="L5" s="1"/>
    </row>
    <row r="6" spans="1:12">
      <c r="A6" s="1"/>
      <c r="B6" s="255"/>
      <c r="C6" s="1"/>
      <c r="D6" s="1"/>
      <c r="E6" s="255"/>
      <c r="F6" s="1"/>
      <c r="G6" s="1"/>
      <c r="H6" s="1"/>
      <c r="I6" s="1"/>
      <c r="K6" s="1"/>
      <c r="L6" s="1"/>
    </row>
    <row r="7" spans="1:12">
      <c r="A7" s="1"/>
      <c r="B7" s="255"/>
      <c r="C7" s="1"/>
      <c r="D7" s="1"/>
      <c r="E7" s="255"/>
      <c r="F7" s="1"/>
      <c r="G7" s="1"/>
      <c r="H7" s="1"/>
      <c r="I7" s="1"/>
      <c r="K7" s="1"/>
      <c r="L7" s="1"/>
    </row>
    <row r="8" spans="1:12">
      <c r="A8" s="1"/>
      <c r="B8" s="255"/>
      <c r="C8" s="1"/>
      <c r="D8" s="1"/>
      <c r="E8" s="255"/>
      <c r="F8" s="1"/>
      <c r="G8" s="1"/>
      <c r="H8" s="1"/>
      <c r="I8" s="1"/>
      <c r="K8" s="1"/>
      <c r="L8" s="1"/>
    </row>
    <row r="9" spans="1:12">
      <c r="A9" s="1"/>
      <c r="B9" s="255"/>
      <c r="C9" s="1"/>
      <c r="D9" s="1"/>
      <c r="E9" s="255"/>
      <c r="F9" s="1"/>
      <c r="G9" s="1"/>
      <c r="H9" s="1"/>
      <c r="I9" s="1"/>
      <c r="K9" s="1"/>
      <c r="L9" s="1"/>
    </row>
    <row r="10" spans="1:12">
      <c r="A10" s="1"/>
      <c r="B10" s="255"/>
      <c r="C10" s="1"/>
      <c r="D10" s="1"/>
      <c r="E10" s="255"/>
      <c r="F10" s="1"/>
      <c r="G10" s="1"/>
      <c r="H10" s="1"/>
      <c r="I10" s="1"/>
      <c r="K10" s="1"/>
      <c r="L10" s="1"/>
    </row>
    <row r="11" spans="1:12">
      <c r="A11" s="1"/>
      <c r="B11" s="255"/>
      <c r="C11" s="1"/>
      <c r="D11" s="1"/>
      <c r="E11" s="255"/>
      <c r="F11" s="1"/>
      <c r="G11" s="1"/>
      <c r="H11" s="1"/>
      <c r="I11" s="1"/>
      <c r="K11" s="1"/>
      <c r="L11" s="1"/>
    </row>
    <row r="12" spans="1:12">
      <c r="A12" s="1"/>
      <c r="B12" s="255"/>
      <c r="C12" s="1"/>
      <c r="D12" s="1"/>
      <c r="E12" s="255"/>
      <c r="F12" s="1"/>
      <c r="G12" s="1"/>
      <c r="H12" s="1"/>
      <c r="I12" s="1"/>
      <c r="K12" s="1"/>
      <c r="L12" s="1"/>
    </row>
    <row r="13" spans="1:12">
      <c r="A13" s="1"/>
      <c r="B13" s="255"/>
      <c r="C13" s="1"/>
      <c r="D13" s="1"/>
      <c r="E13" s="255"/>
      <c r="F13" s="1"/>
      <c r="G13" s="1"/>
      <c r="H13" s="1"/>
      <c r="I13" s="1"/>
      <c r="K13" s="1"/>
      <c r="L13" s="1"/>
    </row>
    <row r="14" spans="1:12">
      <c r="A14" s="1"/>
      <c r="B14" s="255"/>
      <c r="C14" s="1"/>
      <c r="D14" s="1"/>
      <c r="E14" s="255"/>
      <c r="F14" s="1"/>
      <c r="G14" s="1"/>
      <c r="H14" s="1"/>
      <c r="I14" s="1"/>
      <c r="K14" s="1"/>
      <c r="L14" s="1"/>
    </row>
    <row r="15" spans="1:12">
      <c r="A15" s="1"/>
      <c r="B15" s="255"/>
      <c r="C15" s="1"/>
      <c r="D15" s="1"/>
      <c r="E15" s="255"/>
      <c r="F15" s="1"/>
      <c r="G15" s="1"/>
      <c r="H15" s="1"/>
      <c r="I15" s="1"/>
      <c r="K15" s="1"/>
      <c r="L15" s="1"/>
    </row>
    <row r="16" spans="1:12">
      <c r="A16" s="1"/>
      <c r="B16" s="255"/>
      <c r="C16" s="1"/>
      <c r="D16" s="1"/>
      <c r="E16" s="255"/>
      <c r="F16" s="1"/>
      <c r="G16" s="1"/>
      <c r="H16" s="1"/>
      <c r="I16" s="1"/>
      <c r="K16" s="1"/>
      <c r="L16" s="1"/>
    </row>
    <row r="17" spans="1:12">
      <c r="A17" s="1"/>
      <c r="B17" s="255"/>
      <c r="C17" s="1"/>
      <c r="D17" s="1"/>
      <c r="E17" s="255"/>
      <c r="F17" s="1"/>
      <c r="G17" s="1"/>
      <c r="H17" s="1"/>
      <c r="I17" s="1"/>
      <c r="K17" s="1"/>
      <c r="L17" s="1"/>
    </row>
    <row r="18" spans="1:12">
      <c r="A18" s="1"/>
      <c r="B18" s="255"/>
      <c r="C18" s="1"/>
      <c r="D18" s="1"/>
      <c r="E18" s="255"/>
      <c r="F18" s="1"/>
      <c r="G18" s="1"/>
      <c r="H18" s="1"/>
      <c r="I18" s="1"/>
      <c r="K18" s="1"/>
      <c r="L18" s="1"/>
    </row>
    <row r="19" spans="1:12">
      <c r="A19" s="1"/>
      <c r="B19" s="255"/>
      <c r="C19" s="1"/>
      <c r="D19" s="1"/>
      <c r="E19" s="255"/>
      <c r="F19" s="1"/>
      <c r="G19" s="1"/>
      <c r="H19" s="1"/>
      <c r="I19" s="1"/>
      <c r="K19" s="1"/>
      <c r="L19" s="1"/>
    </row>
    <row r="20" spans="1:12">
      <c r="A20" s="1"/>
      <c r="B20" s="255"/>
      <c r="C20" s="1"/>
      <c r="D20" s="1"/>
      <c r="E20" s="255"/>
      <c r="F20" s="1"/>
      <c r="G20" s="1"/>
      <c r="H20" s="1"/>
      <c r="I20" s="1"/>
      <c r="K20" s="1"/>
      <c r="L20" s="1"/>
    </row>
    <row r="21" spans="1:12">
      <c r="A21" s="1"/>
      <c r="B21" s="255"/>
      <c r="C21" s="1"/>
      <c r="D21" s="1"/>
      <c r="E21" s="255"/>
      <c r="F21" s="1"/>
      <c r="G21" s="1"/>
      <c r="H21" s="1"/>
      <c r="I21" s="1"/>
      <c r="K21" s="1"/>
      <c r="L21" s="1"/>
    </row>
    <row r="22" spans="1:12">
      <c r="A22" s="1"/>
      <c r="B22" s="255"/>
      <c r="C22" s="1"/>
      <c r="D22" s="1"/>
      <c r="E22" s="255"/>
      <c r="F22" s="1"/>
      <c r="G22" s="1"/>
      <c r="H22" s="1"/>
      <c r="I22" s="1"/>
      <c r="K22" s="1"/>
      <c r="L22" s="1"/>
    </row>
    <row r="23" spans="1:12">
      <c r="A23" s="1"/>
      <c r="B23" s="255"/>
      <c r="C23" s="1"/>
      <c r="D23" s="1"/>
      <c r="E23" s="255"/>
      <c r="F23" s="1"/>
      <c r="G23" s="1"/>
      <c r="H23" s="1"/>
      <c r="I23" s="1"/>
      <c r="K23" s="1"/>
      <c r="L23" s="1"/>
    </row>
    <row r="24" spans="1:12">
      <c r="A24" s="1"/>
      <c r="B24" s="255"/>
      <c r="C24" s="1"/>
      <c r="D24" s="1"/>
      <c r="E24" s="255"/>
      <c r="F24" s="1"/>
      <c r="G24" s="1"/>
      <c r="H24" s="1"/>
      <c r="I24" s="1"/>
      <c r="K24" s="1"/>
      <c r="L24" s="1"/>
    </row>
    <row r="25" spans="1:12">
      <c r="A25" s="1"/>
      <c r="B25" s="255"/>
      <c r="C25" s="1"/>
      <c r="D25" s="1"/>
      <c r="E25" s="255"/>
      <c r="F25" s="1"/>
      <c r="G25" s="1"/>
      <c r="H25" s="1"/>
      <c r="I25" s="1"/>
      <c r="K25" s="1"/>
      <c r="L25" s="1"/>
    </row>
    <row r="26" spans="1:12">
      <c r="A26" s="1"/>
      <c r="B26" s="255"/>
      <c r="C26" s="1"/>
      <c r="D26" s="1"/>
      <c r="E26" s="255"/>
      <c r="F26" s="1"/>
      <c r="G26" s="1"/>
      <c r="H26" s="1"/>
      <c r="I26" s="1"/>
      <c r="K26" s="1"/>
      <c r="L26" s="1"/>
    </row>
    <row r="27" spans="1:12">
      <c r="A27" s="1"/>
      <c r="B27" s="255"/>
      <c r="C27" s="1"/>
      <c r="D27" s="1"/>
      <c r="E27" s="255"/>
      <c r="F27" s="1"/>
      <c r="G27" s="1"/>
      <c r="H27" s="1"/>
      <c r="I27" s="1"/>
      <c r="K27" s="1"/>
      <c r="L27" s="1"/>
    </row>
    <row r="28" spans="1:12">
      <c r="A28" s="1"/>
      <c r="B28" s="255"/>
      <c r="C28" s="1"/>
      <c r="D28" s="1"/>
      <c r="E28" s="255"/>
      <c r="F28" s="1"/>
      <c r="G28" s="1"/>
      <c r="H28" s="1"/>
      <c r="I28" s="1"/>
      <c r="K28" s="1"/>
      <c r="L28" s="1"/>
    </row>
    <row r="29" spans="1:12">
      <c r="A29" s="1"/>
      <c r="B29" s="255"/>
      <c r="C29" s="1"/>
      <c r="D29" s="1"/>
      <c r="E29" s="255"/>
      <c r="F29" s="1"/>
      <c r="G29" s="1"/>
      <c r="H29" s="1"/>
      <c r="I29" s="1"/>
      <c r="K29" s="1"/>
      <c r="L29" s="1"/>
    </row>
    <row r="30" spans="1:12">
      <c r="A30" s="1"/>
      <c r="B30" s="255"/>
      <c r="C30" s="1"/>
      <c r="D30" s="1"/>
      <c r="E30" s="255"/>
      <c r="F30" s="1"/>
      <c r="G30" s="1"/>
      <c r="H30" s="1"/>
      <c r="I30" s="1"/>
      <c r="K30" s="1"/>
      <c r="L30" s="1"/>
    </row>
    <row r="31" spans="1:12">
      <c r="A31" s="1"/>
      <c r="B31" s="255"/>
      <c r="C31" s="1"/>
      <c r="D31" s="1"/>
      <c r="E31" s="255"/>
      <c r="F31" s="1"/>
      <c r="G31" s="1"/>
      <c r="H31" s="1"/>
      <c r="I31" s="1"/>
      <c r="K31" s="1"/>
      <c r="L31" s="1"/>
    </row>
    <row r="32" spans="1:12">
      <c r="A32" s="1"/>
      <c r="B32" s="255"/>
      <c r="C32" s="1"/>
      <c r="D32" s="1"/>
      <c r="E32" s="255"/>
      <c r="F32" s="1"/>
      <c r="G32" s="1"/>
      <c r="H32" s="1"/>
      <c r="I32" s="1"/>
      <c r="K32" s="1"/>
      <c r="L32" s="1"/>
    </row>
    <row r="33" spans="1:12">
      <c r="A33" s="1"/>
      <c r="B33" s="255"/>
      <c r="C33" s="1"/>
      <c r="D33" s="1"/>
      <c r="E33" s="255"/>
      <c r="F33" s="1"/>
      <c r="G33" s="1"/>
      <c r="H33" s="1"/>
      <c r="I33" s="1"/>
      <c r="K33" s="1"/>
      <c r="L33" s="1"/>
    </row>
    <row r="34" spans="1:12">
      <c r="A34" s="1"/>
      <c r="B34" s="255"/>
      <c r="C34" s="1"/>
      <c r="D34" s="1"/>
      <c r="E34" s="255"/>
      <c r="F34" s="1"/>
      <c r="G34" s="1"/>
      <c r="H34" s="1"/>
      <c r="I34" s="1"/>
      <c r="K34" s="1"/>
      <c r="L34" s="1"/>
    </row>
    <row r="35" spans="1:12">
      <c r="A35" s="1"/>
      <c r="B35" s="255"/>
      <c r="C35" s="1"/>
      <c r="D35" s="1"/>
      <c r="E35" s="255"/>
      <c r="F35" s="1"/>
      <c r="G35" s="1"/>
      <c r="H35" s="1"/>
      <c r="I35" s="1"/>
      <c r="K35" s="1"/>
      <c r="L35" s="1"/>
    </row>
    <row r="36" spans="1:12">
      <c r="A36" s="1"/>
      <c r="B36" s="255"/>
      <c r="C36" s="1"/>
      <c r="D36" s="1"/>
      <c r="E36" s="255"/>
      <c r="F36" s="1"/>
      <c r="G36" s="1"/>
      <c r="H36" s="1"/>
      <c r="I36" s="1"/>
      <c r="K36" s="1"/>
      <c r="L36" s="1"/>
    </row>
    <row r="37" spans="1:12">
      <c r="A37" s="1"/>
      <c r="B37" s="255"/>
      <c r="C37" s="1"/>
      <c r="D37" s="1"/>
      <c r="E37" s="255"/>
      <c r="F37" s="1"/>
      <c r="G37" s="1"/>
      <c r="H37" s="1"/>
      <c r="I37" s="1"/>
      <c r="K37" s="1"/>
      <c r="L37" s="1"/>
    </row>
    <row r="38" spans="1:12">
      <c r="A38" s="1"/>
      <c r="B38" s="255"/>
      <c r="C38" s="1"/>
      <c r="D38" s="1"/>
      <c r="E38" s="255"/>
      <c r="F38" s="1"/>
      <c r="G38" s="1"/>
      <c r="H38" s="1"/>
      <c r="I38" s="1"/>
      <c r="K38" s="1"/>
      <c r="L38" s="1"/>
    </row>
    <row r="39" spans="1:12">
      <c r="A39" s="1"/>
      <c r="B39" s="255"/>
      <c r="C39" s="1"/>
      <c r="D39" s="1"/>
      <c r="E39" s="255"/>
      <c r="F39" s="1"/>
      <c r="G39" s="1"/>
      <c r="H39" s="1"/>
      <c r="I39" s="1"/>
      <c r="K39" s="1"/>
      <c r="L39" s="1"/>
    </row>
    <row r="40" spans="1:12">
      <c r="A40" s="1"/>
      <c r="B40" s="255"/>
      <c r="C40" s="1"/>
      <c r="D40" s="1"/>
      <c r="E40" s="255"/>
      <c r="F40" s="1"/>
      <c r="G40" s="1"/>
      <c r="H40" s="1"/>
      <c r="I40" s="1"/>
      <c r="K40" s="1"/>
      <c r="L40" s="1"/>
    </row>
    <row r="41" spans="1:12">
      <c r="A41" s="1"/>
      <c r="B41" s="255"/>
      <c r="C41" s="1"/>
      <c r="D41" s="1"/>
      <c r="E41" s="255"/>
      <c r="F41" s="1"/>
      <c r="G41" s="1"/>
      <c r="H41" s="1"/>
      <c r="I41" s="1"/>
      <c r="K41" s="1"/>
      <c r="L41" s="1"/>
    </row>
    <row r="42" spans="1:12">
      <c r="A42" s="1"/>
      <c r="B42" s="255"/>
      <c r="C42" s="1"/>
      <c r="D42" s="1"/>
      <c r="E42" s="255"/>
      <c r="F42" s="1"/>
      <c r="G42" s="1"/>
      <c r="H42" s="1"/>
      <c r="I42" s="1"/>
      <c r="K42" s="1"/>
      <c r="L42" s="1"/>
    </row>
    <row r="43" spans="1:12">
      <c r="A43" s="1"/>
      <c r="B43" s="255"/>
      <c r="C43" s="1"/>
      <c r="D43" s="1"/>
      <c r="E43" s="255"/>
      <c r="F43" s="1"/>
      <c r="G43" s="1"/>
      <c r="H43" s="1"/>
      <c r="I43" s="1"/>
      <c r="K43" s="1"/>
      <c r="L43" s="1"/>
    </row>
    <row r="44" spans="1:12">
      <c r="A44" s="1"/>
      <c r="B44" s="255"/>
      <c r="C44" s="1"/>
      <c r="D44" s="1"/>
      <c r="E44" s="255"/>
      <c r="F44" s="1"/>
      <c r="G44" s="1"/>
      <c r="H44" s="1"/>
      <c r="I44" s="1"/>
      <c r="K44" s="1"/>
      <c r="L44" s="1"/>
    </row>
    <row r="45" spans="1:12">
      <c r="A45" s="1"/>
      <c r="B45" s="255"/>
      <c r="C45" s="1"/>
      <c r="D45" s="1"/>
      <c r="E45" s="255"/>
      <c r="F45" s="1"/>
      <c r="G45" s="1"/>
      <c r="H45" s="1"/>
      <c r="I45" s="1"/>
      <c r="K45" s="1"/>
      <c r="L45" s="1"/>
    </row>
    <row r="46" spans="1:12">
      <c r="A46" s="1"/>
      <c r="B46" s="255"/>
      <c r="C46" s="1"/>
      <c r="D46" s="1"/>
      <c r="E46" s="255"/>
      <c r="F46" s="1"/>
      <c r="G46" s="1"/>
      <c r="H46" s="1"/>
      <c r="I46" s="1"/>
      <c r="K46" s="1"/>
      <c r="L46" s="1"/>
    </row>
    <row r="47" spans="1:12">
      <c r="A47" s="1"/>
      <c r="B47" s="255"/>
      <c r="C47" s="1"/>
      <c r="D47" s="1"/>
      <c r="E47" s="255"/>
      <c r="F47" s="1"/>
      <c r="G47" s="1"/>
      <c r="H47" s="1"/>
      <c r="I47" s="1"/>
      <c r="K47" s="1"/>
      <c r="L47" s="1"/>
    </row>
    <row r="48" spans="1:12">
      <c r="A48" s="1"/>
      <c r="B48" s="255"/>
      <c r="C48" s="1"/>
      <c r="D48" s="1"/>
      <c r="E48" s="255"/>
      <c r="F48" s="1"/>
      <c r="G48" s="1"/>
      <c r="H48" s="1"/>
      <c r="I48" s="1"/>
      <c r="K48" s="1"/>
      <c r="L48" s="1"/>
    </row>
    <row r="49" spans="1:12">
      <c r="A49" s="1"/>
      <c r="B49" s="255"/>
      <c r="C49" s="1"/>
      <c r="D49" s="1"/>
      <c r="E49" s="255"/>
      <c r="F49" s="1"/>
      <c r="G49" s="1"/>
      <c r="H49" s="1"/>
      <c r="I49" s="1"/>
      <c r="K49" s="1"/>
      <c r="L49" s="1"/>
    </row>
    <row r="50" spans="1:12">
      <c r="A50" s="1"/>
      <c r="B50" s="255"/>
      <c r="C50" s="1"/>
      <c r="D50" s="1"/>
      <c r="E50" s="255"/>
      <c r="F50" s="1"/>
      <c r="G50" s="1"/>
      <c r="H50" s="1"/>
      <c r="I50" s="1"/>
      <c r="K50" s="1"/>
      <c r="L50" s="1"/>
    </row>
    <row r="51" spans="1:12">
      <c r="A51" s="1"/>
      <c r="B51" s="255"/>
      <c r="C51" s="1"/>
      <c r="D51" s="1"/>
      <c r="E51" s="255"/>
      <c r="F51" s="1"/>
      <c r="G51" s="1"/>
      <c r="H51" s="1"/>
      <c r="I51" s="1"/>
      <c r="K51" s="1"/>
      <c r="L51" s="1"/>
    </row>
    <row r="52" spans="1:12">
      <c r="A52" s="1"/>
      <c r="B52" s="255"/>
      <c r="C52" s="1"/>
      <c r="D52" s="1"/>
      <c r="E52" s="255"/>
      <c r="F52" s="1"/>
      <c r="G52" s="1"/>
      <c r="H52" s="1"/>
      <c r="I52" s="1"/>
      <c r="K52" s="1"/>
      <c r="L52" s="1"/>
    </row>
    <row r="53" spans="1:12">
      <c r="A53" s="1"/>
      <c r="B53" s="255"/>
      <c r="C53" s="1"/>
      <c r="D53" s="1"/>
      <c r="E53" s="255"/>
      <c r="F53" s="1"/>
      <c r="G53" s="1"/>
      <c r="H53" s="1"/>
      <c r="I53" s="1"/>
      <c r="K53" s="1"/>
      <c r="L53" s="1"/>
    </row>
    <row r="54" spans="1:12">
      <c r="A54" s="1"/>
      <c r="B54" s="255"/>
      <c r="C54" s="1"/>
      <c r="D54" s="1"/>
      <c r="E54" s="255"/>
      <c r="F54" s="1"/>
      <c r="G54" s="1"/>
      <c r="H54" s="1"/>
      <c r="I54" s="1"/>
      <c r="K54" s="1"/>
      <c r="L54" s="1"/>
    </row>
    <row r="55" spans="1:12">
      <c r="A55" s="1"/>
      <c r="B55" s="255"/>
      <c r="C55" s="1"/>
      <c r="D55" s="1"/>
      <c r="E55" s="255"/>
      <c r="F55" s="1"/>
      <c r="G55" s="1"/>
      <c r="H55" s="1"/>
      <c r="I55" s="1"/>
      <c r="K55" s="1"/>
      <c r="L55" s="1"/>
    </row>
    <row r="56" spans="1:12">
      <c r="A56" s="1"/>
      <c r="B56" s="255"/>
      <c r="C56" s="1"/>
      <c r="D56" s="1"/>
      <c r="E56" s="255"/>
      <c r="F56" s="1"/>
      <c r="G56" s="1"/>
      <c r="H56" s="1"/>
      <c r="I56" s="1"/>
      <c r="K56" s="1"/>
      <c r="L56" s="1"/>
    </row>
    <row r="57" spans="1:12">
      <c r="A57" s="1"/>
      <c r="B57" s="255"/>
      <c r="C57" s="1"/>
      <c r="D57" s="1"/>
      <c r="E57" s="255"/>
      <c r="F57" s="1"/>
      <c r="G57" s="1"/>
      <c r="H57" s="1"/>
      <c r="I57" s="1"/>
      <c r="K57" s="1"/>
      <c r="L57" s="1"/>
    </row>
    <row r="58" spans="1:12">
      <c r="A58" s="1"/>
      <c r="B58" s="255"/>
      <c r="C58" s="1"/>
      <c r="D58" s="1"/>
      <c r="E58" s="255"/>
      <c r="F58" s="1"/>
      <c r="G58" s="1"/>
      <c r="H58" s="1"/>
      <c r="I58" s="1"/>
      <c r="K58" s="1"/>
      <c r="L58" s="1"/>
    </row>
    <row r="59" spans="1:12">
      <c r="A59" s="1"/>
      <c r="B59" s="255"/>
      <c r="C59" s="1"/>
      <c r="D59" s="1"/>
      <c r="E59" s="255"/>
      <c r="F59" s="1"/>
      <c r="G59" s="1"/>
      <c r="H59" s="1"/>
      <c r="I59" s="1"/>
      <c r="K59" s="1"/>
      <c r="L59" s="1"/>
    </row>
    <row r="60" spans="1:12">
      <c r="A60" s="1"/>
      <c r="B60" s="255"/>
      <c r="C60" s="1"/>
      <c r="D60" s="1"/>
      <c r="E60" s="255"/>
      <c r="F60" s="1"/>
      <c r="G60" s="1"/>
      <c r="H60" s="1"/>
      <c r="I60" s="1"/>
      <c r="K60" s="1"/>
      <c r="L60" s="1"/>
    </row>
    <row r="61" spans="1:12">
      <c r="A61" s="1"/>
      <c r="B61" s="255"/>
      <c r="C61" s="1"/>
      <c r="D61" s="1"/>
      <c r="E61" s="255"/>
      <c r="F61" s="1"/>
      <c r="G61" s="1"/>
      <c r="H61" s="1"/>
      <c r="I61" s="1"/>
      <c r="K61" s="1"/>
      <c r="L61" s="1"/>
    </row>
    <row r="62" spans="1:12">
      <c r="A62" s="1"/>
      <c r="B62" s="255"/>
      <c r="C62" s="1"/>
      <c r="D62" s="1"/>
      <c r="E62" s="255"/>
      <c r="F62" s="1"/>
      <c r="G62" s="1"/>
      <c r="H62" s="1"/>
      <c r="I62" s="1"/>
      <c r="K62" s="1"/>
      <c r="L62" s="1"/>
    </row>
    <row r="63" spans="1:12">
      <c r="A63" s="1"/>
      <c r="B63" s="255"/>
      <c r="C63" s="1"/>
      <c r="D63" s="1"/>
      <c r="E63" s="255"/>
      <c r="F63" s="1"/>
      <c r="G63" s="1"/>
      <c r="H63" s="1"/>
      <c r="I63" s="1"/>
      <c r="K63" s="1"/>
      <c r="L63" s="1"/>
    </row>
    <row r="64" spans="1:12">
      <c r="A64" s="1"/>
      <c r="B64" s="255"/>
      <c r="C64" s="1"/>
      <c r="D64" s="1"/>
      <c r="E64" s="255"/>
      <c r="F64" s="1"/>
      <c r="G64" s="1"/>
      <c r="H64" s="1"/>
      <c r="I64" s="1"/>
      <c r="K64" s="1"/>
      <c r="L64" s="1"/>
    </row>
    <row r="65" spans="1:12">
      <c r="A65" s="1"/>
      <c r="B65" s="255"/>
      <c r="C65" s="1"/>
      <c r="D65" s="1"/>
      <c r="E65" s="255"/>
      <c r="F65" s="1"/>
      <c r="G65" s="1"/>
      <c r="H65" s="1"/>
      <c r="I65" s="1"/>
      <c r="K65" s="1"/>
      <c r="L65" s="1"/>
    </row>
    <row r="66" spans="1:12">
      <c r="A66" s="1"/>
      <c r="B66" s="255"/>
      <c r="C66" s="1"/>
      <c r="D66" s="1"/>
      <c r="E66" s="255"/>
      <c r="F66" s="1"/>
      <c r="G66" s="1"/>
      <c r="H66" s="1"/>
      <c r="I66" s="1"/>
      <c r="K66" s="1"/>
      <c r="L66" s="1"/>
    </row>
    <row r="67" spans="1:12">
      <c r="A67" s="1"/>
      <c r="B67" s="255"/>
      <c r="C67" s="1"/>
      <c r="D67" s="1"/>
      <c r="E67" s="255"/>
      <c r="F67" s="1"/>
      <c r="G67" s="1"/>
      <c r="H67" s="1"/>
      <c r="I67" s="1"/>
      <c r="K67" s="1"/>
      <c r="L67" s="1"/>
    </row>
    <row r="68" spans="1:12">
      <c r="A68" s="1"/>
      <c r="B68" s="255"/>
      <c r="C68" s="1"/>
      <c r="D68" s="1"/>
      <c r="E68" s="255"/>
      <c r="F68" s="1"/>
      <c r="G68" s="1"/>
      <c r="H68" s="1"/>
      <c r="I68" s="1"/>
      <c r="K68" s="1"/>
      <c r="L68" s="1"/>
    </row>
    <row r="69" spans="1:12">
      <c r="A69" s="1"/>
      <c r="B69" s="255"/>
      <c r="C69" s="1"/>
      <c r="D69" s="1"/>
      <c r="E69" s="255"/>
      <c r="F69" s="1"/>
      <c r="G69" s="1"/>
      <c r="H69" s="1"/>
      <c r="I69" s="1"/>
      <c r="K69" s="1"/>
      <c r="L69" s="1"/>
    </row>
    <row r="70" spans="1:12">
      <c r="A70" s="1"/>
      <c r="B70" s="255"/>
      <c r="C70" s="1"/>
      <c r="D70" s="1"/>
      <c r="E70" s="255"/>
      <c r="F70" s="1"/>
      <c r="G70" s="1"/>
      <c r="H70" s="1"/>
      <c r="I70" s="1"/>
      <c r="K70" s="1"/>
      <c r="L70" s="1"/>
    </row>
    <row r="71" spans="1:12">
      <c r="A71" s="1"/>
      <c r="B71" s="255"/>
      <c r="C71" s="1"/>
      <c r="D71" s="1"/>
      <c r="E71" s="255"/>
      <c r="F71" s="1"/>
      <c r="G71" s="1"/>
      <c r="H71" s="1"/>
      <c r="I71" s="1"/>
      <c r="K71" s="1"/>
      <c r="L71" s="1"/>
    </row>
    <row r="72" spans="1:12">
      <c r="A72" s="1"/>
      <c r="B72" s="255"/>
      <c r="C72" s="1"/>
      <c r="D72" s="1"/>
      <c r="E72" s="255"/>
      <c r="F72" s="1"/>
      <c r="G72" s="1"/>
      <c r="H72" s="1"/>
      <c r="I72" s="1"/>
      <c r="K72" s="1"/>
      <c r="L72" s="1"/>
    </row>
    <row r="73" spans="1:12">
      <c r="A73" s="1"/>
      <c r="B73" s="255"/>
      <c r="C73" s="1"/>
      <c r="D73" s="1"/>
      <c r="E73" s="255"/>
      <c r="F73" s="1"/>
      <c r="G73" s="1"/>
      <c r="H73" s="1"/>
      <c r="I73" s="1"/>
      <c r="K73" s="1"/>
      <c r="L73" s="1"/>
    </row>
    <row r="74" spans="1:12">
      <c r="A74" s="1"/>
      <c r="B74" s="255"/>
      <c r="C74" s="1"/>
      <c r="D74" s="1"/>
      <c r="E74" s="255"/>
      <c r="F74" s="1"/>
      <c r="G74" s="1"/>
      <c r="H74" s="1"/>
      <c r="I74" s="1"/>
      <c r="K74" s="1"/>
      <c r="L74" s="1"/>
    </row>
    <row r="75" spans="1:12">
      <c r="A75" s="1"/>
      <c r="B75" s="255"/>
      <c r="C75" s="1"/>
      <c r="D75" s="1"/>
      <c r="E75" s="255"/>
      <c r="F75" s="1"/>
      <c r="G75" s="1"/>
      <c r="H75" s="1"/>
      <c r="I75" s="1"/>
      <c r="K75" s="1"/>
      <c r="L75" s="1"/>
    </row>
    <row r="76" spans="1:12">
      <c r="A76" s="1"/>
      <c r="B76" s="255"/>
      <c r="C76" s="1"/>
      <c r="D76" s="1"/>
      <c r="E76" s="255"/>
      <c r="F76" s="1"/>
      <c r="G76" s="1"/>
      <c r="H76" s="1"/>
      <c r="I76" s="1"/>
      <c r="K76" s="1"/>
      <c r="L76" s="1"/>
    </row>
    <row r="77" spans="1:12">
      <c r="A77" s="1"/>
      <c r="B77" s="255"/>
      <c r="C77" s="1"/>
      <c r="D77" s="1"/>
      <c r="E77" s="255"/>
      <c r="F77" s="1"/>
      <c r="G77" s="1"/>
      <c r="H77" s="1"/>
      <c r="I77" s="1"/>
      <c r="K77" s="1"/>
      <c r="L77" s="1"/>
    </row>
    <row r="78" spans="1:12">
      <c r="A78" s="1"/>
      <c r="B78" s="255"/>
      <c r="C78" s="1"/>
      <c r="D78" s="1"/>
      <c r="E78" s="255"/>
      <c r="F78" s="1"/>
      <c r="G78" s="1"/>
      <c r="H78" s="1"/>
      <c r="I78" s="1"/>
      <c r="K78" s="1"/>
      <c r="L78" s="1"/>
    </row>
    <row r="79" spans="1:12">
      <c r="A79" s="1"/>
      <c r="B79" s="255"/>
      <c r="C79" s="1"/>
      <c r="D79" s="1"/>
      <c r="E79" s="255"/>
      <c r="F79" s="1"/>
      <c r="G79" s="1"/>
      <c r="H79" s="1"/>
      <c r="I79" s="1"/>
      <c r="K79" s="1"/>
      <c r="L79" s="1"/>
    </row>
    <row r="80" spans="1:12">
      <c r="A80" s="1"/>
      <c r="B80" s="255"/>
      <c r="C80" s="1"/>
      <c r="D80" s="1"/>
      <c r="E80" s="255"/>
      <c r="F80" s="1"/>
      <c r="G80" s="1"/>
      <c r="H80" s="1"/>
      <c r="I80" s="1"/>
      <c r="K80" s="1"/>
      <c r="L80" s="1"/>
    </row>
    <row r="81" spans="1:12">
      <c r="A81" s="1"/>
      <c r="B81" s="255"/>
      <c r="C81" s="1"/>
      <c r="D81" s="1"/>
      <c r="E81" s="255"/>
      <c r="F81" s="1"/>
      <c r="G81" s="1"/>
      <c r="H81" s="1"/>
      <c r="I81" s="1"/>
      <c r="K81" s="1"/>
      <c r="L81" s="1"/>
    </row>
    <row r="82" spans="1:12">
      <c r="A82" s="1"/>
      <c r="B82" s="255"/>
      <c r="C82" s="1"/>
      <c r="D82" s="1"/>
      <c r="E82" s="255"/>
      <c r="F82" s="1"/>
      <c r="G82" s="1"/>
      <c r="H82" s="1"/>
      <c r="I82" s="1"/>
      <c r="K82" s="1"/>
      <c r="L82" s="1"/>
    </row>
    <row r="83" spans="1:12">
      <c r="A83" s="1"/>
      <c r="B83" s="255"/>
      <c r="C83" s="1"/>
      <c r="D83" s="1"/>
      <c r="E83" s="255"/>
      <c r="F83" s="1"/>
      <c r="G83" s="1"/>
      <c r="H83" s="1"/>
      <c r="I83" s="1"/>
      <c r="K83" s="1"/>
      <c r="L83" s="1"/>
    </row>
    <row r="84" spans="1:12">
      <c r="A84" s="1"/>
      <c r="B84" s="255"/>
      <c r="C84" s="1"/>
      <c r="D84" s="1"/>
      <c r="E84" s="255"/>
      <c r="F84" s="1"/>
      <c r="G84" s="1"/>
      <c r="H84" s="1"/>
      <c r="I84" s="1"/>
      <c r="K84" s="1"/>
      <c r="L84" s="1"/>
    </row>
    <row r="85" spans="1:12">
      <c r="A85" s="1"/>
      <c r="B85" s="255"/>
      <c r="C85" s="1"/>
      <c r="D85" s="1"/>
      <c r="E85" s="255"/>
      <c r="F85" s="1"/>
      <c r="G85" s="1"/>
      <c r="H85" s="1"/>
      <c r="I85" s="1"/>
      <c r="K85" s="1"/>
      <c r="L85" s="1"/>
    </row>
    <row r="86" spans="1:12">
      <c r="A86" s="1"/>
      <c r="B86" s="255"/>
      <c r="C86" s="1"/>
      <c r="D86" s="1"/>
      <c r="E86" s="255"/>
      <c r="F86" s="1"/>
      <c r="G86" s="1"/>
      <c r="H86" s="1"/>
      <c r="I86" s="1"/>
      <c r="K86" s="1"/>
      <c r="L86" s="1"/>
    </row>
    <row r="87" spans="1:12">
      <c r="A87" s="1"/>
      <c r="B87" s="255"/>
      <c r="C87" s="1"/>
      <c r="D87" s="1"/>
      <c r="E87" s="255"/>
      <c r="F87" s="1"/>
      <c r="G87" s="1"/>
      <c r="H87" s="1"/>
      <c r="I87" s="1"/>
      <c r="K87" s="1"/>
      <c r="L87" s="1"/>
    </row>
    <row r="88" spans="1:12">
      <c r="A88" s="1"/>
      <c r="B88" s="255"/>
      <c r="C88" s="1"/>
      <c r="D88" s="1"/>
      <c r="E88" s="255"/>
      <c r="F88" s="1"/>
      <c r="G88" s="1"/>
      <c r="H88" s="1"/>
      <c r="I88" s="1"/>
      <c r="K88" s="1"/>
      <c r="L88" s="1"/>
    </row>
    <row r="89" spans="1:12">
      <c r="A89" s="1"/>
      <c r="B89" s="255"/>
      <c r="C89" s="1"/>
      <c r="D89" s="1"/>
      <c r="E89" s="255"/>
      <c r="F89" s="1"/>
      <c r="G89" s="1"/>
      <c r="H89" s="1"/>
      <c r="I89" s="1"/>
      <c r="K89" s="1"/>
      <c r="L89" s="1"/>
    </row>
    <row r="90" spans="1:12">
      <c r="A90" s="1"/>
      <c r="B90" s="255"/>
      <c r="C90" s="1"/>
      <c r="D90" s="1"/>
      <c r="E90" s="255"/>
      <c r="F90" s="1"/>
      <c r="G90" s="1"/>
      <c r="H90" s="1"/>
      <c r="I90" s="1"/>
      <c r="K90" s="1"/>
      <c r="L90" s="1"/>
    </row>
    <row r="91" spans="1:12">
      <c r="A91" s="1"/>
      <c r="B91" s="255"/>
      <c r="C91" s="1"/>
      <c r="D91" s="1"/>
      <c r="E91" s="255"/>
      <c r="F91" s="1"/>
      <c r="G91" s="1"/>
      <c r="H91" s="1"/>
      <c r="I91" s="1"/>
      <c r="K91" s="1"/>
      <c r="L91" s="1"/>
    </row>
    <row r="92" spans="1:12">
      <c r="A92" s="1"/>
      <c r="B92" s="255"/>
      <c r="C92" s="1"/>
      <c r="D92" s="1"/>
      <c r="E92" s="255"/>
      <c r="F92" s="1"/>
      <c r="G92" s="1"/>
      <c r="H92" s="1"/>
      <c r="I92" s="1"/>
      <c r="K92" s="1"/>
      <c r="L92" s="1"/>
    </row>
    <row r="93" spans="1:12">
      <c r="A93" s="1"/>
      <c r="B93" s="255"/>
      <c r="C93" s="1"/>
      <c r="D93" s="1"/>
      <c r="E93" s="255"/>
      <c r="F93" s="1"/>
      <c r="G93" s="1"/>
      <c r="H93" s="1"/>
      <c r="I93" s="1"/>
      <c r="K93" s="1"/>
      <c r="L93" s="1"/>
    </row>
    <row r="94" spans="1:12">
      <c r="A94" s="1"/>
      <c r="B94" s="255"/>
      <c r="C94" s="1"/>
      <c r="D94" s="1"/>
      <c r="E94" s="255"/>
      <c r="F94" s="1"/>
      <c r="G94" s="1"/>
      <c r="H94" s="1"/>
      <c r="I94" s="1"/>
      <c r="K94" s="1"/>
      <c r="L94" s="1"/>
    </row>
    <row r="95" spans="1:12">
      <c r="A95" s="1"/>
      <c r="B95" s="255"/>
      <c r="C95" s="1"/>
      <c r="D95" s="1"/>
      <c r="E95" s="255"/>
      <c r="F95" s="1"/>
      <c r="G95" s="1"/>
      <c r="H95" s="1"/>
      <c r="I95" s="1"/>
      <c r="K95" s="1"/>
      <c r="L95" s="1"/>
    </row>
    <row r="96" spans="1:12">
      <c r="A96" s="1"/>
      <c r="B96" s="255"/>
      <c r="C96" s="1"/>
      <c r="D96" s="1"/>
      <c r="E96" s="255"/>
      <c r="F96" s="1"/>
      <c r="G96" s="1"/>
      <c r="H96" s="1"/>
      <c r="I96" s="1"/>
      <c r="K96" s="1"/>
      <c r="L96" s="1"/>
    </row>
    <row r="97" spans="1:12">
      <c r="A97" s="1"/>
      <c r="B97" s="255"/>
      <c r="C97" s="1"/>
      <c r="D97" s="1"/>
      <c r="E97" s="255"/>
      <c r="F97" s="1"/>
      <c r="G97" s="1"/>
      <c r="H97" s="1"/>
      <c r="I97" s="1"/>
      <c r="K97" s="1"/>
      <c r="L97" s="1"/>
    </row>
    <row r="98" spans="1:12">
      <c r="A98" s="1"/>
      <c r="B98" s="255"/>
      <c r="C98" s="1"/>
      <c r="D98" s="1"/>
      <c r="E98" s="255"/>
      <c r="F98" s="1"/>
      <c r="G98" s="1"/>
      <c r="H98" s="1"/>
      <c r="I98" s="1"/>
      <c r="K98" s="1"/>
      <c r="L98" s="1"/>
    </row>
    <row r="99" spans="1:12">
      <c r="A99" s="1"/>
      <c r="B99" s="255"/>
      <c r="C99" s="1"/>
      <c r="D99" s="1"/>
      <c r="E99" s="255"/>
      <c r="F99" s="1"/>
      <c r="G99" s="1"/>
      <c r="H99" s="1"/>
      <c r="I99" s="1"/>
      <c r="K99" s="1"/>
      <c r="L99" s="1"/>
    </row>
    <row r="100" spans="1:12">
      <c r="A100" s="1"/>
      <c r="B100" s="255"/>
      <c r="C100" s="1"/>
      <c r="D100" s="1"/>
      <c r="E100" s="255"/>
      <c r="F100" s="1"/>
      <c r="G100" s="1"/>
      <c r="H100" s="1"/>
      <c r="I100" s="1"/>
      <c r="K100" s="1"/>
      <c r="L100" s="1"/>
    </row>
    <row r="101" spans="1:12">
      <c r="A101" s="1"/>
      <c r="B101" s="255"/>
      <c r="C101" s="1"/>
      <c r="D101" s="1"/>
      <c r="E101" s="255"/>
      <c r="F101" s="1"/>
      <c r="G101" s="1"/>
      <c r="H101" s="1"/>
      <c r="I101" s="1"/>
      <c r="K101" s="1"/>
      <c r="L101" s="1"/>
    </row>
    <row r="102" spans="1:12">
      <c r="A102" s="1"/>
      <c r="B102" s="255"/>
      <c r="C102" s="1"/>
      <c r="D102" s="1"/>
      <c r="E102" s="255"/>
      <c r="F102" s="1"/>
      <c r="G102" s="1"/>
      <c r="H102" s="1"/>
      <c r="I102" s="1"/>
      <c r="K102" s="1"/>
      <c r="L102" s="1"/>
    </row>
    <row r="103" spans="1:12">
      <c r="A103" s="1"/>
      <c r="B103" s="255"/>
      <c r="C103" s="1"/>
      <c r="D103" s="1"/>
      <c r="E103" s="255"/>
      <c r="F103" s="1"/>
      <c r="G103" s="1"/>
      <c r="H103" s="1"/>
      <c r="I103" s="1"/>
      <c r="K103" s="1"/>
      <c r="L103" s="1"/>
    </row>
    <row r="104" spans="1:12">
      <c r="A104" s="1"/>
      <c r="B104" s="255"/>
      <c r="C104" s="1"/>
      <c r="D104" s="1"/>
      <c r="E104" s="255"/>
      <c r="F104" s="1"/>
      <c r="G104" s="1"/>
      <c r="H104" s="1"/>
      <c r="I104" s="1"/>
      <c r="K104" s="1"/>
      <c r="L104" s="1"/>
    </row>
    <row r="105" spans="1:12">
      <c r="A105" s="1"/>
      <c r="B105" s="255"/>
      <c r="C105" s="1"/>
      <c r="D105" s="1"/>
      <c r="E105" s="255"/>
      <c r="F105" s="1"/>
      <c r="G105" s="1"/>
      <c r="H105" s="1"/>
      <c r="I105" s="1"/>
      <c r="K105" s="1"/>
      <c r="L105" s="1"/>
    </row>
    <row r="106" spans="1:12">
      <c r="A106" s="1"/>
      <c r="B106" s="255"/>
      <c r="C106" s="1"/>
      <c r="D106" s="1"/>
      <c r="E106" s="255"/>
      <c r="F106" s="1"/>
      <c r="G106" s="1"/>
      <c r="H106" s="1"/>
      <c r="I106" s="1"/>
      <c r="K106" s="1"/>
      <c r="L106" s="1"/>
    </row>
    <row r="107" spans="1:12">
      <c r="A107" s="1"/>
      <c r="B107" s="255"/>
      <c r="C107" s="1"/>
      <c r="D107" s="1"/>
      <c r="E107" s="255"/>
      <c r="F107" s="1"/>
      <c r="G107" s="1"/>
      <c r="H107" s="1"/>
      <c r="I107" s="1"/>
      <c r="K107" s="1"/>
      <c r="L107" s="1"/>
    </row>
    <row r="108" spans="1:12">
      <c r="A108" s="1"/>
      <c r="B108" s="255"/>
      <c r="C108" s="1"/>
      <c r="D108" s="1"/>
      <c r="E108" s="255"/>
      <c r="F108" s="1"/>
      <c r="G108" s="1"/>
      <c r="H108" s="1"/>
      <c r="I108" s="1"/>
      <c r="K108" s="1"/>
      <c r="L108" s="1"/>
    </row>
    <row r="109" spans="1:12">
      <c r="A109" s="1"/>
      <c r="B109" s="255"/>
      <c r="C109" s="1"/>
      <c r="D109" s="1"/>
      <c r="E109" s="255"/>
      <c r="F109" s="1"/>
      <c r="G109" s="1"/>
      <c r="H109" s="1"/>
      <c r="I109" s="1"/>
      <c r="K109" s="1"/>
      <c r="L109" s="1"/>
    </row>
    <row r="110" spans="1:12">
      <c r="A110" s="1"/>
      <c r="B110" s="255"/>
      <c r="C110" s="1"/>
      <c r="D110" s="1"/>
      <c r="E110" s="255"/>
      <c r="F110" s="1"/>
      <c r="G110" s="1"/>
      <c r="H110" s="1"/>
      <c r="I110" s="1"/>
      <c r="K110" s="1"/>
      <c r="L110" s="1"/>
    </row>
    <row r="111" spans="1:12">
      <c r="A111" s="1"/>
      <c r="B111" s="255"/>
      <c r="C111" s="1"/>
      <c r="D111" s="1"/>
      <c r="E111" s="255"/>
      <c r="F111" s="1"/>
      <c r="G111" s="1"/>
      <c r="H111" s="1"/>
      <c r="I111" s="1"/>
      <c r="K111" s="1"/>
      <c r="L111" s="1"/>
    </row>
    <row r="112" spans="1:12">
      <c r="A112" s="1"/>
      <c r="B112" s="255"/>
      <c r="C112" s="1"/>
      <c r="D112" s="1"/>
      <c r="E112" s="255"/>
      <c r="F112" s="1"/>
      <c r="G112" s="1"/>
      <c r="H112" s="1"/>
      <c r="I112" s="1"/>
      <c r="K112" s="1"/>
      <c r="L112" s="1"/>
    </row>
    <row r="113" spans="1:12">
      <c r="A113" s="1"/>
      <c r="B113" s="255"/>
      <c r="C113" s="1"/>
      <c r="D113" s="1"/>
      <c r="E113" s="255"/>
      <c r="F113" s="1"/>
      <c r="G113" s="1"/>
      <c r="H113" s="1"/>
      <c r="I113" s="1"/>
      <c r="K113" s="1"/>
      <c r="L113" s="1"/>
    </row>
    <row r="114" spans="1:12">
      <c r="A114" s="1"/>
      <c r="B114" s="255"/>
      <c r="C114" s="1"/>
      <c r="D114" s="1"/>
      <c r="E114" s="255"/>
      <c r="F114" s="1"/>
      <c r="G114" s="1"/>
      <c r="H114" s="1"/>
      <c r="I114" s="1"/>
      <c r="K114" s="1"/>
      <c r="L114" s="1"/>
    </row>
    <row r="115" spans="1:12">
      <c r="A115" s="1"/>
      <c r="B115" s="255"/>
      <c r="C115" s="1"/>
      <c r="D115" s="1"/>
      <c r="E115" s="255"/>
      <c r="F115" s="1"/>
      <c r="G115" s="1"/>
      <c r="H115" s="1"/>
      <c r="I115" s="1"/>
      <c r="K115" s="1"/>
      <c r="L115" s="1"/>
    </row>
    <row r="116" spans="1:12">
      <c r="A116" s="1"/>
      <c r="B116" s="255"/>
      <c r="C116" s="1"/>
      <c r="D116" s="1"/>
      <c r="E116" s="255"/>
      <c r="F116" s="1"/>
      <c r="G116" s="1"/>
      <c r="H116" s="1"/>
      <c r="I116" s="1"/>
      <c r="K116" s="1"/>
      <c r="L116" s="1"/>
    </row>
    <row r="117" spans="1:12">
      <c r="A117" s="1"/>
      <c r="B117" s="255"/>
      <c r="C117" s="1"/>
      <c r="D117" s="1"/>
      <c r="E117" s="255"/>
      <c r="F117" s="1"/>
      <c r="G117" s="1"/>
      <c r="H117" s="1"/>
      <c r="I117" s="1"/>
      <c r="K117" s="1"/>
      <c r="L117" s="1"/>
    </row>
    <row r="118" spans="1:12">
      <c r="A118" s="1"/>
      <c r="B118" s="255"/>
      <c r="C118" s="1"/>
      <c r="D118" s="1"/>
      <c r="E118" s="255"/>
      <c r="F118" s="1"/>
      <c r="G118" s="1"/>
      <c r="H118" s="1"/>
      <c r="I118" s="1"/>
      <c r="K118" s="1"/>
      <c r="L118" s="1"/>
    </row>
    <row r="119" spans="1:12">
      <c r="A119" s="1"/>
      <c r="B119" s="255"/>
      <c r="C119" s="1"/>
      <c r="D119" s="1"/>
      <c r="E119" s="255"/>
      <c r="F119" s="1"/>
      <c r="G119" s="1"/>
      <c r="H119" s="1"/>
      <c r="I119" s="1"/>
      <c r="K119" s="1"/>
      <c r="L119" s="1"/>
    </row>
    <row r="120" spans="1:12">
      <c r="A120" s="1"/>
      <c r="B120" s="255"/>
      <c r="C120" s="1"/>
      <c r="D120" s="1"/>
      <c r="E120" s="255"/>
      <c r="F120" s="1"/>
      <c r="G120" s="1"/>
      <c r="H120" s="1"/>
      <c r="I120" s="1"/>
      <c r="K120" s="1"/>
      <c r="L120" s="1"/>
    </row>
    <row r="121" spans="1:12">
      <c r="A121" s="1"/>
      <c r="B121" s="255"/>
      <c r="C121" s="1"/>
      <c r="D121" s="1"/>
      <c r="E121" s="255"/>
      <c r="F121" s="1"/>
      <c r="G121" s="1"/>
      <c r="H121" s="1"/>
      <c r="I121" s="1"/>
      <c r="K121" s="1"/>
      <c r="L121" s="1"/>
    </row>
    <row r="122" spans="1:12">
      <c r="A122" s="1"/>
      <c r="B122" s="255"/>
      <c r="C122" s="1"/>
      <c r="D122" s="1"/>
      <c r="E122" s="255"/>
      <c r="F122" s="1"/>
      <c r="G122" s="1"/>
      <c r="H122" s="1"/>
      <c r="I122" s="1"/>
      <c r="K122" s="1"/>
      <c r="L122" s="1"/>
    </row>
    <row r="123" spans="1:12">
      <c r="A123" s="1"/>
      <c r="B123" s="255"/>
      <c r="C123" s="1"/>
      <c r="D123" s="1"/>
      <c r="E123" s="255"/>
      <c r="F123" s="1"/>
      <c r="G123" s="1"/>
      <c r="H123" s="1"/>
      <c r="I123" s="1"/>
      <c r="K123" s="1"/>
      <c r="L123" s="1"/>
    </row>
    <row r="124" spans="1:12">
      <c r="A124" s="1"/>
      <c r="B124" s="255"/>
      <c r="C124" s="1"/>
      <c r="D124" s="1"/>
      <c r="E124" s="255"/>
      <c r="F124" s="1"/>
      <c r="G124" s="1"/>
      <c r="H124" s="1"/>
      <c r="I124" s="1"/>
      <c r="K124" s="1"/>
      <c r="L124" s="1"/>
    </row>
    <row r="125" spans="1:12">
      <c r="A125" s="1"/>
      <c r="B125" s="255"/>
      <c r="C125" s="1"/>
      <c r="D125" s="1"/>
      <c r="E125" s="255"/>
      <c r="F125" s="1"/>
      <c r="G125" s="1"/>
      <c r="H125" s="1"/>
      <c r="I125" s="1"/>
      <c r="K125" s="1"/>
      <c r="L125" s="1"/>
    </row>
    <row r="126" spans="1:12">
      <c r="A126" s="1"/>
      <c r="B126" s="255"/>
      <c r="C126" s="1"/>
      <c r="D126" s="1"/>
      <c r="E126" s="255"/>
      <c r="F126" s="1"/>
      <c r="G126" s="1"/>
      <c r="H126" s="1"/>
      <c r="I126" s="1"/>
      <c r="K126" s="1"/>
      <c r="L126" s="1"/>
    </row>
    <row r="127" spans="1:12">
      <c r="A127" s="1"/>
      <c r="B127" s="255"/>
      <c r="C127" s="1"/>
      <c r="D127" s="1"/>
      <c r="E127" s="255"/>
      <c r="F127" s="1"/>
      <c r="G127" s="1"/>
      <c r="H127" s="1"/>
      <c r="I127" s="1"/>
      <c r="K127" s="1"/>
      <c r="L127" s="1"/>
    </row>
    <row r="128" spans="1:12">
      <c r="A128" s="1"/>
      <c r="B128" s="255"/>
      <c r="C128" s="1"/>
      <c r="D128" s="1"/>
      <c r="E128" s="255"/>
      <c r="F128" s="1"/>
      <c r="G128" s="1"/>
      <c r="H128" s="1"/>
      <c r="I128" s="1"/>
      <c r="K128" s="1"/>
      <c r="L128" s="1"/>
    </row>
    <row r="129" spans="1:12">
      <c r="A129" s="1"/>
      <c r="B129" s="255"/>
      <c r="C129" s="1"/>
      <c r="D129" s="1"/>
      <c r="E129" s="255"/>
      <c r="F129" s="1"/>
      <c r="G129" s="1"/>
      <c r="H129" s="1"/>
      <c r="I129" s="1"/>
      <c r="K129" s="1"/>
      <c r="L129" s="1"/>
    </row>
    <row r="130" spans="1:12">
      <c r="A130" s="1"/>
      <c r="B130" s="255"/>
      <c r="C130" s="1"/>
      <c r="D130" s="1"/>
      <c r="E130" s="255"/>
      <c r="F130" s="1"/>
      <c r="G130" s="1"/>
      <c r="H130" s="1"/>
      <c r="I130" s="1"/>
      <c r="K130" s="1"/>
      <c r="L130" s="1"/>
    </row>
    <row r="131" spans="1:12">
      <c r="A131" s="1"/>
      <c r="B131" s="255"/>
      <c r="C131" s="1"/>
      <c r="D131" s="1"/>
      <c r="E131" s="255"/>
      <c r="F131" s="1"/>
      <c r="G131" s="1"/>
      <c r="H131" s="1"/>
      <c r="I131" s="1"/>
      <c r="K131" s="1"/>
      <c r="L131" s="1"/>
    </row>
    <row r="132" spans="1:12">
      <c r="A132" s="1"/>
      <c r="B132" s="255"/>
      <c r="C132" s="1"/>
      <c r="D132" s="1"/>
      <c r="E132" s="255"/>
      <c r="F132" s="1"/>
      <c r="G132" s="1"/>
      <c r="H132" s="1"/>
      <c r="I132" s="1"/>
      <c r="K132" s="1"/>
      <c r="L132" s="1"/>
    </row>
    <row r="133" spans="1:12">
      <c r="A133" s="1"/>
      <c r="B133" s="255"/>
      <c r="C133" s="1"/>
      <c r="D133" s="1"/>
      <c r="E133" s="255"/>
      <c r="F133" s="1"/>
      <c r="G133" s="1"/>
      <c r="H133" s="1"/>
      <c r="I133" s="1"/>
      <c r="K133" s="1"/>
      <c r="L133" s="1"/>
    </row>
    <row r="134" spans="1:12">
      <c r="A134" s="1"/>
      <c r="B134" s="255"/>
      <c r="C134" s="1"/>
      <c r="D134" s="1"/>
      <c r="E134" s="255"/>
      <c r="F134" s="1"/>
      <c r="G134" s="1"/>
      <c r="H134" s="1"/>
      <c r="I134" s="1"/>
      <c r="K134" s="1"/>
      <c r="L134" s="1"/>
    </row>
    <row r="135" spans="1:12">
      <c r="A135" s="1"/>
      <c r="B135" s="255"/>
      <c r="C135" s="1"/>
      <c r="D135" s="1"/>
      <c r="E135" s="255"/>
      <c r="F135" s="1"/>
      <c r="G135" s="1"/>
      <c r="H135" s="1"/>
      <c r="I135" s="1"/>
      <c r="K135" s="1"/>
      <c r="L135" s="1"/>
    </row>
    <row r="136" spans="1:12">
      <c r="A136" s="1"/>
      <c r="B136" s="255"/>
      <c r="C136" s="1"/>
      <c r="D136" s="1"/>
      <c r="E136" s="255"/>
      <c r="F136" s="1"/>
      <c r="G136" s="1"/>
      <c r="H136" s="1"/>
      <c r="I136" s="1"/>
      <c r="K136" s="1"/>
      <c r="L136" s="1"/>
    </row>
    <row r="137" spans="1:12">
      <c r="A137" s="1"/>
      <c r="B137" s="255"/>
      <c r="C137" s="1"/>
      <c r="D137" s="1"/>
      <c r="E137" s="255"/>
      <c r="F137" s="1"/>
      <c r="G137" s="1"/>
      <c r="H137" s="1"/>
      <c r="I137" s="1"/>
      <c r="K137" s="1"/>
      <c r="L137" s="1"/>
    </row>
    <row r="138" spans="1:12">
      <c r="A138" s="1"/>
      <c r="B138" s="255"/>
      <c r="C138" s="1"/>
      <c r="D138" s="1"/>
      <c r="E138" s="255"/>
      <c r="F138" s="1"/>
      <c r="G138" s="1"/>
      <c r="H138" s="1"/>
      <c r="I138" s="1"/>
      <c r="K138" s="1"/>
      <c r="L138" s="1"/>
    </row>
    <row r="139" spans="1:12">
      <c r="A139" s="1"/>
      <c r="B139" s="255"/>
      <c r="C139" s="1"/>
      <c r="D139" s="1"/>
      <c r="E139" s="255"/>
      <c r="F139" s="1"/>
      <c r="G139" s="1"/>
      <c r="H139" s="1"/>
      <c r="I139" s="1"/>
      <c r="K139" s="1"/>
      <c r="L139" s="1"/>
    </row>
    <row r="140" spans="1:12">
      <c r="A140" s="1"/>
      <c r="B140" s="255"/>
      <c r="C140" s="1"/>
      <c r="D140" s="1"/>
      <c r="E140" s="255"/>
      <c r="F140" s="1"/>
      <c r="G140" s="1"/>
      <c r="H140" s="1"/>
      <c r="I140" s="1"/>
      <c r="K140" s="1"/>
      <c r="L140" s="1"/>
    </row>
    <row r="141" spans="1:12">
      <c r="A141" s="1"/>
      <c r="B141" s="255"/>
      <c r="C141" s="1"/>
      <c r="D141" s="1"/>
      <c r="E141" s="255"/>
      <c r="F141" s="1"/>
      <c r="G141" s="1"/>
      <c r="H141" s="1"/>
      <c r="I141" s="1"/>
      <c r="K141" s="1"/>
      <c r="L141" s="1"/>
    </row>
    <row r="142" spans="1:12">
      <c r="A142" s="1"/>
      <c r="B142" s="255"/>
      <c r="C142" s="1"/>
      <c r="D142" s="1"/>
      <c r="E142" s="255"/>
      <c r="F142" s="1"/>
      <c r="G142" s="1"/>
      <c r="H142" s="1"/>
      <c r="I142" s="1"/>
      <c r="K142" s="1"/>
      <c r="L142" s="1"/>
    </row>
    <row r="143" spans="1:12">
      <c r="A143" s="1"/>
      <c r="B143" s="255"/>
      <c r="C143" s="1"/>
      <c r="D143" s="1"/>
      <c r="E143" s="255"/>
      <c r="F143" s="1"/>
      <c r="G143" s="1"/>
      <c r="H143" s="1"/>
      <c r="I143" s="1"/>
      <c r="K143" s="1"/>
      <c r="L143" s="1"/>
    </row>
    <row r="144" spans="1:12">
      <c r="A144" s="1"/>
      <c r="B144" s="255"/>
      <c r="C144" s="1"/>
      <c r="D144" s="1"/>
      <c r="E144" s="255"/>
      <c r="F144" s="1"/>
      <c r="G144" s="1"/>
      <c r="H144" s="1"/>
      <c r="I144" s="1"/>
      <c r="K144" s="1"/>
      <c r="L144" s="1"/>
    </row>
    <row r="145" spans="1:12">
      <c r="A145" s="1"/>
      <c r="B145" s="255"/>
      <c r="C145" s="1"/>
      <c r="D145" s="1"/>
      <c r="E145" s="255"/>
      <c r="F145" s="1"/>
      <c r="G145" s="1"/>
      <c r="H145" s="1"/>
      <c r="I145" s="1"/>
      <c r="K145" s="1"/>
      <c r="L145" s="1"/>
    </row>
    <row r="146" spans="1:12">
      <c r="A146" s="1"/>
      <c r="B146" s="255"/>
      <c r="C146" s="1"/>
      <c r="D146" s="1"/>
      <c r="E146" s="255"/>
      <c r="F146" s="1"/>
      <c r="G146" s="1"/>
      <c r="H146" s="1"/>
      <c r="I146" s="1"/>
      <c r="K146" s="1"/>
      <c r="L146" s="1"/>
    </row>
    <row r="147" spans="1:12">
      <c r="A147" s="1"/>
      <c r="B147" s="255"/>
      <c r="C147" s="1"/>
      <c r="D147" s="1"/>
      <c r="E147" s="255"/>
      <c r="F147" s="1"/>
      <c r="G147" s="1"/>
      <c r="H147" s="1"/>
      <c r="I147" s="1"/>
      <c r="K147" s="1"/>
      <c r="L147" s="1"/>
    </row>
    <row r="148" spans="1:12">
      <c r="A148" s="1"/>
      <c r="B148" s="255"/>
      <c r="C148" s="1"/>
      <c r="D148" s="1"/>
      <c r="E148" s="255"/>
      <c r="F148" s="1"/>
      <c r="G148" s="1"/>
      <c r="H148" s="1"/>
      <c r="I148" s="1"/>
      <c r="K148" s="1"/>
      <c r="L148" s="1"/>
    </row>
    <row r="149" spans="1:12">
      <c r="A149" s="1"/>
      <c r="B149" s="255"/>
      <c r="C149" s="1"/>
      <c r="D149" s="1"/>
      <c r="E149" s="255"/>
      <c r="F149" s="1"/>
      <c r="G149" s="1"/>
      <c r="H149" s="1"/>
      <c r="I149" s="1"/>
      <c r="K149" s="1"/>
      <c r="L149" s="1"/>
    </row>
    <row r="150" spans="1:12">
      <c r="A150" s="1"/>
      <c r="B150" s="255"/>
      <c r="C150" s="1"/>
      <c r="D150" s="1"/>
      <c r="E150" s="255"/>
      <c r="F150" s="1"/>
      <c r="G150" s="1"/>
      <c r="H150" s="1"/>
      <c r="I150" s="1"/>
      <c r="K150" s="1"/>
      <c r="L150" s="1"/>
    </row>
    <row r="151" spans="1:12">
      <c r="A151" s="1"/>
      <c r="B151" s="255"/>
      <c r="C151" s="1"/>
      <c r="D151" s="1"/>
      <c r="E151" s="255"/>
      <c r="F151" s="1"/>
      <c r="G151" s="1"/>
      <c r="H151" s="1"/>
      <c r="I151" s="1"/>
      <c r="K151" s="1"/>
      <c r="L151" s="1"/>
    </row>
    <row r="152" spans="1:12">
      <c r="A152" s="1"/>
      <c r="B152" s="255"/>
      <c r="C152" s="1"/>
      <c r="D152" s="1"/>
      <c r="E152" s="255"/>
      <c r="F152" s="1"/>
      <c r="G152" s="1"/>
      <c r="H152" s="1"/>
      <c r="I152" s="1"/>
      <c r="K152" s="1"/>
      <c r="L152" s="1"/>
    </row>
    <row r="153" spans="1:12">
      <c r="A153" s="1"/>
      <c r="B153" s="255"/>
      <c r="C153" s="1"/>
      <c r="D153" s="1"/>
      <c r="E153" s="255"/>
      <c r="F153" s="1"/>
      <c r="G153" s="1"/>
      <c r="H153" s="1"/>
      <c r="I153" s="1"/>
      <c r="K153" s="1"/>
      <c r="L153" s="1"/>
    </row>
    <row r="154" spans="1:12">
      <c r="A154" s="1"/>
      <c r="B154" s="255"/>
      <c r="C154" s="1"/>
      <c r="D154" s="1"/>
      <c r="E154" s="255"/>
      <c r="F154" s="1"/>
      <c r="G154" s="1"/>
      <c r="H154" s="1"/>
      <c r="I154" s="1"/>
      <c r="K154" s="1"/>
      <c r="L154" s="1"/>
    </row>
    <row r="155" spans="1:12">
      <c r="A155" s="1"/>
      <c r="B155" s="255"/>
      <c r="C155" s="1"/>
      <c r="D155" s="1"/>
      <c r="E155" s="255"/>
      <c r="F155" s="1"/>
      <c r="G155" s="1"/>
      <c r="H155" s="1"/>
      <c r="I155" s="1"/>
      <c r="K155" s="1"/>
      <c r="L155" s="1"/>
    </row>
    <row r="156" spans="1:12">
      <c r="A156" s="1"/>
      <c r="B156" s="255"/>
      <c r="C156" s="1"/>
      <c r="D156" s="1"/>
      <c r="E156" s="255"/>
      <c r="F156" s="1"/>
      <c r="G156" s="1"/>
      <c r="H156" s="1"/>
      <c r="I156" s="1"/>
      <c r="K156" s="1"/>
      <c r="L156" s="1"/>
    </row>
    <row r="157" spans="1:12">
      <c r="A157" s="1"/>
      <c r="B157" s="255"/>
      <c r="C157" s="1"/>
      <c r="D157" s="1"/>
      <c r="E157" s="255"/>
      <c r="F157" s="1"/>
      <c r="G157" s="1"/>
      <c r="H157" s="1"/>
      <c r="I157" s="1"/>
      <c r="K157" s="1"/>
      <c r="L157" s="1"/>
    </row>
    <row r="158" spans="1:12">
      <c r="A158" s="1"/>
      <c r="B158" s="255"/>
      <c r="C158" s="1"/>
      <c r="D158" s="1"/>
      <c r="E158" s="255"/>
      <c r="F158" s="1"/>
      <c r="G158" s="1"/>
      <c r="H158" s="1"/>
      <c r="I158" s="1"/>
      <c r="K158" s="1"/>
      <c r="L158" s="1"/>
    </row>
    <row r="159" spans="1:12">
      <c r="A159" s="1"/>
      <c r="B159" s="255"/>
      <c r="C159" s="1"/>
      <c r="D159" s="1"/>
      <c r="E159" s="255"/>
      <c r="F159" s="1"/>
      <c r="G159" s="1"/>
      <c r="H159" s="1"/>
      <c r="I159" s="1"/>
      <c r="K159" s="1"/>
      <c r="L159" s="1"/>
    </row>
    <row r="160" spans="1:12">
      <c r="A160" s="1"/>
      <c r="B160" s="255"/>
      <c r="C160" s="1"/>
      <c r="D160" s="1"/>
      <c r="E160" s="255"/>
      <c r="F160" s="1"/>
      <c r="G160" s="1"/>
      <c r="H160" s="1"/>
      <c r="I160" s="1"/>
      <c r="K160" s="1"/>
      <c r="L160" s="1"/>
    </row>
    <row r="161" spans="1:12">
      <c r="A161" s="1"/>
      <c r="B161" s="255"/>
      <c r="C161" s="1"/>
      <c r="D161" s="1"/>
      <c r="E161" s="255"/>
      <c r="F161" s="1"/>
      <c r="G161" s="1"/>
      <c r="H161" s="1"/>
      <c r="I161" s="1"/>
      <c r="K161" s="1"/>
      <c r="L161" s="1"/>
    </row>
    <row r="162" spans="1:12">
      <c r="A162" s="1"/>
      <c r="B162" s="255"/>
      <c r="C162" s="1"/>
      <c r="D162" s="1"/>
      <c r="E162" s="255"/>
      <c r="F162" s="1"/>
      <c r="G162" s="1"/>
      <c r="H162" s="1"/>
      <c r="I162" s="1"/>
      <c r="K162" s="1"/>
      <c r="L162" s="1"/>
    </row>
    <row r="163" spans="1:12">
      <c r="A163" s="1"/>
      <c r="B163" s="255"/>
      <c r="C163" s="1"/>
      <c r="D163" s="1"/>
      <c r="E163" s="255"/>
      <c r="F163" s="1"/>
      <c r="G163" s="1"/>
      <c r="H163" s="1"/>
      <c r="I163" s="1"/>
      <c r="K163" s="1"/>
      <c r="L163" s="1"/>
    </row>
    <row r="164" spans="1:12">
      <c r="A164" s="1"/>
      <c r="B164" s="255"/>
      <c r="C164" s="1"/>
      <c r="D164" s="1"/>
      <c r="E164" s="255"/>
      <c r="F164" s="1"/>
      <c r="G164" s="1"/>
      <c r="H164" s="1"/>
      <c r="I164" s="1"/>
      <c r="K164" s="1"/>
      <c r="L164" s="1"/>
    </row>
    <row r="165" spans="1:12">
      <c r="A165" s="1"/>
      <c r="B165" s="255"/>
      <c r="C165" s="1"/>
      <c r="D165" s="1"/>
      <c r="E165" s="255"/>
      <c r="F165" s="1"/>
      <c r="G165" s="1"/>
      <c r="H165" s="1"/>
      <c r="I165" s="1"/>
      <c r="K165" s="1"/>
      <c r="L165" s="1"/>
    </row>
    <row r="166" spans="1:12">
      <c r="A166" s="1"/>
      <c r="B166" s="255"/>
      <c r="C166" s="1"/>
      <c r="D166" s="1"/>
      <c r="E166" s="255"/>
      <c r="F166" s="1"/>
      <c r="G166" s="1"/>
      <c r="H166" s="1"/>
      <c r="I166" s="1"/>
      <c r="K166" s="1"/>
      <c r="L166" s="1"/>
    </row>
    <row r="167" spans="1:12">
      <c r="A167" s="1"/>
      <c r="B167" s="255"/>
      <c r="C167" s="1"/>
      <c r="D167" s="1"/>
      <c r="E167" s="255"/>
      <c r="F167" s="1"/>
      <c r="G167" s="1"/>
      <c r="H167" s="1"/>
      <c r="I167" s="1"/>
      <c r="K167" s="1"/>
      <c r="L167" s="1"/>
    </row>
    <row r="168" spans="1:12">
      <c r="A168" s="1"/>
      <c r="B168" s="255"/>
      <c r="C168" s="1"/>
      <c r="D168" s="1"/>
      <c r="E168" s="255"/>
      <c r="F168" s="1"/>
      <c r="G168" s="1"/>
      <c r="H168" s="1"/>
      <c r="I168" s="1"/>
      <c r="K168" s="1"/>
      <c r="L168" s="1"/>
    </row>
    <row r="169" spans="1:12">
      <c r="A169" s="1"/>
      <c r="B169" s="255"/>
      <c r="C169" s="1"/>
      <c r="D169" s="1"/>
      <c r="E169" s="255"/>
      <c r="F169" s="1"/>
      <c r="G169" s="1"/>
      <c r="H169" s="1"/>
      <c r="I169" s="1"/>
      <c r="K169" s="1"/>
      <c r="L169" s="1"/>
    </row>
    <row r="170" spans="1:12">
      <c r="A170" s="1"/>
      <c r="B170" s="255"/>
      <c r="C170" s="1"/>
      <c r="D170" s="1"/>
      <c r="E170" s="255"/>
      <c r="F170" s="1"/>
      <c r="G170" s="1"/>
      <c r="H170" s="1"/>
      <c r="I170" s="1"/>
      <c r="K170" s="1"/>
      <c r="L170" s="1"/>
    </row>
    <row r="171" spans="1:12">
      <c r="A171" s="1"/>
      <c r="B171" s="255"/>
      <c r="C171" s="1"/>
      <c r="D171" s="1"/>
      <c r="E171" s="255"/>
      <c r="F171" s="1"/>
      <c r="G171" s="1"/>
      <c r="H171" s="1"/>
      <c r="I171" s="1"/>
      <c r="K171" s="1"/>
      <c r="L171" s="1"/>
    </row>
    <row r="172" spans="1:12">
      <c r="A172" s="1"/>
      <c r="B172" s="255"/>
      <c r="C172" s="1"/>
      <c r="D172" s="1"/>
      <c r="E172" s="255"/>
      <c r="F172" s="1"/>
      <c r="G172" s="1"/>
      <c r="H172" s="1"/>
      <c r="I172" s="1"/>
      <c r="K172" s="1"/>
      <c r="L172" s="1"/>
    </row>
    <row r="173" spans="1:12">
      <c r="A173" s="1"/>
      <c r="B173" s="255"/>
      <c r="C173" s="1"/>
      <c r="D173" s="1"/>
      <c r="E173" s="255"/>
      <c r="F173" s="1"/>
      <c r="G173" s="1"/>
      <c r="H173" s="1"/>
      <c r="I173" s="1"/>
      <c r="K173" s="1"/>
      <c r="L173" s="1"/>
    </row>
    <row r="174" spans="1:12">
      <c r="A174" s="1"/>
      <c r="B174" s="255"/>
      <c r="C174" s="1"/>
      <c r="D174" s="1"/>
      <c r="E174" s="255"/>
      <c r="F174" s="1"/>
      <c r="G174" s="1"/>
      <c r="H174" s="1"/>
      <c r="I174" s="1"/>
      <c r="K174" s="1"/>
      <c r="L174" s="1"/>
    </row>
    <row r="175" spans="1:12">
      <c r="A175" s="1"/>
      <c r="B175" s="255"/>
      <c r="C175" s="1"/>
      <c r="D175" s="1"/>
      <c r="E175" s="255"/>
      <c r="F175" s="1"/>
      <c r="G175" s="1"/>
      <c r="H175" s="1"/>
      <c r="I175" s="1"/>
      <c r="K175" s="1"/>
      <c r="L175" s="1"/>
    </row>
    <row r="176" spans="1:12">
      <c r="A176" s="1"/>
      <c r="B176" s="255"/>
      <c r="C176" s="1"/>
      <c r="D176" s="1"/>
      <c r="E176" s="255"/>
      <c r="F176" s="1"/>
      <c r="G176" s="1"/>
      <c r="H176" s="1"/>
      <c r="I176" s="1"/>
      <c r="K176" s="1"/>
      <c r="L176" s="1"/>
    </row>
    <row r="177" spans="1:12">
      <c r="A177" s="1"/>
      <c r="B177" s="255"/>
      <c r="C177" s="1"/>
      <c r="D177" s="1"/>
      <c r="E177" s="255"/>
      <c r="F177" s="1"/>
      <c r="G177" s="1"/>
      <c r="H177" s="1"/>
      <c r="I177" s="1"/>
      <c r="K177" s="1"/>
      <c r="L177" s="1"/>
    </row>
    <row r="178" spans="1:12">
      <c r="A178" s="1"/>
      <c r="B178" s="255"/>
      <c r="C178" s="1"/>
      <c r="D178" s="1"/>
      <c r="E178" s="255"/>
      <c r="F178" s="1"/>
      <c r="G178" s="1"/>
      <c r="H178" s="1"/>
      <c r="I178" s="1"/>
      <c r="K178" s="1"/>
      <c r="L178" s="1"/>
    </row>
    <row r="179" spans="1:12">
      <c r="A179" s="1"/>
      <c r="B179" s="255"/>
      <c r="C179" s="1"/>
      <c r="D179" s="1"/>
      <c r="E179" s="255"/>
      <c r="F179" s="1"/>
      <c r="G179" s="1"/>
      <c r="H179" s="1"/>
      <c r="I179" s="1"/>
      <c r="K179" s="1"/>
      <c r="L179" s="1"/>
    </row>
    <row r="180" spans="1:12">
      <c r="A180" s="1"/>
      <c r="B180" s="255"/>
      <c r="C180" s="1"/>
      <c r="D180" s="1"/>
      <c r="E180" s="255"/>
      <c r="F180" s="1"/>
      <c r="G180" s="1"/>
      <c r="H180" s="1"/>
      <c r="I180" s="1"/>
      <c r="K180" s="1"/>
      <c r="L180" s="1"/>
    </row>
    <row r="181" spans="1:12">
      <c r="A181" s="1"/>
      <c r="B181" s="255"/>
      <c r="C181" s="1"/>
      <c r="D181" s="1"/>
      <c r="E181" s="255"/>
      <c r="F181" s="1"/>
      <c r="G181" s="1"/>
      <c r="H181" s="1"/>
      <c r="I181" s="1"/>
      <c r="K181" s="1"/>
      <c r="L181" s="1"/>
    </row>
    <row r="182" spans="1:12">
      <c r="A182" s="1"/>
      <c r="B182" s="255"/>
      <c r="C182" s="1"/>
      <c r="D182" s="1"/>
      <c r="E182" s="255"/>
      <c r="F182" s="1"/>
      <c r="G182" s="1"/>
      <c r="H182" s="1"/>
      <c r="I182" s="1"/>
      <c r="K182" s="1"/>
      <c r="L182" s="1"/>
    </row>
    <row r="183" spans="1:12">
      <c r="A183" s="1"/>
      <c r="B183" s="255"/>
      <c r="C183" s="1"/>
      <c r="D183" s="1"/>
      <c r="E183" s="255"/>
      <c r="F183" s="1"/>
      <c r="G183" s="1"/>
      <c r="H183" s="1"/>
      <c r="I183" s="1"/>
      <c r="K183" s="1"/>
      <c r="L183" s="1"/>
    </row>
    <row r="184" spans="1:12">
      <c r="A184" s="1"/>
      <c r="B184" s="255"/>
      <c r="C184" s="1"/>
      <c r="D184" s="1"/>
      <c r="E184" s="255"/>
      <c r="F184" s="1"/>
      <c r="G184" s="1"/>
      <c r="H184" s="1"/>
      <c r="I184" s="1"/>
      <c r="K184" s="1"/>
      <c r="L184" s="1"/>
    </row>
    <row r="185" spans="1:12">
      <c r="A185" s="1"/>
      <c r="B185" s="255"/>
      <c r="C185" s="1"/>
      <c r="D185" s="1"/>
      <c r="E185" s="255"/>
      <c r="F185" s="1"/>
      <c r="G185" s="1"/>
      <c r="H185" s="1"/>
      <c r="I185" s="1"/>
      <c r="K185" s="1"/>
      <c r="L185" s="1"/>
    </row>
    <row r="186" spans="1:12">
      <c r="A186" s="1"/>
      <c r="B186" s="255"/>
      <c r="C186" s="1"/>
      <c r="D186" s="1"/>
      <c r="E186" s="255"/>
      <c r="F186" s="1"/>
      <c r="G186" s="1"/>
      <c r="H186" s="1"/>
      <c r="I186" s="1"/>
      <c r="K186" s="1"/>
      <c r="L186" s="1"/>
    </row>
    <row r="187" spans="1:12">
      <c r="A187" s="1"/>
      <c r="B187" s="255"/>
      <c r="C187" s="1"/>
      <c r="D187" s="1"/>
      <c r="E187" s="255"/>
      <c r="F187" s="1"/>
      <c r="G187" s="1"/>
      <c r="H187" s="1"/>
      <c r="I187" s="1"/>
      <c r="K187" s="1"/>
      <c r="L187" s="1"/>
    </row>
    <row r="188" spans="1:12">
      <c r="A188" s="1"/>
      <c r="B188" s="255"/>
      <c r="C188" s="1"/>
      <c r="D188" s="1"/>
      <c r="E188" s="255"/>
      <c r="F188" s="1"/>
      <c r="G188" s="1"/>
      <c r="H188" s="1"/>
      <c r="I188" s="1"/>
      <c r="K188" s="1"/>
      <c r="L188" s="1"/>
    </row>
    <row r="189" spans="1:12">
      <c r="A189" s="1"/>
      <c r="B189" s="255"/>
      <c r="C189" s="1"/>
      <c r="D189" s="1"/>
      <c r="E189" s="255"/>
      <c r="F189" s="1"/>
      <c r="G189" s="1"/>
      <c r="H189" s="1"/>
      <c r="I189" s="1"/>
      <c r="K189" s="1"/>
      <c r="L189" s="1"/>
    </row>
    <row r="190" spans="1:12">
      <c r="A190" s="1"/>
      <c r="B190" s="255"/>
      <c r="C190" s="1"/>
      <c r="D190" s="1"/>
      <c r="E190" s="255"/>
      <c r="F190" s="1"/>
      <c r="G190" s="1"/>
      <c r="H190" s="1"/>
      <c r="I190" s="1"/>
      <c r="K190" s="1"/>
      <c r="L190" s="1"/>
    </row>
    <row r="191" spans="1:12">
      <c r="A191" s="1"/>
      <c r="B191" s="255"/>
      <c r="C191" s="1"/>
      <c r="D191" s="1"/>
      <c r="E191" s="255"/>
      <c r="F191" s="1"/>
      <c r="G191" s="1"/>
      <c r="H191" s="1"/>
      <c r="I191" s="1"/>
      <c r="K191" s="1"/>
      <c r="L191" s="1"/>
    </row>
    <row r="192" spans="1:12">
      <c r="A192" s="1"/>
      <c r="B192" s="255"/>
      <c r="C192" s="1"/>
      <c r="D192" s="1"/>
      <c r="E192" s="255"/>
      <c r="F192" s="1"/>
      <c r="G192" s="1"/>
      <c r="H192" s="1"/>
      <c r="I192" s="1"/>
      <c r="K192" s="1"/>
      <c r="L192" s="1"/>
    </row>
    <row r="193" spans="1:12">
      <c r="A193" s="1"/>
      <c r="B193" s="255"/>
      <c r="C193" s="1"/>
      <c r="D193" s="1"/>
      <c r="E193" s="255"/>
      <c r="F193" s="1"/>
      <c r="G193" s="1"/>
      <c r="H193" s="1"/>
      <c r="I193" s="1"/>
      <c r="K193" s="1"/>
      <c r="L193" s="1"/>
    </row>
    <row r="194" spans="1:12">
      <c r="A194" s="1"/>
      <c r="B194" s="255"/>
      <c r="C194" s="1"/>
      <c r="D194" s="1"/>
      <c r="E194" s="255"/>
      <c r="F194" s="1"/>
      <c r="G194" s="1"/>
      <c r="H194" s="1"/>
      <c r="I194" s="1"/>
      <c r="K194" s="1"/>
      <c r="L194" s="1"/>
    </row>
    <row r="195" spans="1:12">
      <c r="A195" s="1"/>
      <c r="B195" s="255"/>
      <c r="C195" s="1"/>
      <c r="D195" s="1"/>
      <c r="E195" s="255"/>
      <c r="F195" s="1"/>
      <c r="G195" s="1"/>
      <c r="H195" s="1"/>
      <c r="I195" s="1"/>
      <c r="K195" s="1"/>
      <c r="L195" s="1"/>
    </row>
    <row r="196" spans="1:12">
      <c r="A196" s="1"/>
      <c r="B196" s="255"/>
      <c r="C196" s="1"/>
      <c r="D196" s="1"/>
      <c r="E196" s="255"/>
      <c r="F196" s="1"/>
      <c r="G196" s="1"/>
      <c r="H196" s="1"/>
      <c r="I196" s="1"/>
      <c r="K196" s="1"/>
      <c r="L196" s="1"/>
    </row>
    <row r="197" spans="1:12">
      <c r="A197" s="1"/>
      <c r="B197" s="255"/>
      <c r="C197" s="1"/>
      <c r="D197" s="1"/>
      <c r="E197" s="255"/>
      <c r="F197" s="1"/>
      <c r="G197" s="1"/>
      <c r="H197" s="1"/>
      <c r="I197" s="1"/>
      <c r="K197" s="1"/>
      <c r="L197" s="1"/>
    </row>
    <row r="198" spans="1:12">
      <c r="A198" s="1"/>
      <c r="B198" s="255"/>
      <c r="C198" s="1"/>
      <c r="D198" s="1"/>
      <c r="E198" s="255"/>
      <c r="F198" s="1"/>
      <c r="G198" s="1"/>
      <c r="H198" s="1"/>
      <c r="I198" s="1"/>
      <c r="K198" s="1"/>
      <c r="L198" s="1"/>
    </row>
    <row r="199" spans="1:12">
      <c r="A199" s="1"/>
      <c r="B199" s="255"/>
      <c r="C199" s="1"/>
      <c r="D199" s="1"/>
      <c r="E199" s="255"/>
      <c r="F199" s="1"/>
      <c r="G199" s="1"/>
      <c r="H199" s="1"/>
      <c r="I199" s="1"/>
      <c r="K199" s="1"/>
      <c r="L199" s="1"/>
    </row>
    <row r="200" spans="1:12">
      <c r="A200" s="1"/>
      <c r="B200" s="255"/>
      <c r="C200" s="1"/>
      <c r="D200" s="1"/>
      <c r="E200" s="255"/>
      <c r="F200" s="1"/>
      <c r="G200" s="1"/>
      <c r="H200" s="1"/>
      <c r="I200" s="1"/>
      <c r="K200" s="1"/>
      <c r="L200" s="1"/>
    </row>
    <row r="201" spans="1:12">
      <c r="A201" s="1"/>
      <c r="B201" s="255"/>
      <c r="C201" s="1"/>
      <c r="D201" s="1"/>
      <c r="E201" s="255"/>
      <c r="F201" s="1"/>
      <c r="G201" s="1"/>
      <c r="H201" s="1"/>
      <c r="I201" s="1"/>
      <c r="K201" s="1"/>
      <c r="L201" s="1"/>
    </row>
    <row r="202" spans="1:12">
      <c r="A202" s="1"/>
      <c r="B202" s="255"/>
      <c r="C202" s="1"/>
      <c r="D202" s="1"/>
      <c r="E202" s="255"/>
      <c r="F202" s="1"/>
      <c r="G202" s="1"/>
      <c r="H202" s="1"/>
      <c r="I202" s="1"/>
      <c r="K202" s="1"/>
      <c r="L202" s="1"/>
    </row>
    <row r="203" spans="1:12">
      <c r="A203" s="1"/>
      <c r="B203" s="255"/>
      <c r="C203" s="1"/>
      <c r="D203" s="1"/>
      <c r="E203" s="255"/>
      <c r="F203" s="1"/>
      <c r="G203" s="1"/>
      <c r="H203" s="1"/>
      <c r="I203" s="1"/>
      <c r="K203" s="1"/>
      <c r="L203" s="1"/>
    </row>
    <row r="204" spans="1:12">
      <c r="A204" s="1"/>
      <c r="B204" s="255"/>
      <c r="C204" s="1"/>
      <c r="D204" s="1"/>
      <c r="E204" s="255"/>
      <c r="F204" s="1"/>
      <c r="G204" s="1"/>
      <c r="H204" s="1"/>
      <c r="I204" s="1"/>
      <c r="K204" s="1"/>
      <c r="L204" s="1"/>
    </row>
    <row r="205" spans="1:12">
      <c r="A205" s="1"/>
      <c r="B205" s="255"/>
      <c r="C205" s="1"/>
      <c r="D205" s="1"/>
      <c r="E205" s="255"/>
      <c r="F205" s="1"/>
      <c r="G205" s="1"/>
      <c r="H205" s="1"/>
      <c r="I205" s="1"/>
      <c r="K205" s="1"/>
      <c r="L205" s="1"/>
    </row>
    <row r="206" spans="1:12">
      <c r="A206" s="1"/>
      <c r="B206" s="255"/>
      <c r="C206" s="1"/>
      <c r="D206" s="1"/>
      <c r="E206" s="255"/>
      <c r="F206" s="1"/>
      <c r="G206" s="1"/>
      <c r="H206" s="1"/>
      <c r="I206" s="1"/>
      <c r="K206" s="1"/>
      <c r="L206" s="1"/>
    </row>
    <row r="207" spans="1:12">
      <c r="A207" s="1"/>
      <c r="B207" s="255"/>
      <c r="C207" s="1"/>
      <c r="D207" s="1"/>
      <c r="E207" s="255"/>
      <c r="F207" s="1"/>
      <c r="G207" s="1"/>
      <c r="H207" s="1"/>
      <c r="I207" s="1"/>
      <c r="K207" s="1"/>
      <c r="L207" s="1"/>
    </row>
    <row r="208" spans="1:12">
      <c r="A208" s="1"/>
      <c r="B208" s="255"/>
      <c r="C208" s="1"/>
      <c r="D208" s="1"/>
      <c r="E208" s="255"/>
      <c r="F208" s="1"/>
      <c r="G208" s="1"/>
      <c r="H208" s="1"/>
      <c r="I208" s="1"/>
      <c r="K208" s="1"/>
      <c r="L208" s="1"/>
    </row>
    <row r="209" spans="1:12">
      <c r="A209" s="1"/>
      <c r="B209" s="255"/>
      <c r="C209" s="1"/>
      <c r="D209" s="1"/>
      <c r="E209" s="255"/>
      <c r="F209" s="1"/>
      <c r="G209" s="1"/>
      <c r="H209" s="1"/>
      <c r="I209" s="1"/>
      <c r="K209" s="1"/>
      <c r="L209" s="1"/>
    </row>
    <row r="210" spans="1:12">
      <c r="A210" s="1"/>
      <c r="B210" s="255"/>
      <c r="C210" s="1"/>
      <c r="D210" s="1"/>
      <c r="E210" s="255"/>
      <c r="F210" s="1"/>
      <c r="G210" s="1"/>
      <c r="H210" s="1"/>
      <c r="I210" s="1"/>
      <c r="K210" s="1"/>
      <c r="L210" s="1"/>
    </row>
    <row r="211" spans="1:12">
      <c r="A211" s="1"/>
      <c r="B211" s="255"/>
      <c r="C211" s="1"/>
      <c r="D211" s="1"/>
      <c r="E211" s="255"/>
      <c r="F211" s="1"/>
      <c r="G211" s="1"/>
      <c r="H211" s="1"/>
      <c r="I211" s="1"/>
      <c r="K211" s="1"/>
      <c r="L211" s="1"/>
    </row>
    <row r="212" spans="1:12">
      <c r="A212" s="1"/>
      <c r="B212" s="255"/>
      <c r="C212" s="1"/>
      <c r="D212" s="1"/>
      <c r="E212" s="255"/>
      <c r="F212" s="1"/>
      <c r="G212" s="1"/>
      <c r="H212" s="1"/>
      <c r="I212" s="1"/>
      <c r="K212" s="1"/>
      <c r="L212" s="1"/>
    </row>
    <row r="213" spans="1:12">
      <c r="A213" s="1"/>
      <c r="B213" s="255"/>
      <c r="C213" s="1"/>
      <c r="D213" s="1"/>
      <c r="E213" s="255"/>
      <c r="F213" s="1"/>
      <c r="G213" s="1"/>
      <c r="H213" s="1"/>
      <c r="I213" s="1"/>
      <c r="K213" s="1"/>
      <c r="L213" s="1"/>
    </row>
    <row r="214" spans="1:12">
      <c r="A214" s="1"/>
      <c r="B214" s="255"/>
      <c r="C214" s="1"/>
      <c r="D214" s="1"/>
      <c r="E214" s="255"/>
      <c r="F214" s="1"/>
      <c r="G214" s="1"/>
      <c r="H214" s="1"/>
      <c r="I214" s="1"/>
      <c r="K214" s="1"/>
      <c r="L214" s="1"/>
    </row>
    <row r="215" spans="1:12">
      <c r="A215" s="1"/>
      <c r="B215" s="255"/>
      <c r="C215" s="1"/>
      <c r="D215" s="1"/>
      <c r="E215" s="255"/>
      <c r="F215" s="1"/>
      <c r="G215" s="1"/>
      <c r="H215" s="1"/>
      <c r="I215" s="1"/>
      <c r="K215" s="1"/>
      <c r="L215" s="1"/>
    </row>
    <row r="216" spans="1:12">
      <c r="A216" s="1"/>
      <c r="B216" s="255"/>
      <c r="C216" s="1"/>
      <c r="D216" s="1"/>
      <c r="E216" s="255"/>
      <c r="F216" s="1"/>
      <c r="G216" s="1"/>
      <c r="H216" s="1"/>
      <c r="I216" s="1"/>
      <c r="K216" s="1"/>
      <c r="L216" s="1"/>
    </row>
    <row r="217" spans="1:12">
      <c r="A217" s="1"/>
      <c r="B217" s="255"/>
      <c r="C217" s="1"/>
      <c r="D217" s="1"/>
      <c r="E217" s="255"/>
      <c r="F217" s="1"/>
      <c r="G217" s="1"/>
      <c r="H217" s="1"/>
      <c r="I217" s="1"/>
      <c r="K217" s="1"/>
      <c r="L217" s="1"/>
    </row>
    <row r="218" spans="1:12">
      <c r="A218" s="1"/>
      <c r="B218" s="255"/>
      <c r="C218" s="1"/>
      <c r="D218" s="1"/>
      <c r="E218" s="255"/>
      <c r="F218" s="1"/>
      <c r="G218" s="1"/>
      <c r="H218" s="1"/>
      <c r="I218" s="1"/>
      <c r="K218" s="1"/>
      <c r="L218" s="1"/>
    </row>
    <row r="219" spans="1:12">
      <c r="A219" s="1"/>
      <c r="B219" s="255"/>
      <c r="C219" s="1"/>
      <c r="D219" s="1"/>
      <c r="E219" s="255"/>
      <c r="F219" s="1"/>
      <c r="G219" s="1"/>
      <c r="H219" s="1"/>
      <c r="I219" s="1"/>
      <c r="K219" s="1"/>
      <c r="L219" s="1"/>
    </row>
    <row r="220" spans="1:12">
      <c r="A220" s="1"/>
      <c r="B220" s="255"/>
      <c r="C220" s="1"/>
      <c r="D220" s="1"/>
      <c r="E220" s="255"/>
      <c r="F220" s="1"/>
      <c r="G220" s="1"/>
      <c r="H220" s="1"/>
      <c r="I220" s="1"/>
      <c r="K220" s="1"/>
      <c r="L220" s="1"/>
    </row>
    <row r="221" spans="1:12">
      <c r="A221" s="1"/>
      <c r="B221" s="255"/>
      <c r="C221" s="1"/>
      <c r="D221" s="1"/>
      <c r="E221" s="255"/>
      <c r="F221" s="1"/>
      <c r="G221" s="1"/>
      <c r="H221" s="1"/>
      <c r="I221" s="1"/>
      <c r="K221" s="1"/>
      <c r="L221" s="1"/>
    </row>
    <row r="222" spans="1:12">
      <c r="A222" s="1"/>
      <c r="B222" s="255"/>
      <c r="C222" s="1"/>
      <c r="D222" s="1"/>
      <c r="E222" s="255"/>
      <c r="F222" s="1"/>
      <c r="G222" s="1"/>
      <c r="H222" s="1"/>
      <c r="I222" s="1"/>
      <c r="K222" s="1"/>
      <c r="L222" s="1"/>
    </row>
    <row r="223" spans="1:12">
      <c r="A223" s="1"/>
      <c r="B223" s="255"/>
      <c r="C223" s="1"/>
      <c r="D223" s="1"/>
      <c r="E223" s="255"/>
      <c r="F223" s="1"/>
      <c r="G223" s="1"/>
      <c r="H223" s="1"/>
      <c r="I223" s="1"/>
      <c r="K223" s="1"/>
      <c r="L223" s="1"/>
    </row>
    <row r="224" spans="1:12">
      <c r="A224" s="1"/>
      <c r="B224" s="255"/>
      <c r="C224" s="1"/>
      <c r="D224" s="1"/>
      <c r="E224" s="255"/>
      <c r="F224" s="1"/>
      <c r="G224" s="1"/>
      <c r="H224" s="1"/>
      <c r="I224" s="1"/>
      <c r="K224" s="1"/>
      <c r="L224" s="1"/>
    </row>
    <row r="225" spans="1:12">
      <c r="A225" s="1"/>
      <c r="B225" s="255"/>
      <c r="C225" s="1"/>
      <c r="D225" s="1"/>
      <c r="E225" s="255"/>
      <c r="F225" s="1"/>
      <c r="G225" s="1"/>
      <c r="H225" s="1"/>
      <c r="I225" s="1"/>
      <c r="K225" s="1"/>
      <c r="L225" s="1"/>
    </row>
    <row r="226" spans="1:12">
      <c r="A226" s="1"/>
      <c r="B226" s="255"/>
      <c r="C226" s="1"/>
      <c r="D226" s="1"/>
      <c r="E226" s="255"/>
      <c r="F226" s="1"/>
      <c r="G226" s="1"/>
      <c r="H226" s="1"/>
      <c r="I226" s="1"/>
      <c r="K226" s="1"/>
      <c r="L226" s="1"/>
    </row>
    <row r="227" spans="1:12">
      <c r="A227" s="1"/>
      <c r="B227" s="255"/>
      <c r="C227" s="1"/>
      <c r="D227" s="1"/>
      <c r="E227" s="255"/>
      <c r="F227" s="1"/>
      <c r="G227" s="1"/>
      <c r="H227" s="1"/>
      <c r="I227" s="1"/>
      <c r="K227" s="1"/>
      <c r="L227" s="1"/>
    </row>
    <row r="228" spans="1:12">
      <c r="A228" s="1"/>
      <c r="B228" s="255"/>
      <c r="C228" s="1"/>
      <c r="D228" s="1"/>
      <c r="E228" s="255"/>
      <c r="F228" s="1"/>
      <c r="G228" s="1"/>
      <c r="H228" s="1"/>
      <c r="I228" s="1"/>
      <c r="K228" s="1"/>
      <c r="L228" s="1"/>
    </row>
    <row r="229" spans="1:12">
      <c r="A229" s="1"/>
      <c r="B229" s="255"/>
      <c r="C229" s="1"/>
      <c r="D229" s="1"/>
      <c r="E229" s="255"/>
      <c r="F229" s="1"/>
      <c r="G229" s="1"/>
      <c r="H229" s="1"/>
      <c r="I229" s="1"/>
      <c r="K229" s="1"/>
      <c r="L229" s="1"/>
    </row>
    <row r="230" spans="1:12">
      <c r="A230" s="1"/>
      <c r="B230" s="255"/>
      <c r="C230" s="1"/>
      <c r="D230" s="1"/>
      <c r="E230" s="255"/>
      <c r="F230" s="1"/>
      <c r="G230" s="1"/>
      <c r="H230" s="1"/>
      <c r="I230" s="1"/>
      <c r="K230" s="1"/>
      <c r="L230" s="1"/>
    </row>
    <row r="231" spans="1:12">
      <c r="A231" s="1"/>
      <c r="B231" s="255"/>
      <c r="C231" s="1"/>
      <c r="D231" s="1"/>
      <c r="E231" s="255"/>
      <c r="F231" s="1"/>
      <c r="G231" s="1"/>
      <c r="H231" s="1"/>
      <c r="I231" s="1"/>
      <c r="K231" s="1"/>
      <c r="L231" s="1"/>
    </row>
    <row r="232" spans="1:12">
      <c r="A232" s="1"/>
      <c r="B232" s="255"/>
      <c r="C232" s="1"/>
      <c r="D232" s="1"/>
      <c r="E232" s="255"/>
      <c r="F232" s="1"/>
      <c r="G232" s="1"/>
      <c r="H232" s="1"/>
      <c r="I232" s="1"/>
      <c r="K232" s="1"/>
      <c r="L232" s="1"/>
    </row>
    <row r="233" spans="1:12">
      <c r="A233" s="1"/>
      <c r="B233" s="255"/>
      <c r="C233" s="1"/>
      <c r="D233" s="1"/>
      <c r="E233" s="255"/>
      <c r="F233" s="1"/>
      <c r="G233" s="1"/>
      <c r="H233" s="1"/>
      <c r="I233" s="1"/>
      <c r="K233" s="1"/>
      <c r="L233" s="1"/>
    </row>
    <row r="234" spans="1:12">
      <c r="A234" s="1"/>
      <c r="B234" s="255"/>
      <c r="C234" s="1"/>
      <c r="D234" s="1"/>
      <c r="E234" s="255"/>
      <c r="F234" s="1"/>
      <c r="G234" s="1"/>
      <c r="H234" s="1"/>
      <c r="I234" s="1"/>
      <c r="K234" s="1"/>
      <c r="L234" s="1"/>
    </row>
    <row r="235" spans="1:12">
      <c r="A235" s="1"/>
      <c r="B235" s="255"/>
      <c r="C235" s="1"/>
      <c r="D235" s="1"/>
      <c r="E235" s="255"/>
      <c r="F235" s="1"/>
      <c r="G235" s="1"/>
      <c r="H235" s="1"/>
      <c r="I235" s="1"/>
      <c r="K235" s="1"/>
      <c r="L235" s="1"/>
    </row>
    <row r="236" spans="1:12">
      <c r="A236" s="1"/>
      <c r="B236" s="255"/>
      <c r="C236" s="1"/>
      <c r="D236" s="1"/>
      <c r="E236" s="255"/>
      <c r="F236" s="1"/>
      <c r="G236" s="1"/>
      <c r="H236" s="1"/>
      <c r="I236" s="1"/>
      <c r="K236" s="1"/>
      <c r="L236" s="1"/>
    </row>
    <row r="237" spans="1:12">
      <c r="A237" s="1"/>
      <c r="B237" s="255"/>
      <c r="C237" s="1"/>
      <c r="D237" s="1"/>
      <c r="E237" s="255"/>
      <c r="F237" s="1"/>
      <c r="G237" s="1"/>
      <c r="H237" s="1"/>
      <c r="I237" s="1"/>
      <c r="K237" s="1"/>
      <c r="L237" s="1"/>
    </row>
    <row r="238" spans="1:12">
      <c r="A238" s="1"/>
      <c r="B238" s="255"/>
      <c r="C238" s="1"/>
      <c r="D238" s="1"/>
      <c r="E238" s="255"/>
      <c r="F238" s="1"/>
      <c r="G238" s="1"/>
      <c r="H238" s="1"/>
      <c r="I238" s="1"/>
      <c r="K238" s="1"/>
      <c r="L238" s="1"/>
    </row>
    <row r="239" spans="1:12">
      <c r="A239" s="1"/>
      <c r="B239" s="255"/>
      <c r="C239" s="1"/>
      <c r="D239" s="1"/>
      <c r="E239" s="255"/>
      <c r="F239" s="1"/>
      <c r="G239" s="1"/>
      <c r="H239" s="1"/>
      <c r="I239" s="1"/>
      <c r="K239" s="1"/>
      <c r="L239" s="1"/>
    </row>
    <row r="240" spans="1:12">
      <c r="A240" s="1"/>
      <c r="B240" s="255"/>
      <c r="C240" s="1"/>
      <c r="D240" s="1"/>
      <c r="E240" s="255"/>
      <c r="F240" s="1"/>
      <c r="G240" s="1"/>
      <c r="H240" s="1"/>
      <c r="I240" s="1"/>
      <c r="K240" s="1"/>
      <c r="L240" s="1"/>
    </row>
    <row r="241" spans="1:12">
      <c r="A241" s="1"/>
      <c r="B241" s="255"/>
      <c r="C241" s="1"/>
      <c r="D241" s="1"/>
      <c r="E241" s="255"/>
      <c r="F241" s="1"/>
      <c r="G241" s="1"/>
      <c r="H241" s="1"/>
      <c r="I241" s="1"/>
      <c r="K241" s="1"/>
      <c r="L241" s="1"/>
    </row>
    <row r="242" spans="1:12">
      <c r="A242" s="1"/>
      <c r="B242" s="255"/>
      <c r="C242" s="1"/>
      <c r="D242" s="1"/>
      <c r="E242" s="255"/>
      <c r="F242" s="1"/>
      <c r="G242" s="1"/>
      <c r="H242" s="1"/>
      <c r="I242" s="1"/>
      <c r="K242" s="1"/>
      <c r="L242" s="1"/>
    </row>
    <row r="243" spans="1:12">
      <c r="A243" s="1"/>
      <c r="B243" s="255"/>
      <c r="C243" s="1"/>
      <c r="D243" s="1"/>
      <c r="E243" s="255"/>
      <c r="F243" s="1"/>
      <c r="G243" s="1"/>
      <c r="H243" s="1"/>
      <c r="I243" s="1"/>
      <c r="K243" s="1"/>
      <c r="L243" s="1"/>
    </row>
    <row r="244" spans="1:12">
      <c r="A244" s="1"/>
      <c r="B244" s="255"/>
      <c r="C244" s="1"/>
      <c r="D244" s="1"/>
      <c r="E244" s="255"/>
      <c r="F244" s="1"/>
      <c r="G244" s="1"/>
      <c r="H244" s="1"/>
      <c r="I244" s="1"/>
      <c r="K244" s="1"/>
      <c r="L244" s="1"/>
    </row>
    <row r="245" spans="1:12">
      <c r="A245" s="1"/>
      <c r="B245" s="255"/>
      <c r="C245" s="1"/>
      <c r="D245" s="1"/>
      <c r="E245" s="255"/>
      <c r="F245" s="1"/>
      <c r="G245" s="1"/>
      <c r="H245" s="1"/>
      <c r="I245" s="1"/>
      <c r="K245" s="1"/>
      <c r="L245" s="1"/>
    </row>
    <row r="246" spans="1:12">
      <c r="A246" s="1"/>
      <c r="B246" s="255"/>
      <c r="C246" s="1"/>
      <c r="D246" s="1"/>
      <c r="E246" s="255"/>
      <c r="F246" s="1"/>
      <c r="G246" s="1"/>
      <c r="H246" s="1"/>
      <c r="I246" s="1"/>
      <c r="K246" s="1"/>
      <c r="L246" s="1"/>
    </row>
    <row r="247" spans="1:12">
      <c r="A247" s="1"/>
      <c r="B247" s="255"/>
      <c r="C247" s="1"/>
      <c r="D247" s="1"/>
      <c r="E247" s="255"/>
      <c r="F247" s="1"/>
      <c r="G247" s="1"/>
      <c r="H247" s="1"/>
      <c r="I247" s="1"/>
      <c r="K247" s="1"/>
      <c r="L247" s="1"/>
    </row>
    <row r="248" spans="1:12">
      <c r="A248" s="1"/>
      <c r="B248" s="255"/>
      <c r="C248" s="1"/>
      <c r="D248" s="1"/>
      <c r="E248" s="255"/>
      <c r="F248" s="1"/>
      <c r="G248" s="1"/>
      <c r="H248" s="1"/>
      <c r="I248" s="1"/>
      <c r="K248" s="1"/>
      <c r="L248" s="1"/>
    </row>
    <row r="249" spans="1:12">
      <c r="A249" s="1"/>
      <c r="B249" s="255"/>
      <c r="C249" s="1"/>
      <c r="D249" s="1"/>
      <c r="E249" s="255"/>
      <c r="F249" s="1"/>
      <c r="G249" s="1"/>
      <c r="H249" s="1"/>
      <c r="I249" s="1"/>
      <c r="K249" s="1"/>
      <c r="L249" s="1"/>
    </row>
    <row r="250" spans="1:12">
      <c r="A250" s="1"/>
      <c r="B250" s="255"/>
      <c r="C250" s="1"/>
      <c r="D250" s="1"/>
      <c r="E250" s="255"/>
      <c r="F250" s="1"/>
      <c r="G250" s="1"/>
      <c r="H250" s="1"/>
      <c r="I250" s="1"/>
      <c r="K250" s="1"/>
      <c r="L250" s="1"/>
    </row>
    <row r="251" spans="1:12">
      <c r="A251" s="1"/>
      <c r="B251" s="255"/>
      <c r="C251" s="1"/>
      <c r="D251" s="1"/>
      <c r="E251" s="255"/>
      <c r="F251" s="1"/>
      <c r="G251" s="1"/>
      <c r="H251" s="1"/>
      <c r="I251" s="1"/>
      <c r="K251" s="1"/>
      <c r="L251" s="1"/>
    </row>
    <row r="252" spans="1:12">
      <c r="A252" s="1"/>
      <c r="B252" s="255"/>
      <c r="C252" s="1"/>
      <c r="D252" s="1"/>
      <c r="E252" s="255"/>
      <c r="F252" s="1"/>
      <c r="G252" s="1"/>
      <c r="H252" s="1"/>
      <c r="I252" s="1"/>
      <c r="K252" s="1"/>
      <c r="L252" s="1"/>
    </row>
    <row r="253" spans="1:12">
      <c r="A253" s="1"/>
      <c r="B253" s="255"/>
      <c r="C253" s="1"/>
      <c r="D253" s="1"/>
      <c r="E253" s="255"/>
      <c r="F253" s="1"/>
      <c r="G253" s="1"/>
      <c r="H253" s="1"/>
      <c r="I253" s="1"/>
      <c r="K253" s="1"/>
      <c r="L253" s="1"/>
    </row>
    <row r="254" spans="1:12">
      <c r="A254" s="1"/>
      <c r="B254" s="255"/>
      <c r="C254" s="1"/>
      <c r="D254" s="1"/>
      <c r="E254" s="255"/>
      <c r="F254" s="1"/>
      <c r="G254" s="1"/>
      <c r="H254" s="1"/>
      <c r="I254" s="1"/>
      <c r="K254" s="1"/>
      <c r="L254" s="1"/>
    </row>
    <row r="255" spans="1:12">
      <c r="A255" s="1"/>
      <c r="B255" s="255"/>
      <c r="C255" s="1"/>
      <c r="D255" s="1"/>
      <c r="E255" s="255"/>
      <c r="F255" s="1"/>
      <c r="G255" s="1"/>
      <c r="H255" s="1"/>
      <c r="I255" s="1"/>
      <c r="K255" s="1"/>
      <c r="L255" s="1"/>
    </row>
    <row r="256" spans="1:12">
      <c r="A256" s="1"/>
      <c r="B256" s="255"/>
      <c r="C256" s="1"/>
      <c r="D256" s="1"/>
      <c r="E256" s="255"/>
      <c r="F256" s="1"/>
      <c r="G256" s="1"/>
      <c r="H256" s="1"/>
      <c r="I256" s="1"/>
      <c r="K256" s="1"/>
      <c r="L256" s="1"/>
    </row>
    <row r="257" spans="1:12">
      <c r="A257" s="1"/>
      <c r="B257" s="255"/>
      <c r="C257" s="1"/>
      <c r="D257" s="1"/>
      <c r="E257" s="255"/>
      <c r="F257" s="1"/>
      <c r="G257" s="1"/>
      <c r="H257" s="1"/>
      <c r="I257" s="1"/>
      <c r="K257" s="1"/>
      <c r="L257" s="1"/>
    </row>
    <row r="258" spans="1:12">
      <c r="A258" s="1"/>
      <c r="B258" s="255"/>
      <c r="C258" s="1"/>
      <c r="D258" s="1"/>
      <c r="E258" s="255"/>
      <c r="F258" s="1"/>
      <c r="G258" s="1"/>
      <c r="H258" s="1"/>
      <c r="I258" s="1"/>
      <c r="K258" s="1"/>
      <c r="L258" s="1"/>
    </row>
    <row r="259" spans="1:12">
      <c r="A259" s="1"/>
      <c r="B259" s="255"/>
      <c r="C259" s="1"/>
      <c r="D259" s="1"/>
      <c r="E259" s="255"/>
      <c r="F259" s="1"/>
      <c r="G259" s="1"/>
      <c r="H259" s="1"/>
      <c r="I259" s="1"/>
      <c r="K259" s="1"/>
      <c r="L259" s="1"/>
    </row>
    <row r="260" spans="1:12">
      <c r="A260" s="1"/>
      <c r="B260" s="255"/>
      <c r="C260" s="1"/>
      <c r="D260" s="1"/>
      <c r="E260" s="255"/>
      <c r="F260" s="1"/>
      <c r="G260" s="1"/>
      <c r="H260" s="1"/>
      <c r="I260" s="1"/>
      <c r="K260" s="1"/>
      <c r="L260" s="1"/>
    </row>
    <row r="261" spans="1:12">
      <c r="A261" s="1"/>
      <c r="B261" s="255"/>
      <c r="C261" s="1"/>
      <c r="D261" s="1"/>
      <c r="E261" s="255"/>
      <c r="F261" s="1"/>
      <c r="G261" s="1"/>
      <c r="H261" s="1"/>
      <c r="I261" s="1"/>
      <c r="K261" s="1"/>
      <c r="L261" s="1"/>
    </row>
    <row r="262" spans="1:12">
      <c r="A262" s="1"/>
      <c r="B262" s="255"/>
      <c r="C262" s="1"/>
      <c r="D262" s="1"/>
      <c r="E262" s="255"/>
      <c r="F262" s="1"/>
      <c r="G262" s="1"/>
      <c r="H262" s="1"/>
      <c r="I262" s="1"/>
      <c r="K262" s="1"/>
      <c r="L262" s="1"/>
    </row>
    <row r="263" spans="1:12">
      <c r="A263" s="1"/>
      <c r="B263" s="255"/>
      <c r="C263" s="1"/>
      <c r="D263" s="1"/>
      <c r="E263" s="255"/>
      <c r="F263" s="1"/>
      <c r="G263" s="1"/>
      <c r="H263" s="1"/>
      <c r="I263" s="1"/>
      <c r="K263" s="1"/>
      <c r="L263" s="1"/>
    </row>
    <row r="264" spans="1:12">
      <c r="A264" s="1"/>
      <c r="B264" s="255"/>
      <c r="C264" s="1"/>
      <c r="D264" s="1"/>
      <c r="E264" s="255"/>
      <c r="F264" s="1"/>
      <c r="G264" s="1"/>
      <c r="H264" s="1"/>
      <c r="I264" s="1"/>
      <c r="K264" s="1"/>
      <c r="L264" s="1"/>
    </row>
    <row r="265" spans="1:12">
      <c r="A265" s="1"/>
      <c r="B265" s="255"/>
      <c r="C265" s="1"/>
      <c r="D265" s="1"/>
      <c r="E265" s="255"/>
      <c r="F265" s="1"/>
      <c r="G265" s="1"/>
      <c r="H265" s="1"/>
      <c r="I265" s="1"/>
      <c r="K265" s="1"/>
      <c r="L265" s="1"/>
    </row>
    <row r="266" spans="1:12">
      <c r="A266" s="1"/>
      <c r="B266" s="255"/>
      <c r="C266" s="1"/>
      <c r="D266" s="1"/>
      <c r="E266" s="255"/>
      <c r="F266" s="1"/>
      <c r="G266" s="1"/>
      <c r="H266" s="1"/>
      <c r="I266" s="1"/>
      <c r="K266" s="1"/>
      <c r="L266" s="1"/>
    </row>
    <row r="267" spans="1:12">
      <c r="A267" s="1"/>
      <c r="B267" s="255"/>
      <c r="C267" s="1"/>
      <c r="D267" s="1"/>
      <c r="E267" s="255"/>
      <c r="F267" s="1"/>
      <c r="G267" s="1"/>
      <c r="H267" s="1"/>
      <c r="I267" s="1"/>
      <c r="K267" s="1"/>
      <c r="L267" s="1"/>
    </row>
    <row r="268" spans="1:12">
      <c r="A268" s="1"/>
      <c r="B268" s="255"/>
      <c r="C268" s="1"/>
      <c r="D268" s="1"/>
      <c r="E268" s="255"/>
      <c r="F268" s="1"/>
      <c r="G268" s="1"/>
      <c r="H268" s="1"/>
      <c r="I268" s="1"/>
      <c r="K268" s="1"/>
      <c r="L268" s="1"/>
    </row>
    <row r="269" spans="1:12">
      <c r="A269" s="1"/>
      <c r="B269" s="255"/>
      <c r="C269" s="1"/>
      <c r="D269" s="1"/>
      <c r="E269" s="255"/>
      <c r="F269" s="1"/>
      <c r="G269" s="1"/>
      <c r="H269" s="1"/>
      <c r="I269" s="1"/>
      <c r="K269" s="1"/>
      <c r="L269" s="1"/>
    </row>
    <row r="270" spans="1:12">
      <c r="A270" s="1"/>
      <c r="B270" s="255"/>
      <c r="C270" s="1"/>
      <c r="D270" s="1"/>
      <c r="E270" s="255"/>
      <c r="F270" s="1"/>
      <c r="G270" s="1"/>
      <c r="H270" s="1"/>
      <c r="I270" s="1"/>
      <c r="K270" s="1"/>
      <c r="L270" s="1"/>
    </row>
    <row r="271" spans="1:12">
      <c r="A271" s="1"/>
      <c r="B271" s="255"/>
      <c r="C271" s="1"/>
      <c r="D271" s="1"/>
      <c r="E271" s="255"/>
      <c r="F271" s="1"/>
      <c r="G271" s="1"/>
      <c r="H271" s="1"/>
      <c r="I271" s="1"/>
      <c r="K271" s="1"/>
      <c r="L271" s="1"/>
    </row>
    <row r="272" spans="1:12">
      <c r="A272" s="1"/>
      <c r="B272" s="255"/>
      <c r="C272" s="1"/>
      <c r="D272" s="1"/>
      <c r="E272" s="255"/>
      <c r="F272" s="1"/>
      <c r="G272" s="1"/>
      <c r="H272" s="1"/>
      <c r="I272" s="1"/>
      <c r="K272" s="1"/>
      <c r="L272" s="1"/>
    </row>
    <row r="273" spans="1:12">
      <c r="A273" s="1"/>
      <c r="B273" s="255"/>
      <c r="C273" s="1"/>
      <c r="D273" s="1"/>
      <c r="E273" s="255"/>
      <c r="F273" s="1"/>
      <c r="G273" s="1"/>
      <c r="H273" s="1"/>
      <c r="I273" s="1"/>
      <c r="K273" s="1"/>
      <c r="L273" s="1"/>
    </row>
    <row r="274" spans="1:12">
      <c r="A274" s="1"/>
      <c r="B274" s="255"/>
      <c r="C274" s="1"/>
      <c r="D274" s="1"/>
      <c r="E274" s="255"/>
      <c r="F274" s="1"/>
      <c r="G274" s="1"/>
      <c r="H274" s="1"/>
      <c r="I274" s="1"/>
      <c r="K274" s="1"/>
      <c r="L274" s="1"/>
    </row>
    <row r="275" spans="1:12">
      <c r="A275" s="1"/>
      <c r="B275" s="255"/>
      <c r="C275" s="1"/>
      <c r="D275" s="1"/>
      <c r="E275" s="255"/>
      <c r="F275" s="1"/>
      <c r="G275" s="1"/>
      <c r="H275" s="1"/>
      <c r="I275" s="1"/>
      <c r="K275" s="1"/>
      <c r="L275" s="1"/>
    </row>
    <row r="276" spans="1:12">
      <c r="A276" s="1"/>
      <c r="B276" s="255"/>
      <c r="C276" s="1"/>
      <c r="D276" s="1"/>
      <c r="E276" s="255"/>
      <c r="F276" s="1"/>
      <c r="G276" s="1"/>
      <c r="H276" s="1"/>
      <c r="I276" s="1"/>
      <c r="K276" s="1"/>
      <c r="L276" s="1"/>
    </row>
    <row r="277" spans="1:12">
      <c r="A277" s="1"/>
      <c r="B277" s="255"/>
      <c r="C277" s="1"/>
      <c r="D277" s="1"/>
      <c r="E277" s="255"/>
      <c r="F277" s="1"/>
      <c r="G277" s="1"/>
      <c r="H277" s="1"/>
      <c r="I277" s="1"/>
      <c r="K277" s="1"/>
      <c r="L277" s="1"/>
    </row>
    <row r="278" spans="1:12">
      <c r="A278" s="1"/>
      <c r="B278" s="255"/>
      <c r="C278" s="1"/>
      <c r="D278" s="1"/>
      <c r="E278" s="255"/>
      <c r="F278" s="1"/>
      <c r="G278" s="1"/>
      <c r="H278" s="1"/>
      <c r="I278" s="1"/>
      <c r="K278" s="1"/>
      <c r="L278" s="1"/>
    </row>
    <row r="279" spans="1:12">
      <c r="A279" s="1"/>
      <c r="B279" s="255"/>
      <c r="C279" s="1"/>
      <c r="D279" s="1"/>
      <c r="E279" s="255"/>
      <c r="F279" s="1"/>
      <c r="G279" s="1"/>
      <c r="H279" s="1"/>
      <c r="I279" s="1"/>
      <c r="K279" s="1"/>
      <c r="L279" s="1"/>
    </row>
    <row r="280" spans="1:12">
      <c r="A280" s="1"/>
      <c r="B280" s="255"/>
      <c r="C280" s="1"/>
      <c r="D280" s="1"/>
      <c r="E280" s="255"/>
      <c r="F280" s="1"/>
      <c r="G280" s="1"/>
      <c r="H280" s="1"/>
      <c r="I280" s="1"/>
      <c r="K280" s="1"/>
      <c r="L280" s="1"/>
    </row>
    <row r="281" spans="1:12">
      <c r="A281" s="1"/>
      <c r="B281" s="255"/>
      <c r="C281" s="1"/>
      <c r="D281" s="1"/>
      <c r="E281" s="255"/>
      <c r="F281" s="1"/>
      <c r="G281" s="1"/>
      <c r="H281" s="1"/>
      <c r="I281" s="1"/>
      <c r="K281" s="1"/>
      <c r="L281" s="1"/>
    </row>
    <row r="282" spans="1:12">
      <c r="A282" s="1"/>
      <c r="B282" s="255"/>
      <c r="C282" s="1"/>
      <c r="D282" s="1"/>
      <c r="E282" s="255"/>
      <c r="F282" s="1"/>
      <c r="G282" s="1"/>
      <c r="H282" s="1"/>
      <c r="I282" s="1"/>
      <c r="K282" s="1"/>
      <c r="L282" s="1"/>
    </row>
    <row r="283" spans="1:12">
      <c r="A283" s="1"/>
      <c r="B283" s="255"/>
      <c r="C283" s="1"/>
      <c r="D283" s="1"/>
      <c r="E283" s="255"/>
      <c r="F283" s="1"/>
      <c r="G283" s="1"/>
      <c r="H283" s="1"/>
      <c r="I283" s="1"/>
      <c r="K283" s="1"/>
      <c r="L283" s="1"/>
    </row>
    <row r="284" spans="1:12">
      <c r="A284" s="1"/>
      <c r="B284" s="255"/>
      <c r="C284" s="1"/>
      <c r="D284" s="1"/>
      <c r="E284" s="255"/>
      <c r="F284" s="1"/>
      <c r="G284" s="1"/>
      <c r="H284" s="1"/>
      <c r="I284" s="1"/>
      <c r="K284" s="1"/>
      <c r="L284" s="1"/>
    </row>
    <row r="285" spans="1:12">
      <c r="A285" s="1"/>
      <c r="B285" s="255"/>
      <c r="C285" s="1"/>
      <c r="D285" s="1"/>
      <c r="E285" s="255"/>
      <c r="F285" s="1"/>
      <c r="G285" s="1"/>
      <c r="H285" s="1"/>
      <c r="I285" s="1"/>
      <c r="K285" s="1"/>
      <c r="L285" s="1"/>
    </row>
    <row r="286" spans="1:12">
      <c r="A286" s="1"/>
      <c r="B286" s="255"/>
      <c r="C286" s="1"/>
      <c r="D286" s="1"/>
      <c r="E286" s="255"/>
      <c r="F286" s="1"/>
      <c r="G286" s="1"/>
      <c r="H286" s="1"/>
      <c r="I286" s="1"/>
      <c r="K286" s="1"/>
      <c r="L286" s="1"/>
    </row>
    <row r="287" spans="1:12">
      <c r="A287" s="1"/>
      <c r="B287" s="255"/>
      <c r="C287" s="1"/>
      <c r="D287" s="1"/>
      <c r="E287" s="255"/>
      <c r="F287" s="1"/>
      <c r="G287" s="1"/>
      <c r="H287" s="1"/>
      <c r="I287" s="1"/>
      <c r="K287" s="1"/>
      <c r="L287" s="1"/>
    </row>
    <row r="288" spans="1:12">
      <c r="A288" s="1"/>
      <c r="B288" s="255"/>
      <c r="C288" s="1"/>
      <c r="D288" s="1"/>
      <c r="E288" s="255"/>
      <c r="F288" s="1"/>
      <c r="G288" s="1"/>
      <c r="H288" s="1"/>
      <c r="I288" s="1"/>
      <c r="K288" s="1"/>
      <c r="L288" s="1"/>
    </row>
    <row r="289" spans="1:12">
      <c r="A289" s="1"/>
      <c r="B289" s="255"/>
      <c r="C289" s="1"/>
      <c r="D289" s="1"/>
      <c r="E289" s="255"/>
      <c r="F289" s="1"/>
      <c r="G289" s="1"/>
      <c r="H289" s="1"/>
      <c r="I289" s="1"/>
      <c r="K289" s="1"/>
      <c r="L289" s="1"/>
    </row>
    <row r="290" spans="1:12">
      <c r="A290" s="1"/>
      <c r="B290" s="255"/>
      <c r="C290" s="1"/>
      <c r="D290" s="1"/>
      <c r="E290" s="255"/>
      <c r="F290" s="1"/>
      <c r="G290" s="1"/>
      <c r="H290" s="1"/>
      <c r="I290" s="1"/>
      <c r="K290" s="1"/>
      <c r="L290" s="1"/>
    </row>
    <row r="291" spans="1:12">
      <c r="A291" s="1"/>
      <c r="B291" s="255"/>
      <c r="C291" s="1"/>
      <c r="D291" s="1"/>
      <c r="E291" s="255"/>
      <c r="F291" s="1"/>
      <c r="G291" s="1"/>
      <c r="H291" s="1"/>
      <c r="I291" s="1"/>
      <c r="K291" s="1"/>
      <c r="L291" s="1"/>
    </row>
    <row r="292" spans="1:12">
      <c r="A292" s="1"/>
      <c r="B292" s="255"/>
      <c r="C292" s="1"/>
      <c r="D292" s="1"/>
      <c r="E292" s="255"/>
      <c r="F292" s="1"/>
      <c r="G292" s="1"/>
      <c r="H292" s="1"/>
      <c r="I292" s="1"/>
      <c r="K292" s="1"/>
      <c r="L292" s="1"/>
    </row>
    <row r="293" spans="1:12">
      <c r="A293" s="1"/>
      <c r="B293" s="255"/>
      <c r="C293" s="1"/>
      <c r="D293" s="1"/>
      <c r="E293" s="255"/>
      <c r="F293" s="1"/>
      <c r="G293" s="1"/>
      <c r="H293" s="1"/>
      <c r="I293" s="1"/>
      <c r="K293" s="1"/>
      <c r="L293" s="1"/>
    </row>
    <row r="294" spans="1:12">
      <c r="A294" s="1"/>
      <c r="B294" s="255"/>
      <c r="C294" s="1"/>
      <c r="D294" s="1"/>
      <c r="E294" s="255"/>
      <c r="F294" s="1"/>
      <c r="G294" s="1"/>
      <c r="H294" s="1"/>
      <c r="I294" s="1"/>
      <c r="K294" s="1"/>
      <c r="L294" s="1"/>
    </row>
    <row r="295" spans="1:12">
      <c r="A295" s="1"/>
      <c r="B295" s="255"/>
      <c r="C295" s="1"/>
      <c r="D295" s="1"/>
      <c r="E295" s="255"/>
      <c r="F295" s="1"/>
      <c r="G295" s="1"/>
      <c r="H295" s="1"/>
      <c r="I295" s="1"/>
      <c r="K295" s="1"/>
      <c r="L295" s="1"/>
    </row>
    <row r="296" spans="1:12">
      <c r="A296" s="1"/>
      <c r="B296" s="255"/>
      <c r="C296" s="1"/>
      <c r="D296" s="1"/>
      <c r="E296" s="255"/>
      <c r="F296" s="1"/>
      <c r="G296" s="1"/>
      <c r="H296" s="1"/>
      <c r="I296" s="1"/>
      <c r="K296" s="1"/>
      <c r="L296" s="1"/>
    </row>
    <row r="297" spans="1:12">
      <c r="A297" s="1"/>
      <c r="B297" s="255"/>
      <c r="C297" s="1"/>
      <c r="D297" s="1"/>
      <c r="E297" s="255"/>
      <c r="F297" s="1"/>
      <c r="G297" s="1"/>
      <c r="H297" s="1"/>
      <c r="I297" s="1"/>
      <c r="K297" s="1"/>
      <c r="L297" s="1"/>
    </row>
    <row r="298" spans="1:12">
      <c r="A298" s="1"/>
      <c r="B298" s="255"/>
      <c r="C298" s="1"/>
      <c r="D298" s="1"/>
      <c r="E298" s="255"/>
      <c r="F298" s="1"/>
      <c r="G298" s="1"/>
      <c r="H298" s="1"/>
      <c r="I298" s="1"/>
      <c r="K298" s="1"/>
      <c r="L298" s="1"/>
    </row>
    <row r="299" spans="1:12">
      <c r="A299" s="1"/>
      <c r="B299" s="255"/>
      <c r="C299" s="1"/>
      <c r="D299" s="1"/>
      <c r="E299" s="255"/>
      <c r="F299" s="1"/>
      <c r="G299" s="1"/>
      <c r="H299" s="1"/>
      <c r="I299" s="1"/>
      <c r="K299" s="1"/>
      <c r="L299" s="1"/>
    </row>
    <row r="300" spans="1:12">
      <c r="A300" s="1"/>
      <c r="B300" s="255"/>
      <c r="C300" s="1"/>
      <c r="D300" s="1"/>
      <c r="E300" s="255"/>
      <c r="F300" s="1"/>
      <c r="G300" s="1"/>
      <c r="H300" s="1"/>
      <c r="I300" s="1"/>
      <c r="K300" s="1"/>
      <c r="L300" s="1"/>
    </row>
    <row r="301" spans="1:12">
      <c r="A301" s="1"/>
      <c r="B301" s="255"/>
      <c r="C301" s="1"/>
      <c r="D301" s="1"/>
      <c r="E301" s="255"/>
      <c r="F301" s="1"/>
      <c r="G301" s="1"/>
      <c r="H301" s="1"/>
      <c r="I301" s="1"/>
      <c r="K301" s="1"/>
      <c r="L301" s="1"/>
    </row>
    <row r="302" spans="1:12">
      <c r="A302" s="1"/>
      <c r="B302" s="255"/>
      <c r="C302" s="1"/>
      <c r="D302" s="1"/>
      <c r="E302" s="255"/>
      <c r="F302" s="1"/>
      <c r="G302" s="1"/>
      <c r="H302" s="1"/>
      <c r="I302" s="1"/>
      <c r="K302" s="1"/>
      <c r="L302" s="1"/>
    </row>
    <row r="303" spans="1:12">
      <c r="A303" s="1"/>
      <c r="B303" s="255"/>
      <c r="C303" s="1"/>
      <c r="D303" s="1"/>
      <c r="E303" s="255"/>
      <c r="F303" s="1"/>
      <c r="G303" s="1"/>
      <c r="H303" s="1"/>
      <c r="I303" s="1"/>
      <c r="K303" s="1"/>
      <c r="L303" s="1"/>
    </row>
    <row r="304" spans="1:12">
      <c r="A304" s="1"/>
      <c r="B304" s="255"/>
      <c r="C304" s="1"/>
      <c r="D304" s="1"/>
      <c r="E304" s="255"/>
      <c r="F304" s="1"/>
      <c r="G304" s="1"/>
      <c r="H304" s="1"/>
      <c r="I304" s="1"/>
      <c r="K304" s="1"/>
      <c r="L304" s="1"/>
    </row>
    <row r="305" spans="1:12">
      <c r="A305" s="1"/>
      <c r="B305" s="255"/>
      <c r="C305" s="1"/>
      <c r="D305" s="1"/>
      <c r="E305" s="255"/>
      <c r="F305" s="1"/>
      <c r="G305" s="1"/>
      <c r="H305" s="1"/>
      <c r="I305" s="1"/>
      <c r="K305" s="1"/>
      <c r="L305" s="1"/>
    </row>
    <row r="306" spans="1:12">
      <c r="A306" s="1"/>
      <c r="B306" s="255"/>
      <c r="C306" s="1"/>
      <c r="D306" s="1"/>
      <c r="E306" s="255"/>
      <c r="F306" s="1"/>
      <c r="G306" s="1"/>
      <c r="H306" s="1"/>
      <c r="I306" s="1"/>
      <c r="K306" s="1"/>
      <c r="L306" s="1"/>
    </row>
    <row r="307" spans="1:12">
      <c r="A307" s="1"/>
      <c r="B307" s="255"/>
      <c r="C307" s="1"/>
      <c r="D307" s="1"/>
      <c r="E307" s="255"/>
      <c r="F307" s="1"/>
      <c r="G307" s="1"/>
      <c r="H307" s="1"/>
      <c r="I307" s="1"/>
      <c r="K307" s="1"/>
      <c r="L307" s="1"/>
    </row>
    <row r="308" spans="1:12">
      <c r="A308" s="1"/>
      <c r="B308" s="255"/>
      <c r="C308" s="1"/>
      <c r="D308" s="1"/>
      <c r="E308" s="255"/>
      <c r="F308" s="1"/>
      <c r="G308" s="1"/>
      <c r="H308" s="1"/>
      <c r="I308" s="1"/>
      <c r="K308" s="1"/>
      <c r="L308" s="1"/>
    </row>
    <row r="309" spans="1:12">
      <c r="A309" s="1"/>
      <c r="B309" s="255"/>
      <c r="C309" s="1"/>
      <c r="D309" s="1"/>
      <c r="E309" s="255"/>
      <c r="F309" s="1"/>
      <c r="G309" s="1"/>
      <c r="H309" s="1"/>
      <c r="I309" s="1"/>
      <c r="K309" s="1"/>
      <c r="L309" s="1"/>
    </row>
    <row r="310" spans="1:12">
      <c r="A310" s="1"/>
      <c r="B310" s="255"/>
      <c r="C310" s="1"/>
      <c r="D310" s="1"/>
      <c r="E310" s="255"/>
      <c r="F310" s="1"/>
      <c r="G310" s="1"/>
      <c r="H310" s="1"/>
      <c r="I310" s="1"/>
      <c r="K310" s="1"/>
      <c r="L310" s="1"/>
    </row>
    <row r="311" spans="1:12">
      <c r="A311" s="1"/>
      <c r="B311" s="255"/>
      <c r="C311" s="1"/>
      <c r="D311" s="1"/>
      <c r="E311" s="255"/>
      <c r="F311" s="1"/>
      <c r="G311" s="1"/>
      <c r="H311" s="1"/>
      <c r="I311" s="1"/>
      <c r="K311" s="1"/>
      <c r="L311" s="1"/>
    </row>
    <row r="312" spans="1:12">
      <c r="A312" s="1"/>
      <c r="B312" s="255"/>
      <c r="C312" s="1"/>
      <c r="D312" s="1"/>
      <c r="E312" s="255"/>
      <c r="F312" s="1"/>
      <c r="G312" s="1"/>
      <c r="H312" s="1"/>
      <c r="I312" s="1"/>
      <c r="K312" s="1"/>
    </row>
    <row r="313" spans="1:12">
      <c r="A313" s="1"/>
      <c r="B313" s="255"/>
      <c r="C313" s="1"/>
      <c r="D313" s="1"/>
      <c r="E313" s="255"/>
      <c r="F313" s="1"/>
      <c r="G313" s="1"/>
      <c r="H313" s="1"/>
      <c r="I313" s="1"/>
      <c r="K313" s="1"/>
    </row>
    <row r="314" spans="1:12">
      <c r="A314" s="1"/>
      <c r="B314" s="255"/>
      <c r="C314" s="1"/>
      <c r="D314" s="1"/>
      <c r="E314" s="255"/>
      <c r="F314" s="1"/>
      <c r="G314" s="1"/>
      <c r="H314" s="1"/>
      <c r="I314" s="1"/>
      <c r="K314" s="1"/>
    </row>
    <row r="315" spans="1:12">
      <c r="A315" s="1"/>
      <c r="B315" s="255"/>
      <c r="C315" s="1"/>
      <c r="D315" s="1"/>
      <c r="E315" s="255"/>
      <c r="F315" s="1"/>
      <c r="G315" s="1"/>
      <c r="H315" s="1"/>
      <c r="I315" s="1"/>
      <c r="K315" s="1"/>
    </row>
    <row r="316" spans="1:12">
      <c r="A316" s="1"/>
      <c r="B316" s="255"/>
      <c r="C316" s="1"/>
      <c r="D316" s="1"/>
      <c r="E316" s="255"/>
      <c r="F316" s="1"/>
      <c r="G316" s="1"/>
      <c r="H316" s="1"/>
      <c r="I316" s="1"/>
      <c r="K316" s="1"/>
    </row>
    <row r="317" spans="1:12">
      <c r="A317" s="1"/>
      <c r="B317" s="255"/>
      <c r="C317" s="1"/>
      <c r="D317" s="1"/>
      <c r="E317" s="255"/>
      <c r="F317" s="1"/>
      <c r="G317" s="1"/>
      <c r="H317" s="1"/>
      <c r="I317" s="1"/>
      <c r="K317" s="1"/>
    </row>
    <row r="318" spans="1:12">
      <c r="A318" s="1"/>
      <c r="B318" s="255"/>
      <c r="C318" s="1"/>
      <c r="D318" s="1"/>
      <c r="E318" s="255"/>
      <c r="F318" s="1"/>
      <c r="G318" s="1"/>
      <c r="H318" s="1"/>
      <c r="I318" s="1"/>
      <c r="K318" s="1"/>
    </row>
    <row r="319" spans="1:12">
      <c r="A319" s="1"/>
      <c r="B319" s="255"/>
      <c r="C319" s="1"/>
      <c r="D319" s="1"/>
      <c r="E319" s="255"/>
      <c r="F319" s="1"/>
      <c r="G319" s="1"/>
      <c r="H319" s="1"/>
      <c r="I319" s="1"/>
      <c r="K319" s="1"/>
    </row>
    <row r="320" spans="1:12">
      <c r="A320" s="1"/>
      <c r="B320" s="255"/>
      <c r="C320" s="1"/>
      <c r="D320" s="1"/>
      <c r="E320" s="255"/>
      <c r="F320" s="1"/>
      <c r="G320" s="1"/>
      <c r="H320" s="1"/>
      <c r="I320" s="1"/>
      <c r="K320" s="1"/>
    </row>
    <row r="321" spans="1:11">
      <c r="A321" s="1"/>
      <c r="B321" s="255"/>
      <c r="C321" s="1"/>
      <c r="D321" s="1"/>
      <c r="E321" s="255"/>
      <c r="F321" s="1"/>
      <c r="G321" s="1"/>
      <c r="H321" s="1"/>
      <c r="I321" s="1"/>
      <c r="K321" s="1"/>
    </row>
    <row r="322" spans="1:11">
      <c r="A322" s="1"/>
      <c r="B322" s="255"/>
      <c r="C322" s="1"/>
      <c r="D322" s="1"/>
      <c r="E322" s="255"/>
      <c r="F322" s="1"/>
      <c r="G322" s="1"/>
      <c r="H322" s="1"/>
      <c r="I322" s="1"/>
      <c r="K322" s="1"/>
    </row>
    <row r="323" spans="1:11">
      <c r="A323" s="1"/>
      <c r="B323" s="255"/>
      <c r="C323" s="1"/>
      <c r="D323" s="1"/>
      <c r="E323" s="255"/>
      <c r="F323" s="1"/>
      <c r="G323" s="1"/>
      <c r="H323" s="1"/>
      <c r="I323" s="1"/>
      <c r="K323" s="1"/>
    </row>
    <row r="324" spans="1:11">
      <c r="A324" s="1"/>
      <c r="B324" s="255"/>
      <c r="C324" s="1"/>
      <c r="D324" s="1"/>
      <c r="E324" s="255"/>
      <c r="F324" s="1"/>
      <c r="G324" s="1"/>
      <c r="H324" s="1"/>
      <c r="I324" s="1"/>
      <c r="K324" s="1"/>
    </row>
    <row r="325" spans="1:11">
      <c r="A325" s="1"/>
      <c r="B325" s="255"/>
      <c r="C325" s="1"/>
      <c r="D325" s="1"/>
      <c r="E325" s="255"/>
      <c r="F325" s="1"/>
      <c r="G325" s="1"/>
      <c r="H325" s="1"/>
      <c r="I325" s="1"/>
      <c r="K325" s="1"/>
    </row>
    <row r="326" spans="1:11">
      <c r="A326" s="1"/>
      <c r="B326" s="255"/>
      <c r="C326" s="1"/>
      <c r="D326" s="1"/>
      <c r="E326" s="255"/>
      <c r="F326" s="1"/>
      <c r="G326" s="1"/>
      <c r="H326" s="1"/>
      <c r="I326" s="1"/>
      <c r="K326" s="1"/>
    </row>
    <row r="327" spans="1:11">
      <c r="A327" s="1"/>
      <c r="B327" s="255"/>
      <c r="C327" s="1"/>
      <c r="D327" s="1"/>
      <c r="E327" s="255"/>
      <c r="F327" s="1"/>
      <c r="G327" s="1"/>
      <c r="H327" s="1"/>
      <c r="I327" s="1"/>
      <c r="K327" s="1"/>
    </row>
    <row r="328" spans="1:11">
      <c r="A328" s="1"/>
      <c r="B328" s="255"/>
      <c r="C328" s="1"/>
      <c r="D328" s="1"/>
      <c r="E328" s="255"/>
      <c r="F328" s="1"/>
      <c r="G328" s="1"/>
      <c r="H328" s="1"/>
      <c r="I328" s="1"/>
      <c r="K328" s="1"/>
    </row>
    <row r="329" spans="1:11">
      <c r="A329" s="1"/>
      <c r="B329" s="255"/>
      <c r="C329" s="1"/>
      <c r="D329" s="1"/>
      <c r="E329" s="255"/>
      <c r="F329" s="1"/>
      <c r="G329" s="1"/>
      <c r="H329" s="1"/>
      <c r="I329" s="1"/>
      <c r="K329" s="1"/>
    </row>
    <row r="330" spans="1:11">
      <c r="A330" s="1"/>
      <c r="B330" s="255"/>
      <c r="C330" s="1"/>
      <c r="D330" s="1"/>
      <c r="E330" s="255"/>
      <c r="F330" s="1"/>
      <c r="G330" s="1"/>
      <c r="H330" s="1"/>
      <c r="I330" s="1"/>
      <c r="K330" s="1"/>
    </row>
    <row r="331" spans="1:11">
      <c r="A331" s="1"/>
      <c r="B331" s="255"/>
      <c r="C331" s="1"/>
      <c r="D331" s="1"/>
      <c r="E331" s="255"/>
      <c r="F331" s="1"/>
      <c r="G331" s="1"/>
      <c r="H331" s="1"/>
      <c r="I331" s="1"/>
      <c r="K331" s="1"/>
    </row>
    <row r="332" spans="1:11">
      <c r="A332" s="1"/>
      <c r="B332" s="255"/>
      <c r="C332" s="1"/>
      <c r="D332" s="1"/>
      <c r="E332" s="255"/>
      <c r="F332" s="1"/>
      <c r="G332" s="1"/>
      <c r="H332" s="1"/>
      <c r="I332" s="1"/>
      <c r="K332" s="1"/>
    </row>
    <row r="333" spans="1:11">
      <c r="A333" s="1"/>
      <c r="B333" s="255"/>
      <c r="C333" s="1"/>
      <c r="D333" s="1"/>
      <c r="E333" s="255"/>
      <c r="F333" s="1"/>
      <c r="G333" s="1"/>
      <c r="H333" s="1"/>
      <c r="I333" s="1"/>
      <c r="K333" s="1"/>
    </row>
    <row r="334" spans="1:11">
      <c r="A334" s="1"/>
      <c r="B334" s="255"/>
      <c r="C334" s="1"/>
      <c r="D334" s="1"/>
      <c r="E334" s="255"/>
      <c r="F334" s="1"/>
      <c r="G334" s="1"/>
      <c r="H334" s="1"/>
      <c r="I334" s="1"/>
      <c r="K334" s="1"/>
    </row>
    <row r="335" spans="1:11">
      <c r="A335" s="1"/>
      <c r="B335" s="255"/>
      <c r="C335" s="1"/>
      <c r="D335" s="1"/>
      <c r="E335" s="255"/>
      <c r="F335" s="1"/>
      <c r="G335" s="1"/>
      <c r="H335" s="1"/>
      <c r="I335" s="1"/>
      <c r="K335" s="1"/>
    </row>
    <row r="336" spans="1:11">
      <c r="A336" s="1"/>
      <c r="B336" s="255"/>
      <c r="C336" s="1"/>
      <c r="D336" s="1"/>
      <c r="E336" s="255"/>
      <c r="F336" s="1"/>
      <c r="G336" s="1"/>
      <c r="H336" s="1"/>
      <c r="I336" s="1"/>
      <c r="K336" s="1"/>
    </row>
    <row r="337" spans="1:11">
      <c r="A337" s="1"/>
      <c r="B337" s="255"/>
      <c r="C337" s="1"/>
      <c r="D337" s="1"/>
      <c r="E337" s="255"/>
      <c r="F337" s="1"/>
      <c r="G337" s="1"/>
      <c r="H337" s="1"/>
      <c r="I337" s="1"/>
      <c r="K337" s="1"/>
    </row>
    <row r="338" spans="1:11">
      <c r="A338" s="1"/>
      <c r="B338" s="255"/>
      <c r="C338" s="1"/>
      <c r="D338" s="1"/>
      <c r="E338" s="255"/>
      <c r="F338" s="1"/>
      <c r="G338" s="1"/>
      <c r="H338" s="1"/>
      <c r="I338" s="1"/>
      <c r="K338" s="1"/>
    </row>
    <row r="339" spans="1:11">
      <c r="A339" s="1"/>
      <c r="B339" s="255"/>
      <c r="C339" s="1"/>
      <c r="D339" s="1"/>
      <c r="E339" s="255"/>
      <c r="F339" s="1"/>
      <c r="G339" s="1"/>
      <c r="H339" s="1"/>
      <c r="I339" s="1"/>
      <c r="K339" s="1"/>
    </row>
    <row r="340" spans="1:11">
      <c r="A340" s="1"/>
      <c r="B340" s="255"/>
      <c r="C340" s="1"/>
      <c r="D340" s="1"/>
      <c r="E340" s="255"/>
      <c r="F340" s="1"/>
      <c r="G340" s="1"/>
      <c r="H340" s="1"/>
      <c r="I340" s="1"/>
      <c r="K340" s="1"/>
    </row>
    <row r="341" spans="1:11">
      <c r="A341" s="1"/>
      <c r="B341" s="255"/>
      <c r="C341" s="1"/>
      <c r="D341" s="1"/>
      <c r="E341" s="255"/>
      <c r="F341" s="1"/>
      <c r="G341" s="1"/>
      <c r="H341" s="1"/>
      <c r="I341" s="1"/>
      <c r="K341" s="1"/>
    </row>
    <row r="342" spans="1:11">
      <c r="A342" s="1"/>
      <c r="B342" s="255"/>
      <c r="C342" s="1"/>
      <c r="D342" s="1"/>
      <c r="E342" s="255"/>
      <c r="F342" s="1"/>
      <c r="G342" s="1"/>
      <c r="H342" s="1"/>
      <c r="I342" s="1"/>
      <c r="K342" s="1"/>
    </row>
    <row r="343" spans="1:11">
      <c r="A343" s="1"/>
      <c r="B343" s="255"/>
      <c r="C343" s="1"/>
      <c r="D343" s="1"/>
      <c r="E343" s="255"/>
      <c r="F343" s="1"/>
      <c r="G343" s="1"/>
      <c r="H343" s="1"/>
      <c r="I343" s="1"/>
      <c r="K343" s="1"/>
    </row>
    <row r="344" spans="1:11">
      <c r="A344" s="1"/>
      <c r="B344" s="255"/>
      <c r="C344" s="1"/>
      <c r="D344" s="1"/>
      <c r="E344" s="255"/>
      <c r="F344" s="1"/>
      <c r="G344" s="1"/>
      <c r="H344" s="1"/>
      <c r="I344" s="1"/>
      <c r="K344" s="1"/>
    </row>
    <row r="345" spans="1:11">
      <c r="A345" s="1"/>
      <c r="B345" s="255"/>
      <c r="C345" s="1"/>
      <c r="D345" s="1"/>
      <c r="E345" s="255"/>
      <c r="F345" s="1"/>
      <c r="G345" s="1"/>
      <c r="H345" s="1"/>
      <c r="I345" s="1"/>
      <c r="K345" s="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L181"/>
  <sheetViews>
    <sheetView workbookViewId="0">
      <selection activeCell="A5" sqref="A5"/>
    </sheetView>
  </sheetViews>
  <sheetFormatPr defaultColWidth="12.5703125" defaultRowHeight="15" customHeight="1"/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255"/>
      <c r="C2" s="1"/>
      <c r="D2" s="1"/>
      <c r="E2" s="255"/>
      <c r="F2" s="1"/>
      <c r="G2" s="1"/>
      <c r="H2" s="1"/>
      <c r="I2" s="1"/>
      <c r="K2" s="1"/>
      <c r="L2" s="1"/>
    </row>
    <row r="3" spans="1:12">
      <c r="A3" s="1"/>
      <c r="B3" s="255"/>
      <c r="C3" s="1"/>
      <c r="D3" s="1"/>
      <c r="E3" s="255"/>
      <c r="F3" s="1"/>
      <c r="G3" s="1"/>
      <c r="H3" s="1"/>
      <c r="I3" s="1"/>
      <c r="K3" s="1"/>
      <c r="L3" s="1"/>
    </row>
    <row r="4" spans="1:12">
      <c r="A4" s="1"/>
      <c r="B4" s="255"/>
      <c r="C4" s="1"/>
      <c r="D4" s="1"/>
      <c r="E4" s="255"/>
      <c r="F4" s="1"/>
      <c r="G4" s="1"/>
      <c r="H4" s="1"/>
      <c r="I4" s="1"/>
      <c r="K4" s="1"/>
      <c r="L4" s="1"/>
    </row>
    <row r="5" spans="1:12">
      <c r="A5" s="1"/>
      <c r="B5" s="255"/>
      <c r="C5" s="1"/>
      <c r="D5" s="1"/>
      <c r="E5" s="255"/>
      <c r="F5" s="1"/>
      <c r="G5" s="1"/>
      <c r="H5" s="1"/>
      <c r="I5" s="1"/>
      <c r="K5" s="1"/>
      <c r="L5" s="1"/>
    </row>
    <row r="6" spans="1:12">
      <c r="A6" s="1"/>
      <c r="B6" s="255"/>
      <c r="C6" s="1"/>
      <c r="D6" s="1"/>
      <c r="E6" s="255"/>
      <c r="F6" s="1"/>
      <c r="G6" s="1"/>
      <c r="H6" s="1"/>
      <c r="I6" s="1"/>
      <c r="K6" s="1"/>
      <c r="L6" s="1"/>
    </row>
    <row r="7" spans="1:12">
      <c r="A7" s="1"/>
      <c r="B7" s="255"/>
      <c r="C7" s="1"/>
      <c r="D7" s="1"/>
      <c r="E7" s="255"/>
      <c r="F7" s="1"/>
      <c r="G7" s="1"/>
      <c r="H7" s="1"/>
      <c r="I7" s="1"/>
      <c r="K7" s="1"/>
      <c r="L7" s="1"/>
    </row>
    <row r="8" spans="1:12">
      <c r="A8" s="1"/>
      <c r="B8" s="255"/>
      <c r="C8" s="1"/>
      <c r="D8" s="256"/>
      <c r="E8" s="255"/>
      <c r="F8" s="1"/>
      <c r="G8" s="1"/>
      <c r="H8" s="1"/>
      <c r="I8" s="1"/>
      <c r="K8" s="1"/>
      <c r="L8" s="1"/>
    </row>
    <row r="9" spans="1:12">
      <c r="A9" s="1"/>
      <c r="B9" s="255"/>
      <c r="C9" s="1"/>
      <c r="D9" s="256"/>
      <c r="E9" s="255"/>
      <c r="F9" s="1"/>
      <c r="G9" s="1"/>
      <c r="H9" s="1"/>
      <c r="I9" s="1"/>
      <c r="K9" s="1"/>
      <c r="L9" s="1"/>
    </row>
    <row r="10" spans="1:12">
      <c r="A10" s="1"/>
      <c r="B10" s="255"/>
      <c r="C10" s="1"/>
      <c r="D10" s="1"/>
      <c r="E10" s="255"/>
      <c r="F10" s="1"/>
      <c r="G10" s="1"/>
      <c r="H10" s="1"/>
      <c r="I10" s="1"/>
      <c r="K10" s="1"/>
      <c r="L10" s="1"/>
    </row>
    <row r="11" spans="1:12">
      <c r="A11" s="1"/>
      <c r="B11" s="255"/>
      <c r="C11" s="1"/>
      <c r="D11" s="1"/>
      <c r="E11" s="255"/>
      <c r="F11" s="1"/>
      <c r="G11" s="1"/>
      <c r="H11" s="1"/>
      <c r="I11" s="1"/>
      <c r="K11" s="1"/>
      <c r="L11" s="1"/>
    </row>
    <row r="12" spans="1:12">
      <c r="A12" s="1"/>
      <c r="B12" s="255"/>
      <c r="C12" s="1"/>
      <c r="D12" s="1"/>
      <c r="E12" s="255"/>
      <c r="F12" s="1"/>
      <c r="G12" s="1"/>
      <c r="H12" s="1"/>
      <c r="I12" s="1"/>
      <c r="K12" s="1"/>
      <c r="L12" s="1"/>
    </row>
    <row r="13" spans="1:12">
      <c r="A13" s="1"/>
      <c r="B13" s="255"/>
      <c r="C13" s="1"/>
      <c r="D13" s="1"/>
      <c r="E13" s="255"/>
      <c r="F13" s="1"/>
      <c r="G13" s="1"/>
      <c r="H13" s="1"/>
      <c r="I13" s="1"/>
      <c r="K13" s="1"/>
      <c r="L13" s="1"/>
    </row>
    <row r="14" spans="1:12">
      <c r="A14" s="1"/>
      <c r="B14" s="255"/>
      <c r="C14" s="1"/>
      <c r="D14" s="1"/>
      <c r="E14" s="255"/>
      <c r="F14" s="1"/>
      <c r="G14" s="1"/>
      <c r="H14" s="1"/>
      <c r="I14" s="1"/>
      <c r="K14" s="1"/>
      <c r="L14" s="1"/>
    </row>
    <row r="15" spans="1:12">
      <c r="A15" s="1"/>
      <c r="B15" s="255"/>
      <c r="C15" s="1"/>
      <c r="D15" s="1"/>
      <c r="E15" s="255"/>
      <c r="F15" s="1"/>
      <c r="G15" s="1"/>
      <c r="H15" s="1"/>
      <c r="I15" s="1"/>
      <c r="K15" s="1"/>
      <c r="L15" s="1"/>
    </row>
    <row r="16" spans="1:12">
      <c r="A16" s="1"/>
      <c r="B16" s="255"/>
      <c r="C16" s="1"/>
      <c r="D16" s="1"/>
      <c r="E16" s="255"/>
      <c r="F16" s="1"/>
      <c r="G16" s="1"/>
      <c r="H16" s="1"/>
      <c r="I16" s="1"/>
      <c r="K16" s="1"/>
      <c r="L16" s="1"/>
    </row>
    <row r="17" spans="1:12">
      <c r="A17" s="1"/>
      <c r="B17" s="255"/>
      <c r="C17" s="1"/>
      <c r="D17" s="1"/>
      <c r="E17" s="255"/>
      <c r="F17" s="1"/>
      <c r="G17" s="1"/>
      <c r="H17" s="1"/>
      <c r="I17" s="1"/>
      <c r="K17" s="1"/>
      <c r="L17" s="1"/>
    </row>
    <row r="18" spans="1:12">
      <c r="A18" s="1"/>
      <c r="B18" s="255"/>
      <c r="C18" s="1"/>
      <c r="D18" s="1"/>
      <c r="E18" s="255"/>
      <c r="F18" s="1"/>
      <c r="G18" s="1"/>
      <c r="H18" s="1"/>
      <c r="I18" s="1"/>
      <c r="K18" s="1"/>
      <c r="L18" s="1"/>
    </row>
    <row r="19" spans="1:12">
      <c r="A19" s="1"/>
      <c r="B19" s="255"/>
      <c r="C19" s="1"/>
      <c r="D19" s="1"/>
      <c r="E19" s="255"/>
      <c r="F19" s="1"/>
      <c r="G19" s="1"/>
      <c r="H19" s="1"/>
      <c r="I19" s="1"/>
      <c r="K19" s="1"/>
      <c r="L19" s="1"/>
    </row>
    <row r="20" spans="1:12">
      <c r="A20" s="1"/>
      <c r="B20" s="255"/>
      <c r="C20" s="1"/>
      <c r="D20" s="1"/>
      <c r="E20" s="255"/>
      <c r="F20" s="1"/>
      <c r="G20" s="1"/>
      <c r="H20" s="1"/>
      <c r="I20" s="1"/>
      <c r="K20" s="1"/>
      <c r="L20" s="1"/>
    </row>
    <row r="21" spans="1:12">
      <c r="A21" s="1"/>
      <c r="B21" s="255"/>
      <c r="C21" s="1"/>
      <c r="D21" s="1"/>
      <c r="E21" s="255"/>
      <c r="F21" s="1"/>
      <c r="G21" s="1"/>
      <c r="H21" s="1"/>
      <c r="I21" s="1"/>
      <c r="K21" s="1"/>
      <c r="L21" s="1"/>
    </row>
    <row r="22" spans="1:12">
      <c r="A22" s="1"/>
      <c r="B22" s="255"/>
      <c r="C22" s="1"/>
      <c r="D22" s="1"/>
      <c r="E22" s="255"/>
      <c r="F22" s="1"/>
      <c r="G22" s="1"/>
      <c r="H22" s="1"/>
      <c r="I22" s="1"/>
      <c r="K22" s="1"/>
      <c r="L22" s="1"/>
    </row>
    <row r="23" spans="1:12">
      <c r="A23" s="1"/>
      <c r="B23" s="255"/>
      <c r="C23" s="1"/>
      <c r="D23" s="1"/>
      <c r="E23" s="255"/>
      <c r="F23" s="1"/>
      <c r="G23" s="1"/>
      <c r="H23" s="1"/>
      <c r="I23" s="1"/>
      <c r="K23" s="1"/>
      <c r="L23" s="1"/>
    </row>
    <row r="24" spans="1:12">
      <c r="A24" s="1"/>
      <c r="B24" s="255"/>
      <c r="C24" s="1"/>
      <c r="D24" s="1"/>
      <c r="E24" s="255"/>
      <c r="F24" s="1"/>
      <c r="G24" s="1"/>
      <c r="H24" s="1"/>
      <c r="I24" s="1"/>
      <c r="K24" s="1"/>
      <c r="L24" s="1"/>
    </row>
    <row r="25" spans="1:12">
      <c r="A25" s="1"/>
      <c r="B25" s="255"/>
      <c r="C25" s="1"/>
      <c r="D25" s="1"/>
      <c r="E25" s="255"/>
      <c r="F25" s="1"/>
      <c r="G25" s="1"/>
      <c r="H25" s="1"/>
      <c r="I25" s="1"/>
      <c r="K25" s="1"/>
      <c r="L25" s="1"/>
    </row>
    <row r="26" spans="1:12">
      <c r="A26" s="1"/>
      <c r="B26" s="255"/>
      <c r="C26" s="1"/>
      <c r="D26" s="1"/>
      <c r="E26" s="255"/>
      <c r="F26" s="1"/>
      <c r="G26" s="1"/>
      <c r="H26" s="1"/>
      <c r="I26" s="1"/>
      <c r="K26" s="1"/>
      <c r="L26" s="1"/>
    </row>
    <row r="27" spans="1:12">
      <c r="A27" s="1"/>
      <c r="B27" s="255"/>
      <c r="C27" s="1"/>
      <c r="D27" s="1"/>
      <c r="E27" s="255"/>
      <c r="F27" s="1"/>
      <c r="G27" s="1"/>
      <c r="H27" s="1"/>
      <c r="I27" s="1"/>
      <c r="K27" s="1"/>
      <c r="L27" s="1"/>
    </row>
    <row r="28" spans="1:12">
      <c r="A28" s="1"/>
      <c r="B28" s="255"/>
      <c r="C28" s="1"/>
      <c r="D28" s="1"/>
      <c r="E28" s="255"/>
      <c r="F28" s="1"/>
      <c r="G28" s="1"/>
      <c r="H28" s="1"/>
      <c r="I28" s="1"/>
      <c r="K28" s="1"/>
      <c r="L28" s="1"/>
    </row>
    <row r="29" spans="1:12">
      <c r="A29" s="1"/>
      <c r="B29" s="255"/>
      <c r="C29" s="1"/>
      <c r="D29" s="1"/>
      <c r="E29" s="255"/>
      <c r="F29" s="1"/>
      <c r="G29" s="1"/>
      <c r="H29" s="1"/>
      <c r="I29" s="1"/>
      <c r="K29" s="1"/>
      <c r="L29" s="1"/>
    </row>
    <row r="30" spans="1:12">
      <c r="A30" s="1"/>
      <c r="B30" s="255"/>
      <c r="C30" s="1"/>
      <c r="D30" s="1"/>
      <c r="E30" s="255"/>
      <c r="F30" s="1"/>
      <c r="G30" s="1"/>
      <c r="H30" s="1"/>
      <c r="I30" s="1"/>
      <c r="K30" s="1"/>
      <c r="L30" s="1"/>
    </row>
    <row r="31" spans="1:12">
      <c r="A31" s="1"/>
      <c r="B31" s="255"/>
      <c r="C31" s="1"/>
      <c r="D31" s="1"/>
      <c r="E31" s="255"/>
      <c r="F31" s="1"/>
      <c r="G31" s="1"/>
      <c r="H31" s="1"/>
      <c r="I31" s="1"/>
      <c r="K31" s="1"/>
      <c r="L31" s="1"/>
    </row>
    <row r="32" spans="1:12">
      <c r="A32" s="1"/>
      <c r="B32" s="255"/>
      <c r="C32" s="1"/>
      <c r="D32" s="1"/>
      <c r="E32" s="255"/>
      <c r="F32" s="1"/>
      <c r="G32" s="1"/>
      <c r="H32" s="1"/>
      <c r="I32" s="1"/>
      <c r="K32" s="1"/>
      <c r="L32" s="1"/>
    </row>
    <row r="33" spans="1:12">
      <c r="A33" s="1"/>
      <c r="B33" s="255"/>
      <c r="C33" s="1"/>
      <c r="D33" s="1"/>
      <c r="E33" s="255"/>
      <c r="F33" s="1"/>
      <c r="G33" s="1"/>
      <c r="H33" s="1"/>
      <c r="I33" s="1"/>
      <c r="K33" s="1"/>
      <c r="L33" s="1"/>
    </row>
    <row r="34" spans="1:12">
      <c r="A34" s="1"/>
      <c r="B34" s="255"/>
      <c r="C34" s="1"/>
      <c r="D34" s="1"/>
      <c r="E34" s="255"/>
      <c r="F34" s="1"/>
      <c r="G34" s="1"/>
      <c r="H34" s="1"/>
      <c r="I34" s="1"/>
      <c r="K34" s="1"/>
      <c r="L34" s="1"/>
    </row>
    <row r="35" spans="1:12">
      <c r="A35" s="1"/>
      <c r="B35" s="255"/>
      <c r="C35" s="1"/>
      <c r="D35" s="1"/>
      <c r="E35" s="255"/>
      <c r="F35" s="1"/>
      <c r="G35" s="1"/>
      <c r="H35" s="1"/>
      <c r="I35" s="1"/>
      <c r="K35" s="1"/>
      <c r="L35" s="1"/>
    </row>
    <row r="36" spans="1:12">
      <c r="A36" s="1"/>
      <c r="B36" s="255"/>
      <c r="C36" s="1"/>
      <c r="D36" s="1"/>
      <c r="E36" s="255"/>
      <c r="F36" s="1"/>
      <c r="G36" s="1"/>
      <c r="H36" s="1"/>
      <c r="I36" s="1"/>
      <c r="K36" s="1"/>
      <c r="L36" s="1"/>
    </row>
    <row r="37" spans="1:12">
      <c r="A37" s="1"/>
      <c r="B37" s="255"/>
      <c r="C37" s="1"/>
      <c r="D37" s="1"/>
      <c r="E37" s="255"/>
      <c r="F37" s="1"/>
      <c r="G37" s="1"/>
      <c r="H37" s="1"/>
      <c r="I37" s="1"/>
      <c r="K37" s="1"/>
      <c r="L37" s="1"/>
    </row>
    <row r="38" spans="1:12">
      <c r="A38" s="1"/>
      <c r="B38" s="255"/>
      <c r="C38" s="1"/>
      <c r="D38" s="1"/>
      <c r="E38" s="255"/>
      <c r="F38" s="1"/>
      <c r="G38" s="1"/>
      <c r="H38" s="1"/>
      <c r="I38" s="1"/>
      <c r="K38" s="1"/>
      <c r="L38" s="1"/>
    </row>
    <row r="39" spans="1:12">
      <c r="A39" s="1"/>
      <c r="B39" s="255"/>
      <c r="C39" s="1"/>
      <c r="D39" s="1"/>
      <c r="E39" s="255"/>
      <c r="F39" s="1"/>
      <c r="G39" s="1"/>
      <c r="H39" s="1"/>
      <c r="I39" s="1"/>
      <c r="K39" s="1"/>
      <c r="L39" s="1"/>
    </row>
    <row r="40" spans="1:12">
      <c r="A40" s="1"/>
      <c r="B40" s="255"/>
      <c r="C40" s="1"/>
      <c r="D40" s="1"/>
      <c r="E40" s="255"/>
      <c r="F40" s="1"/>
      <c r="G40" s="1"/>
      <c r="H40" s="1"/>
      <c r="I40" s="1"/>
      <c r="K40" s="1"/>
      <c r="L40" s="1"/>
    </row>
    <row r="41" spans="1:12">
      <c r="A41" s="1"/>
      <c r="B41" s="255"/>
      <c r="C41" s="1"/>
      <c r="D41" s="1"/>
      <c r="E41" s="255"/>
      <c r="F41" s="1"/>
      <c r="G41" s="1"/>
      <c r="H41" s="1"/>
      <c r="I41" s="1"/>
      <c r="K41" s="1"/>
      <c r="L41" s="1"/>
    </row>
    <row r="42" spans="1:12">
      <c r="A42" s="1"/>
      <c r="B42" s="255"/>
      <c r="C42" s="1"/>
      <c r="D42" s="1"/>
      <c r="E42" s="255"/>
      <c r="F42" s="1"/>
      <c r="G42" s="1"/>
      <c r="H42" s="1"/>
      <c r="I42" s="1"/>
      <c r="K42" s="1"/>
      <c r="L42" s="1"/>
    </row>
    <row r="43" spans="1:12">
      <c r="A43" s="1"/>
      <c r="B43" s="255"/>
      <c r="C43" s="1"/>
      <c r="D43" s="1"/>
      <c r="E43" s="255"/>
      <c r="F43" s="1"/>
      <c r="G43" s="1"/>
      <c r="H43" s="1"/>
      <c r="I43" s="1"/>
      <c r="K43" s="1"/>
      <c r="L43" s="1"/>
    </row>
    <row r="44" spans="1:12">
      <c r="A44" s="1"/>
      <c r="B44" s="255"/>
      <c r="C44" s="1"/>
      <c r="D44" s="1"/>
      <c r="E44" s="255"/>
      <c r="F44" s="1"/>
      <c r="G44" s="1"/>
      <c r="H44" s="1"/>
      <c r="I44" s="1"/>
      <c r="K44" s="1"/>
      <c r="L44" s="1"/>
    </row>
    <row r="45" spans="1:12">
      <c r="A45" s="1"/>
      <c r="B45" s="255"/>
      <c r="C45" s="1"/>
      <c r="D45" s="1"/>
      <c r="E45" s="255"/>
      <c r="F45" s="1"/>
      <c r="G45" s="1"/>
      <c r="H45" s="1"/>
      <c r="I45" s="1"/>
      <c r="K45" s="1"/>
      <c r="L45" s="1"/>
    </row>
    <row r="46" spans="1:12">
      <c r="A46" s="1"/>
      <c r="B46" s="255"/>
      <c r="C46" s="1"/>
      <c r="D46" s="1"/>
      <c r="E46" s="255"/>
      <c r="F46" s="1"/>
      <c r="G46" s="1"/>
      <c r="H46" s="1"/>
      <c r="I46" s="1"/>
      <c r="K46" s="1"/>
      <c r="L46" s="1"/>
    </row>
    <row r="47" spans="1:12">
      <c r="A47" s="1"/>
      <c r="B47" s="255"/>
      <c r="C47" s="1"/>
      <c r="D47" s="1"/>
      <c r="E47" s="255"/>
      <c r="F47" s="1"/>
      <c r="G47" s="1"/>
      <c r="H47" s="1"/>
      <c r="I47" s="1"/>
      <c r="K47" s="1"/>
      <c r="L47" s="1"/>
    </row>
    <row r="48" spans="1:12">
      <c r="A48" s="1"/>
      <c r="B48" s="255"/>
      <c r="C48" s="1"/>
      <c r="D48" s="1"/>
      <c r="E48" s="255"/>
      <c r="F48" s="1"/>
      <c r="G48" s="1"/>
      <c r="H48" s="1"/>
      <c r="I48" s="1"/>
      <c r="K48" s="1"/>
      <c r="L48" s="1"/>
    </row>
    <row r="49" spans="1:12">
      <c r="A49" s="1"/>
      <c r="B49" s="255"/>
      <c r="C49" s="1"/>
      <c r="D49" s="1"/>
      <c r="E49" s="255"/>
      <c r="F49" s="1"/>
      <c r="G49" s="1"/>
      <c r="H49" s="1"/>
      <c r="I49" s="1"/>
      <c r="K49" s="1"/>
      <c r="L49" s="1"/>
    </row>
    <row r="50" spans="1:12">
      <c r="A50" s="1"/>
      <c r="B50" s="255"/>
      <c r="C50" s="1"/>
      <c r="D50" s="1"/>
      <c r="E50" s="255"/>
      <c r="F50" s="1"/>
      <c r="G50" s="1"/>
      <c r="H50" s="1"/>
      <c r="I50" s="1"/>
      <c r="K50" s="1"/>
      <c r="L50" s="1"/>
    </row>
    <row r="51" spans="1:12">
      <c r="A51" s="1"/>
      <c r="B51" s="255"/>
      <c r="C51" s="1"/>
      <c r="D51" s="1"/>
      <c r="E51" s="255"/>
      <c r="F51" s="1"/>
      <c r="G51" s="1"/>
      <c r="H51" s="1"/>
      <c r="I51" s="1"/>
      <c r="K51" s="1"/>
      <c r="L51" s="1"/>
    </row>
    <row r="52" spans="1:12">
      <c r="A52" s="1"/>
      <c r="B52" s="255"/>
      <c r="C52" s="1"/>
      <c r="D52" s="1"/>
      <c r="E52" s="255"/>
      <c r="F52" s="1"/>
      <c r="G52" s="1"/>
      <c r="H52" s="1"/>
      <c r="I52" s="1"/>
      <c r="K52" s="1"/>
      <c r="L52" s="1"/>
    </row>
    <row r="53" spans="1:12">
      <c r="A53" s="1"/>
      <c r="B53" s="255"/>
      <c r="C53" s="1"/>
      <c r="D53" s="1"/>
      <c r="E53" s="255"/>
      <c r="F53" s="1"/>
      <c r="G53" s="1"/>
      <c r="H53" s="1"/>
      <c r="I53" s="1"/>
      <c r="K53" s="1"/>
      <c r="L53" s="1"/>
    </row>
    <row r="54" spans="1:12">
      <c r="A54" s="1"/>
      <c r="B54" s="255"/>
      <c r="C54" s="1"/>
      <c r="D54" s="1"/>
      <c r="E54" s="255"/>
      <c r="F54" s="1"/>
      <c r="G54" s="1"/>
      <c r="H54" s="1"/>
      <c r="I54" s="1"/>
      <c r="K54" s="1"/>
      <c r="L54" s="1"/>
    </row>
    <row r="55" spans="1:12">
      <c r="A55" s="1"/>
      <c r="B55" s="255"/>
      <c r="C55" s="1"/>
      <c r="D55" s="1"/>
      <c r="E55" s="255"/>
      <c r="F55" s="1"/>
      <c r="G55" s="1"/>
      <c r="H55" s="1"/>
      <c r="I55" s="1"/>
      <c r="K55" s="1"/>
      <c r="L55" s="1"/>
    </row>
    <row r="56" spans="1:12">
      <c r="A56" s="1"/>
      <c r="B56" s="255"/>
      <c r="C56" s="1"/>
      <c r="D56" s="1"/>
      <c r="E56" s="255"/>
      <c r="F56" s="1"/>
      <c r="G56" s="1"/>
      <c r="H56" s="1"/>
      <c r="I56" s="1"/>
      <c r="K56" s="1"/>
      <c r="L56" s="1"/>
    </row>
    <row r="57" spans="1:12">
      <c r="A57" s="1"/>
      <c r="B57" s="255"/>
      <c r="C57" s="1"/>
      <c r="D57" s="1"/>
      <c r="E57" s="255"/>
      <c r="F57" s="1"/>
      <c r="G57" s="1"/>
      <c r="H57" s="1"/>
      <c r="I57" s="1"/>
      <c r="K57" s="1"/>
      <c r="L57" s="1"/>
    </row>
    <row r="58" spans="1:12">
      <c r="A58" s="1"/>
      <c r="B58" s="255"/>
      <c r="C58" s="1"/>
      <c r="D58" s="1"/>
      <c r="E58" s="255"/>
      <c r="F58" s="1"/>
      <c r="G58" s="1"/>
      <c r="H58" s="1"/>
      <c r="I58" s="1"/>
      <c r="K58" s="1"/>
      <c r="L58" s="1"/>
    </row>
    <row r="59" spans="1:12">
      <c r="A59" s="1"/>
      <c r="B59" s="255"/>
      <c r="C59" s="1"/>
      <c r="D59" s="1"/>
      <c r="E59" s="255"/>
      <c r="F59" s="1"/>
      <c r="G59" s="1"/>
      <c r="H59" s="1"/>
      <c r="I59" s="1"/>
      <c r="K59" s="1"/>
      <c r="L59" s="1"/>
    </row>
    <row r="60" spans="1:12">
      <c r="A60" s="1"/>
      <c r="B60" s="255"/>
      <c r="C60" s="1"/>
      <c r="D60" s="1"/>
      <c r="E60" s="255"/>
      <c r="F60" s="1"/>
      <c r="G60" s="1"/>
      <c r="H60" s="1"/>
      <c r="I60" s="1"/>
      <c r="K60" s="1"/>
      <c r="L60" s="1"/>
    </row>
    <row r="61" spans="1:12">
      <c r="A61" s="1"/>
      <c r="B61" s="255"/>
      <c r="C61" s="1"/>
      <c r="D61" s="1"/>
      <c r="E61" s="255"/>
      <c r="F61" s="1"/>
      <c r="G61" s="1"/>
      <c r="H61" s="1"/>
      <c r="I61" s="1"/>
      <c r="K61" s="1"/>
      <c r="L61" s="1"/>
    </row>
    <row r="62" spans="1:12">
      <c r="A62" s="1"/>
      <c r="B62" s="255"/>
      <c r="C62" s="1"/>
      <c r="D62" s="1"/>
      <c r="E62" s="255"/>
      <c r="F62" s="1"/>
      <c r="G62" s="1"/>
      <c r="H62" s="1"/>
      <c r="I62" s="1"/>
      <c r="K62" s="1"/>
      <c r="L62" s="1"/>
    </row>
    <row r="63" spans="1:12">
      <c r="A63" s="1"/>
      <c r="B63" s="255"/>
      <c r="C63" s="1"/>
      <c r="D63" s="1"/>
      <c r="E63" s="255"/>
      <c r="F63" s="1"/>
      <c r="G63" s="1"/>
      <c r="H63" s="1"/>
      <c r="I63" s="1"/>
      <c r="K63" s="1"/>
      <c r="L63" s="1"/>
    </row>
    <row r="64" spans="1:12">
      <c r="A64" s="1"/>
      <c r="B64" s="255"/>
      <c r="C64" s="1"/>
      <c r="D64" s="1"/>
      <c r="E64" s="255"/>
      <c r="F64" s="1"/>
      <c r="G64" s="1"/>
      <c r="H64" s="1"/>
      <c r="I64" s="1"/>
      <c r="K64" s="1"/>
      <c r="L64" s="1"/>
    </row>
    <row r="65" spans="1:12">
      <c r="A65" s="1"/>
      <c r="B65" s="255"/>
      <c r="C65" s="1"/>
      <c r="D65" s="1"/>
      <c r="E65" s="255"/>
      <c r="F65" s="1"/>
      <c r="G65" s="1"/>
      <c r="H65" s="1"/>
      <c r="I65" s="1"/>
      <c r="K65" s="1"/>
      <c r="L65" s="1"/>
    </row>
    <row r="66" spans="1:12">
      <c r="A66" s="1"/>
      <c r="B66" s="255"/>
      <c r="C66" s="1"/>
      <c r="D66" s="1"/>
      <c r="E66" s="255"/>
      <c r="F66" s="1"/>
      <c r="G66" s="1"/>
      <c r="H66" s="1"/>
      <c r="I66" s="1"/>
      <c r="K66" s="1"/>
      <c r="L66" s="1"/>
    </row>
    <row r="67" spans="1:12">
      <c r="A67" s="1"/>
      <c r="B67" s="255"/>
      <c r="C67" s="1"/>
      <c r="D67" s="1"/>
      <c r="E67" s="255"/>
      <c r="F67" s="1"/>
      <c r="G67" s="1"/>
      <c r="H67" s="1"/>
      <c r="I67" s="1"/>
      <c r="K67" s="1"/>
      <c r="L67" s="1"/>
    </row>
    <row r="68" spans="1:12">
      <c r="A68" s="1"/>
      <c r="B68" s="255"/>
      <c r="C68" s="1"/>
      <c r="D68" s="1"/>
      <c r="E68" s="255"/>
      <c r="F68" s="1"/>
      <c r="G68" s="1"/>
      <c r="H68" s="1"/>
      <c r="I68" s="1"/>
      <c r="K68" s="1"/>
      <c r="L68" s="1"/>
    </row>
    <row r="69" spans="1:12">
      <c r="A69" s="1"/>
      <c r="B69" s="255"/>
      <c r="C69" s="1"/>
      <c r="D69" s="1"/>
      <c r="E69" s="255"/>
      <c r="F69" s="1"/>
      <c r="G69" s="1"/>
      <c r="H69" s="1"/>
      <c r="I69" s="1"/>
      <c r="K69" s="1"/>
      <c r="L69" s="1"/>
    </row>
    <row r="70" spans="1:12">
      <c r="A70" s="1"/>
      <c r="B70" s="255"/>
      <c r="C70" s="1"/>
      <c r="D70" s="1"/>
      <c r="E70" s="255"/>
      <c r="F70" s="1"/>
      <c r="G70" s="1"/>
      <c r="H70" s="1"/>
      <c r="I70" s="1"/>
      <c r="K70" s="1"/>
      <c r="L70" s="1"/>
    </row>
    <row r="71" spans="1:12">
      <c r="A71" s="1"/>
      <c r="B71" s="255"/>
      <c r="C71" s="1"/>
      <c r="D71" s="1"/>
      <c r="E71" s="255"/>
      <c r="F71" s="1"/>
      <c r="G71" s="1"/>
      <c r="H71" s="1"/>
      <c r="I71" s="1"/>
      <c r="K71" s="1"/>
      <c r="L71" s="1"/>
    </row>
    <row r="72" spans="1:12">
      <c r="A72" s="1"/>
      <c r="B72" s="255"/>
      <c r="C72" s="1"/>
      <c r="D72" s="1"/>
      <c r="E72" s="255"/>
      <c r="F72" s="1"/>
      <c r="G72" s="1"/>
      <c r="H72" s="1"/>
      <c r="I72" s="1"/>
      <c r="K72" s="1"/>
      <c r="L72" s="1"/>
    </row>
    <row r="73" spans="1:12">
      <c r="A73" s="1"/>
      <c r="B73" s="255"/>
      <c r="C73" s="1"/>
      <c r="D73" s="1"/>
      <c r="E73" s="255"/>
      <c r="F73" s="1"/>
      <c r="G73" s="1"/>
      <c r="H73" s="1"/>
      <c r="I73" s="1"/>
      <c r="K73" s="1"/>
      <c r="L73" s="1"/>
    </row>
    <row r="74" spans="1:12">
      <c r="A74" s="1"/>
      <c r="B74" s="255"/>
      <c r="C74" s="1"/>
      <c r="D74" s="1"/>
      <c r="E74" s="255"/>
      <c r="F74" s="1"/>
      <c r="G74" s="1"/>
      <c r="H74" s="1"/>
      <c r="I74" s="1"/>
      <c r="K74" s="1"/>
      <c r="L74" s="1"/>
    </row>
    <row r="75" spans="1:12">
      <c r="A75" s="1"/>
      <c r="B75" s="255"/>
      <c r="C75" s="1"/>
      <c r="D75" s="1"/>
      <c r="E75" s="255"/>
      <c r="F75" s="1"/>
      <c r="G75" s="1"/>
      <c r="H75" s="1"/>
      <c r="I75" s="1"/>
      <c r="K75" s="1"/>
      <c r="L75" s="1"/>
    </row>
    <row r="76" spans="1:12">
      <c r="A76" s="1"/>
      <c r="B76" s="255"/>
      <c r="C76" s="1"/>
      <c r="D76" s="1"/>
      <c r="E76" s="255"/>
      <c r="F76" s="1"/>
      <c r="G76" s="1"/>
      <c r="H76" s="1"/>
      <c r="I76" s="1"/>
      <c r="K76" s="1"/>
      <c r="L76" s="1"/>
    </row>
    <row r="77" spans="1:12">
      <c r="A77" s="1"/>
      <c r="B77" s="255"/>
      <c r="C77" s="1"/>
      <c r="D77" s="1"/>
      <c r="E77" s="255"/>
      <c r="F77" s="1"/>
      <c r="G77" s="1"/>
      <c r="H77" s="1"/>
      <c r="I77" s="1"/>
      <c r="K77" s="1"/>
      <c r="L77" s="1"/>
    </row>
    <row r="78" spans="1:12">
      <c r="A78" s="1"/>
      <c r="B78" s="255"/>
      <c r="C78" s="1"/>
      <c r="D78" s="1"/>
      <c r="E78" s="255"/>
      <c r="F78" s="1"/>
      <c r="G78" s="1"/>
      <c r="H78" s="1"/>
      <c r="I78" s="1"/>
      <c r="K78" s="1"/>
      <c r="L78" s="1"/>
    </row>
    <row r="79" spans="1:12">
      <c r="A79" s="1"/>
      <c r="B79" s="255"/>
      <c r="C79" s="1"/>
      <c r="D79" s="1"/>
      <c r="E79" s="255"/>
      <c r="F79" s="1"/>
      <c r="G79" s="1"/>
      <c r="H79" s="1"/>
      <c r="I79" s="1"/>
      <c r="K79" s="1"/>
      <c r="L79" s="1"/>
    </row>
    <row r="80" spans="1:12">
      <c r="A80" s="1"/>
      <c r="B80" s="255"/>
      <c r="C80" s="1"/>
      <c r="D80" s="1"/>
      <c r="E80" s="255"/>
      <c r="F80" s="1"/>
      <c r="G80" s="1"/>
      <c r="H80" s="1"/>
      <c r="I80" s="1"/>
      <c r="K80" s="1"/>
      <c r="L80" s="1"/>
    </row>
    <row r="81" spans="1:12">
      <c r="A81" s="1"/>
      <c r="B81" s="255"/>
      <c r="C81" s="1"/>
      <c r="D81" s="1"/>
      <c r="E81" s="255"/>
      <c r="F81" s="1"/>
      <c r="G81" s="1"/>
      <c r="H81" s="1"/>
      <c r="I81" s="1"/>
      <c r="K81" s="1"/>
      <c r="L81" s="1"/>
    </row>
    <row r="82" spans="1:12">
      <c r="A82" s="1"/>
      <c r="B82" s="255"/>
      <c r="C82" s="1"/>
      <c r="D82" s="1"/>
      <c r="E82" s="255"/>
      <c r="F82" s="1"/>
      <c r="G82" s="1"/>
      <c r="H82" s="1"/>
      <c r="I82" s="1"/>
      <c r="K82" s="1"/>
      <c r="L82" s="1"/>
    </row>
    <row r="83" spans="1:12">
      <c r="A83" s="1"/>
      <c r="B83" s="255"/>
      <c r="C83" s="1"/>
      <c r="D83" s="1"/>
      <c r="E83" s="255"/>
      <c r="F83" s="1"/>
      <c r="G83" s="1"/>
      <c r="H83" s="1"/>
      <c r="I83" s="1"/>
      <c r="K83" s="1"/>
      <c r="L83" s="1"/>
    </row>
    <row r="84" spans="1:12">
      <c r="A84" s="1"/>
      <c r="B84" s="255"/>
      <c r="C84" s="1"/>
      <c r="D84" s="1"/>
      <c r="E84" s="255"/>
      <c r="F84" s="1"/>
      <c r="G84" s="1"/>
      <c r="H84" s="1"/>
      <c r="I84" s="1"/>
      <c r="K84" s="1"/>
      <c r="L84" s="1"/>
    </row>
    <row r="85" spans="1:12">
      <c r="A85" s="1"/>
      <c r="B85" s="255"/>
      <c r="C85" s="1"/>
      <c r="D85" s="1"/>
      <c r="E85" s="255"/>
      <c r="F85" s="1"/>
      <c r="G85" s="1"/>
      <c r="H85" s="1"/>
      <c r="I85" s="1"/>
      <c r="K85" s="1"/>
      <c r="L85" s="1"/>
    </row>
    <row r="86" spans="1:12">
      <c r="A86" s="1"/>
      <c r="B86" s="255"/>
      <c r="C86" s="1"/>
      <c r="D86" s="1"/>
      <c r="E86" s="255"/>
      <c r="F86" s="1"/>
      <c r="G86" s="1"/>
      <c r="H86" s="1"/>
      <c r="I86" s="1"/>
      <c r="K86" s="1"/>
      <c r="L86" s="1"/>
    </row>
    <row r="87" spans="1:12">
      <c r="A87" s="1"/>
      <c r="B87" s="255"/>
      <c r="C87" s="1"/>
      <c r="D87" s="1"/>
      <c r="E87" s="255"/>
      <c r="F87" s="1"/>
      <c r="G87" s="1"/>
      <c r="H87" s="1"/>
      <c r="I87" s="1"/>
      <c r="K87" s="1"/>
      <c r="L87" s="1"/>
    </row>
    <row r="88" spans="1:12">
      <c r="A88" s="1"/>
      <c r="B88" s="255"/>
      <c r="C88" s="1"/>
      <c r="D88" s="1"/>
      <c r="E88" s="255"/>
      <c r="F88" s="1"/>
      <c r="G88" s="1"/>
      <c r="H88" s="1"/>
      <c r="I88" s="1"/>
      <c r="K88" s="1"/>
      <c r="L88" s="1"/>
    </row>
    <row r="89" spans="1:12">
      <c r="A89" s="1"/>
      <c r="B89" s="255"/>
      <c r="C89" s="1"/>
      <c r="D89" s="1"/>
      <c r="E89" s="255"/>
      <c r="F89" s="1"/>
      <c r="G89" s="1"/>
      <c r="H89" s="1"/>
      <c r="I89" s="1"/>
      <c r="K89" s="1"/>
      <c r="L89" s="1"/>
    </row>
    <row r="90" spans="1:12">
      <c r="A90" s="1"/>
      <c r="B90" s="255"/>
      <c r="C90" s="1"/>
      <c r="D90" s="1"/>
      <c r="E90" s="255"/>
      <c r="F90" s="1"/>
      <c r="G90" s="1"/>
      <c r="H90" s="1"/>
      <c r="I90" s="1"/>
      <c r="K90" s="1"/>
      <c r="L90" s="1"/>
    </row>
    <row r="91" spans="1:12">
      <c r="A91" s="1"/>
      <c r="B91" s="255"/>
      <c r="C91" s="1"/>
      <c r="D91" s="1"/>
      <c r="E91" s="255"/>
      <c r="F91" s="1"/>
      <c r="G91" s="1"/>
      <c r="H91" s="1"/>
      <c r="I91" s="1"/>
      <c r="K91" s="1"/>
      <c r="L91" s="1"/>
    </row>
    <row r="92" spans="1:12">
      <c r="A92" s="1"/>
      <c r="B92" s="255"/>
      <c r="C92" s="1"/>
      <c r="D92" s="1"/>
      <c r="E92" s="255"/>
      <c r="F92" s="1"/>
      <c r="G92" s="1"/>
      <c r="H92" s="1"/>
      <c r="I92" s="1"/>
      <c r="K92" s="1"/>
      <c r="L92" s="1"/>
    </row>
    <row r="93" spans="1:12">
      <c r="A93" s="1"/>
      <c r="B93" s="255"/>
      <c r="C93" s="1"/>
      <c r="D93" s="1"/>
      <c r="E93" s="255"/>
      <c r="F93" s="1"/>
      <c r="G93" s="1"/>
      <c r="H93" s="1"/>
      <c r="I93" s="1"/>
      <c r="K93" s="1"/>
      <c r="L93" s="1"/>
    </row>
    <row r="94" spans="1:12">
      <c r="A94" s="1"/>
      <c r="B94" s="255"/>
      <c r="C94" s="1"/>
      <c r="D94" s="1"/>
      <c r="E94" s="255"/>
      <c r="F94" s="1"/>
      <c r="G94" s="1"/>
      <c r="H94" s="1"/>
      <c r="I94" s="1"/>
      <c r="K94" s="1"/>
      <c r="L94" s="1"/>
    </row>
    <row r="95" spans="1:12">
      <c r="A95" s="1"/>
      <c r="B95" s="255"/>
      <c r="C95" s="1"/>
      <c r="D95" s="1"/>
      <c r="E95" s="255"/>
      <c r="F95" s="1"/>
      <c r="G95" s="1"/>
      <c r="H95" s="1"/>
      <c r="I95" s="1"/>
      <c r="K95" s="1"/>
      <c r="L95" s="1"/>
    </row>
    <row r="96" spans="1:12">
      <c r="A96" s="1"/>
      <c r="B96" s="255"/>
      <c r="C96" s="1"/>
      <c r="D96" s="1"/>
      <c r="E96" s="255"/>
      <c r="F96" s="1"/>
      <c r="G96" s="1"/>
      <c r="H96" s="1"/>
      <c r="I96" s="1"/>
      <c r="K96" s="1"/>
      <c r="L96" s="1"/>
    </row>
    <row r="97" spans="1:12">
      <c r="A97" s="1"/>
      <c r="B97" s="255"/>
      <c r="C97" s="1"/>
      <c r="D97" s="1"/>
      <c r="E97" s="255"/>
      <c r="F97" s="1"/>
      <c r="G97" s="1"/>
      <c r="H97" s="1"/>
      <c r="I97" s="1"/>
      <c r="K97" s="1"/>
      <c r="L97" s="1"/>
    </row>
    <row r="98" spans="1:12">
      <c r="A98" s="1"/>
      <c r="B98" s="255"/>
      <c r="C98" s="1"/>
      <c r="D98" s="1"/>
      <c r="E98" s="255"/>
      <c r="F98" s="1"/>
      <c r="G98" s="1"/>
      <c r="H98" s="1"/>
      <c r="I98" s="1"/>
      <c r="K98" s="1"/>
      <c r="L98" s="1"/>
    </row>
    <row r="99" spans="1:12">
      <c r="A99" s="1"/>
      <c r="B99" s="255"/>
      <c r="C99" s="1"/>
      <c r="D99" s="1"/>
      <c r="E99" s="255"/>
      <c r="F99" s="1"/>
      <c r="G99" s="1"/>
      <c r="H99" s="1"/>
      <c r="I99" s="1"/>
      <c r="K99" s="1"/>
      <c r="L99" s="1"/>
    </row>
    <row r="100" spans="1:12">
      <c r="A100" s="1"/>
      <c r="B100" s="255"/>
      <c r="C100" s="1"/>
      <c r="D100" s="1"/>
      <c r="E100" s="255"/>
      <c r="F100" s="1"/>
      <c r="G100" s="1"/>
      <c r="H100" s="1"/>
      <c r="I100" s="1"/>
      <c r="K100" s="1"/>
      <c r="L100" s="1"/>
    </row>
    <row r="101" spans="1:12">
      <c r="A101" s="1"/>
      <c r="B101" s="255"/>
      <c r="C101" s="1"/>
      <c r="D101" s="1"/>
      <c r="E101" s="255"/>
      <c r="F101" s="1"/>
      <c r="G101" s="1"/>
      <c r="H101" s="1"/>
      <c r="I101" s="1"/>
      <c r="K101" s="1"/>
      <c r="L101" s="1"/>
    </row>
    <row r="102" spans="1:12">
      <c r="A102" s="1"/>
      <c r="B102" s="255"/>
      <c r="C102" s="1"/>
      <c r="D102" s="1"/>
      <c r="E102" s="255"/>
      <c r="F102" s="1"/>
      <c r="G102" s="1"/>
      <c r="H102" s="1"/>
      <c r="I102" s="1"/>
      <c r="K102" s="1"/>
      <c r="L102" s="1"/>
    </row>
    <row r="103" spans="1:12">
      <c r="A103" s="1"/>
      <c r="B103" s="255"/>
      <c r="C103" s="1"/>
      <c r="D103" s="1"/>
      <c r="E103" s="255"/>
      <c r="F103" s="1"/>
      <c r="G103" s="1"/>
      <c r="H103" s="1"/>
      <c r="I103" s="1"/>
      <c r="K103" s="1"/>
      <c r="L103" s="1"/>
    </row>
    <row r="104" spans="1:12">
      <c r="A104" s="1"/>
      <c r="B104" s="255"/>
      <c r="C104" s="1"/>
      <c r="D104" s="1"/>
      <c r="E104" s="255"/>
      <c r="F104" s="1"/>
      <c r="G104" s="1"/>
      <c r="H104" s="1"/>
      <c r="I104" s="1"/>
      <c r="K104" s="1"/>
      <c r="L104" s="1"/>
    </row>
    <row r="105" spans="1:12">
      <c r="A105" s="1"/>
      <c r="B105" s="255"/>
      <c r="C105" s="1"/>
      <c r="D105" s="1"/>
      <c r="E105" s="255"/>
      <c r="F105" s="1"/>
      <c r="G105" s="1"/>
      <c r="H105" s="1"/>
      <c r="I105" s="1"/>
      <c r="K105" s="1"/>
      <c r="L105" s="1"/>
    </row>
    <row r="106" spans="1:12">
      <c r="A106" s="1"/>
      <c r="B106" s="255"/>
      <c r="C106" s="1"/>
      <c r="D106" s="1"/>
      <c r="E106" s="255"/>
      <c r="F106" s="1"/>
      <c r="G106" s="1"/>
      <c r="H106" s="1"/>
      <c r="I106" s="1"/>
      <c r="K106" s="1"/>
      <c r="L106" s="1"/>
    </row>
    <row r="107" spans="1:12">
      <c r="A107" s="1"/>
      <c r="B107" s="255"/>
      <c r="C107" s="1"/>
      <c r="D107" s="1"/>
      <c r="E107" s="255"/>
      <c r="F107" s="1"/>
      <c r="G107" s="1"/>
      <c r="H107" s="1"/>
      <c r="I107" s="1"/>
      <c r="K107" s="1"/>
      <c r="L107" s="1"/>
    </row>
    <row r="108" spans="1:12">
      <c r="A108" s="1"/>
      <c r="B108" s="255"/>
      <c r="C108" s="1"/>
      <c r="D108" s="1"/>
      <c r="E108" s="255"/>
      <c r="F108" s="1"/>
      <c r="G108" s="1"/>
      <c r="H108" s="1"/>
      <c r="I108" s="1"/>
      <c r="K108" s="1"/>
      <c r="L108" s="1"/>
    </row>
    <row r="109" spans="1:12">
      <c r="A109" s="1"/>
      <c r="B109" s="255"/>
      <c r="C109" s="1"/>
      <c r="D109" s="1"/>
      <c r="E109" s="255"/>
      <c r="F109" s="1"/>
      <c r="G109" s="1"/>
      <c r="H109" s="1"/>
      <c r="I109" s="1"/>
      <c r="K109" s="1"/>
      <c r="L109" s="1"/>
    </row>
    <row r="110" spans="1:12">
      <c r="A110" s="1"/>
      <c r="B110" s="255"/>
      <c r="C110" s="1"/>
      <c r="D110" s="1"/>
      <c r="E110" s="255"/>
      <c r="F110" s="1"/>
      <c r="G110" s="1"/>
      <c r="H110" s="1"/>
      <c r="I110" s="1"/>
      <c r="K110" s="1"/>
      <c r="L110" s="1"/>
    </row>
    <row r="111" spans="1:12">
      <c r="A111" s="1"/>
      <c r="B111" s="255"/>
      <c r="C111" s="1"/>
      <c r="D111" s="1"/>
      <c r="E111" s="255"/>
      <c r="F111" s="1"/>
      <c r="G111" s="1"/>
      <c r="H111" s="1"/>
      <c r="I111" s="1"/>
      <c r="K111" s="1"/>
      <c r="L111" s="1"/>
    </row>
    <row r="112" spans="1:12">
      <c r="A112" s="1"/>
      <c r="B112" s="255"/>
      <c r="C112" s="1"/>
      <c r="D112" s="1"/>
      <c r="E112" s="255"/>
      <c r="F112" s="1"/>
      <c r="G112" s="1"/>
      <c r="H112" s="1"/>
      <c r="I112" s="1"/>
      <c r="K112" s="1"/>
      <c r="L112" s="1"/>
    </row>
    <row r="113" spans="1:12">
      <c r="A113" s="1"/>
      <c r="B113" s="255"/>
      <c r="C113" s="1"/>
      <c r="D113" s="1"/>
      <c r="E113" s="255"/>
      <c r="F113" s="1"/>
      <c r="G113" s="1"/>
      <c r="H113" s="1"/>
      <c r="I113" s="1"/>
      <c r="K113" s="1"/>
      <c r="L113" s="1"/>
    </row>
    <row r="114" spans="1:12">
      <c r="A114" s="1"/>
      <c r="B114" s="255"/>
      <c r="C114" s="1"/>
      <c r="D114" s="1"/>
      <c r="E114" s="255"/>
      <c r="F114" s="1"/>
      <c r="G114" s="1"/>
      <c r="H114" s="1"/>
      <c r="I114" s="1"/>
      <c r="K114" s="1"/>
      <c r="L114" s="1"/>
    </row>
    <row r="115" spans="1:12">
      <c r="A115" s="1"/>
      <c r="B115" s="255"/>
      <c r="C115" s="1"/>
      <c r="D115" s="1"/>
      <c r="E115" s="255"/>
      <c r="F115" s="1"/>
      <c r="G115" s="1"/>
      <c r="H115" s="1"/>
      <c r="I115" s="1"/>
      <c r="K115" s="1"/>
      <c r="L115" s="1"/>
    </row>
    <row r="116" spans="1:12">
      <c r="A116" s="1"/>
      <c r="B116" s="255"/>
      <c r="C116" s="1"/>
      <c r="D116" s="1"/>
      <c r="E116" s="255"/>
      <c r="F116" s="1"/>
      <c r="G116" s="1"/>
      <c r="H116" s="1"/>
      <c r="I116" s="1"/>
      <c r="K116" s="1"/>
      <c r="L116" s="1"/>
    </row>
    <row r="117" spans="1:12">
      <c r="A117" s="1"/>
      <c r="B117" s="255"/>
      <c r="C117" s="1"/>
      <c r="D117" s="1"/>
      <c r="E117" s="255"/>
      <c r="F117" s="1"/>
      <c r="G117" s="1"/>
      <c r="H117" s="1"/>
      <c r="I117" s="1"/>
      <c r="K117" s="1"/>
      <c r="L117" s="1"/>
    </row>
    <row r="118" spans="1:12">
      <c r="A118" s="1"/>
      <c r="B118" s="255"/>
      <c r="C118" s="1"/>
      <c r="D118" s="1"/>
      <c r="E118" s="255"/>
      <c r="F118" s="1"/>
      <c r="G118" s="1"/>
      <c r="H118" s="1"/>
      <c r="I118" s="1"/>
      <c r="K118" s="1"/>
      <c r="L118" s="1"/>
    </row>
    <row r="119" spans="1:12">
      <c r="A119" s="1"/>
      <c r="B119" s="255"/>
      <c r="C119" s="1"/>
      <c r="D119" s="1"/>
      <c r="E119" s="255"/>
      <c r="F119" s="1"/>
      <c r="G119" s="1"/>
      <c r="H119" s="1"/>
      <c r="I119" s="1"/>
      <c r="K119" s="1"/>
      <c r="L119" s="1"/>
    </row>
    <row r="120" spans="1:12">
      <c r="A120" s="1"/>
      <c r="B120" s="255"/>
      <c r="C120" s="1"/>
      <c r="D120" s="1"/>
      <c r="E120" s="255"/>
      <c r="F120" s="1"/>
      <c r="G120" s="1"/>
      <c r="H120" s="1"/>
      <c r="I120" s="1"/>
      <c r="K120" s="1"/>
      <c r="L120" s="1"/>
    </row>
    <row r="121" spans="1:12">
      <c r="A121" s="1"/>
      <c r="B121" s="255"/>
      <c r="C121" s="1"/>
      <c r="D121" s="1"/>
      <c r="E121" s="255"/>
      <c r="F121" s="1"/>
      <c r="G121" s="1"/>
      <c r="H121" s="1"/>
      <c r="I121" s="1"/>
      <c r="K121" s="1"/>
      <c r="L121" s="1"/>
    </row>
    <row r="122" spans="1:12">
      <c r="A122" s="1"/>
      <c r="B122" s="255"/>
      <c r="C122" s="1"/>
      <c r="D122" s="1"/>
      <c r="E122" s="255"/>
      <c r="F122" s="1"/>
      <c r="G122" s="1"/>
      <c r="H122" s="1"/>
      <c r="I122" s="1"/>
      <c r="K122" s="1"/>
      <c r="L122" s="1"/>
    </row>
    <row r="123" spans="1:12">
      <c r="A123" s="1"/>
      <c r="B123" s="255"/>
      <c r="C123" s="1"/>
      <c r="D123" s="1"/>
      <c r="E123" s="255"/>
      <c r="F123" s="1"/>
      <c r="G123" s="1"/>
      <c r="H123" s="1"/>
      <c r="I123" s="1"/>
      <c r="K123" s="1"/>
      <c r="L123" s="1"/>
    </row>
    <row r="124" spans="1:12">
      <c r="A124" s="1"/>
      <c r="B124" s="255"/>
      <c r="C124" s="1"/>
      <c r="D124" s="1"/>
      <c r="E124" s="255"/>
      <c r="F124" s="1"/>
      <c r="G124" s="1"/>
      <c r="H124" s="1"/>
      <c r="I124" s="1"/>
      <c r="K124" s="1"/>
      <c r="L124" s="1"/>
    </row>
    <row r="125" spans="1:12">
      <c r="A125" s="1"/>
      <c r="B125" s="255"/>
      <c r="C125" s="1"/>
      <c r="D125" s="1"/>
      <c r="E125" s="255"/>
      <c r="F125" s="1"/>
      <c r="G125" s="1"/>
      <c r="H125" s="1"/>
      <c r="I125" s="1"/>
      <c r="K125" s="1"/>
      <c r="L125" s="1"/>
    </row>
    <row r="126" spans="1:12">
      <c r="A126" s="1"/>
      <c r="B126" s="255"/>
      <c r="C126" s="1"/>
      <c r="D126" s="1"/>
      <c r="E126" s="255"/>
      <c r="F126" s="1"/>
      <c r="G126" s="1"/>
      <c r="H126" s="1"/>
      <c r="I126" s="1"/>
      <c r="K126" s="1"/>
      <c r="L126" s="1"/>
    </row>
    <row r="127" spans="1:12">
      <c r="A127" s="1"/>
      <c r="B127" s="255"/>
      <c r="C127" s="1"/>
      <c r="D127" s="1"/>
      <c r="E127" s="255"/>
      <c r="F127" s="1"/>
      <c r="G127" s="1"/>
      <c r="H127" s="1"/>
      <c r="I127" s="1"/>
      <c r="K127" s="1"/>
      <c r="L127" s="1"/>
    </row>
    <row r="128" spans="1:12">
      <c r="A128" s="1"/>
      <c r="B128" s="255"/>
      <c r="C128" s="1"/>
      <c r="D128" s="1"/>
      <c r="E128" s="255"/>
      <c r="F128" s="1"/>
      <c r="G128" s="1"/>
      <c r="H128" s="1"/>
      <c r="I128" s="1"/>
      <c r="K128" s="1"/>
      <c r="L128" s="1"/>
    </row>
    <row r="129" spans="1:12">
      <c r="A129" s="1"/>
      <c r="B129" s="255"/>
      <c r="C129" s="1"/>
      <c r="D129" s="1"/>
      <c r="E129" s="255"/>
      <c r="F129" s="1"/>
      <c r="G129" s="1"/>
      <c r="H129" s="1"/>
      <c r="I129" s="1"/>
      <c r="K129" s="1"/>
      <c r="L129" s="1"/>
    </row>
    <row r="130" spans="1:12">
      <c r="A130" s="1"/>
      <c r="B130" s="255"/>
      <c r="C130" s="1"/>
      <c r="D130" s="1"/>
      <c r="E130" s="255"/>
      <c r="F130" s="1"/>
      <c r="G130" s="1"/>
      <c r="H130" s="1"/>
      <c r="I130" s="1"/>
      <c r="K130" s="1"/>
      <c r="L130" s="1"/>
    </row>
    <row r="131" spans="1:12">
      <c r="A131" s="1"/>
      <c r="B131" s="255"/>
      <c r="C131" s="1"/>
      <c r="D131" s="1"/>
      <c r="E131" s="255"/>
      <c r="F131" s="1"/>
      <c r="G131" s="1"/>
      <c r="H131" s="1"/>
      <c r="I131" s="1"/>
      <c r="K131" s="1"/>
      <c r="L131" s="1"/>
    </row>
    <row r="132" spans="1:12">
      <c r="A132" s="1"/>
      <c r="B132" s="255"/>
      <c r="C132" s="1"/>
      <c r="D132" s="1"/>
      <c r="E132" s="255"/>
      <c r="F132" s="1"/>
      <c r="G132" s="1"/>
      <c r="H132" s="1"/>
      <c r="I132" s="1"/>
      <c r="K132" s="1"/>
      <c r="L132" s="1"/>
    </row>
    <row r="133" spans="1:12">
      <c r="A133" s="1"/>
      <c r="B133" s="255"/>
      <c r="C133" s="1"/>
      <c r="D133" s="1"/>
      <c r="E133" s="255"/>
      <c r="F133" s="1"/>
      <c r="G133" s="1"/>
      <c r="H133" s="1"/>
      <c r="I133" s="1"/>
      <c r="K133" s="1"/>
      <c r="L133" s="1"/>
    </row>
    <row r="134" spans="1:12">
      <c r="A134" s="1"/>
      <c r="B134" s="255"/>
      <c r="C134" s="1"/>
      <c r="D134" s="1"/>
      <c r="E134" s="255"/>
      <c r="F134" s="1"/>
      <c r="G134" s="1"/>
      <c r="H134" s="1"/>
      <c r="I134" s="1"/>
      <c r="K134" s="1"/>
      <c r="L134" s="1"/>
    </row>
    <row r="135" spans="1:12">
      <c r="A135" s="1"/>
      <c r="B135" s="255"/>
      <c r="C135" s="1"/>
      <c r="D135" s="1"/>
      <c r="E135" s="255"/>
      <c r="F135" s="1"/>
      <c r="G135" s="1"/>
      <c r="H135" s="1"/>
      <c r="I135" s="1"/>
      <c r="K135" s="1"/>
      <c r="L135" s="1"/>
    </row>
    <row r="136" spans="1:12">
      <c r="A136" s="1"/>
      <c r="B136" s="255"/>
      <c r="C136" s="1"/>
      <c r="D136" s="1"/>
      <c r="E136" s="255"/>
      <c r="F136" s="1"/>
      <c r="G136" s="1"/>
      <c r="H136" s="1"/>
      <c r="I136" s="1"/>
      <c r="K136" s="1"/>
      <c r="L136" s="1"/>
    </row>
    <row r="137" spans="1:12">
      <c r="A137" s="1"/>
      <c r="B137" s="255"/>
      <c r="C137" s="1"/>
      <c r="D137" s="1"/>
      <c r="E137" s="255"/>
      <c r="F137" s="1"/>
      <c r="G137" s="1"/>
      <c r="H137" s="1"/>
      <c r="I137" s="1"/>
      <c r="K137" s="1"/>
      <c r="L137" s="1"/>
    </row>
    <row r="138" spans="1:12">
      <c r="A138" s="1"/>
      <c r="B138" s="255"/>
      <c r="C138" s="1"/>
      <c r="D138" s="1"/>
      <c r="E138" s="255"/>
      <c r="F138" s="1"/>
      <c r="G138" s="1"/>
      <c r="H138" s="1"/>
      <c r="I138" s="1"/>
      <c r="K138" s="1"/>
      <c r="L138" s="1"/>
    </row>
    <row r="139" spans="1:12">
      <c r="A139" s="1"/>
      <c r="B139" s="255"/>
      <c r="C139" s="1"/>
      <c r="D139" s="1"/>
      <c r="E139" s="255"/>
      <c r="F139" s="1"/>
      <c r="G139" s="1"/>
      <c r="H139" s="1"/>
      <c r="I139" s="1"/>
      <c r="K139" s="1"/>
      <c r="L139" s="1"/>
    </row>
    <row r="140" spans="1:12">
      <c r="A140" s="1"/>
      <c r="B140" s="255"/>
      <c r="C140" s="1"/>
      <c r="D140" s="1"/>
      <c r="E140" s="255"/>
      <c r="F140" s="1"/>
      <c r="G140" s="1"/>
      <c r="H140" s="1"/>
      <c r="I140" s="1"/>
      <c r="K140" s="1"/>
      <c r="L140" s="1"/>
    </row>
    <row r="141" spans="1:12">
      <c r="A141" s="1"/>
      <c r="B141" s="255"/>
      <c r="C141" s="1"/>
      <c r="D141" s="1"/>
      <c r="E141" s="255"/>
      <c r="F141" s="1"/>
      <c r="G141" s="1"/>
      <c r="H141" s="1"/>
      <c r="I141" s="1"/>
      <c r="K141" s="1"/>
      <c r="L141" s="1"/>
    </row>
    <row r="142" spans="1:12">
      <c r="A142" s="1"/>
      <c r="B142" s="255"/>
      <c r="C142" s="1"/>
      <c r="D142" s="1"/>
      <c r="E142" s="255"/>
      <c r="F142" s="1"/>
      <c r="G142" s="1"/>
      <c r="H142" s="1"/>
      <c r="I142" s="1"/>
      <c r="K142" s="1"/>
      <c r="L142" s="1"/>
    </row>
    <row r="143" spans="1:12">
      <c r="A143" s="1"/>
      <c r="B143" s="255"/>
      <c r="C143" s="1"/>
      <c r="D143" s="1"/>
      <c r="E143" s="255"/>
      <c r="F143" s="1"/>
      <c r="G143" s="1"/>
      <c r="H143" s="1"/>
      <c r="I143" s="1"/>
      <c r="K143" s="1"/>
      <c r="L143" s="1"/>
    </row>
    <row r="144" spans="1:12">
      <c r="A144" s="1"/>
      <c r="B144" s="255"/>
      <c r="C144" s="1"/>
      <c r="D144" s="1"/>
      <c r="E144" s="255"/>
      <c r="F144" s="1"/>
      <c r="G144" s="1"/>
      <c r="H144" s="1"/>
      <c r="I144" s="1"/>
      <c r="K144" s="1"/>
      <c r="L144" s="1"/>
    </row>
    <row r="145" spans="1:12">
      <c r="A145" s="1"/>
      <c r="B145" s="255"/>
      <c r="C145" s="1"/>
      <c r="D145" s="1"/>
      <c r="E145" s="255"/>
      <c r="F145" s="1"/>
      <c r="G145" s="1"/>
      <c r="H145" s="1"/>
      <c r="I145" s="1"/>
      <c r="K145" s="1"/>
      <c r="L145" s="1"/>
    </row>
    <row r="146" spans="1:12">
      <c r="A146" s="1"/>
      <c r="B146" s="255"/>
      <c r="C146" s="1"/>
      <c r="D146" s="1"/>
      <c r="E146" s="255"/>
      <c r="F146" s="1"/>
      <c r="G146" s="1"/>
      <c r="H146" s="1"/>
      <c r="I146" s="1"/>
      <c r="K146" s="1"/>
      <c r="L146" s="1"/>
    </row>
    <row r="147" spans="1:12">
      <c r="A147" s="1"/>
      <c r="B147" s="255"/>
      <c r="C147" s="1"/>
      <c r="D147" s="1"/>
      <c r="E147" s="255"/>
      <c r="F147" s="1"/>
      <c r="G147" s="1"/>
      <c r="H147" s="1"/>
      <c r="I147" s="1"/>
      <c r="K147" s="1"/>
      <c r="L147" s="1"/>
    </row>
    <row r="148" spans="1:12">
      <c r="A148" s="1"/>
      <c r="B148" s="255"/>
      <c r="C148" s="1"/>
      <c r="D148" s="1"/>
      <c r="E148" s="255"/>
      <c r="F148" s="1"/>
      <c r="G148" s="1"/>
      <c r="H148" s="1"/>
      <c r="I148" s="1"/>
      <c r="K148" s="1"/>
      <c r="L148" s="1"/>
    </row>
    <row r="149" spans="1:12">
      <c r="A149" s="1"/>
      <c r="B149" s="255"/>
      <c r="C149" s="1"/>
      <c r="D149" s="1"/>
      <c r="E149" s="255"/>
      <c r="F149" s="1"/>
      <c r="G149" s="1"/>
      <c r="H149" s="1"/>
      <c r="I149" s="1"/>
      <c r="K149" s="1"/>
      <c r="L149" s="1"/>
    </row>
    <row r="150" spans="1:12">
      <c r="A150" s="1"/>
      <c r="B150" s="255"/>
      <c r="C150" s="1"/>
      <c r="D150" s="1"/>
      <c r="E150" s="255"/>
      <c r="F150" s="1"/>
      <c r="G150" s="1"/>
      <c r="H150" s="1"/>
      <c r="I150" s="1"/>
      <c r="K150" s="1"/>
      <c r="L150" s="1"/>
    </row>
    <row r="151" spans="1:12">
      <c r="A151" s="1"/>
      <c r="B151" s="255"/>
      <c r="C151" s="1"/>
      <c r="D151" s="1"/>
      <c r="E151" s="255"/>
      <c r="F151" s="1"/>
      <c r="G151" s="1"/>
      <c r="H151" s="1"/>
      <c r="I151" s="1"/>
      <c r="K151" s="1"/>
      <c r="L151" s="1"/>
    </row>
    <row r="152" spans="1:12">
      <c r="A152" s="1"/>
      <c r="B152" s="255"/>
      <c r="C152" s="1"/>
      <c r="D152" s="1"/>
      <c r="E152" s="255"/>
      <c r="F152" s="1"/>
      <c r="G152" s="1"/>
      <c r="H152" s="1"/>
      <c r="I152" s="1"/>
      <c r="K152" s="1"/>
      <c r="L152" s="1"/>
    </row>
    <row r="153" spans="1:12">
      <c r="A153" s="1"/>
      <c r="B153" s="255"/>
      <c r="C153" s="1"/>
      <c r="D153" s="1"/>
      <c r="E153" s="255"/>
      <c r="F153" s="1"/>
      <c r="G153" s="1"/>
      <c r="H153" s="1"/>
      <c r="I153" s="1"/>
      <c r="K153" s="1"/>
      <c r="L153" s="1"/>
    </row>
    <row r="154" spans="1:12">
      <c r="A154" s="1"/>
      <c r="B154" s="255"/>
      <c r="C154" s="1"/>
      <c r="D154" s="1"/>
      <c r="E154" s="255"/>
      <c r="F154" s="1"/>
      <c r="G154" s="1"/>
      <c r="H154" s="1"/>
      <c r="I154" s="1"/>
      <c r="K154" s="1"/>
      <c r="L154" s="1"/>
    </row>
    <row r="155" spans="1:12">
      <c r="A155" s="1"/>
      <c r="B155" s="255"/>
      <c r="C155" s="1"/>
      <c r="D155" s="1"/>
      <c r="E155" s="255"/>
      <c r="F155" s="1"/>
      <c r="G155" s="1"/>
      <c r="H155" s="1"/>
      <c r="I155" s="1"/>
      <c r="K155" s="1"/>
      <c r="L155" s="1"/>
    </row>
    <row r="156" spans="1:12">
      <c r="A156" s="1"/>
      <c r="B156" s="255"/>
      <c r="C156" s="1"/>
      <c r="D156" s="1"/>
      <c r="E156" s="255"/>
      <c r="F156" s="1"/>
      <c r="G156" s="1"/>
      <c r="H156" s="1"/>
      <c r="I156" s="1"/>
      <c r="K156" s="1"/>
      <c r="L156" s="1"/>
    </row>
    <row r="157" spans="1:12">
      <c r="A157" s="1"/>
      <c r="B157" s="255"/>
      <c r="C157" s="1"/>
      <c r="D157" s="1"/>
      <c r="E157" s="255"/>
      <c r="F157" s="1"/>
      <c r="G157" s="1"/>
      <c r="H157" s="1"/>
      <c r="I157" s="1"/>
      <c r="K157" s="1"/>
      <c r="L157" s="1"/>
    </row>
    <row r="158" spans="1:12">
      <c r="A158" s="1"/>
      <c r="B158" s="255"/>
      <c r="C158" s="1"/>
      <c r="D158" s="1"/>
      <c r="E158" s="255"/>
      <c r="F158" s="1"/>
      <c r="G158" s="1"/>
      <c r="H158" s="1"/>
      <c r="I158" s="1"/>
      <c r="K158" s="1"/>
      <c r="L158" s="1"/>
    </row>
    <row r="159" spans="1:12">
      <c r="A159" s="1"/>
      <c r="B159" s="255"/>
      <c r="C159" s="1"/>
      <c r="D159" s="1"/>
      <c r="E159" s="255"/>
      <c r="F159" s="1"/>
      <c r="G159" s="1"/>
      <c r="H159" s="1"/>
      <c r="I159" s="1"/>
      <c r="K159" s="1"/>
      <c r="L159" s="1"/>
    </row>
    <row r="160" spans="1:12">
      <c r="A160" s="1"/>
      <c r="B160" s="255"/>
      <c r="C160" s="1"/>
      <c r="D160" s="1"/>
      <c r="E160" s="255"/>
      <c r="F160" s="1"/>
      <c r="G160" s="1"/>
      <c r="H160" s="1"/>
      <c r="I160" s="1"/>
      <c r="K160" s="1"/>
      <c r="L160" s="1"/>
    </row>
    <row r="161" spans="1:12">
      <c r="A161" s="1"/>
      <c r="B161" s="255"/>
      <c r="C161" s="1"/>
      <c r="D161" s="1"/>
      <c r="E161" s="255"/>
      <c r="F161" s="1"/>
      <c r="G161" s="1"/>
      <c r="H161" s="1"/>
      <c r="I161" s="1"/>
      <c r="K161" s="1"/>
      <c r="L161" s="1"/>
    </row>
    <row r="162" spans="1:12">
      <c r="A162" s="1"/>
      <c r="B162" s="255"/>
      <c r="C162" s="1"/>
      <c r="D162" s="1"/>
      <c r="E162" s="255"/>
      <c r="F162" s="1"/>
      <c r="G162" s="1"/>
      <c r="H162" s="1"/>
      <c r="I162" s="1"/>
      <c r="K162" s="1"/>
      <c r="L162" s="1"/>
    </row>
    <row r="163" spans="1:12">
      <c r="A163" s="1"/>
      <c r="B163" s="255"/>
      <c r="C163" s="1"/>
      <c r="D163" s="1"/>
      <c r="E163" s="255"/>
      <c r="F163" s="1"/>
      <c r="G163" s="1"/>
      <c r="H163" s="1"/>
      <c r="I163" s="1"/>
      <c r="K163" s="1"/>
      <c r="L163" s="1"/>
    </row>
    <row r="164" spans="1:12">
      <c r="A164" s="1"/>
      <c r="B164" s="255"/>
      <c r="C164" s="1"/>
      <c r="D164" s="1"/>
      <c r="E164" s="255"/>
      <c r="F164" s="1"/>
      <c r="G164" s="1"/>
      <c r="H164" s="1"/>
      <c r="I164" s="1"/>
      <c r="K164" s="1"/>
      <c r="L164" s="1"/>
    </row>
    <row r="165" spans="1:12">
      <c r="A165" s="1"/>
      <c r="B165" s="255"/>
      <c r="C165" s="1"/>
      <c r="D165" s="1"/>
      <c r="E165" s="255"/>
      <c r="F165" s="1"/>
      <c r="G165" s="1"/>
      <c r="H165" s="1"/>
      <c r="I165" s="1"/>
      <c r="K165" s="1"/>
      <c r="L165" s="1"/>
    </row>
    <row r="166" spans="1:12">
      <c r="A166" s="1"/>
      <c r="B166" s="255"/>
      <c r="C166" s="1"/>
      <c r="D166" s="1"/>
      <c r="E166" s="255"/>
      <c r="F166" s="1"/>
      <c r="G166" s="1"/>
      <c r="H166" s="1"/>
      <c r="I166" s="1"/>
      <c r="K166" s="1"/>
      <c r="L166" s="1"/>
    </row>
    <row r="167" spans="1:12">
      <c r="A167" s="1"/>
      <c r="B167" s="255"/>
      <c r="C167" s="1"/>
      <c r="D167" s="1"/>
      <c r="E167" s="255"/>
      <c r="F167" s="1"/>
      <c r="G167" s="1"/>
      <c r="H167" s="1"/>
      <c r="I167" s="1"/>
      <c r="K167" s="1"/>
      <c r="L167" s="1"/>
    </row>
    <row r="168" spans="1:12">
      <c r="A168" s="1"/>
      <c r="B168" s="255"/>
      <c r="C168" s="1"/>
      <c r="D168" s="1"/>
      <c r="E168" s="255"/>
      <c r="F168" s="1"/>
      <c r="G168" s="1"/>
      <c r="H168" s="1"/>
      <c r="I168" s="1"/>
      <c r="K168" s="1"/>
      <c r="L168" s="1"/>
    </row>
    <row r="169" spans="1:12">
      <c r="A169" s="1"/>
      <c r="B169" s="255"/>
      <c r="C169" s="1"/>
      <c r="D169" s="1"/>
      <c r="E169" s="255"/>
      <c r="F169" s="1"/>
      <c r="G169" s="1"/>
      <c r="H169" s="1"/>
      <c r="I169" s="1"/>
      <c r="K169" s="1"/>
      <c r="L169" s="1"/>
    </row>
    <row r="170" spans="1:12">
      <c r="A170" s="1"/>
      <c r="B170" s="255"/>
      <c r="C170" s="1"/>
      <c r="D170" s="1"/>
      <c r="E170" s="255"/>
      <c r="F170" s="1"/>
      <c r="G170" s="1"/>
      <c r="H170" s="1"/>
      <c r="I170" s="1"/>
      <c r="K170" s="1"/>
      <c r="L170" s="1"/>
    </row>
    <row r="171" spans="1:12">
      <c r="A171" s="1"/>
      <c r="B171" s="255"/>
      <c r="C171" s="1"/>
      <c r="D171" s="1"/>
      <c r="E171" s="255"/>
      <c r="F171" s="1"/>
      <c r="G171" s="1"/>
      <c r="H171" s="1"/>
      <c r="I171" s="1"/>
      <c r="K171" s="1"/>
      <c r="L171" s="1"/>
    </row>
    <row r="172" spans="1:12">
      <c r="A172" s="1"/>
      <c r="B172" s="255"/>
      <c r="C172" s="1"/>
      <c r="D172" s="1"/>
      <c r="E172" s="255"/>
      <c r="F172" s="1"/>
      <c r="G172" s="1"/>
      <c r="H172" s="1"/>
      <c r="I172" s="1"/>
      <c r="K172" s="1"/>
      <c r="L172" s="1"/>
    </row>
    <row r="173" spans="1:12">
      <c r="A173" s="1"/>
      <c r="B173" s="255"/>
      <c r="C173" s="1"/>
      <c r="D173" s="1"/>
      <c r="E173" s="255"/>
      <c r="F173" s="1"/>
      <c r="G173" s="1"/>
      <c r="H173" s="1"/>
      <c r="I173" s="1"/>
      <c r="K173" s="1"/>
      <c r="L173" s="1"/>
    </row>
    <row r="174" spans="1:12">
      <c r="A174" s="1"/>
      <c r="B174" s="255"/>
      <c r="C174" s="1"/>
      <c r="D174" s="1"/>
      <c r="E174" s="255"/>
      <c r="F174" s="1"/>
      <c r="G174" s="1"/>
      <c r="H174" s="1"/>
      <c r="I174" s="1"/>
      <c r="K174" s="1"/>
      <c r="L174" s="1"/>
    </row>
    <row r="175" spans="1:12">
      <c r="A175" s="1"/>
      <c r="B175" s="255"/>
      <c r="C175" s="1"/>
      <c r="D175" s="1"/>
      <c r="E175" s="255"/>
      <c r="F175" s="1"/>
      <c r="G175" s="1"/>
      <c r="H175" s="1"/>
      <c r="I175" s="1"/>
      <c r="K175" s="1"/>
      <c r="L175" s="1"/>
    </row>
    <row r="176" spans="1:12">
      <c r="A176" s="1"/>
      <c r="B176" s="255"/>
      <c r="C176" s="1"/>
      <c r="D176" s="1"/>
      <c r="E176" s="255"/>
      <c r="F176" s="1"/>
      <c r="G176" s="1"/>
      <c r="H176" s="1"/>
      <c r="I176" s="1"/>
      <c r="K176" s="1"/>
      <c r="L176" s="1"/>
    </row>
    <row r="177" spans="1:12">
      <c r="A177" s="1"/>
      <c r="B177" s="255"/>
      <c r="C177" s="1"/>
      <c r="D177" s="1"/>
      <c r="E177" s="255"/>
      <c r="F177" s="1"/>
      <c r="G177" s="1"/>
      <c r="H177" s="1"/>
      <c r="I177" s="1"/>
      <c r="K177" s="1"/>
      <c r="L177" s="1"/>
    </row>
    <row r="178" spans="1:12">
      <c r="A178" s="1"/>
      <c r="B178" s="255"/>
      <c r="C178" s="1"/>
      <c r="D178" s="1"/>
      <c r="E178" s="255"/>
      <c r="F178" s="1"/>
      <c r="G178" s="1"/>
      <c r="H178" s="1"/>
      <c r="I178" s="1"/>
      <c r="K178" s="1"/>
      <c r="L178" s="1"/>
    </row>
    <row r="179" spans="1:12">
      <c r="A179" s="1"/>
      <c r="B179" s="255"/>
      <c r="C179" s="1"/>
      <c r="D179" s="1"/>
      <c r="E179" s="255"/>
      <c r="F179" s="1"/>
      <c r="G179" s="1"/>
      <c r="H179" s="1"/>
      <c r="I179" s="1"/>
      <c r="K179" s="1"/>
      <c r="L179" s="1"/>
    </row>
    <row r="180" spans="1:12">
      <c r="A180" s="1"/>
      <c r="B180" s="255"/>
      <c r="C180" s="1"/>
      <c r="D180" s="1"/>
      <c r="E180" s="255"/>
      <c r="F180" s="1"/>
      <c r="G180" s="1"/>
      <c r="H180" s="1"/>
      <c r="I180" s="1"/>
      <c r="K180" s="1"/>
      <c r="L180" s="1"/>
    </row>
    <row r="181" spans="1:12">
      <c r="A181" s="1"/>
      <c r="B181" s="255"/>
      <c r="C181" s="1"/>
      <c r="D181" s="1"/>
      <c r="E181" s="255"/>
      <c r="F181" s="1"/>
      <c r="G181" s="1"/>
      <c r="H181" s="1"/>
      <c r="I181" s="1"/>
      <c r="K181" s="1"/>
      <c r="L181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AB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/>
  <cols>
    <col min="1" max="1" width="15.42578125" customWidth="1"/>
    <col min="2" max="2" width="10.5703125" customWidth="1"/>
    <col min="3" max="3" width="20.85546875" customWidth="1"/>
    <col min="4" max="4" width="13.5703125" customWidth="1"/>
    <col min="5" max="5" width="37.5703125" customWidth="1"/>
    <col min="6" max="6" width="32.28515625" customWidth="1"/>
    <col min="7" max="28" width="14.42578125" customWidth="1"/>
  </cols>
  <sheetData>
    <row r="1" spans="1:28" ht="15.75" customHeight="1">
      <c r="A1" s="257"/>
      <c r="B1" s="257"/>
      <c r="C1" s="257"/>
      <c r="D1" s="258" t="s">
        <v>244</v>
      </c>
      <c r="E1" s="259"/>
      <c r="F1" s="260" t="s">
        <v>350</v>
      </c>
      <c r="G1" s="260" t="s">
        <v>311</v>
      </c>
      <c r="H1" s="260" t="s">
        <v>351</v>
      </c>
      <c r="I1" s="260" t="s">
        <v>385</v>
      </c>
      <c r="J1" s="260" t="s">
        <v>353</v>
      </c>
      <c r="K1" s="260" t="s">
        <v>1110</v>
      </c>
      <c r="L1" s="260" t="s">
        <v>1111</v>
      </c>
      <c r="M1" s="258" t="s">
        <v>357</v>
      </c>
      <c r="N1" s="258" t="s">
        <v>358</v>
      </c>
      <c r="O1" s="257"/>
      <c r="P1" s="261" t="s">
        <v>1112</v>
      </c>
      <c r="Q1" s="262"/>
      <c r="R1" s="262"/>
      <c r="S1" s="262"/>
      <c r="T1" s="262"/>
      <c r="U1" s="263"/>
      <c r="V1" s="263"/>
      <c r="W1" s="263"/>
      <c r="X1" s="263"/>
      <c r="Y1" s="263"/>
      <c r="Z1" s="263"/>
      <c r="AA1" s="263"/>
      <c r="AB1" s="263"/>
    </row>
    <row r="2" spans="1:28" ht="15.75" customHeight="1">
      <c r="A2" s="257"/>
      <c r="B2" s="257"/>
      <c r="C2" s="257"/>
      <c r="D2" s="264">
        <f>F2/(F2+G2)</f>
        <v>0.3</v>
      </c>
      <c r="E2" s="265" t="s">
        <v>360</v>
      </c>
      <c r="F2" s="266">
        <f>COUNTIF(J11:J1000,"W")</f>
        <v>3</v>
      </c>
      <c r="G2" s="267">
        <f>COUNTIF(J11:J1000,"L")</f>
        <v>7</v>
      </c>
      <c r="H2" s="267">
        <f>COUNTIF(J11:J1000,"P")</f>
        <v>0</v>
      </c>
      <c r="I2" s="268" t="e">
        <f ca="1">SUM(K11:K1000)</f>
        <v>#VALUE!</v>
      </c>
      <c r="J2" s="269" t="e">
        <f ca="1">AVERAGE(L11:L1000)</f>
        <v>#DIV/0!</v>
      </c>
      <c r="K2" s="269" t="e">
        <f ca="1">AVERAGE(M11:M1000)</f>
        <v>#DIV/0!</v>
      </c>
      <c r="L2" s="269" t="e">
        <f ca="1">I2/SUM(I11:I1000)</f>
        <v>#VALUE!</v>
      </c>
      <c r="M2" s="270" t="e">
        <f ca="1">COUNTIF(L11:L1000,"&gt;0")/(COUNTIF(L11:L1000,"&gt;0")+COUNTIF(L11:L1000,"&lt;0"))</f>
        <v>#DIV/0!</v>
      </c>
      <c r="N2" s="270" t="e">
        <f ca="1">COUNTIF(M11:M1000,"&gt;0")/(COUNTIF(M11:M1000,"&gt;0")+COUNTIF(M11:M1000,"&lt;0"))</f>
        <v>#DIV/0!</v>
      </c>
      <c r="O2" s="257"/>
      <c r="P2" s="261" t="s">
        <v>350</v>
      </c>
      <c r="Q2" s="271"/>
      <c r="R2" s="271"/>
      <c r="S2" s="263"/>
      <c r="T2" s="263"/>
      <c r="U2" s="263"/>
      <c r="V2" s="263"/>
      <c r="W2" s="263"/>
      <c r="X2" s="263"/>
      <c r="Y2" s="263"/>
      <c r="Z2" s="263"/>
      <c r="AA2" s="263"/>
      <c r="AB2" s="272" t="e">
        <f>D2+E2+F2</f>
        <v>#VALUE!</v>
      </c>
    </row>
    <row r="3" spans="1:28" ht="15.75" customHeight="1">
      <c r="A3" s="257"/>
      <c r="B3" s="257"/>
      <c r="C3" s="257"/>
      <c r="D3" s="264" t="e">
        <f>F3/(F3+G3)</f>
        <v>#DIV/0!</v>
      </c>
      <c r="E3" s="266"/>
      <c r="F3" s="266">
        <f>COUNTIFS($J$11:$J$1000,"W",$C$11:$C$1000,E3)</f>
        <v>0</v>
      </c>
      <c r="G3" s="267">
        <f>COUNTIFS($J$11:$J$1000,"L",$C$11:$C$1000,E3)</f>
        <v>0</v>
      </c>
      <c r="H3" s="267">
        <f>COUNTIFS($J$11:$J$1000,"P",$C$11:$C$1000,E3)</f>
        <v>0</v>
      </c>
      <c r="I3" s="273">
        <f>SUMIF($C$11:$C$1000, E3,$K$11:$K$1000)</f>
        <v>0</v>
      </c>
      <c r="J3" s="274" t="str">
        <f>IFERROR(AVERAGEIF($B$11:$B$1000, E3, $L$11:$L$1000),"")</f>
        <v/>
      </c>
      <c r="K3" s="274" t="str">
        <f>IFERROR( AVERAGEIF($B$11:$B$1000, E3,#REF!),"")</f>
        <v/>
      </c>
      <c r="L3" s="274" t="str">
        <f>IFERROR(SUMIF($B$11:$B$1000, E3,$K$11:$K$1000)/SUMIF($B$11:$B$1000, E3,$I$11:$I$1000),"")</f>
        <v/>
      </c>
      <c r="M3" s="275"/>
      <c r="N3" s="257"/>
      <c r="O3" s="257"/>
      <c r="P3" s="261" t="s">
        <v>311</v>
      </c>
      <c r="Q3" s="271"/>
      <c r="R3" s="271"/>
      <c r="S3" s="263"/>
      <c r="T3" s="263"/>
      <c r="U3" s="263"/>
      <c r="V3" s="263"/>
      <c r="W3" s="263"/>
      <c r="X3" s="263"/>
      <c r="Y3" s="263"/>
      <c r="Z3" s="263"/>
      <c r="AA3" s="263"/>
      <c r="AB3" s="276" t="e">
        <f ca="1">K2</f>
        <v>#DIV/0!</v>
      </c>
    </row>
    <row r="4" spans="1:28" ht="15.75" customHeight="1">
      <c r="A4" s="257"/>
      <c r="B4" s="257"/>
      <c r="C4" s="257"/>
      <c r="D4" s="264" t="e">
        <f>F4/(F4+G4)</f>
        <v>#DIV/0!</v>
      </c>
      <c r="E4" s="266"/>
      <c r="F4" s="266">
        <f>COUNTIFS($J$11:$J$1000,"W",$C$11:$C$1000,E4)</f>
        <v>0</v>
      </c>
      <c r="G4" s="267">
        <f>COUNTIFS($J$11:$J$1000,"L",$C$11:$C$1000,E4)</f>
        <v>0</v>
      </c>
      <c r="H4" s="267">
        <f>COUNTIFS($J$11:$J$1000,"P",$C$11:$C$1000,E4)</f>
        <v>0</v>
      </c>
      <c r="I4" s="273">
        <f>SUMIF($C$11:$C$1000, E4,$K$11:$K$1000)</f>
        <v>0</v>
      </c>
      <c r="J4" s="274" t="str">
        <f>IFERROR(AVERAGEIF($B$11:$B$1000, E4, $L$11:$L$1000),"")</f>
        <v/>
      </c>
      <c r="K4" s="274" t="str">
        <f>IFERROR( AVERAGEIF($B$11:$B$1000, E4,#REF!),"")</f>
        <v/>
      </c>
      <c r="L4" s="274" t="str">
        <f>IFERROR(SUMIF($B$11:$B$1000, E4,$K$11:$K$1000)/SUMIF($B$11:$B$1000, E4,$I$11:$I$1000),"")</f>
        <v/>
      </c>
      <c r="M4" s="416"/>
      <c r="N4" s="377"/>
      <c r="O4" s="377"/>
      <c r="P4" s="261" t="s">
        <v>351</v>
      </c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77">
        <f>E6</f>
        <v>0</v>
      </c>
    </row>
    <row r="5" spans="1:28" ht="15.75" customHeight="1">
      <c r="A5" s="257"/>
      <c r="B5" s="257"/>
      <c r="C5" s="257"/>
      <c r="D5" s="257"/>
      <c r="E5" s="266"/>
      <c r="F5" s="266">
        <f>COUNTIFS($J$11:$J$1000,"W",$C$11:$C$1000,E5)</f>
        <v>0</v>
      </c>
      <c r="G5" s="267">
        <f>COUNTIFS($J$11:$J$1000,"L",$C$11:$C$1000,E5)</f>
        <v>0</v>
      </c>
      <c r="H5" s="267">
        <f>COUNTIFS($J$11:$J$1000,"P",$C$11:$C$1000,E5)</f>
        <v>0</v>
      </c>
      <c r="I5" s="273">
        <f>SUMIF($B$11:$B$1000, E5,$K$11:$K$1000)</f>
        <v>0</v>
      </c>
      <c r="J5" s="274" t="str">
        <f>IFERROR(AVERAGEIF($B$11:$B$1000, E5, $L$11:$L$1000),"")</f>
        <v/>
      </c>
      <c r="K5" s="274" t="str">
        <f>IFERROR( AVERAGEIF($B$11:$B$1000, E5,#REF!),"")</f>
        <v/>
      </c>
      <c r="L5" s="274" t="str">
        <f>IFERROR(SUMIF($B$11:$B$1000, E5,$K$11:$K$1000)/SUMIF($B$11:$B$1000, E5,$I$11:$I$1000),"")</f>
        <v/>
      </c>
      <c r="M5" s="377"/>
      <c r="N5" s="377"/>
      <c r="O5" s="377"/>
      <c r="P5" s="257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78" t="e">
        <f ca="1">((1+AB$3)*(AB4-1-AB$3))^0.5</f>
        <v>#DIV/0!</v>
      </c>
    </row>
    <row r="6" spans="1:28" ht="15.75" customHeight="1">
      <c r="A6" s="257"/>
      <c r="B6" s="257"/>
      <c r="C6" s="257"/>
      <c r="D6" s="257"/>
      <c r="E6" s="273"/>
      <c r="F6" s="266">
        <f>COUNTIFS($J$11:$J$1000,"W",$C$11:$C$1000,E6)</f>
        <v>0</v>
      </c>
      <c r="G6" s="267">
        <f>COUNTIFS($J$11:$J$1000,"L",$C$11:$C$1000,E6)</f>
        <v>0</v>
      </c>
      <c r="H6" s="267">
        <f>COUNTIFS($J$11:$J$1000,"P",$C$11:$C$1000,E6)</f>
        <v>0</v>
      </c>
      <c r="I6" s="273">
        <f>SUMIF($B$11:$B$1000, E6,$K$11:$K$1000)</f>
        <v>0</v>
      </c>
      <c r="J6" s="274" t="str">
        <f>IFERROR(AVERAGEIF($B$11:$B$1000, E6, $L$11:$L$1000),"")</f>
        <v/>
      </c>
      <c r="K6" s="274" t="str">
        <f>IFERROR( AVERAGEIF($B$11:$B$1000, E6,#REF!),"")</f>
        <v/>
      </c>
      <c r="L6" s="274" t="str">
        <f>IFERROR(SUMIF($B$11:$B$1000, E6,$K$11:$K$1000)/SUMIF($B$11:$B$1000, E6,$I$11:$I$1000),"")</f>
        <v/>
      </c>
      <c r="M6" s="279"/>
      <c r="N6" s="257"/>
      <c r="O6" s="257"/>
      <c r="P6" s="257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78" t="e">
        <f ca="1">AB3*(AB2^0.5)/AB5</f>
        <v>#DIV/0!</v>
      </c>
    </row>
    <row r="7" spans="1:28" ht="15.75" customHeight="1">
      <c r="A7" s="257"/>
      <c r="B7" s="257"/>
      <c r="C7" s="257"/>
      <c r="D7" s="280"/>
      <c r="E7" s="281"/>
      <c r="F7" s="266">
        <f>COUNTIFS($J$11:$J$1000,"W",$C$11:$C$1000,E7)</f>
        <v>0</v>
      </c>
      <c r="G7" s="267">
        <f>COUNTIFS($J$11:$J$1000,"L",$C$11:$C$1000,E7)</f>
        <v>0</v>
      </c>
      <c r="H7" s="267">
        <f>COUNTIFS($J$11:$J$1000,"P",$C$11:$C$1000,E7)</f>
        <v>0</v>
      </c>
      <c r="I7" s="273">
        <f>SUMIF($B$11:$B$1000, E7,$K$11:$K$1000)</f>
        <v>0</v>
      </c>
      <c r="J7" s="274" t="str">
        <f>IFERROR(AVERAGEIF($B$11:$B$1000, E7, $L$11:$L$1000),"")</f>
        <v/>
      </c>
      <c r="K7" s="274" t="str">
        <f>IFERROR( AVERAGEIF($B$11:$B$1000, E7,#REF!),"")</f>
        <v/>
      </c>
      <c r="L7" s="274" t="str">
        <f>IFERROR(SUMIF($B$11:$B$1000, E7,$K$11:$K$1000)/SUMIF($B$11:$B$1000, E7,$I$11:$I$1000),"")</f>
        <v/>
      </c>
      <c r="M7" s="257"/>
      <c r="N7" s="257"/>
      <c r="O7" s="257"/>
      <c r="P7" s="257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78" t="str">
        <f ca="1">IFERROR(TDIST(AB6,AB$2-1,1),"")</f>
        <v/>
      </c>
    </row>
    <row r="8" spans="1:28" ht="15.75" customHeight="1">
      <c r="A8" s="282" t="s">
        <v>1113</v>
      </c>
      <c r="B8" s="283" t="s">
        <v>1113</v>
      </c>
      <c r="C8" s="283" t="s">
        <v>1113</v>
      </c>
      <c r="D8" s="417"/>
      <c r="E8" s="403"/>
      <c r="F8" s="404"/>
      <c r="G8" s="282" t="s">
        <v>1114</v>
      </c>
      <c r="H8" s="284" t="s">
        <v>381</v>
      </c>
      <c r="I8" s="285"/>
      <c r="J8" s="286"/>
      <c r="K8" s="287"/>
      <c r="L8" s="287"/>
      <c r="M8" s="287"/>
      <c r="N8" s="418"/>
      <c r="O8" s="377"/>
      <c r="P8" s="377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88" t="str">
        <f ca="1">IFERROR(INT(1/AB7),"")</f>
        <v/>
      </c>
    </row>
    <row r="9" spans="1:28" ht="15.75" customHeight="1">
      <c r="A9" s="289" t="s">
        <v>1115</v>
      </c>
      <c r="B9" s="290" t="s">
        <v>1116</v>
      </c>
      <c r="C9" s="291" t="s">
        <v>376</v>
      </c>
      <c r="D9" s="289" t="s">
        <v>377</v>
      </c>
      <c r="E9" s="289" t="s">
        <v>258</v>
      </c>
      <c r="F9" s="289" t="s">
        <v>378</v>
      </c>
      <c r="G9" s="289" t="s">
        <v>294</v>
      </c>
      <c r="H9" s="292" t="s">
        <v>1117</v>
      </c>
      <c r="I9" s="285" t="s">
        <v>1118</v>
      </c>
      <c r="J9" s="285" t="s">
        <v>384</v>
      </c>
      <c r="K9" s="285" t="s">
        <v>1119</v>
      </c>
      <c r="L9" s="293" t="s">
        <v>353</v>
      </c>
      <c r="M9" s="293" t="s">
        <v>1110</v>
      </c>
      <c r="N9" s="294" t="s">
        <v>294</v>
      </c>
      <c r="O9" s="294" t="s">
        <v>1117</v>
      </c>
      <c r="P9" s="294" t="s">
        <v>1120</v>
      </c>
      <c r="Q9" s="295"/>
      <c r="R9" s="295"/>
      <c r="S9" s="296"/>
      <c r="T9" s="271"/>
      <c r="U9" s="297"/>
      <c r="V9" s="271"/>
      <c r="W9" s="271"/>
      <c r="X9" s="271"/>
      <c r="Y9" s="263"/>
      <c r="Z9" s="263"/>
      <c r="AA9" s="263"/>
      <c r="AB9" s="71"/>
    </row>
    <row r="10" spans="1:28" ht="15.75" customHeight="1">
      <c r="A10" s="143" t="s">
        <v>1121</v>
      </c>
      <c r="B10" s="298" t="s">
        <v>1122</v>
      </c>
      <c r="C10" s="298" t="s">
        <v>1123</v>
      </c>
      <c r="D10" s="299">
        <v>45832</v>
      </c>
      <c r="E10" s="298" t="s">
        <v>1124</v>
      </c>
      <c r="F10" s="298" t="s">
        <v>1125</v>
      </c>
      <c r="G10" s="298">
        <v>-102</v>
      </c>
      <c r="H10" s="300"/>
      <c r="I10" s="301">
        <v>1</v>
      </c>
      <c r="J10" s="302" t="s">
        <v>311</v>
      </c>
      <c r="K10" s="301">
        <f t="shared" ref="K10:K73" si="0">IF(J10="W",N10*I10-I10,IF(J10="L",-I10,0))</f>
        <v>-1</v>
      </c>
      <c r="L10" s="303" t="str">
        <f t="shared" ref="L10:L73" ca="1" si="1">IFERROR((1/O10-1/N10)/(1/N10),"")</f>
        <v/>
      </c>
      <c r="M10" s="304" t="str">
        <f t="shared" ref="M10:M73" ca="1" si="2">IFERROR((1/P10-1/N10)/(1/N10),"")</f>
        <v/>
      </c>
      <c r="N10" s="305" t="str">
        <f ca="1">IFERROR(_xludf.IFS(G10&lt;100,(ABS(100/G10))+1,G10&gt;100,(G10/100)+1,G10=100, 2, G10=-100, 2),"")</f>
        <v/>
      </c>
      <c r="O10" s="305" t="str">
        <f ca="1">IFERROR(_xludf.IFS(H10&lt;100,(ABS(100/H10))+1,H10&gt;100,(H10/100)+1,H10=100, 2, H10=-100, 2),"")</f>
        <v/>
      </c>
      <c r="P10" s="305" t="str">
        <f t="shared" ref="P10:P31" ca="1" si="3">IFERROR((O10*1.035),"")</f>
        <v/>
      </c>
      <c r="Q10" s="271"/>
      <c r="R10" s="297"/>
      <c r="S10" s="271"/>
      <c r="T10" s="271"/>
      <c r="U10" s="271"/>
      <c r="V10" s="263"/>
      <c r="W10" s="263"/>
      <c r="X10" s="263"/>
      <c r="Y10" s="71"/>
      <c r="Z10" s="71"/>
      <c r="AA10" s="71"/>
      <c r="AB10" s="71"/>
    </row>
    <row r="11" spans="1:28" ht="15.75" customHeight="1">
      <c r="A11" s="143" t="s">
        <v>1121</v>
      </c>
      <c r="B11" s="298" t="s">
        <v>1122</v>
      </c>
      <c r="C11" s="298" t="s">
        <v>1126</v>
      </c>
      <c r="D11" s="299">
        <v>45832</v>
      </c>
      <c r="E11" s="298" t="s">
        <v>1127</v>
      </c>
      <c r="F11" s="306" t="s">
        <v>1128</v>
      </c>
      <c r="G11" s="298">
        <v>105</v>
      </c>
      <c r="H11" s="300"/>
      <c r="I11" s="301">
        <v>1</v>
      </c>
      <c r="J11" s="307" t="s">
        <v>311</v>
      </c>
      <c r="K11" s="301">
        <f t="shared" si="0"/>
        <v>-1</v>
      </c>
      <c r="L11" s="304" t="str">
        <f t="shared" ca="1" si="1"/>
        <v/>
      </c>
      <c r="M11" s="304" t="str">
        <f t="shared" ca="1" si="2"/>
        <v/>
      </c>
      <c r="N11" s="305" t="str">
        <f ca="1">IFERROR(_xludf.IFS(G11&lt;100,(ABS(100/G11))+1,G11&gt;100,(G11/100)+1,G11=100, 2, G11=-100, 2),"")</f>
        <v/>
      </c>
      <c r="O11" s="305" t="str">
        <f ca="1">IFERROR(_xludf.IFS(H11&lt;100,(ABS(100/H11))+1,H11&gt;100,(H11/100)+1,H11=100, 2, H11=-100, 2),"")</f>
        <v/>
      </c>
      <c r="P11" s="305" t="str">
        <f t="shared" ca="1" si="3"/>
        <v/>
      </c>
      <c r="Q11" s="271"/>
      <c r="R11" s="297"/>
      <c r="S11" s="271"/>
      <c r="T11" s="271"/>
      <c r="U11" s="271"/>
      <c r="V11" s="263"/>
      <c r="W11" s="263"/>
      <c r="X11" s="263"/>
      <c r="Y11" s="71"/>
      <c r="Z11" s="71"/>
      <c r="AA11" s="71"/>
      <c r="AB11" s="71"/>
    </row>
    <row r="12" spans="1:28" ht="15.75" customHeight="1">
      <c r="A12" s="143" t="s">
        <v>1121</v>
      </c>
      <c r="B12" s="298" t="s">
        <v>1122</v>
      </c>
      <c r="C12" s="298" t="s">
        <v>1129</v>
      </c>
      <c r="D12" s="299">
        <v>45832</v>
      </c>
      <c r="E12" s="298" t="s">
        <v>1127</v>
      </c>
      <c r="F12" s="298" t="s">
        <v>1130</v>
      </c>
      <c r="G12" s="298">
        <v>140</v>
      </c>
      <c r="H12" s="300"/>
      <c r="I12" s="301">
        <v>1</v>
      </c>
      <c r="J12" s="307" t="s">
        <v>311</v>
      </c>
      <c r="K12" s="301">
        <f t="shared" si="0"/>
        <v>-1</v>
      </c>
      <c r="L12" s="303" t="str">
        <f t="shared" ca="1" si="1"/>
        <v/>
      </c>
      <c r="M12" s="304" t="str">
        <f t="shared" ca="1" si="2"/>
        <v/>
      </c>
      <c r="N12" s="305" t="str">
        <f ca="1">IFERROR(_xludf.IFS(G12&lt;100,(ABS(100/G12))+1,G12&gt;100,(G12/100)+1,G12=100, 2, G12=-100, 2),"")</f>
        <v/>
      </c>
      <c r="O12" s="305" t="str">
        <f ca="1">IFERROR(_xludf.IFS(H12&lt;100,(ABS(100/H12))+1,H12&gt;100,(H12/100)+1,H12=100, 2, H12=-100, 2),"")</f>
        <v/>
      </c>
      <c r="P12" s="305" t="str">
        <f t="shared" ca="1" si="3"/>
        <v/>
      </c>
      <c r="Q12" s="271"/>
      <c r="R12" s="297"/>
      <c r="S12" s="271"/>
      <c r="T12" s="271"/>
      <c r="U12" s="271"/>
      <c r="V12" s="263"/>
      <c r="W12" s="263"/>
      <c r="X12" s="263"/>
      <c r="Y12" s="71"/>
      <c r="Z12" s="71"/>
      <c r="AA12" s="71"/>
      <c r="AB12" s="71"/>
    </row>
    <row r="13" spans="1:28" ht="15.75" customHeight="1">
      <c r="A13" s="143" t="s">
        <v>1121</v>
      </c>
      <c r="B13" s="298" t="s">
        <v>1122</v>
      </c>
      <c r="C13" s="298" t="s">
        <v>1126</v>
      </c>
      <c r="D13" s="299">
        <v>45832</v>
      </c>
      <c r="E13" s="298" t="s">
        <v>1131</v>
      </c>
      <c r="F13" s="298" t="s">
        <v>1132</v>
      </c>
      <c r="G13" s="298">
        <v>-130</v>
      </c>
      <c r="H13" s="300"/>
      <c r="I13" s="301">
        <v>1</v>
      </c>
      <c r="J13" s="302" t="s">
        <v>311</v>
      </c>
      <c r="K13" s="301">
        <f t="shared" si="0"/>
        <v>-1</v>
      </c>
      <c r="L13" s="303" t="str">
        <f t="shared" ca="1" si="1"/>
        <v/>
      </c>
      <c r="M13" s="304" t="str">
        <f t="shared" ca="1" si="2"/>
        <v/>
      </c>
      <c r="N13" s="305" t="str">
        <f ca="1">IFERROR(_xludf.IFS(G13&lt;100,(ABS(100/G13))+1,G13&gt;100,(G13/100)+1,G13=100, 2, G13=-100, 2),"")</f>
        <v/>
      </c>
      <c r="O13" s="305" t="str">
        <f ca="1">IFERROR(_xludf.IFS(H13&lt;100,(ABS(100/H13))+1,H13&gt;100,(H13/100)+1,H13=100, 2, H13=-100, 2),"")</f>
        <v/>
      </c>
      <c r="P13" s="305" t="str">
        <f t="shared" ca="1" si="3"/>
        <v/>
      </c>
      <c r="Q13" s="271"/>
      <c r="R13" s="297"/>
      <c r="S13" s="271"/>
      <c r="T13" s="271"/>
      <c r="U13" s="271"/>
      <c r="V13" s="263"/>
      <c r="W13" s="263"/>
      <c r="X13" s="263"/>
      <c r="Y13" s="71"/>
      <c r="Z13" s="71"/>
      <c r="AA13" s="71"/>
      <c r="AB13" s="71"/>
    </row>
    <row r="14" spans="1:28" ht="15.75" customHeight="1">
      <c r="A14" s="143" t="s">
        <v>1121</v>
      </c>
      <c r="B14" s="298" t="s">
        <v>1122</v>
      </c>
      <c r="C14" s="298" t="s">
        <v>1123</v>
      </c>
      <c r="D14" s="299">
        <v>45832</v>
      </c>
      <c r="E14" s="143" t="s">
        <v>1131</v>
      </c>
      <c r="F14" s="298" t="s">
        <v>1133</v>
      </c>
      <c r="G14" s="298">
        <v>-110</v>
      </c>
      <c r="H14" s="300"/>
      <c r="I14" s="301">
        <v>1</v>
      </c>
      <c r="J14" s="308" t="s">
        <v>311</v>
      </c>
      <c r="K14" s="301">
        <f t="shared" si="0"/>
        <v>-1</v>
      </c>
      <c r="L14" s="303" t="str">
        <f t="shared" ca="1" si="1"/>
        <v/>
      </c>
      <c r="M14" s="304" t="str">
        <f t="shared" ca="1" si="2"/>
        <v/>
      </c>
      <c r="N14" s="305" t="str">
        <f ca="1">IFERROR(_xludf.IFS(G14&lt;100,(ABS(100/G14))+1,G14&gt;100,(G14/100)+1,G14=100, 2, G14=-100, 2),"")</f>
        <v/>
      </c>
      <c r="O14" s="305" t="str">
        <f ca="1">IFERROR(_xludf.IFS(H14&lt;100,(ABS(100/H14))+1,H14&gt;100,(H14/100)+1,H14=100, 2, H14=-100, 2),"")</f>
        <v/>
      </c>
      <c r="P14" s="305" t="str">
        <f t="shared" ca="1" si="3"/>
        <v/>
      </c>
      <c r="Q14" s="271"/>
      <c r="R14" s="297"/>
      <c r="S14" s="271"/>
      <c r="T14" s="271"/>
      <c r="U14" s="271"/>
      <c r="V14" s="263"/>
      <c r="W14" s="263"/>
      <c r="X14" s="263"/>
      <c r="Y14" s="71"/>
      <c r="Z14" s="71"/>
      <c r="AA14" s="71"/>
      <c r="AB14" s="71"/>
    </row>
    <row r="15" spans="1:28" ht="15.75" customHeight="1">
      <c r="A15" s="143" t="s">
        <v>1121</v>
      </c>
      <c r="B15" s="298" t="s">
        <v>1122</v>
      </c>
      <c r="C15" s="298" t="s">
        <v>1134</v>
      </c>
      <c r="D15" s="299">
        <v>45832</v>
      </c>
      <c r="E15" s="298" t="s">
        <v>1135</v>
      </c>
      <c r="F15" s="298" t="s">
        <v>1136</v>
      </c>
      <c r="G15" s="298">
        <v>-118</v>
      </c>
      <c r="H15" s="300"/>
      <c r="I15" s="301">
        <v>1</v>
      </c>
      <c r="J15" s="302" t="s">
        <v>350</v>
      </c>
      <c r="K15" s="301" t="e">
        <f t="shared" ca="1" si="0"/>
        <v>#VALUE!</v>
      </c>
      <c r="L15" s="303" t="str">
        <f t="shared" ca="1" si="1"/>
        <v/>
      </c>
      <c r="M15" s="304" t="str">
        <f t="shared" ca="1" si="2"/>
        <v/>
      </c>
      <c r="N15" s="305" t="str">
        <f ca="1">IFERROR(_xludf.IFS(G15&lt;100,(ABS(100/G15))+1,G15&gt;100,(G15/100)+1,G15=100, 2, G15=-100, 2),"")</f>
        <v/>
      </c>
      <c r="O15" s="305" t="str">
        <f ca="1">IFERROR(_xludf.IFS(H15&lt;100,(ABS(100/H15))+1,H15&gt;100,(H15/100)+1,H15=100, 2, H15=-100, 2),"")</f>
        <v/>
      </c>
      <c r="P15" s="305" t="str">
        <f t="shared" ca="1" si="3"/>
        <v/>
      </c>
      <c r="Q15" s="271"/>
      <c r="R15" s="297"/>
      <c r="S15" s="271"/>
      <c r="T15" s="271"/>
      <c r="U15" s="271"/>
      <c r="V15" s="263"/>
      <c r="W15" s="263"/>
      <c r="X15" s="263"/>
      <c r="Y15" s="71"/>
      <c r="Z15" s="71"/>
      <c r="AA15" s="71"/>
      <c r="AB15" s="71"/>
    </row>
    <row r="16" spans="1:28" ht="15.75" customHeight="1">
      <c r="A16" s="143" t="s">
        <v>1121</v>
      </c>
      <c r="B16" s="298" t="s">
        <v>1122</v>
      </c>
      <c r="C16" s="298" t="s">
        <v>1137</v>
      </c>
      <c r="D16" s="299">
        <v>45832</v>
      </c>
      <c r="E16" s="298" t="s">
        <v>1135</v>
      </c>
      <c r="F16" s="298" t="s">
        <v>1138</v>
      </c>
      <c r="G16" s="298">
        <v>-120</v>
      </c>
      <c r="H16" s="300"/>
      <c r="I16" s="301">
        <v>1</v>
      </c>
      <c r="J16" s="309" t="s">
        <v>350</v>
      </c>
      <c r="K16" s="301" t="e">
        <f t="shared" ca="1" si="0"/>
        <v>#VALUE!</v>
      </c>
      <c r="L16" s="303" t="str">
        <f t="shared" ca="1" si="1"/>
        <v/>
      </c>
      <c r="M16" s="304" t="str">
        <f t="shared" ca="1" si="2"/>
        <v/>
      </c>
      <c r="N16" s="305" t="str">
        <f ca="1">IFERROR(_xludf.IFS(G16&lt;100,(ABS(100/G16))+1,G16&gt;100,(G16/100)+1,G16=100, 2, G16=-100, 2),"")</f>
        <v/>
      </c>
      <c r="O16" s="305" t="str">
        <f ca="1">IFERROR(_xludf.IFS(H16&lt;100,(ABS(100/H16))+1,H16&gt;100,(H16/100)+1,H16=100, 2, H16=-100, 2),"")</f>
        <v/>
      </c>
      <c r="P16" s="305" t="str">
        <f t="shared" ca="1" si="3"/>
        <v/>
      </c>
      <c r="Q16" s="271"/>
      <c r="R16" s="297"/>
      <c r="S16" s="271"/>
      <c r="T16" s="271"/>
      <c r="U16" s="271"/>
      <c r="V16" s="263"/>
      <c r="W16" s="263"/>
      <c r="X16" s="263"/>
      <c r="Y16" s="71"/>
      <c r="Z16" s="71"/>
      <c r="AA16" s="71"/>
      <c r="AB16" s="71"/>
    </row>
    <row r="17" spans="1:28" ht="15.75" customHeight="1">
      <c r="A17" s="143" t="s">
        <v>1121</v>
      </c>
      <c r="B17" s="298" t="s">
        <v>1122</v>
      </c>
      <c r="C17" s="298" t="s">
        <v>1129</v>
      </c>
      <c r="D17" s="299">
        <v>45832</v>
      </c>
      <c r="E17" s="298" t="s">
        <v>1135</v>
      </c>
      <c r="F17" s="298" t="s">
        <v>1139</v>
      </c>
      <c r="G17" s="298">
        <v>-130</v>
      </c>
      <c r="H17" s="300"/>
      <c r="I17" s="301">
        <v>1</v>
      </c>
      <c r="J17" s="302" t="s">
        <v>311</v>
      </c>
      <c r="K17" s="301">
        <f t="shared" si="0"/>
        <v>-1</v>
      </c>
      <c r="L17" s="303" t="str">
        <f t="shared" ca="1" si="1"/>
        <v/>
      </c>
      <c r="M17" s="304" t="str">
        <f t="shared" ca="1" si="2"/>
        <v/>
      </c>
      <c r="N17" s="305" t="str">
        <f ca="1">IFERROR(_xludf.IFS(G17&lt;100,(ABS(100/G17))+1,G17&gt;100,(G17/100)+1,G17=100, 2, G17=-100, 2),"")</f>
        <v/>
      </c>
      <c r="O17" s="305" t="str">
        <f ca="1">IFERROR(_xludf.IFS(H17&lt;100,(ABS(100/H17))+1,H17&gt;100,(H17/100)+1,H17=100, 2, H17=-100, 2),"")</f>
        <v/>
      </c>
      <c r="P17" s="305" t="str">
        <f t="shared" ca="1" si="3"/>
        <v/>
      </c>
      <c r="Q17" s="271"/>
      <c r="R17" s="297"/>
      <c r="S17" s="271"/>
      <c r="T17" s="271"/>
      <c r="U17" s="271"/>
      <c r="V17" s="263"/>
      <c r="W17" s="263"/>
      <c r="X17" s="263"/>
      <c r="Y17" s="71"/>
      <c r="Z17" s="71"/>
      <c r="AA17" s="71"/>
      <c r="AB17" s="71"/>
    </row>
    <row r="18" spans="1:28" ht="15.75" customHeight="1">
      <c r="A18" s="143" t="s">
        <v>1121</v>
      </c>
      <c r="B18" s="298" t="s">
        <v>1122</v>
      </c>
      <c r="C18" s="298" t="s">
        <v>1140</v>
      </c>
      <c r="D18" s="299">
        <v>45834</v>
      </c>
      <c r="E18" s="298" t="s">
        <v>1141</v>
      </c>
      <c r="F18" s="298" t="s">
        <v>1142</v>
      </c>
      <c r="G18" s="298">
        <v>110</v>
      </c>
      <c r="H18" s="300"/>
      <c r="I18" s="301">
        <v>1</v>
      </c>
      <c r="J18" s="302" t="s">
        <v>311</v>
      </c>
      <c r="K18" s="301">
        <f t="shared" si="0"/>
        <v>-1</v>
      </c>
      <c r="L18" s="303" t="str">
        <f t="shared" ca="1" si="1"/>
        <v/>
      </c>
      <c r="M18" s="304" t="str">
        <f t="shared" ca="1" si="2"/>
        <v/>
      </c>
      <c r="N18" s="305" t="str">
        <f ca="1">IFERROR(_xludf.IFS(G18&lt;100,(ABS(100/G18))+1,G18&gt;100,(G18/100)+1,G18=100, 2, G18=-100, 2),"")</f>
        <v/>
      </c>
      <c r="O18" s="305" t="str">
        <f ca="1">IFERROR(_xludf.IFS(H18&lt;100,(ABS(100/H18))+1,H18&gt;100,(H18/100)+1,H18=100, 2, H18=-100, 2),"")</f>
        <v/>
      </c>
      <c r="P18" s="305" t="str">
        <f t="shared" ca="1" si="3"/>
        <v/>
      </c>
      <c r="Q18" s="271"/>
      <c r="R18" s="297"/>
      <c r="S18" s="271"/>
      <c r="T18" s="271"/>
      <c r="U18" s="271"/>
      <c r="V18" s="263"/>
      <c r="W18" s="263"/>
      <c r="X18" s="263"/>
      <c r="Y18" s="71"/>
      <c r="Z18" s="71"/>
      <c r="AA18" s="71"/>
      <c r="AB18" s="71"/>
    </row>
    <row r="19" spans="1:28" ht="15.75" customHeight="1">
      <c r="A19" s="143" t="s">
        <v>1121</v>
      </c>
      <c r="B19" s="298" t="s">
        <v>1122</v>
      </c>
      <c r="C19" s="298" t="s">
        <v>1137</v>
      </c>
      <c r="D19" s="299">
        <v>45834</v>
      </c>
      <c r="E19" s="298" t="s">
        <v>1141</v>
      </c>
      <c r="F19" s="298" t="s">
        <v>1143</v>
      </c>
      <c r="G19" s="298">
        <v>-140</v>
      </c>
      <c r="H19" s="300"/>
      <c r="I19" s="301">
        <v>1</v>
      </c>
      <c r="J19" s="309" t="s">
        <v>350</v>
      </c>
      <c r="K19" s="301" t="e">
        <f t="shared" ca="1" si="0"/>
        <v>#VALUE!</v>
      </c>
      <c r="L19" s="303" t="str">
        <f t="shared" ca="1" si="1"/>
        <v/>
      </c>
      <c r="M19" s="304" t="str">
        <f t="shared" ca="1" si="2"/>
        <v/>
      </c>
      <c r="N19" s="305" t="str">
        <f ca="1">IFERROR(_xludf.IFS(G19&lt;100,(ABS(100/G19))+1,G19&gt;100,(G19/100)+1,G19=100, 2, G19=-100, 2),"")</f>
        <v/>
      </c>
      <c r="O19" s="305" t="str">
        <f ca="1">IFERROR(_xludf.IFS(H19&lt;100,(ABS(100/H19))+1,H19&gt;100,(H19/100)+1,H19=100, 2, H19=-100, 2),"")</f>
        <v/>
      </c>
      <c r="P19" s="305" t="str">
        <f t="shared" ca="1" si="3"/>
        <v/>
      </c>
      <c r="Q19" s="271"/>
      <c r="R19" s="297"/>
      <c r="S19" s="271"/>
      <c r="T19" s="271"/>
      <c r="U19" s="271"/>
      <c r="V19" s="263"/>
      <c r="W19" s="263"/>
      <c r="X19" s="263"/>
      <c r="Y19" s="71"/>
      <c r="Z19" s="71"/>
      <c r="AA19" s="71"/>
      <c r="AB19" s="71"/>
    </row>
    <row r="20" spans="1:28" ht="15.75" customHeight="1">
      <c r="A20" s="143" t="s">
        <v>1121</v>
      </c>
      <c r="B20" s="298" t="s">
        <v>1122</v>
      </c>
      <c r="C20" s="298" t="s">
        <v>1123</v>
      </c>
      <c r="D20" s="299">
        <v>45834</v>
      </c>
      <c r="E20" s="298" t="s">
        <v>1141</v>
      </c>
      <c r="F20" s="298" t="s">
        <v>1144</v>
      </c>
      <c r="G20" s="298">
        <v>116</v>
      </c>
      <c r="H20" s="300"/>
      <c r="I20" s="301">
        <v>1</v>
      </c>
      <c r="J20" s="309" t="s">
        <v>311</v>
      </c>
      <c r="K20" s="301">
        <f t="shared" si="0"/>
        <v>-1</v>
      </c>
      <c r="L20" s="303" t="str">
        <f t="shared" ca="1" si="1"/>
        <v/>
      </c>
      <c r="M20" s="304" t="str">
        <f t="shared" ca="1" si="2"/>
        <v/>
      </c>
      <c r="N20" s="305" t="str">
        <f ca="1">IFERROR(_xludf.IFS(G20&lt;100,(ABS(100/G20))+1,G20&gt;100,(G20/100)+1,G20=100, 2, G20=-100, 2),"")</f>
        <v/>
      </c>
      <c r="O20" s="305" t="str">
        <f ca="1">IFERROR(_xludf.IFS(H20&lt;100,(ABS(100/H20))+1,H20&gt;100,(H20/100)+1,H20=100, 2, H20=-100, 2),"")</f>
        <v/>
      </c>
      <c r="P20" s="305" t="str">
        <f t="shared" ca="1" si="3"/>
        <v/>
      </c>
      <c r="Q20" s="271"/>
      <c r="R20" s="297"/>
      <c r="S20" s="271"/>
      <c r="T20" s="271"/>
      <c r="U20" s="271"/>
      <c r="V20" s="263"/>
      <c r="W20" s="263"/>
      <c r="X20" s="263"/>
      <c r="Y20" s="71"/>
      <c r="Z20" s="71"/>
      <c r="AA20" s="71"/>
      <c r="AB20" s="71"/>
    </row>
    <row r="21" spans="1:28" ht="16.5" customHeight="1">
      <c r="A21" s="143"/>
      <c r="B21" s="298"/>
      <c r="C21" s="298"/>
      <c r="D21" s="299"/>
      <c r="E21" s="298"/>
      <c r="F21" s="298"/>
      <c r="G21" s="298"/>
      <c r="H21" s="300"/>
      <c r="I21" s="310"/>
      <c r="J21" s="309"/>
      <c r="K21" s="298">
        <f t="shared" si="0"/>
        <v>0</v>
      </c>
      <c r="L21" s="303" t="str">
        <f t="shared" ca="1" si="1"/>
        <v/>
      </c>
      <c r="M21" s="304" t="str">
        <f t="shared" ca="1" si="2"/>
        <v/>
      </c>
      <c r="N21" s="305" t="str">
        <f ca="1">IFERROR(_xludf.IFS(G21&lt;100,(ABS(100/G21))+1,G21&gt;100,(G21/100)+1,G21=100, 2, G21=-100, 2),"")</f>
        <v/>
      </c>
      <c r="O21" s="305" t="str">
        <f ca="1">IFERROR(_xludf.IFS(H21&lt;100,(ABS(100/H21))+1,H21&gt;100,(H21/100)+1,H21=100, 2, H21=-100, 2),"")</f>
        <v/>
      </c>
      <c r="P21" s="305" t="str">
        <f t="shared" ca="1" si="3"/>
        <v/>
      </c>
      <c r="Q21" s="271"/>
      <c r="R21" s="297"/>
      <c r="S21" s="271"/>
      <c r="T21" s="271"/>
      <c r="U21" s="271"/>
      <c r="V21" s="263"/>
      <c r="W21" s="263"/>
      <c r="X21" s="263"/>
      <c r="Y21" s="71"/>
      <c r="Z21" s="71"/>
      <c r="AA21" s="71"/>
      <c r="AB21" s="71"/>
    </row>
    <row r="22" spans="1:28" ht="15.75" customHeight="1">
      <c r="A22" s="143"/>
      <c r="B22" s="298"/>
      <c r="C22" s="298"/>
      <c r="D22" s="299"/>
      <c r="E22" s="298"/>
      <c r="F22" s="298"/>
      <c r="G22" s="298"/>
      <c r="H22" s="300"/>
      <c r="I22" s="310"/>
      <c r="J22" s="309"/>
      <c r="K22" s="298">
        <f t="shared" si="0"/>
        <v>0</v>
      </c>
      <c r="L22" s="303" t="str">
        <f t="shared" ca="1" si="1"/>
        <v/>
      </c>
      <c r="M22" s="304" t="str">
        <f t="shared" ca="1" si="2"/>
        <v/>
      </c>
      <c r="N22" s="305" t="str">
        <f ca="1">IFERROR(_xludf.IFS(G22&lt;100,(ABS(100/G22))+1,G22&gt;100,(G22/100)+1,G22=100, 2, G22=-100, 2),"")</f>
        <v/>
      </c>
      <c r="O22" s="305" t="str">
        <f ca="1">IFERROR(_xludf.IFS(H22&lt;100,(ABS(100/H22))+1,H22&gt;100,(H22/100)+1,H22=100, 2, H22=-100, 2),"")</f>
        <v/>
      </c>
      <c r="P22" s="305" t="str">
        <f t="shared" ca="1" si="3"/>
        <v/>
      </c>
      <c r="Q22" s="271"/>
      <c r="R22" s="297"/>
      <c r="S22" s="271"/>
      <c r="T22" s="271"/>
      <c r="U22" s="271"/>
      <c r="V22" s="263"/>
      <c r="W22" s="263"/>
      <c r="X22" s="263"/>
      <c r="Y22" s="71"/>
      <c r="Z22" s="71"/>
      <c r="AA22" s="71"/>
      <c r="AB22" s="71"/>
    </row>
    <row r="23" spans="1:28" ht="15.75" customHeight="1">
      <c r="A23" s="143"/>
      <c r="B23" s="298"/>
      <c r="C23" s="298"/>
      <c r="D23" s="299"/>
      <c r="E23" s="298"/>
      <c r="F23" s="298"/>
      <c r="G23" s="298"/>
      <c r="H23" s="300"/>
      <c r="I23" s="310"/>
      <c r="J23" s="309"/>
      <c r="K23" s="298">
        <f t="shared" si="0"/>
        <v>0</v>
      </c>
      <c r="L23" s="303" t="str">
        <f t="shared" ca="1" si="1"/>
        <v/>
      </c>
      <c r="M23" s="304" t="str">
        <f t="shared" ca="1" si="2"/>
        <v/>
      </c>
      <c r="N23" s="305" t="str">
        <f ca="1">IFERROR(_xludf.IFS(G23&lt;100,(ABS(100/G23))+1,G23&gt;100,(G23/100)+1,G23=100, 2, G23=-100, 2),"")</f>
        <v/>
      </c>
      <c r="O23" s="305" t="str">
        <f ca="1">IFERROR(_xludf.IFS(H23&lt;100,(ABS(100/H23))+1,H23&gt;100,(H23/100)+1,H23=100, 2, H23=-100, 2),"")</f>
        <v/>
      </c>
      <c r="P23" s="305" t="str">
        <f t="shared" ca="1" si="3"/>
        <v/>
      </c>
      <c r="Q23" s="271"/>
      <c r="R23" s="297"/>
      <c r="S23" s="271"/>
      <c r="T23" s="271"/>
      <c r="U23" s="271"/>
      <c r="V23" s="263"/>
      <c r="W23" s="263"/>
      <c r="X23" s="263"/>
      <c r="Y23" s="71"/>
      <c r="Z23" s="71"/>
      <c r="AA23" s="71"/>
      <c r="AB23" s="71"/>
    </row>
    <row r="24" spans="1:28" ht="15.75" customHeight="1">
      <c r="A24" s="143"/>
      <c r="B24" s="298"/>
      <c r="C24" s="298"/>
      <c r="D24" s="299"/>
      <c r="E24" s="298"/>
      <c r="F24" s="298"/>
      <c r="G24" s="298"/>
      <c r="H24" s="300"/>
      <c r="I24" s="310"/>
      <c r="J24" s="309"/>
      <c r="K24" s="298">
        <f t="shared" si="0"/>
        <v>0</v>
      </c>
      <c r="L24" s="303" t="str">
        <f t="shared" ca="1" si="1"/>
        <v/>
      </c>
      <c r="M24" s="304" t="str">
        <f t="shared" ca="1" si="2"/>
        <v/>
      </c>
      <c r="N24" s="305" t="str">
        <f ca="1">IFERROR(_xludf.IFS(G24&lt;100,(ABS(100/G24))+1,G24&gt;100,(G24/100)+1,G24=100, 2, G24=-100, 2),"")</f>
        <v/>
      </c>
      <c r="O24" s="305" t="str">
        <f ca="1">IFERROR(_xludf.IFS(H24&lt;100,(ABS(100/H24))+1,H24&gt;100,(H24/100)+1,H24=100, 2, H24=-100, 2),"")</f>
        <v/>
      </c>
      <c r="P24" s="305" t="str">
        <f t="shared" ca="1" si="3"/>
        <v/>
      </c>
      <c r="Q24" s="271"/>
      <c r="R24" s="297"/>
      <c r="S24" s="271"/>
      <c r="T24" s="271"/>
      <c r="U24" s="271"/>
      <c r="V24" s="263"/>
      <c r="W24" s="263"/>
      <c r="X24" s="263"/>
      <c r="Y24" s="71"/>
      <c r="Z24" s="71"/>
      <c r="AA24" s="71"/>
      <c r="AB24" s="71"/>
    </row>
    <row r="25" spans="1:28" ht="15.75" customHeight="1">
      <c r="A25" s="143"/>
      <c r="B25" s="298"/>
      <c r="C25" s="298"/>
      <c r="D25" s="299"/>
      <c r="E25" s="298"/>
      <c r="F25" s="298"/>
      <c r="G25" s="298"/>
      <c r="H25" s="300"/>
      <c r="I25" s="310"/>
      <c r="J25" s="309"/>
      <c r="K25" s="298">
        <f t="shared" si="0"/>
        <v>0</v>
      </c>
      <c r="L25" s="303" t="str">
        <f t="shared" ca="1" si="1"/>
        <v/>
      </c>
      <c r="M25" s="304" t="str">
        <f t="shared" ca="1" si="2"/>
        <v/>
      </c>
      <c r="N25" s="305" t="str">
        <f ca="1">IFERROR(_xludf.IFS(G25&lt;100,(ABS(100/G25))+1,G25&gt;100,(G25/100)+1,G25=100, 2, G25=-100, 2),"")</f>
        <v/>
      </c>
      <c r="O25" s="305" t="str">
        <f ca="1">IFERROR(_xludf.IFS(H25&lt;100,(ABS(100/H25))+1,H25&gt;100,(H25/100)+1,H25=100, 2, H25=-100, 2),"")</f>
        <v/>
      </c>
      <c r="P25" s="305" t="str">
        <f t="shared" ca="1" si="3"/>
        <v/>
      </c>
      <c r="Q25" s="271"/>
      <c r="R25" s="297"/>
      <c r="S25" s="271"/>
      <c r="T25" s="271"/>
      <c r="U25" s="271"/>
      <c r="V25" s="263"/>
      <c r="W25" s="263"/>
      <c r="X25" s="263"/>
      <c r="Y25" s="71"/>
      <c r="Z25" s="71"/>
      <c r="AA25" s="71"/>
      <c r="AB25" s="71"/>
    </row>
    <row r="26" spans="1:28" ht="15.75" customHeight="1">
      <c r="A26" s="143"/>
      <c r="B26" s="298"/>
      <c r="C26" s="298"/>
      <c r="D26" s="299"/>
      <c r="E26" s="298"/>
      <c r="F26" s="298"/>
      <c r="G26" s="298"/>
      <c r="H26" s="300"/>
      <c r="I26" s="310"/>
      <c r="J26" s="309"/>
      <c r="K26" s="298">
        <f t="shared" si="0"/>
        <v>0</v>
      </c>
      <c r="L26" s="303" t="str">
        <f t="shared" ca="1" si="1"/>
        <v/>
      </c>
      <c r="M26" s="304" t="str">
        <f t="shared" ca="1" si="2"/>
        <v/>
      </c>
      <c r="N26" s="305" t="str">
        <f ca="1">IFERROR(_xludf.IFS(G26&lt;100,(ABS(100/G26))+1,G26&gt;100,(G26/100)+1,G26=100, 2, G26=-100, 2),"")</f>
        <v/>
      </c>
      <c r="O26" s="305" t="str">
        <f ca="1">IFERROR(_xludf.IFS(H26&lt;100,(ABS(100/H26))+1,H26&gt;100,(H26/100)+1,H26=100, 2, H26=-100, 2),"")</f>
        <v/>
      </c>
      <c r="P26" s="305" t="str">
        <f t="shared" ca="1" si="3"/>
        <v/>
      </c>
      <c r="Q26" s="271"/>
      <c r="R26" s="297"/>
      <c r="S26" s="271"/>
      <c r="T26" s="271"/>
      <c r="U26" s="271"/>
      <c r="V26" s="263"/>
      <c r="W26" s="263"/>
      <c r="X26" s="263"/>
      <c r="Y26" s="71"/>
      <c r="Z26" s="71"/>
      <c r="AA26" s="71"/>
      <c r="AB26" s="71"/>
    </row>
    <row r="27" spans="1:28" ht="15.75" customHeight="1">
      <c r="A27" s="143"/>
      <c r="B27" s="298"/>
      <c r="C27" s="298"/>
      <c r="D27" s="299"/>
      <c r="E27" s="298"/>
      <c r="F27" s="298"/>
      <c r="G27" s="298"/>
      <c r="H27" s="300"/>
      <c r="I27" s="310"/>
      <c r="J27" s="309"/>
      <c r="K27" s="298">
        <f t="shared" si="0"/>
        <v>0</v>
      </c>
      <c r="L27" s="303" t="str">
        <f t="shared" ca="1" si="1"/>
        <v/>
      </c>
      <c r="M27" s="304" t="str">
        <f t="shared" ca="1" si="2"/>
        <v/>
      </c>
      <c r="N27" s="305" t="str">
        <f ca="1">IFERROR(_xludf.IFS(G27&lt;100,(ABS(100/G27))+1,G27&gt;100,(G27/100)+1,G27=100, 2, G27=-100, 2),"")</f>
        <v/>
      </c>
      <c r="O27" s="305" t="str">
        <f ca="1">IFERROR(_xludf.IFS(H27&lt;100,(ABS(100/H27))+1,H27&gt;100,(H27/100)+1,H27=100, 2, H27=-100, 2),"")</f>
        <v/>
      </c>
      <c r="P27" s="305" t="str">
        <f t="shared" ca="1" si="3"/>
        <v/>
      </c>
      <c r="Q27" s="271"/>
      <c r="R27" s="297"/>
      <c r="S27" s="271"/>
      <c r="T27" s="271"/>
      <c r="U27" s="271"/>
      <c r="V27" s="263"/>
      <c r="W27" s="263"/>
      <c r="X27" s="263"/>
      <c r="Y27" s="71"/>
      <c r="Z27" s="71"/>
      <c r="AA27" s="71"/>
      <c r="AB27" s="71"/>
    </row>
    <row r="28" spans="1:28" ht="15.75" customHeight="1">
      <c r="A28" s="143"/>
      <c r="B28" s="298"/>
      <c r="C28" s="298"/>
      <c r="D28" s="299"/>
      <c r="E28" s="298"/>
      <c r="F28" s="298"/>
      <c r="G28" s="298"/>
      <c r="H28" s="300"/>
      <c r="I28" s="310"/>
      <c r="J28" s="309"/>
      <c r="K28" s="298">
        <f t="shared" si="0"/>
        <v>0</v>
      </c>
      <c r="L28" s="303" t="str">
        <f t="shared" ca="1" si="1"/>
        <v/>
      </c>
      <c r="M28" s="304" t="str">
        <f t="shared" ca="1" si="2"/>
        <v/>
      </c>
      <c r="N28" s="305" t="str">
        <f ca="1">IFERROR(_xludf.IFS(G28&lt;100,(ABS(100/G28))+1,G28&gt;100,(G28/100)+1,G28=100, 2, G28=-100, 2),"")</f>
        <v/>
      </c>
      <c r="O28" s="305" t="str">
        <f ca="1">IFERROR(_xludf.IFS(H28&lt;100,(ABS(100/H28))+1,H28&gt;100,(H28/100)+1,H28=100, 2, H28=-100, 2),"")</f>
        <v/>
      </c>
      <c r="P28" s="305" t="str">
        <f t="shared" ca="1" si="3"/>
        <v/>
      </c>
      <c r="Q28" s="271"/>
      <c r="R28" s="297"/>
      <c r="S28" s="271"/>
      <c r="T28" s="271"/>
      <c r="U28" s="271"/>
      <c r="V28" s="263"/>
      <c r="W28" s="263"/>
      <c r="X28" s="263"/>
      <c r="Y28" s="71"/>
      <c r="Z28" s="71"/>
      <c r="AA28" s="71"/>
      <c r="AB28" s="71"/>
    </row>
    <row r="29" spans="1:28" ht="15.75" customHeight="1">
      <c r="A29" s="143"/>
      <c r="B29" s="298"/>
      <c r="C29" s="298"/>
      <c r="D29" s="299"/>
      <c r="E29" s="298"/>
      <c r="F29" s="298"/>
      <c r="G29" s="298"/>
      <c r="H29" s="300"/>
      <c r="I29" s="310"/>
      <c r="J29" s="309"/>
      <c r="K29" s="298">
        <f t="shared" si="0"/>
        <v>0</v>
      </c>
      <c r="L29" s="303" t="str">
        <f t="shared" ca="1" si="1"/>
        <v/>
      </c>
      <c r="M29" s="304" t="str">
        <f t="shared" ca="1" si="2"/>
        <v/>
      </c>
      <c r="N29" s="305" t="str">
        <f ca="1">IFERROR(_xludf.IFS(G29&lt;100,(ABS(100/G29))+1,G29&gt;100,(G29/100)+1,G29=100, 2, G29=-100, 2),"")</f>
        <v/>
      </c>
      <c r="O29" s="305" t="str">
        <f ca="1">IFERROR(_xludf.IFS(H29&lt;100,(ABS(100/H29))+1,H29&gt;100,(H29/100)+1,H29=100, 2, H29=-100, 2),"")</f>
        <v/>
      </c>
      <c r="P29" s="305" t="str">
        <f t="shared" ca="1" si="3"/>
        <v/>
      </c>
      <c r="Q29" s="271"/>
      <c r="R29" s="297"/>
      <c r="S29" s="271"/>
      <c r="T29" s="271"/>
      <c r="U29" s="271"/>
      <c r="V29" s="263"/>
      <c r="W29" s="263"/>
      <c r="X29" s="263"/>
      <c r="Y29" s="71"/>
      <c r="Z29" s="71"/>
      <c r="AA29" s="71"/>
      <c r="AB29" s="71"/>
    </row>
    <row r="30" spans="1:28" ht="15.75" customHeight="1">
      <c r="A30" s="143"/>
      <c r="B30" s="298"/>
      <c r="C30" s="298"/>
      <c r="D30" s="299"/>
      <c r="E30" s="298"/>
      <c r="F30" s="298"/>
      <c r="G30" s="298"/>
      <c r="H30" s="300"/>
      <c r="I30" s="310"/>
      <c r="J30" s="309"/>
      <c r="K30" s="298">
        <f t="shared" si="0"/>
        <v>0</v>
      </c>
      <c r="L30" s="303" t="str">
        <f t="shared" ca="1" si="1"/>
        <v/>
      </c>
      <c r="M30" s="304" t="str">
        <f t="shared" ca="1" si="2"/>
        <v/>
      </c>
      <c r="N30" s="305" t="str">
        <f ca="1">IFERROR(_xludf.IFS(G30&lt;100,(ABS(100/G30))+1,G30&gt;100,(G30/100)+1,G30=100, 2, G30=-100, 2),"")</f>
        <v/>
      </c>
      <c r="O30" s="305" t="str">
        <f ca="1">IFERROR(_xludf.IFS(H30&lt;100,(ABS(100/H30))+1,H30&gt;100,(H30/100)+1,H30=100, 2, H30=-100, 2),"")</f>
        <v/>
      </c>
      <c r="P30" s="305" t="str">
        <f t="shared" ca="1" si="3"/>
        <v/>
      </c>
      <c r="Q30" s="271"/>
      <c r="R30" s="297"/>
      <c r="S30" s="271"/>
      <c r="T30" s="271"/>
      <c r="U30" s="271"/>
      <c r="V30" s="263"/>
      <c r="W30" s="263"/>
      <c r="X30" s="263"/>
      <c r="Y30" s="71"/>
      <c r="Z30" s="71"/>
      <c r="AA30" s="71"/>
      <c r="AB30" s="71"/>
    </row>
    <row r="31" spans="1:28" ht="15.75" customHeight="1">
      <c r="A31" s="143"/>
      <c r="B31" s="298"/>
      <c r="C31" s="298"/>
      <c r="D31" s="299"/>
      <c r="E31" s="298"/>
      <c r="F31" s="298"/>
      <c r="G31" s="298"/>
      <c r="H31" s="300"/>
      <c r="I31" s="310"/>
      <c r="J31" s="309"/>
      <c r="K31" s="298">
        <f t="shared" si="0"/>
        <v>0</v>
      </c>
      <c r="L31" s="303" t="str">
        <f t="shared" ca="1" si="1"/>
        <v/>
      </c>
      <c r="M31" s="304" t="str">
        <f t="shared" ca="1" si="2"/>
        <v/>
      </c>
      <c r="N31" s="305" t="str">
        <f ca="1">IFERROR(_xludf.IFS(G31&lt;100,(ABS(100/G31))+1,G31&gt;100,(G31/100)+1,G31=100, 2, G31=-100, 2),"")</f>
        <v/>
      </c>
      <c r="O31" s="305" t="str">
        <f ca="1">IFERROR(_xludf.IFS(H31&lt;100,(ABS(100/H31))+1,H31&gt;100,(H31/100)+1,H31=100, 2, H31=-100, 2),"")</f>
        <v/>
      </c>
      <c r="P31" s="305" t="str">
        <f t="shared" ca="1" si="3"/>
        <v/>
      </c>
      <c r="Q31" s="271"/>
      <c r="R31" s="297"/>
      <c r="S31" s="271"/>
      <c r="T31" s="271"/>
      <c r="U31" s="271"/>
      <c r="V31" s="263"/>
      <c r="W31" s="263"/>
      <c r="X31" s="263"/>
      <c r="Y31" s="71"/>
      <c r="Z31" s="71"/>
      <c r="AA31" s="71"/>
      <c r="AB31" s="71"/>
    </row>
    <row r="32" spans="1:28" ht="15.75" customHeight="1">
      <c r="A32" s="143"/>
      <c r="B32" s="298"/>
      <c r="C32" s="298"/>
      <c r="D32" s="299"/>
      <c r="E32" s="298"/>
      <c r="F32" s="298"/>
      <c r="G32" s="298"/>
      <c r="H32" s="300"/>
      <c r="I32" s="310"/>
      <c r="J32" s="309"/>
      <c r="K32" s="298">
        <f t="shared" si="0"/>
        <v>0</v>
      </c>
      <c r="L32" s="303" t="str">
        <f t="shared" ca="1" si="1"/>
        <v/>
      </c>
      <c r="M32" s="304" t="str">
        <f t="shared" ca="1" si="2"/>
        <v/>
      </c>
      <c r="N32" s="305" t="str">
        <f ca="1">IFERROR(_xludf.IFS(G32&lt;100,(ABS(100/G32))+1,G32&gt;100,(G32/100)+1,G32=100, 2, G32=-100, 2),"")</f>
        <v/>
      </c>
      <c r="O32" s="305" t="str">
        <f ca="1">IFERROR(_xludf.IFS(H32&lt;100,(ABS(100/H32))+1,H32&gt;100,(H32/100)+1,H32=100, 2, H32=-100, 2),"")</f>
        <v/>
      </c>
      <c r="P32" s="305" t="str">
        <f ca="1">IFERROR(O32*1.035,"")</f>
        <v/>
      </c>
      <c r="Q32" s="271"/>
      <c r="R32" s="297"/>
      <c r="S32" s="271"/>
      <c r="T32" s="271"/>
      <c r="U32" s="271"/>
      <c r="V32" s="263"/>
      <c r="W32" s="263"/>
      <c r="X32" s="263"/>
      <c r="Y32" s="71"/>
      <c r="Z32" s="71"/>
      <c r="AA32" s="71"/>
      <c r="AB32" s="71"/>
    </row>
    <row r="33" spans="1:28" ht="15.75" customHeight="1">
      <c r="A33" s="143"/>
      <c r="B33" s="298"/>
      <c r="C33" s="298"/>
      <c r="D33" s="299"/>
      <c r="E33" s="298"/>
      <c r="F33" s="298"/>
      <c r="G33" s="298"/>
      <c r="H33" s="300"/>
      <c r="I33" s="310"/>
      <c r="J33" s="309"/>
      <c r="K33" s="298">
        <f t="shared" si="0"/>
        <v>0</v>
      </c>
      <c r="L33" s="303" t="str">
        <f t="shared" ca="1" si="1"/>
        <v/>
      </c>
      <c r="M33" s="304" t="str">
        <f t="shared" ca="1" si="2"/>
        <v/>
      </c>
      <c r="N33" s="305" t="str">
        <f ca="1">IFERROR(_xludf.IFS(G33&lt;100,(ABS(100/G33))+1,G33&gt;100,(G33/100)+1,G33=100, 2, G33=-100, 2),"")</f>
        <v/>
      </c>
      <c r="O33" s="305" t="str">
        <f ca="1">IFERROR(_xludf.IFS(H33&lt;100,(ABS(100/H33))+1,H33&gt;100,(H33/100)+1,H33=100, 2, H33=-100, 2),"")</f>
        <v/>
      </c>
      <c r="P33" s="305" t="str">
        <f ca="1">IFERROR(O33*1.035,"")</f>
        <v/>
      </c>
      <c r="Q33" s="271"/>
      <c r="R33" s="297"/>
      <c r="S33" s="271"/>
      <c r="T33" s="271"/>
      <c r="U33" s="271"/>
      <c r="V33" s="263"/>
      <c r="W33" s="263"/>
      <c r="X33" s="263"/>
      <c r="Y33" s="71"/>
      <c r="Z33" s="71"/>
      <c r="AA33" s="71"/>
      <c r="AB33" s="71"/>
    </row>
    <row r="34" spans="1:28" ht="15.75" customHeight="1">
      <c r="A34" s="143"/>
      <c r="B34" s="298"/>
      <c r="C34" s="298"/>
      <c r="D34" s="299"/>
      <c r="E34" s="298"/>
      <c r="F34" s="298"/>
      <c r="G34" s="298"/>
      <c r="H34" s="300"/>
      <c r="I34" s="310"/>
      <c r="J34" s="309"/>
      <c r="K34" s="298">
        <f t="shared" si="0"/>
        <v>0</v>
      </c>
      <c r="L34" s="303" t="str">
        <f t="shared" ca="1" si="1"/>
        <v/>
      </c>
      <c r="M34" s="304" t="str">
        <f t="shared" ca="1" si="2"/>
        <v/>
      </c>
      <c r="N34" s="305" t="str">
        <f ca="1">IFERROR(_xludf.IFS(G34&lt;100,(ABS(100/G34))+1,G34&gt;100,(G34/100)+1,G34=100, 2, G34=-100, 2),"")</f>
        <v/>
      </c>
      <c r="O34" s="305" t="str">
        <f ca="1">IFERROR(_xludf.IFS(H34&lt;100,(ABS(100/H34))+1,H34&gt;100,(H34/100)+1,H34=100, 2, H34=-100, 2),"")</f>
        <v/>
      </c>
      <c r="P34" s="305" t="str">
        <f ca="1">IFERROR((O34*1.035),"")</f>
        <v/>
      </c>
      <c r="Q34" s="271"/>
      <c r="R34" s="297"/>
      <c r="S34" s="271"/>
      <c r="T34" s="271"/>
      <c r="U34" s="271"/>
      <c r="V34" s="263"/>
      <c r="W34" s="263"/>
      <c r="X34" s="263"/>
      <c r="Y34" s="71"/>
      <c r="Z34" s="71"/>
      <c r="AA34" s="71"/>
      <c r="AB34" s="71"/>
    </row>
    <row r="35" spans="1:28" ht="15.75" customHeight="1">
      <c r="A35" s="143"/>
      <c r="B35" s="298"/>
      <c r="C35" s="298"/>
      <c r="D35" s="299"/>
      <c r="E35" s="298"/>
      <c r="F35" s="298"/>
      <c r="G35" s="298"/>
      <c r="H35" s="300"/>
      <c r="I35" s="310"/>
      <c r="J35" s="309"/>
      <c r="K35" s="298">
        <f t="shared" si="0"/>
        <v>0</v>
      </c>
      <c r="L35" s="303" t="str">
        <f t="shared" ca="1" si="1"/>
        <v/>
      </c>
      <c r="M35" s="304" t="str">
        <f t="shared" ca="1" si="2"/>
        <v/>
      </c>
      <c r="N35" s="305" t="str">
        <f ca="1">IFERROR(_xludf.IFS(G35&lt;100,(ABS(100/G35))+1,G35&gt;100,(G35/100)+1,G35=100, 2, G35=-100, 2),"")</f>
        <v/>
      </c>
      <c r="O35" s="305" t="str">
        <f ca="1">IFERROR(_xludf.IFS(H35&lt;100,(ABS(100/H35))+1,H35&gt;100,(H35/100)+1,H35=100, 2, H35=-100, 2),"")</f>
        <v/>
      </c>
      <c r="P35" s="305" t="str">
        <f ca="1">IFERROR((O35*1.035),"")</f>
        <v/>
      </c>
      <c r="Q35" s="271"/>
      <c r="R35" s="297"/>
      <c r="S35" s="271"/>
      <c r="T35" s="271"/>
      <c r="U35" s="271"/>
      <c r="V35" s="263"/>
      <c r="W35" s="263"/>
      <c r="X35" s="263"/>
      <c r="Y35" s="71"/>
      <c r="Z35" s="71"/>
      <c r="AA35" s="71"/>
      <c r="AB35" s="71"/>
    </row>
    <row r="36" spans="1:28" ht="15.75" customHeight="1">
      <c r="A36" s="143"/>
      <c r="B36" s="298"/>
      <c r="C36" s="298"/>
      <c r="D36" s="299"/>
      <c r="E36" s="298"/>
      <c r="F36" s="298"/>
      <c r="G36" s="298"/>
      <c r="H36" s="300"/>
      <c r="I36" s="310"/>
      <c r="J36" s="309"/>
      <c r="K36" s="298">
        <f t="shared" si="0"/>
        <v>0</v>
      </c>
      <c r="L36" s="303" t="str">
        <f t="shared" ca="1" si="1"/>
        <v/>
      </c>
      <c r="M36" s="304" t="str">
        <f t="shared" ca="1" si="2"/>
        <v/>
      </c>
      <c r="N36" s="305" t="str">
        <f ca="1">IFERROR(_xludf.IFS(G36&lt;100,(ABS(100/G36))+1,G36&gt;100,(G36/100)+1,G36=100, 2, G36=-100, 2),"")</f>
        <v/>
      </c>
      <c r="O36" s="305" t="str">
        <f ca="1">IFERROR(_xludf.IFS(H36&lt;100,(ABS(100/H36))+1,H36&gt;100,(H36/100)+1,H36=100, 2, H36=-100, 2),"")</f>
        <v/>
      </c>
      <c r="P36" s="305" t="str">
        <f t="shared" ref="P36:P99" ca="1" si="4">IFERROR(O36*1.035,"")</f>
        <v/>
      </c>
      <c r="Q36" s="271"/>
      <c r="R36" s="297"/>
      <c r="S36" s="271"/>
      <c r="T36" s="271"/>
      <c r="U36" s="271"/>
      <c r="V36" s="263"/>
      <c r="W36" s="263"/>
      <c r="X36" s="263"/>
      <c r="Y36" s="71"/>
      <c r="Z36" s="71"/>
      <c r="AA36" s="71"/>
      <c r="AB36" s="71"/>
    </row>
    <row r="37" spans="1:28" ht="15.75" customHeight="1">
      <c r="A37" s="143"/>
      <c r="B37" s="298"/>
      <c r="C37" s="298"/>
      <c r="D37" s="299"/>
      <c r="E37" s="298"/>
      <c r="F37" s="298"/>
      <c r="G37" s="298"/>
      <c r="H37" s="300"/>
      <c r="I37" s="310"/>
      <c r="J37" s="309"/>
      <c r="K37" s="298">
        <f t="shared" si="0"/>
        <v>0</v>
      </c>
      <c r="L37" s="303" t="str">
        <f t="shared" ca="1" si="1"/>
        <v/>
      </c>
      <c r="M37" s="304" t="str">
        <f t="shared" ca="1" si="2"/>
        <v/>
      </c>
      <c r="N37" s="305" t="str">
        <f ca="1">IFERROR(_xludf.IFS(G37&lt;100,(ABS(100/G37))+1,G37&gt;100,(G37/100)+1,G37=100, 2, G37=-100, 2),"")</f>
        <v/>
      </c>
      <c r="O37" s="305" t="str">
        <f ca="1">IFERROR(_xludf.IFS(H37&lt;100,(ABS(100/H37))+1,H37&gt;100,(H37/100)+1,H37=100, 2, H37=-100, 2),"")</f>
        <v/>
      </c>
      <c r="P37" s="305" t="str">
        <f t="shared" ca="1" si="4"/>
        <v/>
      </c>
      <c r="Q37" s="271"/>
      <c r="R37" s="297"/>
      <c r="S37" s="271"/>
      <c r="T37" s="271"/>
      <c r="U37" s="271"/>
      <c r="V37" s="263"/>
      <c r="W37" s="263"/>
      <c r="X37" s="263"/>
      <c r="Y37" s="71"/>
      <c r="Z37" s="71"/>
      <c r="AA37" s="71"/>
      <c r="AB37" s="71"/>
    </row>
    <row r="38" spans="1:28" ht="15.75" customHeight="1">
      <c r="A38" s="143"/>
      <c r="B38" s="298"/>
      <c r="C38" s="298"/>
      <c r="D38" s="299"/>
      <c r="E38" s="298"/>
      <c r="F38" s="298"/>
      <c r="G38" s="298"/>
      <c r="H38" s="300"/>
      <c r="I38" s="310"/>
      <c r="J38" s="309"/>
      <c r="K38" s="298">
        <f t="shared" si="0"/>
        <v>0</v>
      </c>
      <c r="L38" s="303" t="str">
        <f t="shared" ca="1" si="1"/>
        <v/>
      </c>
      <c r="M38" s="304" t="str">
        <f t="shared" ca="1" si="2"/>
        <v/>
      </c>
      <c r="N38" s="305" t="str">
        <f ca="1">IFERROR(_xludf.IFS(G38&lt;100,(ABS(100/G38))+1,G38&gt;100,(G38/100)+1,G38=100, 2, G38=-100, 2),"")</f>
        <v/>
      </c>
      <c r="O38" s="305" t="str">
        <f ca="1">IFERROR(_xludf.IFS(H38&lt;100,(ABS(100/H38))+1,H38&gt;100,(H38/100)+1,H38=100, 2, H38=-100, 2),"")</f>
        <v/>
      </c>
      <c r="P38" s="305" t="str">
        <f t="shared" ca="1" si="4"/>
        <v/>
      </c>
      <c r="Q38" s="271"/>
      <c r="R38" s="297"/>
      <c r="S38" s="271"/>
      <c r="T38" s="271"/>
      <c r="U38" s="271"/>
      <c r="V38" s="263"/>
      <c r="W38" s="263"/>
      <c r="X38" s="263"/>
      <c r="Y38" s="71"/>
      <c r="Z38" s="71"/>
      <c r="AA38" s="71"/>
      <c r="AB38" s="71"/>
    </row>
    <row r="39" spans="1:28" ht="15.75" customHeight="1">
      <c r="A39" s="143"/>
      <c r="B39" s="298"/>
      <c r="C39" s="298"/>
      <c r="D39" s="299"/>
      <c r="E39" s="298"/>
      <c r="F39" s="298"/>
      <c r="G39" s="298"/>
      <c r="H39" s="300"/>
      <c r="I39" s="310"/>
      <c r="J39" s="309"/>
      <c r="K39" s="298">
        <f t="shared" si="0"/>
        <v>0</v>
      </c>
      <c r="L39" s="303" t="str">
        <f t="shared" ca="1" si="1"/>
        <v/>
      </c>
      <c r="M39" s="304" t="str">
        <f t="shared" ca="1" si="2"/>
        <v/>
      </c>
      <c r="N39" s="305" t="str">
        <f ca="1">IFERROR(_xludf.IFS(G39&lt;100,(ABS(100/G39))+1,G39&gt;100,(G39/100)+1,G39=100, 2, G39=-100, 2),"")</f>
        <v/>
      </c>
      <c r="O39" s="305" t="str">
        <f ca="1">IFERROR(_xludf.IFS(H39&lt;100,(ABS(100/H39))+1,H39&gt;100,(H39/100)+1,H39=100, 2, H39=-100, 2),"")</f>
        <v/>
      </c>
      <c r="P39" s="305" t="str">
        <f t="shared" ca="1" si="4"/>
        <v/>
      </c>
      <c r="Q39" s="271"/>
      <c r="R39" s="297"/>
      <c r="S39" s="271"/>
      <c r="T39" s="271"/>
      <c r="U39" s="271"/>
      <c r="V39" s="263"/>
      <c r="W39" s="263"/>
      <c r="X39" s="263"/>
      <c r="Y39" s="71"/>
      <c r="Z39" s="71"/>
      <c r="AA39" s="71"/>
      <c r="AB39" s="71"/>
    </row>
    <row r="40" spans="1:28" ht="15.75" customHeight="1">
      <c r="A40" s="143"/>
      <c r="B40" s="298"/>
      <c r="C40" s="298"/>
      <c r="D40" s="299"/>
      <c r="E40" s="298"/>
      <c r="F40" s="298"/>
      <c r="G40" s="298"/>
      <c r="H40" s="300"/>
      <c r="I40" s="310"/>
      <c r="J40" s="309"/>
      <c r="K40" s="298">
        <f t="shared" si="0"/>
        <v>0</v>
      </c>
      <c r="L40" s="303" t="str">
        <f t="shared" ca="1" si="1"/>
        <v/>
      </c>
      <c r="M40" s="304" t="str">
        <f t="shared" ca="1" si="2"/>
        <v/>
      </c>
      <c r="N40" s="305" t="str">
        <f ca="1">IFERROR(_xludf.IFS(G40&lt;100,(ABS(100/G40))+1,G40&gt;100,(G40/100)+1,G40=100, 2, G40=-100, 2),"")</f>
        <v/>
      </c>
      <c r="O40" s="305" t="str">
        <f ca="1">IFERROR(_xludf.IFS(H40&lt;100,(ABS(100/H40))+1,H40&gt;100,(H40/100)+1,H40=100, 2, H40=-100, 2),"")</f>
        <v/>
      </c>
      <c r="P40" s="305" t="str">
        <f t="shared" ca="1" si="4"/>
        <v/>
      </c>
      <c r="Q40" s="271"/>
      <c r="R40" s="297"/>
      <c r="S40" s="271"/>
      <c r="T40" s="271"/>
      <c r="U40" s="271"/>
      <c r="V40" s="263"/>
      <c r="W40" s="263"/>
      <c r="X40" s="263"/>
      <c r="Y40" s="71"/>
      <c r="Z40" s="71"/>
      <c r="AA40" s="71"/>
      <c r="AB40" s="71"/>
    </row>
    <row r="41" spans="1:28" ht="15.75" customHeight="1">
      <c r="A41" s="143"/>
      <c r="B41" s="298"/>
      <c r="C41" s="298"/>
      <c r="D41" s="299"/>
      <c r="E41" s="298"/>
      <c r="F41" s="298"/>
      <c r="G41" s="298"/>
      <c r="H41" s="300"/>
      <c r="I41" s="310"/>
      <c r="J41" s="309"/>
      <c r="K41" s="298">
        <f t="shared" si="0"/>
        <v>0</v>
      </c>
      <c r="L41" s="303" t="str">
        <f t="shared" ca="1" si="1"/>
        <v/>
      </c>
      <c r="M41" s="304" t="str">
        <f t="shared" ca="1" si="2"/>
        <v/>
      </c>
      <c r="N41" s="305" t="str">
        <f ca="1">IFERROR(_xludf.IFS(G41&lt;100,(ABS(100/G41))+1,G41&gt;100,(G41/100)+1,G41=100, 2, G41=-100, 2),"")</f>
        <v/>
      </c>
      <c r="O41" s="305" t="str">
        <f ca="1">IFERROR(_xludf.IFS(H41&lt;100,(ABS(100/H41))+1,H41&gt;100,(H41/100)+1,H41=100, 2, H41=-100, 2),"")</f>
        <v/>
      </c>
      <c r="P41" s="305" t="str">
        <f t="shared" ca="1" si="4"/>
        <v/>
      </c>
      <c r="Q41" s="271"/>
      <c r="R41" s="297"/>
      <c r="S41" s="271"/>
      <c r="T41" s="271"/>
      <c r="U41" s="271"/>
      <c r="V41" s="263"/>
      <c r="W41" s="263"/>
      <c r="X41" s="263"/>
      <c r="Y41" s="71"/>
      <c r="Z41" s="71"/>
      <c r="AA41" s="71"/>
      <c r="AB41" s="71"/>
    </row>
    <row r="42" spans="1:28" ht="15.75" customHeight="1">
      <c r="A42" s="143"/>
      <c r="B42" s="298"/>
      <c r="C42" s="298"/>
      <c r="D42" s="299"/>
      <c r="E42" s="298"/>
      <c r="F42" s="298"/>
      <c r="G42" s="298"/>
      <c r="H42" s="300"/>
      <c r="I42" s="310"/>
      <c r="J42" s="309"/>
      <c r="K42" s="298">
        <f t="shared" si="0"/>
        <v>0</v>
      </c>
      <c r="L42" s="303" t="str">
        <f t="shared" ca="1" si="1"/>
        <v/>
      </c>
      <c r="M42" s="304" t="str">
        <f t="shared" ca="1" si="2"/>
        <v/>
      </c>
      <c r="N42" s="305" t="str">
        <f ca="1">IFERROR(_xludf.IFS(G42&lt;100,(ABS(100/G42))+1,G42&gt;100,(G42/100)+1,G42=100, 2, G42=-100, 2),"")</f>
        <v/>
      </c>
      <c r="O42" s="305" t="str">
        <f ca="1">IFERROR(_xludf.IFS(H42&lt;100,(ABS(100/H42))+1,H42&gt;100,(H42/100)+1,H42=100, 2, H42=-100, 2),"")</f>
        <v/>
      </c>
      <c r="P42" s="305" t="str">
        <f t="shared" ca="1" si="4"/>
        <v/>
      </c>
      <c r="Q42" s="271"/>
      <c r="R42" s="297"/>
      <c r="S42" s="271"/>
      <c r="T42" s="271"/>
      <c r="U42" s="271"/>
      <c r="V42" s="263"/>
      <c r="W42" s="263"/>
      <c r="X42" s="263"/>
      <c r="Y42" s="71"/>
      <c r="Z42" s="71"/>
      <c r="AA42" s="71"/>
      <c r="AB42" s="71"/>
    </row>
    <row r="43" spans="1:28" ht="15.75" customHeight="1">
      <c r="A43" s="143"/>
      <c r="B43" s="298"/>
      <c r="C43" s="298"/>
      <c r="D43" s="299"/>
      <c r="E43" s="298"/>
      <c r="F43" s="298"/>
      <c r="G43" s="298"/>
      <c r="H43" s="300"/>
      <c r="I43" s="310"/>
      <c r="J43" s="309"/>
      <c r="K43" s="298">
        <f t="shared" si="0"/>
        <v>0</v>
      </c>
      <c r="L43" s="303" t="str">
        <f t="shared" ca="1" si="1"/>
        <v/>
      </c>
      <c r="M43" s="304" t="str">
        <f t="shared" ca="1" si="2"/>
        <v/>
      </c>
      <c r="N43" s="305" t="str">
        <f ca="1">IFERROR(_xludf.IFS(G43&lt;100,(ABS(100/G43))+1,G43&gt;100,(G43/100)+1,G43=100, 2, G43=-100, 2),"")</f>
        <v/>
      </c>
      <c r="O43" s="305" t="str">
        <f ca="1">IFERROR(_xludf.IFS(H43&lt;100,(ABS(100/H43))+1,H43&gt;100,(H43/100)+1,H43=100, 2, H43=-100, 2),"")</f>
        <v/>
      </c>
      <c r="P43" s="305" t="str">
        <f t="shared" ca="1" si="4"/>
        <v/>
      </c>
      <c r="Q43" s="271"/>
      <c r="R43" s="297"/>
      <c r="S43" s="271"/>
      <c r="T43" s="271"/>
      <c r="U43" s="271"/>
      <c r="V43" s="263"/>
      <c r="W43" s="263"/>
      <c r="X43" s="263"/>
      <c r="Y43" s="71"/>
      <c r="Z43" s="71"/>
      <c r="AA43" s="71"/>
      <c r="AB43" s="71"/>
    </row>
    <row r="44" spans="1:28" ht="15.75" customHeight="1">
      <c r="A44" s="143"/>
      <c r="B44" s="298"/>
      <c r="C44" s="298"/>
      <c r="D44" s="299"/>
      <c r="E44" s="298"/>
      <c r="F44" s="298"/>
      <c r="G44" s="298"/>
      <c r="H44" s="300"/>
      <c r="I44" s="310"/>
      <c r="J44" s="309"/>
      <c r="K44" s="298">
        <f t="shared" si="0"/>
        <v>0</v>
      </c>
      <c r="L44" s="303" t="str">
        <f t="shared" ca="1" si="1"/>
        <v/>
      </c>
      <c r="M44" s="304" t="str">
        <f t="shared" ca="1" si="2"/>
        <v/>
      </c>
      <c r="N44" s="305" t="str">
        <f ca="1">IFERROR(_xludf.IFS(G44&lt;100,(ABS(100/G44))+1,G44&gt;100,(G44/100)+1,G44=100, 2, G44=-100, 2),"")</f>
        <v/>
      </c>
      <c r="O44" s="305" t="str">
        <f ca="1">IFERROR(_xludf.IFS(H44&lt;100,(ABS(100/H44))+1,H44&gt;100,(H44/100)+1,H44=100, 2, H44=-100, 2),"")</f>
        <v/>
      </c>
      <c r="P44" s="305" t="str">
        <f t="shared" ca="1" si="4"/>
        <v/>
      </c>
      <c r="Q44" s="271"/>
      <c r="R44" s="297"/>
      <c r="S44" s="271"/>
      <c r="T44" s="271"/>
      <c r="U44" s="271"/>
      <c r="V44" s="263"/>
      <c r="W44" s="263"/>
      <c r="X44" s="263"/>
      <c r="Y44" s="71"/>
      <c r="Z44" s="71"/>
      <c r="AA44" s="71"/>
      <c r="AB44" s="71"/>
    </row>
    <row r="45" spans="1:28" ht="15.75" customHeight="1">
      <c r="A45" s="143"/>
      <c r="B45" s="298"/>
      <c r="C45" s="298"/>
      <c r="D45" s="299"/>
      <c r="E45" s="298"/>
      <c r="F45" s="298"/>
      <c r="G45" s="298"/>
      <c r="H45" s="300"/>
      <c r="I45" s="310"/>
      <c r="J45" s="309"/>
      <c r="K45" s="298">
        <f t="shared" si="0"/>
        <v>0</v>
      </c>
      <c r="L45" s="303" t="str">
        <f t="shared" ca="1" si="1"/>
        <v/>
      </c>
      <c r="M45" s="304" t="str">
        <f t="shared" ca="1" si="2"/>
        <v/>
      </c>
      <c r="N45" s="305" t="str">
        <f ca="1">IFERROR(_xludf.IFS(G45&lt;100,(ABS(100/G45))+1,G45&gt;100,(G45/100)+1,G45=100, 2, G45=-100, 2),"")</f>
        <v/>
      </c>
      <c r="O45" s="305" t="str">
        <f ca="1">IFERROR(_xludf.IFS(H45&lt;100,(ABS(100/H45))+1,H45&gt;100,(H45/100)+1,H45=100, 2, H45=-100, 2),"")</f>
        <v/>
      </c>
      <c r="P45" s="305" t="str">
        <f t="shared" ca="1" si="4"/>
        <v/>
      </c>
      <c r="Q45" s="271"/>
      <c r="R45" s="297"/>
      <c r="S45" s="271"/>
      <c r="T45" s="271"/>
      <c r="U45" s="271"/>
      <c r="V45" s="263"/>
      <c r="W45" s="263"/>
      <c r="X45" s="263"/>
      <c r="Y45" s="71"/>
      <c r="Z45" s="71"/>
      <c r="AA45" s="71"/>
      <c r="AB45" s="71"/>
    </row>
    <row r="46" spans="1:28" ht="15.75" customHeight="1">
      <c r="A46" s="143"/>
      <c r="B46" s="298"/>
      <c r="C46" s="298"/>
      <c r="D46" s="299"/>
      <c r="E46" s="298"/>
      <c r="F46" s="298"/>
      <c r="G46" s="298"/>
      <c r="H46" s="300"/>
      <c r="I46" s="310"/>
      <c r="J46" s="309"/>
      <c r="K46" s="298">
        <f t="shared" si="0"/>
        <v>0</v>
      </c>
      <c r="L46" s="303" t="str">
        <f t="shared" ca="1" si="1"/>
        <v/>
      </c>
      <c r="M46" s="304" t="str">
        <f t="shared" ca="1" si="2"/>
        <v/>
      </c>
      <c r="N46" s="305" t="str">
        <f ca="1">IFERROR(_xludf.IFS(G46&lt;100,(ABS(100/G46))+1,G46&gt;100,(G46/100)+1,G46=100, 2, G46=-100, 2),"")</f>
        <v/>
      </c>
      <c r="O46" s="305" t="str">
        <f ca="1">IFERROR(_xludf.IFS(H46&lt;100,(ABS(100/H46))+1,H46&gt;100,(H46/100)+1,H46=100, 2, H46=-100, 2),"")</f>
        <v/>
      </c>
      <c r="P46" s="305" t="str">
        <f t="shared" ca="1" si="4"/>
        <v/>
      </c>
      <c r="Q46" s="271"/>
      <c r="R46" s="297"/>
      <c r="S46" s="271"/>
      <c r="T46" s="271"/>
      <c r="U46" s="271"/>
      <c r="V46" s="263"/>
      <c r="W46" s="263"/>
      <c r="X46" s="263"/>
      <c r="Y46" s="71"/>
      <c r="Z46" s="71"/>
      <c r="AA46" s="71"/>
      <c r="AB46" s="71"/>
    </row>
    <row r="47" spans="1:28" ht="15.75" customHeight="1">
      <c r="A47" s="143"/>
      <c r="B47" s="298"/>
      <c r="C47" s="298"/>
      <c r="D47" s="299"/>
      <c r="E47" s="298"/>
      <c r="F47" s="298"/>
      <c r="G47" s="298"/>
      <c r="H47" s="300"/>
      <c r="I47" s="310"/>
      <c r="J47" s="309"/>
      <c r="K47" s="298">
        <f t="shared" si="0"/>
        <v>0</v>
      </c>
      <c r="L47" s="303" t="str">
        <f t="shared" ca="1" si="1"/>
        <v/>
      </c>
      <c r="M47" s="304" t="str">
        <f t="shared" ca="1" si="2"/>
        <v/>
      </c>
      <c r="N47" s="305" t="str">
        <f ca="1">IFERROR(_xludf.IFS(G47&lt;100,(ABS(100/G47))+1,G47&gt;100,(G47/100)+1,G47=100, 2, G47=-100, 2),"")</f>
        <v/>
      </c>
      <c r="O47" s="305" t="str">
        <f ca="1">IFERROR(_xludf.IFS(H47&lt;100,(ABS(100/H47))+1,H47&gt;100,(H47/100)+1,H47=100, 2, H47=-100, 2),"")</f>
        <v/>
      </c>
      <c r="P47" s="305" t="str">
        <f t="shared" ca="1" si="4"/>
        <v/>
      </c>
      <c r="Q47" s="271"/>
      <c r="R47" s="297"/>
      <c r="S47" s="271"/>
      <c r="T47" s="271"/>
      <c r="U47" s="271"/>
      <c r="V47" s="263"/>
      <c r="W47" s="263"/>
      <c r="X47" s="263"/>
      <c r="Y47" s="71"/>
      <c r="Z47" s="71"/>
      <c r="AA47" s="71"/>
      <c r="AB47" s="71"/>
    </row>
    <row r="48" spans="1:28" ht="15.75" customHeight="1">
      <c r="A48" s="143"/>
      <c r="B48" s="298"/>
      <c r="C48" s="298"/>
      <c r="D48" s="299"/>
      <c r="E48" s="298"/>
      <c r="F48" s="298"/>
      <c r="G48" s="298"/>
      <c r="H48" s="300"/>
      <c r="I48" s="310"/>
      <c r="J48" s="309"/>
      <c r="K48" s="298">
        <f t="shared" si="0"/>
        <v>0</v>
      </c>
      <c r="L48" s="303" t="str">
        <f t="shared" ca="1" si="1"/>
        <v/>
      </c>
      <c r="M48" s="304" t="str">
        <f t="shared" ca="1" si="2"/>
        <v/>
      </c>
      <c r="N48" s="305" t="str">
        <f ca="1">IFERROR(_xludf.IFS(G48&lt;100,(ABS(100/G48))+1,G48&gt;100,(G48/100)+1,G48=100, 2, G48=-100, 2),"")</f>
        <v/>
      </c>
      <c r="O48" s="305" t="str">
        <f ca="1">IFERROR(_xludf.IFS(H48&lt;100,(ABS(100/H48))+1,H48&gt;100,(H48/100)+1,H48=100, 2, H48=-100, 2),"")</f>
        <v/>
      </c>
      <c r="P48" s="305" t="str">
        <f t="shared" ca="1" si="4"/>
        <v/>
      </c>
      <c r="Q48" s="271"/>
      <c r="R48" s="297"/>
      <c r="S48" s="271"/>
      <c r="T48" s="271"/>
      <c r="U48" s="271"/>
      <c r="V48" s="263"/>
      <c r="W48" s="263"/>
      <c r="X48" s="263"/>
      <c r="Y48" s="71"/>
      <c r="Z48" s="71"/>
      <c r="AA48" s="71"/>
      <c r="AB48" s="71"/>
    </row>
    <row r="49" spans="1:28" ht="15.75" customHeight="1">
      <c r="A49" s="143"/>
      <c r="B49" s="298"/>
      <c r="C49" s="298"/>
      <c r="D49" s="299"/>
      <c r="E49" s="298"/>
      <c r="F49" s="298"/>
      <c r="G49" s="298"/>
      <c r="H49" s="300"/>
      <c r="I49" s="310"/>
      <c r="J49" s="309"/>
      <c r="K49" s="298">
        <f t="shared" si="0"/>
        <v>0</v>
      </c>
      <c r="L49" s="303" t="str">
        <f t="shared" ca="1" si="1"/>
        <v/>
      </c>
      <c r="M49" s="304" t="str">
        <f t="shared" ca="1" si="2"/>
        <v/>
      </c>
      <c r="N49" s="305" t="str">
        <f ca="1">IFERROR(_xludf.IFS(G49&lt;100,(ABS(100/G49))+1,G49&gt;100,(G49/100)+1,G49=100, 2, G49=-100, 2),"")</f>
        <v/>
      </c>
      <c r="O49" s="305" t="str">
        <f ca="1">IFERROR(_xludf.IFS(H49&lt;100,(ABS(100/H49))+1,H49&gt;100,(H49/100)+1,H49=100, 2, H49=-100, 2),"")</f>
        <v/>
      </c>
      <c r="P49" s="305" t="str">
        <f t="shared" ca="1" si="4"/>
        <v/>
      </c>
      <c r="Q49" s="271"/>
      <c r="R49" s="297"/>
      <c r="S49" s="271"/>
      <c r="T49" s="271"/>
      <c r="U49" s="271"/>
      <c r="V49" s="263"/>
      <c r="W49" s="263"/>
      <c r="X49" s="263"/>
      <c r="Y49" s="71"/>
      <c r="Z49" s="71"/>
      <c r="AA49" s="71"/>
      <c r="AB49" s="71"/>
    </row>
    <row r="50" spans="1:28" ht="15.75" customHeight="1">
      <c r="A50" s="143"/>
      <c r="B50" s="298"/>
      <c r="C50" s="298"/>
      <c r="D50" s="299"/>
      <c r="E50" s="298"/>
      <c r="F50" s="298"/>
      <c r="G50" s="298"/>
      <c r="H50" s="300"/>
      <c r="I50" s="310"/>
      <c r="J50" s="309"/>
      <c r="K50" s="298">
        <f t="shared" si="0"/>
        <v>0</v>
      </c>
      <c r="L50" s="303" t="str">
        <f t="shared" ca="1" si="1"/>
        <v/>
      </c>
      <c r="M50" s="304" t="str">
        <f t="shared" ca="1" si="2"/>
        <v/>
      </c>
      <c r="N50" s="305" t="str">
        <f ca="1">IFERROR(_xludf.IFS(G50&lt;100,(ABS(100/G50))+1,G50&gt;100,(G50/100)+1,G50=100, 2, G50=-100, 2),"")</f>
        <v/>
      </c>
      <c r="O50" s="305" t="str">
        <f ca="1">IFERROR(_xludf.IFS(H50&lt;100,(ABS(100/H50))+1,H50&gt;100,(H50/100)+1,H50=100, 2, H50=-100, 2),"")</f>
        <v/>
      </c>
      <c r="P50" s="305" t="str">
        <f t="shared" ca="1" si="4"/>
        <v/>
      </c>
      <c r="Q50" s="271"/>
      <c r="R50" s="297"/>
      <c r="S50" s="271"/>
      <c r="T50" s="271"/>
      <c r="U50" s="271"/>
      <c r="V50" s="263"/>
      <c r="W50" s="263"/>
      <c r="X50" s="263"/>
      <c r="Y50" s="71"/>
      <c r="Z50" s="71"/>
      <c r="AA50" s="71"/>
      <c r="AB50" s="71"/>
    </row>
    <row r="51" spans="1:28" ht="15.75" customHeight="1">
      <c r="A51" s="143"/>
      <c r="B51" s="298"/>
      <c r="C51" s="298"/>
      <c r="D51" s="299"/>
      <c r="E51" s="298"/>
      <c r="F51" s="298"/>
      <c r="G51" s="298"/>
      <c r="H51" s="300"/>
      <c r="I51" s="310"/>
      <c r="J51" s="309"/>
      <c r="K51" s="298">
        <f t="shared" si="0"/>
        <v>0</v>
      </c>
      <c r="L51" s="303" t="str">
        <f t="shared" ca="1" si="1"/>
        <v/>
      </c>
      <c r="M51" s="304" t="str">
        <f t="shared" ca="1" si="2"/>
        <v/>
      </c>
      <c r="N51" s="305" t="str">
        <f ca="1">IFERROR(_xludf.IFS(G51&lt;100,(ABS(100/G51))+1,G51&gt;100,(G51/100)+1,G51=100, 2, G51=-100, 2),"")</f>
        <v/>
      </c>
      <c r="O51" s="305" t="str">
        <f ca="1">IFERROR(_xludf.IFS(H51&lt;100,(ABS(100/H51))+1,H51&gt;100,(H51/100)+1,H51=100, 2, H51=-100, 2),"")</f>
        <v/>
      </c>
      <c r="P51" s="305" t="str">
        <f t="shared" ca="1" si="4"/>
        <v/>
      </c>
      <c r="Q51" s="271"/>
      <c r="R51" s="297"/>
      <c r="S51" s="271"/>
      <c r="T51" s="271"/>
      <c r="U51" s="271"/>
      <c r="V51" s="263"/>
      <c r="W51" s="263"/>
      <c r="X51" s="263"/>
      <c r="Y51" s="71"/>
      <c r="Z51" s="71"/>
      <c r="AA51" s="71"/>
      <c r="AB51" s="71"/>
    </row>
    <row r="52" spans="1:28" ht="15.75" customHeight="1">
      <c r="A52" s="143"/>
      <c r="B52" s="298"/>
      <c r="C52" s="298"/>
      <c r="D52" s="299"/>
      <c r="E52" s="298"/>
      <c r="F52" s="298"/>
      <c r="G52" s="298"/>
      <c r="H52" s="300"/>
      <c r="I52" s="310"/>
      <c r="J52" s="309"/>
      <c r="K52" s="298">
        <f t="shared" si="0"/>
        <v>0</v>
      </c>
      <c r="L52" s="303" t="str">
        <f t="shared" ca="1" si="1"/>
        <v/>
      </c>
      <c r="M52" s="304" t="str">
        <f t="shared" ca="1" si="2"/>
        <v/>
      </c>
      <c r="N52" s="305" t="str">
        <f ca="1">IFERROR(_xludf.IFS(G52&lt;100,(ABS(100/G52))+1,G52&gt;100,(G52/100)+1,G52=100, 2, G52=-100, 2),"")</f>
        <v/>
      </c>
      <c r="O52" s="305" t="str">
        <f ca="1">IFERROR(_xludf.IFS(H52&lt;100,(ABS(100/H52))+1,H52&gt;100,(H52/100)+1,H52=100, 2, H52=-100, 2),"")</f>
        <v/>
      </c>
      <c r="P52" s="305" t="str">
        <f t="shared" ca="1" si="4"/>
        <v/>
      </c>
      <c r="Q52" s="271"/>
      <c r="R52" s="297"/>
      <c r="S52" s="271"/>
      <c r="T52" s="271"/>
      <c r="U52" s="271"/>
      <c r="V52" s="263"/>
      <c r="W52" s="263"/>
      <c r="X52" s="263"/>
      <c r="Y52" s="71"/>
      <c r="Z52" s="71"/>
      <c r="AA52" s="71"/>
      <c r="AB52" s="71"/>
    </row>
    <row r="53" spans="1:28" ht="15.75" customHeight="1">
      <c r="A53" s="143"/>
      <c r="B53" s="298"/>
      <c r="C53" s="298"/>
      <c r="D53" s="299"/>
      <c r="E53" s="298"/>
      <c r="F53" s="298"/>
      <c r="G53" s="298"/>
      <c r="H53" s="300"/>
      <c r="I53" s="310"/>
      <c r="J53" s="309"/>
      <c r="K53" s="298">
        <f t="shared" si="0"/>
        <v>0</v>
      </c>
      <c r="L53" s="303" t="str">
        <f t="shared" ca="1" si="1"/>
        <v/>
      </c>
      <c r="M53" s="304" t="str">
        <f t="shared" ca="1" si="2"/>
        <v/>
      </c>
      <c r="N53" s="305" t="str">
        <f ca="1">IFERROR(_xludf.IFS(G53&lt;100,(ABS(100/G53))+1,G53&gt;100,(G53/100)+1,G53=100, 2, G53=-100, 2),"")</f>
        <v/>
      </c>
      <c r="O53" s="305" t="str">
        <f ca="1">IFERROR(_xludf.IFS(H53&lt;100,(ABS(100/H53))+1,H53&gt;100,(H53/100)+1,H53=100, 2, H53=-100, 2),"")</f>
        <v/>
      </c>
      <c r="P53" s="305" t="str">
        <f t="shared" ca="1" si="4"/>
        <v/>
      </c>
      <c r="Q53" s="271"/>
      <c r="R53" s="297"/>
      <c r="S53" s="271"/>
      <c r="T53" s="271"/>
      <c r="U53" s="271"/>
      <c r="V53" s="263"/>
      <c r="W53" s="263"/>
      <c r="X53" s="263"/>
      <c r="Y53" s="71"/>
      <c r="Z53" s="71"/>
      <c r="AA53" s="71"/>
      <c r="AB53" s="71"/>
    </row>
    <row r="54" spans="1:28" ht="15.75" customHeight="1">
      <c r="A54" s="143"/>
      <c r="B54" s="298"/>
      <c r="C54" s="298"/>
      <c r="D54" s="299"/>
      <c r="E54" s="298"/>
      <c r="F54" s="298"/>
      <c r="G54" s="298"/>
      <c r="H54" s="300"/>
      <c r="I54" s="310"/>
      <c r="J54" s="309"/>
      <c r="K54" s="298">
        <f t="shared" si="0"/>
        <v>0</v>
      </c>
      <c r="L54" s="303" t="str">
        <f t="shared" ca="1" si="1"/>
        <v/>
      </c>
      <c r="M54" s="304" t="str">
        <f t="shared" ca="1" si="2"/>
        <v/>
      </c>
      <c r="N54" s="305" t="str">
        <f ca="1">IFERROR(_xludf.IFS(G54&lt;100,(ABS(100/G54))+1,G54&gt;100,(G54/100)+1,G54=100, 2, G54=-100, 2),"")</f>
        <v/>
      </c>
      <c r="O54" s="305" t="str">
        <f ca="1">IFERROR(_xludf.IFS(H54&lt;100,(ABS(100/H54))+1,H54&gt;100,(H54/100)+1,H54=100, 2, H54=-100, 2),"")</f>
        <v/>
      </c>
      <c r="P54" s="305" t="str">
        <f t="shared" ca="1" si="4"/>
        <v/>
      </c>
      <c r="Q54" s="271"/>
      <c r="R54" s="297"/>
      <c r="S54" s="271"/>
      <c r="T54" s="271"/>
      <c r="U54" s="271"/>
      <c r="V54" s="263"/>
      <c r="W54" s="263"/>
      <c r="X54" s="263"/>
      <c r="Y54" s="71"/>
      <c r="Z54" s="71"/>
      <c r="AA54" s="71"/>
      <c r="AB54" s="71"/>
    </row>
    <row r="55" spans="1:28" ht="15.75" customHeight="1">
      <c r="A55" s="143"/>
      <c r="B55" s="298"/>
      <c r="C55" s="298"/>
      <c r="D55" s="299"/>
      <c r="E55" s="298"/>
      <c r="F55" s="298"/>
      <c r="G55" s="298"/>
      <c r="H55" s="300"/>
      <c r="I55" s="310"/>
      <c r="J55" s="309"/>
      <c r="K55" s="298">
        <f t="shared" si="0"/>
        <v>0</v>
      </c>
      <c r="L55" s="303" t="str">
        <f t="shared" ca="1" si="1"/>
        <v/>
      </c>
      <c r="M55" s="304" t="str">
        <f t="shared" ca="1" si="2"/>
        <v/>
      </c>
      <c r="N55" s="305" t="str">
        <f ca="1">IFERROR(_xludf.IFS(G55&lt;100,(ABS(100/G55))+1,G55&gt;100,(G55/100)+1,G55=100, 2, G55=-100, 2),"")</f>
        <v/>
      </c>
      <c r="O55" s="305" t="str">
        <f ca="1">IFERROR(_xludf.IFS(H55&lt;100,(ABS(100/H55))+1,H55&gt;100,(H55/100)+1,H55=100, 2, H55=-100, 2),"")</f>
        <v/>
      </c>
      <c r="P55" s="305" t="str">
        <f t="shared" ca="1" si="4"/>
        <v/>
      </c>
      <c r="Q55" s="271"/>
      <c r="R55" s="297"/>
      <c r="S55" s="271"/>
      <c r="T55" s="271"/>
      <c r="U55" s="271"/>
      <c r="V55" s="263"/>
      <c r="W55" s="263"/>
      <c r="X55" s="263"/>
      <c r="Y55" s="71"/>
      <c r="Z55" s="71"/>
      <c r="AA55" s="71"/>
      <c r="AB55" s="71"/>
    </row>
    <row r="56" spans="1:28" ht="15.75" customHeight="1">
      <c r="A56" s="143"/>
      <c r="B56" s="298"/>
      <c r="C56" s="298"/>
      <c r="D56" s="299"/>
      <c r="E56" s="298"/>
      <c r="F56" s="298"/>
      <c r="G56" s="298"/>
      <c r="H56" s="300"/>
      <c r="I56" s="310"/>
      <c r="J56" s="309"/>
      <c r="K56" s="298">
        <f t="shared" si="0"/>
        <v>0</v>
      </c>
      <c r="L56" s="303" t="str">
        <f t="shared" ca="1" si="1"/>
        <v/>
      </c>
      <c r="M56" s="304" t="str">
        <f t="shared" ca="1" si="2"/>
        <v/>
      </c>
      <c r="N56" s="305" t="str">
        <f ca="1">IFERROR(_xludf.IFS(G56&lt;100,(ABS(100/G56))+1,G56&gt;100,(G56/100)+1,G56=100, 2, G56=-100, 2),"")</f>
        <v/>
      </c>
      <c r="O56" s="305" t="str">
        <f ca="1">IFERROR(_xludf.IFS(H56&lt;100,(ABS(100/H56))+1,H56&gt;100,(H56/100)+1,H56=100, 2, H56=-100, 2),"")</f>
        <v/>
      </c>
      <c r="P56" s="305" t="str">
        <f t="shared" ca="1" si="4"/>
        <v/>
      </c>
      <c r="Q56" s="271"/>
      <c r="R56" s="297"/>
      <c r="S56" s="271"/>
      <c r="T56" s="271"/>
      <c r="U56" s="271"/>
      <c r="V56" s="263"/>
      <c r="W56" s="263"/>
      <c r="X56" s="263"/>
      <c r="Y56" s="71"/>
      <c r="Z56" s="71"/>
      <c r="AA56" s="71"/>
      <c r="AB56" s="71"/>
    </row>
    <row r="57" spans="1:28" ht="15.75" customHeight="1">
      <c r="A57" s="143"/>
      <c r="B57" s="298"/>
      <c r="C57" s="298"/>
      <c r="D57" s="299"/>
      <c r="E57" s="298"/>
      <c r="F57" s="298"/>
      <c r="G57" s="298"/>
      <c r="H57" s="300"/>
      <c r="I57" s="310"/>
      <c r="J57" s="309"/>
      <c r="K57" s="298">
        <f t="shared" si="0"/>
        <v>0</v>
      </c>
      <c r="L57" s="303" t="str">
        <f t="shared" ca="1" si="1"/>
        <v/>
      </c>
      <c r="M57" s="304" t="str">
        <f t="shared" ca="1" si="2"/>
        <v/>
      </c>
      <c r="N57" s="305" t="str">
        <f ca="1">IFERROR(_xludf.IFS(G57&lt;100,(ABS(100/G57))+1,G57&gt;100,(G57/100)+1,G57=100, 2, G57=-100, 2),"")</f>
        <v/>
      </c>
      <c r="O57" s="305" t="str">
        <f ca="1">IFERROR(_xludf.IFS(H57&lt;100,(ABS(100/H57))+1,H57&gt;100,(H57/100)+1,H57=100, 2, H57=-100, 2),"")</f>
        <v/>
      </c>
      <c r="P57" s="305" t="str">
        <f t="shared" ca="1" si="4"/>
        <v/>
      </c>
      <c r="Q57" s="271"/>
      <c r="R57" s="297"/>
      <c r="S57" s="271"/>
      <c r="T57" s="271"/>
      <c r="U57" s="271"/>
      <c r="V57" s="263"/>
      <c r="W57" s="263"/>
      <c r="X57" s="263"/>
      <c r="Y57" s="71"/>
      <c r="Z57" s="71"/>
      <c r="AA57" s="71"/>
      <c r="AB57" s="71"/>
    </row>
    <row r="58" spans="1:28" ht="15.75" customHeight="1">
      <c r="A58" s="143"/>
      <c r="B58" s="298"/>
      <c r="C58" s="298"/>
      <c r="D58" s="299"/>
      <c r="E58" s="298"/>
      <c r="F58" s="298"/>
      <c r="G58" s="298"/>
      <c r="H58" s="300"/>
      <c r="I58" s="310"/>
      <c r="J58" s="309"/>
      <c r="K58" s="298">
        <f t="shared" si="0"/>
        <v>0</v>
      </c>
      <c r="L58" s="303" t="str">
        <f t="shared" ca="1" si="1"/>
        <v/>
      </c>
      <c r="M58" s="304" t="str">
        <f t="shared" ca="1" si="2"/>
        <v/>
      </c>
      <c r="N58" s="305" t="str">
        <f ca="1">IFERROR(_xludf.IFS(G58&lt;100,(ABS(100/G58))+1,G58&gt;100,(G58/100)+1,G58=100, 2, G58=-100, 2),"")</f>
        <v/>
      </c>
      <c r="O58" s="305" t="str">
        <f ca="1">IFERROR(_xludf.IFS(H58&lt;100,(ABS(100/H58))+1,H58&gt;100,(H58/100)+1,H58=100, 2, H58=-100, 2),"")</f>
        <v/>
      </c>
      <c r="P58" s="305" t="str">
        <f t="shared" ca="1" si="4"/>
        <v/>
      </c>
      <c r="Q58" s="271"/>
      <c r="R58" s="297"/>
      <c r="S58" s="271"/>
      <c r="T58" s="271"/>
      <c r="U58" s="271"/>
      <c r="V58" s="263"/>
      <c r="W58" s="263"/>
      <c r="X58" s="263"/>
      <c r="Y58" s="71"/>
      <c r="Z58" s="71"/>
      <c r="AA58" s="71"/>
      <c r="AB58" s="71"/>
    </row>
    <row r="59" spans="1:28" ht="15.75" customHeight="1">
      <c r="A59" s="143"/>
      <c r="B59" s="298"/>
      <c r="C59" s="298"/>
      <c r="D59" s="299"/>
      <c r="E59" s="298"/>
      <c r="F59" s="298"/>
      <c r="G59" s="298"/>
      <c r="H59" s="300"/>
      <c r="I59" s="310"/>
      <c r="J59" s="309"/>
      <c r="K59" s="298">
        <f t="shared" si="0"/>
        <v>0</v>
      </c>
      <c r="L59" s="303" t="str">
        <f t="shared" ca="1" si="1"/>
        <v/>
      </c>
      <c r="M59" s="304" t="str">
        <f t="shared" ca="1" si="2"/>
        <v/>
      </c>
      <c r="N59" s="305" t="str">
        <f ca="1">IFERROR(_xludf.IFS(G59&lt;100,(ABS(100/G59))+1,G59&gt;100,(G59/100)+1,G59=100, 2, G59=-100, 2),"")</f>
        <v/>
      </c>
      <c r="O59" s="305" t="str">
        <f ca="1">IFERROR(_xludf.IFS(H59&lt;100,(ABS(100/H59))+1,H59&gt;100,(H59/100)+1,H59=100, 2, H59=-100, 2),"")</f>
        <v/>
      </c>
      <c r="P59" s="305" t="str">
        <f t="shared" ca="1" si="4"/>
        <v/>
      </c>
      <c r="Q59" s="271"/>
      <c r="R59" s="297"/>
      <c r="S59" s="271"/>
      <c r="T59" s="271"/>
      <c r="U59" s="271"/>
      <c r="V59" s="263"/>
      <c r="W59" s="263"/>
      <c r="X59" s="263"/>
      <c r="Y59" s="71"/>
      <c r="Z59" s="71"/>
      <c r="AA59" s="71"/>
      <c r="AB59" s="71"/>
    </row>
    <row r="60" spans="1:28" ht="15.75" customHeight="1">
      <c r="A60" s="143"/>
      <c r="B60" s="298"/>
      <c r="C60" s="298"/>
      <c r="D60" s="299"/>
      <c r="E60" s="298"/>
      <c r="F60" s="298"/>
      <c r="G60" s="298"/>
      <c r="H60" s="300"/>
      <c r="I60" s="310"/>
      <c r="J60" s="309"/>
      <c r="K60" s="298">
        <f t="shared" si="0"/>
        <v>0</v>
      </c>
      <c r="L60" s="303" t="str">
        <f t="shared" ca="1" si="1"/>
        <v/>
      </c>
      <c r="M60" s="304" t="str">
        <f t="shared" ca="1" si="2"/>
        <v/>
      </c>
      <c r="N60" s="305" t="str">
        <f ca="1">IFERROR(_xludf.IFS(G60&lt;100,(ABS(100/G60))+1,G60&gt;100,(G60/100)+1,G60=100, 2, G60=-100, 2),"")</f>
        <v/>
      </c>
      <c r="O60" s="305" t="str">
        <f ca="1">IFERROR(_xludf.IFS(H60&lt;100,(ABS(100/H60))+1,H60&gt;100,(H60/100)+1,H60=100, 2, H60=-100, 2),"")</f>
        <v/>
      </c>
      <c r="P60" s="305" t="str">
        <f t="shared" ca="1" si="4"/>
        <v/>
      </c>
      <c r="Q60" s="271"/>
      <c r="R60" s="297"/>
      <c r="S60" s="271"/>
      <c r="T60" s="271"/>
      <c r="U60" s="271"/>
      <c r="V60" s="263"/>
      <c r="W60" s="263"/>
      <c r="X60" s="263"/>
      <c r="Y60" s="71"/>
      <c r="Z60" s="71"/>
      <c r="AA60" s="71"/>
      <c r="AB60" s="71"/>
    </row>
    <row r="61" spans="1:28" ht="15.75" customHeight="1">
      <c r="A61" s="143"/>
      <c r="B61" s="298"/>
      <c r="C61" s="298"/>
      <c r="D61" s="299"/>
      <c r="E61" s="298"/>
      <c r="F61" s="298"/>
      <c r="G61" s="298"/>
      <c r="H61" s="300"/>
      <c r="I61" s="310"/>
      <c r="J61" s="309"/>
      <c r="K61" s="298">
        <f t="shared" si="0"/>
        <v>0</v>
      </c>
      <c r="L61" s="303" t="str">
        <f t="shared" ca="1" si="1"/>
        <v/>
      </c>
      <c r="M61" s="304" t="str">
        <f t="shared" ca="1" si="2"/>
        <v/>
      </c>
      <c r="N61" s="305" t="str">
        <f ca="1">IFERROR(_xludf.IFS(G61&lt;100,(ABS(100/G61))+1,G61&gt;100,(G61/100)+1,G61=100, 2, G61=-100, 2),"")</f>
        <v/>
      </c>
      <c r="O61" s="305" t="str">
        <f ca="1">IFERROR(_xludf.IFS(H61&lt;100,(ABS(100/H61))+1,H61&gt;100,(H61/100)+1,H61=100, 2, H61=-100, 2),"")</f>
        <v/>
      </c>
      <c r="P61" s="305" t="str">
        <f t="shared" ca="1" si="4"/>
        <v/>
      </c>
      <c r="Q61" s="271"/>
      <c r="R61" s="297"/>
      <c r="S61" s="271"/>
      <c r="T61" s="271"/>
      <c r="U61" s="271"/>
      <c r="V61" s="263"/>
      <c r="W61" s="263"/>
      <c r="X61" s="263"/>
      <c r="Y61" s="71"/>
      <c r="Z61" s="71"/>
      <c r="AA61" s="71"/>
      <c r="AB61" s="71"/>
    </row>
    <row r="62" spans="1:28" ht="15.75" customHeight="1">
      <c r="A62" s="143"/>
      <c r="B62" s="298"/>
      <c r="C62" s="298"/>
      <c r="D62" s="299"/>
      <c r="E62" s="298"/>
      <c r="F62" s="298"/>
      <c r="G62" s="298"/>
      <c r="H62" s="300"/>
      <c r="I62" s="310"/>
      <c r="J62" s="309"/>
      <c r="K62" s="298">
        <f t="shared" si="0"/>
        <v>0</v>
      </c>
      <c r="L62" s="303" t="str">
        <f t="shared" ca="1" si="1"/>
        <v/>
      </c>
      <c r="M62" s="304" t="str">
        <f t="shared" ca="1" si="2"/>
        <v/>
      </c>
      <c r="N62" s="305" t="str">
        <f ca="1">IFERROR(_xludf.IFS(G62&lt;100,(ABS(100/G62))+1,G62&gt;100,(G62/100)+1,G62=100, 2, G62=-100, 2),"")</f>
        <v/>
      </c>
      <c r="O62" s="305" t="str">
        <f ca="1">IFERROR(_xludf.IFS(H62&lt;100,(ABS(100/H62))+1,H62&gt;100,(H62/100)+1,H62=100, 2, H62=-100, 2),"")</f>
        <v/>
      </c>
      <c r="P62" s="305" t="str">
        <f t="shared" ca="1" si="4"/>
        <v/>
      </c>
      <c r="Q62" s="271"/>
      <c r="R62" s="297"/>
      <c r="S62" s="271"/>
      <c r="T62" s="271"/>
      <c r="U62" s="271"/>
      <c r="V62" s="263"/>
      <c r="W62" s="263"/>
      <c r="X62" s="263"/>
      <c r="Y62" s="71"/>
      <c r="Z62" s="71"/>
      <c r="AA62" s="71"/>
      <c r="AB62" s="71"/>
    </row>
    <row r="63" spans="1:28" ht="15.75" customHeight="1">
      <c r="A63" s="143"/>
      <c r="B63" s="298"/>
      <c r="C63" s="298"/>
      <c r="D63" s="299"/>
      <c r="E63" s="298"/>
      <c r="F63" s="298"/>
      <c r="G63" s="298"/>
      <c r="H63" s="300"/>
      <c r="I63" s="310"/>
      <c r="J63" s="309"/>
      <c r="K63" s="298">
        <f t="shared" si="0"/>
        <v>0</v>
      </c>
      <c r="L63" s="303" t="str">
        <f t="shared" ca="1" si="1"/>
        <v/>
      </c>
      <c r="M63" s="304" t="str">
        <f t="shared" ca="1" si="2"/>
        <v/>
      </c>
      <c r="N63" s="305" t="str">
        <f ca="1">IFERROR(_xludf.IFS(G63&lt;100,(ABS(100/G63))+1,G63&gt;100,(G63/100)+1,G63=100, 2, G63=-100, 2),"")</f>
        <v/>
      </c>
      <c r="O63" s="305" t="str">
        <f ca="1">IFERROR(_xludf.IFS(H63&lt;100,(ABS(100/H63))+1,H63&gt;100,(H63/100)+1,H63=100, 2, H63=-100, 2),"")</f>
        <v/>
      </c>
      <c r="P63" s="305" t="str">
        <f t="shared" ca="1" si="4"/>
        <v/>
      </c>
      <c r="Q63" s="271"/>
      <c r="R63" s="297"/>
      <c r="S63" s="271"/>
      <c r="T63" s="271"/>
      <c r="U63" s="271"/>
      <c r="V63" s="263"/>
      <c r="W63" s="263"/>
      <c r="X63" s="263"/>
      <c r="Y63" s="71"/>
      <c r="Z63" s="71"/>
      <c r="AA63" s="71"/>
      <c r="AB63" s="71"/>
    </row>
    <row r="64" spans="1:28" ht="15.75" customHeight="1">
      <c r="A64" s="143"/>
      <c r="B64" s="298"/>
      <c r="C64" s="298"/>
      <c r="D64" s="299"/>
      <c r="E64" s="298"/>
      <c r="F64" s="298"/>
      <c r="G64" s="298"/>
      <c r="H64" s="300"/>
      <c r="I64" s="310"/>
      <c r="J64" s="309"/>
      <c r="K64" s="298">
        <f t="shared" si="0"/>
        <v>0</v>
      </c>
      <c r="L64" s="303" t="str">
        <f t="shared" ca="1" si="1"/>
        <v/>
      </c>
      <c r="M64" s="304" t="str">
        <f t="shared" ca="1" si="2"/>
        <v/>
      </c>
      <c r="N64" s="305" t="str">
        <f ca="1">IFERROR(_xludf.IFS(G64&lt;100,(ABS(100/G64))+1,G64&gt;100,(G64/100)+1,G64=100, 2, G64=-100, 2),"")</f>
        <v/>
      </c>
      <c r="O64" s="305" t="str">
        <f ca="1">IFERROR(_xludf.IFS(H64&lt;100,(ABS(100/H64))+1,H64&gt;100,(H64/100)+1,H64=100, 2, H64=-100, 2),"")</f>
        <v/>
      </c>
      <c r="P64" s="305" t="str">
        <f t="shared" ca="1" si="4"/>
        <v/>
      </c>
      <c r="Q64" s="271"/>
      <c r="R64" s="297"/>
      <c r="S64" s="271"/>
      <c r="T64" s="271"/>
      <c r="U64" s="271"/>
      <c r="V64" s="263"/>
      <c r="W64" s="263"/>
      <c r="X64" s="263"/>
      <c r="Y64" s="71"/>
      <c r="Z64" s="71"/>
      <c r="AA64" s="71"/>
      <c r="AB64" s="71"/>
    </row>
    <row r="65" spans="1:28" ht="15.75" customHeight="1">
      <c r="A65" s="143"/>
      <c r="B65" s="298"/>
      <c r="C65" s="298"/>
      <c r="D65" s="299"/>
      <c r="E65" s="298"/>
      <c r="F65" s="298"/>
      <c r="G65" s="298"/>
      <c r="H65" s="300"/>
      <c r="I65" s="310"/>
      <c r="J65" s="309"/>
      <c r="K65" s="298">
        <f t="shared" si="0"/>
        <v>0</v>
      </c>
      <c r="L65" s="303" t="str">
        <f t="shared" ca="1" si="1"/>
        <v/>
      </c>
      <c r="M65" s="304" t="str">
        <f t="shared" ca="1" si="2"/>
        <v/>
      </c>
      <c r="N65" s="305" t="str">
        <f ca="1">IFERROR(_xludf.IFS(G65&lt;100,(ABS(100/G65))+1,G65&gt;100,(G65/100)+1,G65=100, 2, G65=-100, 2),"")</f>
        <v/>
      </c>
      <c r="O65" s="305" t="str">
        <f ca="1">IFERROR(_xludf.IFS(H65&lt;100,(ABS(100/H65))+1,H65&gt;100,(H65/100)+1,H65=100, 2, H65=-100, 2),"")</f>
        <v/>
      </c>
      <c r="P65" s="305" t="str">
        <f t="shared" ca="1" si="4"/>
        <v/>
      </c>
      <c r="Q65" s="271"/>
      <c r="R65" s="297"/>
      <c r="S65" s="271"/>
      <c r="T65" s="271"/>
      <c r="U65" s="271"/>
      <c r="V65" s="263"/>
      <c r="W65" s="263"/>
      <c r="X65" s="263"/>
      <c r="Y65" s="71"/>
      <c r="Z65" s="71"/>
      <c r="AA65" s="71"/>
      <c r="AB65" s="71"/>
    </row>
    <row r="66" spans="1:28" ht="15.75" customHeight="1">
      <c r="A66" s="143"/>
      <c r="B66" s="298"/>
      <c r="C66" s="298"/>
      <c r="D66" s="299"/>
      <c r="E66" s="298"/>
      <c r="F66" s="298"/>
      <c r="G66" s="298"/>
      <c r="H66" s="300"/>
      <c r="I66" s="310"/>
      <c r="J66" s="309"/>
      <c r="K66" s="298">
        <f t="shared" si="0"/>
        <v>0</v>
      </c>
      <c r="L66" s="303" t="str">
        <f t="shared" ca="1" si="1"/>
        <v/>
      </c>
      <c r="M66" s="304" t="str">
        <f t="shared" ca="1" si="2"/>
        <v/>
      </c>
      <c r="N66" s="305" t="str">
        <f ca="1">IFERROR(_xludf.IFS(G66&lt;100,(ABS(100/G66))+1,G66&gt;100,(G66/100)+1,G66=100, 2, G66=-100, 2),"")</f>
        <v/>
      </c>
      <c r="O66" s="305" t="str">
        <f ca="1">IFERROR(_xludf.IFS(H66&lt;100,(ABS(100/H66))+1,H66&gt;100,(H66/100)+1,H66=100, 2, H66=-100, 2),"")</f>
        <v/>
      </c>
      <c r="P66" s="305" t="str">
        <f t="shared" ca="1" si="4"/>
        <v/>
      </c>
      <c r="Q66" s="271"/>
      <c r="R66" s="297"/>
      <c r="S66" s="271"/>
      <c r="T66" s="271"/>
      <c r="U66" s="271"/>
      <c r="V66" s="263"/>
      <c r="W66" s="263"/>
      <c r="X66" s="263"/>
      <c r="Y66" s="71"/>
      <c r="Z66" s="71"/>
      <c r="AA66" s="71"/>
      <c r="AB66" s="71"/>
    </row>
    <row r="67" spans="1:28" ht="15.75" customHeight="1">
      <c r="A67" s="143"/>
      <c r="B67" s="298"/>
      <c r="C67" s="298"/>
      <c r="D67" s="299"/>
      <c r="E67" s="298"/>
      <c r="F67" s="298"/>
      <c r="G67" s="298"/>
      <c r="H67" s="300"/>
      <c r="I67" s="310"/>
      <c r="J67" s="309"/>
      <c r="K67" s="298">
        <f t="shared" si="0"/>
        <v>0</v>
      </c>
      <c r="L67" s="303" t="str">
        <f t="shared" ca="1" si="1"/>
        <v/>
      </c>
      <c r="M67" s="304" t="str">
        <f t="shared" ca="1" si="2"/>
        <v/>
      </c>
      <c r="N67" s="305" t="str">
        <f ca="1">IFERROR(_xludf.IFS(G67&lt;100,(ABS(100/G67))+1,G67&gt;100,(G67/100)+1,G67=100, 2, G67=-100, 2),"")</f>
        <v/>
      </c>
      <c r="O67" s="305" t="str">
        <f ca="1">IFERROR(_xludf.IFS(H67&lt;100,(ABS(100/H67))+1,H67&gt;100,(H67/100)+1,H67=100, 2, H67=-100, 2),"")</f>
        <v/>
      </c>
      <c r="P67" s="305" t="str">
        <f t="shared" ca="1" si="4"/>
        <v/>
      </c>
      <c r="Q67" s="271"/>
      <c r="R67" s="297"/>
      <c r="S67" s="271"/>
      <c r="T67" s="271"/>
      <c r="U67" s="271"/>
      <c r="V67" s="263"/>
      <c r="W67" s="263"/>
      <c r="X67" s="263"/>
      <c r="Y67" s="71"/>
      <c r="Z67" s="71"/>
      <c r="AA67" s="71"/>
      <c r="AB67" s="71"/>
    </row>
    <row r="68" spans="1:28" ht="15.75" customHeight="1">
      <c r="A68" s="143"/>
      <c r="B68" s="298"/>
      <c r="C68" s="298"/>
      <c r="D68" s="299"/>
      <c r="E68" s="298"/>
      <c r="F68" s="298"/>
      <c r="G68" s="298"/>
      <c r="H68" s="300"/>
      <c r="I68" s="310"/>
      <c r="J68" s="309"/>
      <c r="K68" s="298">
        <f t="shared" si="0"/>
        <v>0</v>
      </c>
      <c r="L68" s="303" t="str">
        <f t="shared" ca="1" si="1"/>
        <v/>
      </c>
      <c r="M68" s="304" t="str">
        <f t="shared" ca="1" si="2"/>
        <v/>
      </c>
      <c r="N68" s="305" t="str">
        <f ca="1">IFERROR(_xludf.IFS(G68&lt;100,(ABS(100/G68))+1,G68&gt;100,(G68/100)+1,G68=100, 2, G68=-100, 2),"")</f>
        <v/>
      </c>
      <c r="O68" s="305" t="str">
        <f ca="1">IFERROR(_xludf.IFS(H68&lt;100,(ABS(100/H68))+1,H68&gt;100,(H68/100)+1,H68=100, 2, H68=-100, 2),"")</f>
        <v/>
      </c>
      <c r="P68" s="305" t="str">
        <f t="shared" ca="1" si="4"/>
        <v/>
      </c>
      <c r="Q68" s="271"/>
      <c r="R68" s="297"/>
      <c r="S68" s="271"/>
      <c r="T68" s="271"/>
      <c r="U68" s="271"/>
      <c r="V68" s="263"/>
      <c r="W68" s="263"/>
      <c r="X68" s="263"/>
      <c r="Y68" s="71"/>
      <c r="Z68" s="71"/>
      <c r="AA68" s="71"/>
      <c r="AB68" s="71"/>
    </row>
    <row r="69" spans="1:28" ht="15.75" customHeight="1">
      <c r="A69" s="143"/>
      <c r="B69" s="298"/>
      <c r="C69" s="298"/>
      <c r="D69" s="299"/>
      <c r="E69" s="298"/>
      <c r="F69" s="298"/>
      <c r="G69" s="298"/>
      <c r="H69" s="300"/>
      <c r="I69" s="310"/>
      <c r="J69" s="309"/>
      <c r="K69" s="298">
        <f t="shared" si="0"/>
        <v>0</v>
      </c>
      <c r="L69" s="303" t="str">
        <f t="shared" ca="1" si="1"/>
        <v/>
      </c>
      <c r="M69" s="304" t="str">
        <f t="shared" ca="1" si="2"/>
        <v/>
      </c>
      <c r="N69" s="305" t="str">
        <f ca="1">IFERROR(_xludf.IFS(G69&lt;100,(ABS(100/G69))+1,G69&gt;100,(G69/100)+1,G69=100, 2, G69=-100, 2),"")</f>
        <v/>
      </c>
      <c r="O69" s="305" t="str">
        <f ca="1">IFERROR(_xludf.IFS(H69&lt;100,(ABS(100/H69))+1,H69&gt;100,(H69/100)+1,H69=100, 2, H69=-100, 2),"")</f>
        <v/>
      </c>
      <c r="P69" s="305" t="str">
        <f t="shared" ca="1" si="4"/>
        <v/>
      </c>
      <c r="Q69" s="271"/>
      <c r="R69" s="297"/>
      <c r="S69" s="271"/>
      <c r="T69" s="271"/>
      <c r="U69" s="271"/>
      <c r="V69" s="263"/>
      <c r="W69" s="263"/>
      <c r="X69" s="263"/>
      <c r="Y69" s="71"/>
      <c r="Z69" s="71"/>
      <c r="AA69" s="71"/>
      <c r="AB69" s="71"/>
    </row>
    <row r="70" spans="1:28" ht="15.75" customHeight="1">
      <c r="A70" s="143"/>
      <c r="B70" s="298"/>
      <c r="C70" s="298"/>
      <c r="D70" s="299"/>
      <c r="E70" s="298"/>
      <c r="F70" s="298"/>
      <c r="G70" s="298"/>
      <c r="H70" s="300"/>
      <c r="I70" s="310"/>
      <c r="J70" s="309"/>
      <c r="K70" s="298">
        <f t="shared" si="0"/>
        <v>0</v>
      </c>
      <c r="L70" s="303" t="str">
        <f t="shared" ca="1" si="1"/>
        <v/>
      </c>
      <c r="M70" s="304" t="str">
        <f t="shared" ca="1" si="2"/>
        <v/>
      </c>
      <c r="N70" s="305" t="str">
        <f ca="1">IFERROR(_xludf.IFS(G70&lt;100,(ABS(100/G70))+1,G70&gt;100,(G70/100)+1,G70=100, 2, G70=-100, 2),"")</f>
        <v/>
      </c>
      <c r="O70" s="305" t="str">
        <f ca="1">IFERROR(_xludf.IFS(H70&lt;100,(ABS(100/H70))+1,H70&gt;100,(H70/100)+1,H70=100, 2, H70=-100, 2),"")</f>
        <v/>
      </c>
      <c r="P70" s="305" t="str">
        <f t="shared" ca="1" si="4"/>
        <v/>
      </c>
      <c r="Q70" s="271"/>
      <c r="R70" s="297"/>
      <c r="S70" s="271"/>
      <c r="T70" s="271"/>
      <c r="U70" s="271"/>
      <c r="V70" s="263"/>
      <c r="W70" s="263"/>
      <c r="X70" s="263"/>
      <c r="Y70" s="71"/>
      <c r="Z70" s="71"/>
      <c r="AA70" s="71"/>
      <c r="AB70" s="71"/>
    </row>
    <row r="71" spans="1:28" ht="15.75" customHeight="1">
      <c r="A71" s="143"/>
      <c r="B71" s="298"/>
      <c r="C71" s="298"/>
      <c r="D71" s="299"/>
      <c r="E71" s="298"/>
      <c r="F71" s="298"/>
      <c r="G71" s="298"/>
      <c r="H71" s="300"/>
      <c r="I71" s="310"/>
      <c r="J71" s="309"/>
      <c r="K71" s="298">
        <f t="shared" si="0"/>
        <v>0</v>
      </c>
      <c r="L71" s="303" t="str">
        <f t="shared" ca="1" si="1"/>
        <v/>
      </c>
      <c r="M71" s="304" t="str">
        <f t="shared" ca="1" si="2"/>
        <v/>
      </c>
      <c r="N71" s="305" t="str">
        <f ca="1">IFERROR(_xludf.IFS(G71&lt;100,(ABS(100/G71))+1,G71&gt;100,(G71/100)+1,G71=100, 2, G71=-100, 2),"")</f>
        <v/>
      </c>
      <c r="O71" s="305" t="str">
        <f ca="1">IFERROR(_xludf.IFS(H71&lt;100,(ABS(100/H71))+1,H71&gt;100,(H71/100)+1,H71=100, 2, H71=-100, 2),"")</f>
        <v/>
      </c>
      <c r="P71" s="305" t="str">
        <f t="shared" ca="1" si="4"/>
        <v/>
      </c>
      <c r="Q71" s="271"/>
      <c r="R71" s="297"/>
      <c r="S71" s="271"/>
      <c r="T71" s="271"/>
      <c r="U71" s="271"/>
      <c r="V71" s="263"/>
      <c r="W71" s="263"/>
      <c r="X71" s="263"/>
      <c r="Y71" s="71"/>
      <c r="Z71" s="71"/>
      <c r="AA71" s="71"/>
      <c r="AB71" s="71"/>
    </row>
    <row r="72" spans="1:28" ht="15.75" customHeight="1">
      <c r="A72" s="143"/>
      <c r="B72" s="298"/>
      <c r="C72" s="298"/>
      <c r="D72" s="299"/>
      <c r="E72" s="298"/>
      <c r="F72" s="298"/>
      <c r="G72" s="298"/>
      <c r="H72" s="300"/>
      <c r="I72" s="310"/>
      <c r="J72" s="309"/>
      <c r="K72" s="298">
        <f t="shared" si="0"/>
        <v>0</v>
      </c>
      <c r="L72" s="303" t="str">
        <f t="shared" ca="1" si="1"/>
        <v/>
      </c>
      <c r="M72" s="304" t="str">
        <f t="shared" ca="1" si="2"/>
        <v/>
      </c>
      <c r="N72" s="305" t="str">
        <f ca="1">IFERROR(_xludf.IFS(G72&lt;100,(ABS(100/G72))+1,G72&gt;100,(G72/100)+1,G72=100, 2, G72=-100, 2),"")</f>
        <v/>
      </c>
      <c r="O72" s="305" t="str">
        <f ca="1">IFERROR(_xludf.IFS(H72&lt;100,(ABS(100/H72))+1,H72&gt;100,(H72/100)+1,H72=100, 2, H72=-100, 2),"")</f>
        <v/>
      </c>
      <c r="P72" s="305" t="str">
        <f t="shared" ca="1" si="4"/>
        <v/>
      </c>
      <c r="Q72" s="271"/>
      <c r="R72" s="297"/>
      <c r="S72" s="271"/>
      <c r="T72" s="271"/>
      <c r="U72" s="271"/>
      <c r="V72" s="263"/>
      <c r="W72" s="263"/>
      <c r="X72" s="263"/>
      <c r="Y72" s="71"/>
      <c r="Z72" s="71"/>
      <c r="AA72" s="71"/>
      <c r="AB72" s="71"/>
    </row>
    <row r="73" spans="1:28" ht="15.75" customHeight="1">
      <c r="A73" s="143"/>
      <c r="B73" s="298"/>
      <c r="C73" s="298"/>
      <c r="D73" s="299"/>
      <c r="E73" s="298"/>
      <c r="F73" s="298"/>
      <c r="G73" s="298"/>
      <c r="H73" s="300"/>
      <c r="I73" s="310"/>
      <c r="J73" s="309"/>
      <c r="K73" s="298">
        <f t="shared" si="0"/>
        <v>0</v>
      </c>
      <c r="L73" s="303" t="str">
        <f t="shared" ca="1" si="1"/>
        <v/>
      </c>
      <c r="M73" s="304" t="str">
        <f t="shared" ca="1" si="2"/>
        <v/>
      </c>
      <c r="N73" s="305" t="str">
        <f ca="1">IFERROR(_xludf.IFS(G73&lt;100,(ABS(100/G73))+1,G73&gt;100,(G73/100)+1,G73=100, 2, G73=-100, 2),"")</f>
        <v/>
      </c>
      <c r="O73" s="305" t="str">
        <f ca="1">IFERROR(_xludf.IFS(H73&lt;100,(ABS(100/H73))+1,H73&gt;100,(H73/100)+1,H73=100, 2, H73=-100, 2),"")</f>
        <v/>
      </c>
      <c r="P73" s="305" t="str">
        <f t="shared" ca="1" si="4"/>
        <v/>
      </c>
      <c r="Q73" s="271"/>
      <c r="R73" s="297"/>
      <c r="S73" s="271"/>
      <c r="T73" s="271"/>
      <c r="U73" s="271"/>
      <c r="V73" s="263"/>
      <c r="W73" s="263"/>
      <c r="X73" s="263"/>
      <c r="Y73" s="71"/>
      <c r="Z73" s="71"/>
      <c r="AA73" s="71"/>
      <c r="AB73" s="71"/>
    </row>
    <row r="74" spans="1:28" ht="15.75" customHeight="1">
      <c r="A74" s="143"/>
      <c r="B74" s="298"/>
      <c r="C74" s="298"/>
      <c r="D74" s="299"/>
      <c r="E74" s="298"/>
      <c r="F74" s="298"/>
      <c r="G74" s="298"/>
      <c r="H74" s="300"/>
      <c r="I74" s="310"/>
      <c r="J74" s="309"/>
      <c r="K74" s="298">
        <f t="shared" ref="K74:K137" si="5">IF(J74="W",N74*I74-I74,IF(J74="L",-I74,0))</f>
        <v>0</v>
      </c>
      <c r="L74" s="303" t="str">
        <f t="shared" ref="L74:L137" ca="1" si="6">IFERROR((1/O74-1/N74)/(1/N74),"")</f>
        <v/>
      </c>
      <c r="M74" s="304" t="str">
        <f t="shared" ref="M74:M137" ca="1" si="7">IFERROR((1/P74-1/N74)/(1/N74),"")</f>
        <v/>
      </c>
      <c r="N74" s="305" t="str">
        <f ca="1">IFERROR(_xludf.IFS(G74&lt;100,(ABS(100/G74))+1,G74&gt;100,(G74/100)+1,G74=100, 2, G74=-100, 2),"")</f>
        <v/>
      </c>
      <c r="O74" s="305" t="str">
        <f ca="1">IFERROR(_xludf.IFS(H74&lt;100,(ABS(100/H74))+1,H74&gt;100,(H74/100)+1,H74=100, 2, H74=-100, 2),"")</f>
        <v/>
      </c>
      <c r="P74" s="305" t="str">
        <f t="shared" ca="1" si="4"/>
        <v/>
      </c>
      <c r="Q74" s="271"/>
      <c r="R74" s="297"/>
      <c r="S74" s="271"/>
      <c r="T74" s="271"/>
      <c r="U74" s="271"/>
      <c r="V74" s="263"/>
      <c r="W74" s="263"/>
      <c r="X74" s="263"/>
      <c r="Y74" s="71"/>
      <c r="Z74" s="71"/>
      <c r="AA74" s="71"/>
      <c r="AB74" s="71"/>
    </row>
    <row r="75" spans="1:28" ht="15.75" customHeight="1">
      <c r="A75" s="143"/>
      <c r="B75" s="298"/>
      <c r="C75" s="298"/>
      <c r="D75" s="299"/>
      <c r="E75" s="298"/>
      <c r="F75" s="298"/>
      <c r="G75" s="298"/>
      <c r="H75" s="300"/>
      <c r="I75" s="310"/>
      <c r="J75" s="309"/>
      <c r="K75" s="298">
        <f t="shared" si="5"/>
        <v>0</v>
      </c>
      <c r="L75" s="303" t="str">
        <f t="shared" ca="1" si="6"/>
        <v/>
      </c>
      <c r="M75" s="304" t="str">
        <f t="shared" ca="1" si="7"/>
        <v/>
      </c>
      <c r="N75" s="305" t="str">
        <f ca="1">IFERROR(_xludf.IFS(G75&lt;100,(ABS(100/G75))+1,G75&gt;100,(G75/100)+1,G75=100, 2, G75=-100, 2),"")</f>
        <v/>
      </c>
      <c r="O75" s="305" t="str">
        <f ca="1">IFERROR(_xludf.IFS(H75&lt;100,(ABS(100/H75))+1,H75&gt;100,(H75/100)+1,H75=100, 2, H75=-100, 2),"")</f>
        <v/>
      </c>
      <c r="P75" s="305" t="str">
        <f t="shared" ca="1" si="4"/>
        <v/>
      </c>
      <c r="Q75" s="271"/>
      <c r="R75" s="297"/>
      <c r="S75" s="271"/>
      <c r="T75" s="271"/>
      <c r="U75" s="271"/>
      <c r="V75" s="263"/>
      <c r="W75" s="263"/>
      <c r="X75" s="263"/>
      <c r="Y75" s="71"/>
      <c r="Z75" s="71"/>
      <c r="AA75" s="71"/>
      <c r="AB75" s="71"/>
    </row>
    <row r="76" spans="1:28" ht="15.75" customHeight="1">
      <c r="A76" s="143"/>
      <c r="B76" s="298"/>
      <c r="C76" s="298"/>
      <c r="D76" s="299"/>
      <c r="E76" s="298"/>
      <c r="F76" s="298"/>
      <c r="G76" s="298"/>
      <c r="H76" s="300"/>
      <c r="I76" s="310"/>
      <c r="J76" s="309"/>
      <c r="K76" s="298">
        <f t="shared" si="5"/>
        <v>0</v>
      </c>
      <c r="L76" s="303" t="str">
        <f t="shared" ca="1" si="6"/>
        <v/>
      </c>
      <c r="M76" s="304" t="str">
        <f t="shared" ca="1" si="7"/>
        <v/>
      </c>
      <c r="N76" s="305" t="str">
        <f ca="1">IFERROR(_xludf.IFS(G76&lt;100,(ABS(100/G76))+1,G76&gt;100,(G76/100)+1,G76=100, 2, G76=-100, 2),"")</f>
        <v/>
      </c>
      <c r="O76" s="305" t="str">
        <f ca="1">IFERROR(_xludf.IFS(H76&lt;100,(ABS(100/H76))+1,H76&gt;100,(H76/100)+1,H76=100, 2, H76=-100, 2),"")</f>
        <v/>
      </c>
      <c r="P76" s="305" t="str">
        <f t="shared" ca="1" si="4"/>
        <v/>
      </c>
      <c r="Q76" s="271"/>
      <c r="R76" s="297"/>
      <c r="S76" s="271"/>
      <c r="T76" s="271"/>
      <c r="U76" s="271"/>
      <c r="V76" s="263"/>
      <c r="W76" s="263"/>
      <c r="X76" s="263"/>
      <c r="Y76" s="71"/>
      <c r="Z76" s="71"/>
      <c r="AA76" s="71"/>
      <c r="AB76" s="71"/>
    </row>
    <row r="77" spans="1:28" ht="15.75" customHeight="1">
      <c r="A77" s="143"/>
      <c r="B77" s="298"/>
      <c r="C77" s="298"/>
      <c r="D77" s="299"/>
      <c r="E77" s="298"/>
      <c r="F77" s="298"/>
      <c r="G77" s="298"/>
      <c r="H77" s="300"/>
      <c r="I77" s="310"/>
      <c r="J77" s="309"/>
      <c r="K77" s="298">
        <f t="shared" si="5"/>
        <v>0</v>
      </c>
      <c r="L77" s="303" t="str">
        <f t="shared" ca="1" si="6"/>
        <v/>
      </c>
      <c r="M77" s="304" t="str">
        <f t="shared" ca="1" si="7"/>
        <v/>
      </c>
      <c r="N77" s="305" t="str">
        <f ca="1">IFERROR(_xludf.IFS(G77&lt;100,(ABS(100/G77))+1,G77&gt;100,(G77/100)+1,G77=100, 2, G77=-100, 2),"")</f>
        <v/>
      </c>
      <c r="O77" s="305" t="str">
        <f ca="1">IFERROR(_xludf.IFS(H77&lt;100,(ABS(100/H77))+1,H77&gt;100,(H77/100)+1,H77=100, 2, H77=-100, 2),"")</f>
        <v/>
      </c>
      <c r="P77" s="305" t="str">
        <f t="shared" ca="1" si="4"/>
        <v/>
      </c>
      <c r="Q77" s="271"/>
      <c r="R77" s="297"/>
      <c r="S77" s="271"/>
      <c r="T77" s="271"/>
      <c r="U77" s="271"/>
      <c r="V77" s="263"/>
      <c r="W77" s="263"/>
      <c r="X77" s="263"/>
      <c r="Y77" s="71"/>
      <c r="Z77" s="71"/>
      <c r="AA77" s="71"/>
      <c r="AB77" s="71"/>
    </row>
    <row r="78" spans="1:28" ht="15.75" customHeight="1">
      <c r="A78" s="143"/>
      <c r="B78" s="298"/>
      <c r="C78" s="298"/>
      <c r="D78" s="299"/>
      <c r="E78" s="298"/>
      <c r="F78" s="298"/>
      <c r="G78" s="298"/>
      <c r="H78" s="300"/>
      <c r="I78" s="310"/>
      <c r="J78" s="309"/>
      <c r="K78" s="298">
        <f t="shared" si="5"/>
        <v>0</v>
      </c>
      <c r="L78" s="303" t="str">
        <f t="shared" ca="1" si="6"/>
        <v/>
      </c>
      <c r="M78" s="304" t="str">
        <f t="shared" ca="1" si="7"/>
        <v/>
      </c>
      <c r="N78" s="305" t="str">
        <f ca="1">IFERROR(_xludf.IFS(G78&lt;100,(ABS(100/G78))+1,G78&gt;100,(G78/100)+1,G78=100, 2, G78=-100, 2),"")</f>
        <v/>
      </c>
      <c r="O78" s="305" t="str">
        <f ca="1">IFERROR(_xludf.IFS(H78&lt;100,(ABS(100/H78))+1,H78&gt;100,(H78/100)+1,H78=100, 2, H78=-100, 2),"")</f>
        <v/>
      </c>
      <c r="P78" s="305" t="str">
        <f t="shared" ca="1" si="4"/>
        <v/>
      </c>
      <c r="Q78" s="271"/>
      <c r="R78" s="297"/>
      <c r="S78" s="271"/>
      <c r="T78" s="271"/>
      <c r="U78" s="271"/>
      <c r="V78" s="263"/>
      <c r="W78" s="263"/>
      <c r="X78" s="263"/>
      <c r="Y78" s="71"/>
      <c r="Z78" s="71"/>
      <c r="AA78" s="71"/>
      <c r="AB78" s="71"/>
    </row>
    <row r="79" spans="1:28" ht="15.75" customHeight="1">
      <c r="A79" s="143"/>
      <c r="B79" s="298"/>
      <c r="C79" s="298"/>
      <c r="D79" s="299"/>
      <c r="E79" s="298"/>
      <c r="F79" s="298"/>
      <c r="G79" s="298"/>
      <c r="H79" s="300"/>
      <c r="I79" s="310"/>
      <c r="J79" s="309"/>
      <c r="K79" s="298">
        <f t="shared" si="5"/>
        <v>0</v>
      </c>
      <c r="L79" s="303" t="str">
        <f t="shared" ca="1" si="6"/>
        <v/>
      </c>
      <c r="M79" s="304" t="str">
        <f t="shared" ca="1" si="7"/>
        <v/>
      </c>
      <c r="N79" s="305" t="str">
        <f ca="1">IFERROR(_xludf.IFS(G79&lt;100,(ABS(100/G79))+1,G79&gt;100,(G79/100)+1,G79=100, 2, G79=-100, 2),"")</f>
        <v/>
      </c>
      <c r="O79" s="305" t="str">
        <f ca="1">IFERROR(_xludf.IFS(H79&lt;100,(ABS(100/H79))+1,H79&gt;100,(H79/100)+1,H79=100, 2, H79=-100, 2),"")</f>
        <v/>
      </c>
      <c r="P79" s="305" t="str">
        <f t="shared" ca="1" si="4"/>
        <v/>
      </c>
      <c r="Q79" s="271"/>
      <c r="R79" s="297"/>
      <c r="S79" s="271"/>
      <c r="T79" s="271"/>
      <c r="U79" s="271"/>
      <c r="V79" s="263"/>
      <c r="W79" s="263"/>
      <c r="X79" s="263"/>
      <c r="Y79" s="71"/>
      <c r="Z79" s="71"/>
      <c r="AA79" s="71"/>
      <c r="AB79" s="71"/>
    </row>
    <row r="80" spans="1:28" ht="15.75" customHeight="1">
      <c r="A80" s="143"/>
      <c r="B80" s="298"/>
      <c r="C80" s="298"/>
      <c r="D80" s="298"/>
      <c r="E80" s="298"/>
      <c r="F80" s="298"/>
      <c r="G80" s="298"/>
      <c r="H80" s="300"/>
      <c r="I80" s="311"/>
      <c r="J80" s="309"/>
      <c r="K80" s="298">
        <f t="shared" si="5"/>
        <v>0</v>
      </c>
      <c r="L80" s="303" t="str">
        <f t="shared" ca="1" si="6"/>
        <v/>
      </c>
      <c r="M80" s="304" t="str">
        <f t="shared" ca="1" si="7"/>
        <v/>
      </c>
      <c r="N80" s="305" t="str">
        <f ca="1">IFERROR(_xludf.IFS(G80&lt;100,(ABS(100/G80))+1,G80&gt;100,(G80/100)+1,G80=100, 2, G80=-100, 2),"")</f>
        <v/>
      </c>
      <c r="O80" s="305" t="str">
        <f ca="1">IFERROR(_xludf.IFS(H80&lt;100,(ABS(100/H80))+1,H80&gt;100,(H80/100)+1,H80=100, 2, H80=-100, 2),"")</f>
        <v/>
      </c>
      <c r="P80" s="305" t="str">
        <f t="shared" ca="1" si="4"/>
        <v/>
      </c>
      <c r="Q80" s="271"/>
      <c r="R80" s="297"/>
      <c r="S80" s="271"/>
      <c r="T80" s="271"/>
      <c r="U80" s="271"/>
      <c r="V80" s="263"/>
      <c r="W80" s="263"/>
      <c r="X80" s="263"/>
      <c r="Y80" s="71"/>
      <c r="Z80" s="71"/>
      <c r="AA80" s="71"/>
      <c r="AB80" s="71"/>
    </row>
    <row r="81" spans="1:28" ht="15.75" customHeight="1">
      <c r="A81" s="143"/>
      <c r="B81" s="298"/>
      <c r="C81" s="298"/>
      <c r="D81" s="298"/>
      <c r="E81" s="298"/>
      <c r="F81" s="298"/>
      <c r="G81" s="298"/>
      <c r="H81" s="300"/>
      <c r="I81" s="311"/>
      <c r="J81" s="309"/>
      <c r="K81" s="298">
        <f t="shared" si="5"/>
        <v>0</v>
      </c>
      <c r="L81" s="303" t="str">
        <f t="shared" ca="1" si="6"/>
        <v/>
      </c>
      <c r="M81" s="304" t="str">
        <f t="shared" ca="1" si="7"/>
        <v/>
      </c>
      <c r="N81" s="305" t="str">
        <f ca="1">IFERROR(_xludf.IFS(G81&lt;100,(ABS(100/G81))+1,G81&gt;100,(G81/100)+1,G81=100, 2, G81=-100, 2),"")</f>
        <v/>
      </c>
      <c r="O81" s="305" t="str">
        <f ca="1">IFERROR(_xludf.IFS(H81&lt;100,(ABS(100/H81))+1,H81&gt;100,(H81/100)+1,H81=100, 2, H81=-100, 2),"")</f>
        <v/>
      </c>
      <c r="P81" s="305" t="str">
        <f t="shared" ca="1" si="4"/>
        <v/>
      </c>
      <c r="Q81" s="271"/>
      <c r="R81" s="297"/>
      <c r="S81" s="271"/>
      <c r="T81" s="271"/>
      <c r="U81" s="271"/>
      <c r="V81" s="263"/>
      <c r="W81" s="263"/>
      <c r="X81" s="263"/>
      <c r="Y81" s="71"/>
      <c r="Z81" s="71"/>
      <c r="AA81" s="71"/>
      <c r="AB81" s="71"/>
    </row>
    <row r="82" spans="1:28" ht="15.75" customHeight="1">
      <c r="A82" s="143"/>
      <c r="B82" s="298"/>
      <c r="C82" s="298"/>
      <c r="D82" s="298"/>
      <c r="E82" s="298"/>
      <c r="F82" s="298"/>
      <c r="G82" s="298"/>
      <c r="H82" s="300"/>
      <c r="I82" s="311"/>
      <c r="J82" s="309"/>
      <c r="K82" s="298">
        <f t="shared" si="5"/>
        <v>0</v>
      </c>
      <c r="L82" s="303" t="str">
        <f t="shared" ca="1" si="6"/>
        <v/>
      </c>
      <c r="M82" s="304" t="str">
        <f t="shared" ca="1" si="7"/>
        <v/>
      </c>
      <c r="N82" s="305" t="str">
        <f ca="1">IFERROR(_xludf.IFS(G82&lt;100,(ABS(100/G82))+1,G82&gt;100,(G82/100)+1,G82=100, 2, G82=-100, 2),"")</f>
        <v/>
      </c>
      <c r="O82" s="305" t="str">
        <f ca="1">IFERROR(_xludf.IFS(H82&lt;100,(ABS(100/H82))+1,H82&gt;100,(H82/100)+1,H82=100, 2, H82=-100, 2),"")</f>
        <v/>
      </c>
      <c r="P82" s="305" t="str">
        <f t="shared" ca="1" si="4"/>
        <v/>
      </c>
      <c r="Q82" s="271"/>
      <c r="R82" s="297"/>
      <c r="S82" s="271"/>
      <c r="T82" s="271"/>
      <c r="U82" s="271"/>
      <c r="V82" s="263"/>
      <c r="W82" s="263"/>
      <c r="X82" s="263"/>
      <c r="Y82" s="71"/>
      <c r="Z82" s="71"/>
      <c r="AA82" s="71"/>
      <c r="AB82" s="71"/>
    </row>
    <row r="83" spans="1:28" ht="15.75" customHeight="1">
      <c r="A83" s="143"/>
      <c r="B83" s="298"/>
      <c r="C83" s="298"/>
      <c r="D83" s="298"/>
      <c r="E83" s="298"/>
      <c r="F83" s="298"/>
      <c r="G83" s="298"/>
      <c r="H83" s="300"/>
      <c r="I83" s="311"/>
      <c r="J83" s="309"/>
      <c r="K83" s="298">
        <f t="shared" si="5"/>
        <v>0</v>
      </c>
      <c r="L83" s="303" t="str">
        <f t="shared" ca="1" si="6"/>
        <v/>
      </c>
      <c r="M83" s="304" t="str">
        <f t="shared" ca="1" si="7"/>
        <v/>
      </c>
      <c r="N83" s="305" t="str">
        <f ca="1">IFERROR(_xludf.IFS(G83&lt;100,(ABS(100/G83))+1,G83&gt;100,(G83/100)+1,G83=100, 2, G83=-100, 2),"")</f>
        <v/>
      </c>
      <c r="O83" s="305" t="str">
        <f ca="1">IFERROR(_xludf.IFS(H83&lt;100,(ABS(100/H83))+1,H83&gt;100,(H83/100)+1,H83=100, 2, H83=-100, 2),"")</f>
        <v/>
      </c>
      <c r="P83" s="305" t="str">
        <f t="shared" ca="1" si="4"/>
        <v/>
      </c>
      <c r="Q83" s="271"/>
      <c r="R83" s="297"/>
      <c r="S83" s="271"/>
      <c r="T83" s="271"/>
      <c r="U83" s="271"/>
      <c r="V83" s="263"/>
      <c r="W83" s="263"/>
      <c r="X83" s="263"/>
      <c r="Y83" s="71"/>
      <c r="Z83" s="71"/>
      <c r="AA83" s="71"/>
      <c r="AB83" s="71"/>
    </row>
    <row r="84" spans="1:28" ht="15.75" customHeight="1">
      <c r="A84" s="143"/>
      <c r="B84" s="298"/>
      <c r="C84" s="298"/>
      <c r="D84" s="298"/>
      <c r="E84" s="298"/>
      <c r="F84" s="298"/>
      <c r="G84" s="298"/>
      <c r="H84" s="312"/>
      <c r="I84" s="311"/>
      <c r="J84" s="309"/>
      <c r="K84" s="298">
        <f t="shared" si="5"/>
        <v>0</v>
      </c>
      <c r="L84" s="303" t="str">
        <f t="shared" ca="1" si="6"/>
        <v/>
      </c>
      <c r="M84" s="304" t="str">
        <f t="shared" ca="1" si="7"/>
        <v/>
      </c>
      <c r="N84" s="305" t="str">
        <f ca="1">IFERROR(_xludf.IFS(G84&lt;100,(ABS(100/G84))+1,G84&gt;100,(G84/100)+1,G84=100, 2, G84=-100, 2),"")</f>
        <v/>
      </c>
      <c r="O84" s="305" t="str">
        <f ca="1">IFERROR(_xludf.IFS(H84&lt;100,(ABS(100/H84))+1,H84&gt;100,(H84/100)+1,H84=100, 2, H84=-100, 2),"")</f>
        <v/>
      </c>
      <c r="P84" s="305" t="str">
        <f t="shared" ca="1" si="4"/>
        <v/>
      </c>
      <c r="Q84" s="271"/>
      <c r="R84" s="297"/>
      <c r="S84" s="271"/>
      <c r="T84" s="271"/>
      <c r="U84" s="271"/>
      <c r="V84" s="263"/>
      <c r="W84" s="263"/>
      <c r="X84" s="263"/>
      <c r="Y84" s="71"/>
      <c r="Z84" s="71"/>
      <c r="AA84" s="71"/>
      <c r="AB84" s="71"/>
    </row>
    <row r="85" spans="1:28" ht="15.75" customHeight="1">
      <c r="A85" s="143"/>
      <c r="B85" s="298"/>
      <c r="C85" s="298"/>
      <c r="D85" s="298"/>
      <c r="E85" s="298"/>
      <c r="F85" s="298"/>
      <c r="G85" s="298"/>
      <c r="H85" s="312"/>
      <c r="I85" s="311"/>
      <c r="J85" s="309"/>
      <c r="K85" s="298">
        <f t="shared" si="5"/>
        <v>0</v>
      </c>
      <c r="L85" s="303" t="str">
        <f t="shared" ca="1" si="6"/>
        <v/>
      </c>
      <c r="M85" s="304" t="str">
        <f t="shared" ca="1" si="7"/>
        <v/>
      </c>
      <c r="N85" s="305" t="str">
        <f ca="1">IFERROR(_xludf.IFS(G85&lt;100,(ABS(100/G85))+1,G85&gt;100,(G85/100)+1,G85=100, 2, G85=-100, 2),"")</f>
        <v/>
      </c>
      <c r="O85" s="305" t="str">
        <f ca="1">IFERROR(_xludf.IFS(H85&lt;100,(ABS(100/H85))+1,H85&gt;100,(H85/100)+1,H85=100, 2, H85=-100, 2),"")</f>
        <v/>
      </c>
      <c r="P85" s="305" t="str">
        <f t="shared" ca="1" si="4"/>
        <v/>
      </c>
      <c r="Q85" s="271"/>
      <c r="R85" s="297"/>
      <c r="S85" s="271"/>
      <c r="T85" s="271"/>
      <c r="U85" s="271"/>
      <c r="V85" s="263"/>
      <c r="W85" s="263"/>
      <c r="X85" s="263"/>
      <c r="Y85" s="71"/>
      <c r="Z85" s="71"/>
      <c r="AA85" s="71"/>
      <c r="AB85" s="71"/>
    </row>
    <row r="86" spans="1:28" ht="15.75" customHeight="1">
      <c r="A86" s="143"/>
      <c r="B86" s="298"/>
      <c r="C86" s="298"/>
      <c r="D86" s="298"/>
      <c r="E86" s="298"/>
      <c r="F86" s="298"/>
      <c r="G86" s="298"/>
      <c r="H86" s="312"/>
      <c r="I86" s="311"/>
      <c r="J86" s="309"/>
      <c r="K86" s="298">
        <f t="shared" si="5"/>
        <v>0</v>
      </c>
      <c r="L86" s="303" t="str">
        <f t="shared" ca="1" si="6"/>
        <v/>
      </c>
      <c r="M86" s="304" t="str">
        <f t="shared" ca="1" si="7"/>
        <v/>
      </c>
      <c r="N86" s="305" t="str">
        <f ca="1">IFERROR(_xludf.IFS(G86&lt;100,(ABS(100/G86))+1,G86&gt;100,(G86/100)+1,G86=100, 2, G86=-100, 2),"")</f>
        <v/>
      </c>
      <c r="O86" s="305" t="str">
        <f ca="1">IFERROR(_xludf.IFS(H86&lt;100,(ABS(100/H86))+1,H86&gt;100,(H86/100)+1,H86=100, 2, H86=-100, 2),"")</f>
        <v/>
      </c>
      <c r="P86" s="305" t="str">
        <f t="shared" ca="1" si="4"/>
        <v/>
      </c>
      <c r="Q86" s="271"/>
      <c r="R86" s="297"/>
      <c r="S86" s="271"/>
      <c r="T86" s="271"/>
      <c r="U86" s="271"/>
      <c r="V86" s="263"/>
      <c r="W86" s="263"/>
      <c r="X86" s="263"/>
      <c r="Y86" s="71"/>
      <c r="Z86" s="71"/>
      <c r="AA86" s="71"/>
      <c r="AB86" s="71"/>
    </row>
    <row r="87" spans="1:28" ht="15.75" customHeight="1">
      <c r="A87" s="143"/>
      <c r="B87" s="298"/>
      <c r="C87" s="298"/>
      <c r="D87" s="298"/>
      <c r="E87" s="298"/>
      <c r="F87" s="298"/>
      <c r="G87" s="298"/>
      <c r="H87" s="312"/>
      <c r="I87" s="311"/>
      <c r="J87" s="309"/>
      <c r="K87" s="298">
        <f t="shared" si="5"/>
        <v>0</v>
      </c>
      <c r="L87" s="303" t="str">
        <f t="shared" ca="1" si="6"/>
        <v/>
      </c>
      <c r="M87" s="304" t="str">
        <f t="shared" ca="1" si="7"/>
        <v/>
      </c>
      <c r="N87" s="305" t="str">
        <f ca="1">IFERROR(_xludf.IFS(G87&lt;100,(ABS(100/G87))+1,G87&gt;100,(G87/100)+1,G87=100, 2, G87=-100, 2),"")</f>
        <v/>
      </c>
      <c r="O87" s="305" t="str">
        <f ca="1">IFERROR(_xludf.IFS(H87&lt;100,(ABS(100/H87))+1,H87&gt;100,(H87/100)+1,H87=100, 2, H87=-100, 2),"")</f>
        <v/>
      </c>
      <c r="P87" s="305" t="str">
        <f t="shared" ca="1" si="4"/>
        <v/>
      </c>
      <c r="Q87" s="271"/>
      <c r="R87" s="297"/>
      <c r="S87" s="271"/>
      <c r="T87" s="271"/>
      <c r="U87" s="271"/>
      <c r="V87" s="263"/>
      <c r="W87" s="263"/>
      <c r="X87" s="263"/>
      <c r="Y87" s="71"/>
      <c r="Z87" s="71"/>
      <c r="AA87" s="71"/>
      <c r="AB87" s="71"/>
    </row>
    <row r="88" spans="1:28" ht="15.75" customHeight="1">
      <c r="A88" s="143"/>
      <c r="B88" s="298"/>
      <c r="C88" s="298"/>
      <c r="D88" s="298"/>
      <c r="E88" s="298"/>
      <c r="F88" s="298"/>
      <c r="G88" s="298"/>
      <c r="H88" s="312"/>
      <c r="I88" s="311"/>
      <c r="J88" s="309"/>
      <c r="K88" s="298">
        <f t="shared" si="5"/>
        <v>0</v>
      </c>
      <c r="L88" s="303" t="str">
        <f t="shared" ca="1" si="6"/>
        <v/>
      </c>
      <c r="M88" s="304" t="str">
        <f t="shared" ca="1" si="7"/>
        <v/>
      </c>
      <c r="N88" s="305" t="str">
        <f ca="1">IFERROR(_xludf.IFS(G88&lt;100,(ABS(100/G88))+1,G88&gt;100,(G88/100)+1,G88=100, 2, G88=-100, 2),"")</f>
        <v/>
      </c>
      <c r="O88" s="305" t="str">
        <f ca="1">IFERROR(_xludf.IFS(H88&lt;100,(ABS(100/H88))+1,H88&gt;100,(H88/100)+1,H88=100, 2, H88=-100, 2),"")</f>
        <v/>
      </c>
      <c r="P88" s="305" t="str">
        <f t="shared" ca="1" si="4"/>
        <v/>
      </c>
      <c r="Q88" s="271"/>
      <c r="R88" s="297"/>
      <c r="S88" s="271"/>
      <c r="T88" s="271"/>
      <c r="U88" s="271"/>
      <c r="V88" s="263"/>
      <c r="W88" s="263"/>
      <c r="X88" s="263"/>
      <c r="Y88" s="71"/>
      <c r="Z88" s="71"/>
      <c r="AA88" s="71"/>
      <c r="AB88" s="71"/>
    </row>
    <row r="89" spans="1:28" ht="15.75" customHeight="1">
      <c r="A89" s="143"/>
      <c r="B89" s="298"/>
      <c r="C89" s="298"/>
      <c r="D89" s="298"/>
      <c r="E89" s="298"/>
      <c r="F89" s="298"/>
      <c r="G89" s="298"/>
      <c r="H89" s="312"/>
      <c r="I89" s="311"/>
      <c r="J89" s="309"/>
      <c r="K89" s="298">
        <f t="shared" si="5"/>
        <v>0</v>
      </c>
      <c r="L89" s="303" t="str">
        <f t="shared" ca="1" si="6"/>
        <v/>
      </c>
      <c r="M89" s="304" t="str">
        <f t="shared" ca="1" si="7"/>
        <v/>
      </c>
      <c r="N89" s="305" t="str">
        <f ca="1">IFERROR(_xludf.IFS(G89&lt;100,(ABS(100/G89))+1,G89&gt;100,(G89/100)+1,G89=100, 2, G89=-100, 2),"")</f>
        <v/>
      </c>
      <c r="O89" s="305" t="str">
        <f ca="1">IFERROR(_xludf.IFS(H89&lt;100,(ABS(100/H89))+1,H89&gt;100,(H89/100)+1,H89=100, 2, H89=-100, 2),"")</f>
        <v/>
      </c>
      <c r="P89" s="305" t="str">
        <f t="shared" ca="1" si="4"/>
        <v/>
      </c>
      <c r="Q89" s="271"/>
      <c r="R89" s="297"/>
      <c r="S89" s="271"/>
      <c r="T89" s="271"/>
      <c r="U89" s="271"/>
      <c r="V89" s="263"/>
      <c r="W89" s="263"/>
      <c r="X89" s="263"/>
      <c r="Y89" s="71"/>
      <c r="Z89" s="71"/>
      <c r="AA89" s="71"/>
      <c r="AB89" s="71"/>
    </row>
    <row r="90" spans="1:28" ht="15.75" customHeight="1">
      <c r="A90" s="143"/>
      <c r="B90" s="298"/>
      <c r="C90" s="298"/>
      <c r="D90" s="298"/>
      <c r="E90" s="298"/>
      <c r="F90" s="298"/>
      <c r="G90" s="298"/>
      <c r="H90" s="312"/>
      <c r="I90" s="311"/>
      <c r="J90" s="309"/>
      <c r="K90" s="298">
        <f t="shared" si="5"/>
        <v>0</v>
      </c>
      <c r="L90" s="303" t="str">
        <f t="shared" ca="1" si="6"/>
        <v/>
      </c>
      <c r="M90" s="304" t="str">
        <f t="shared" ca="1" si="7"/>
        <v/>
      </c>
      <c r="N90" s="305" t="str">
        <f ca="1">IFERROR(_xludf.IFS(G90&lt;100,(ABS(100/G90))+1,G90&gt;100,(G90/100)+1,G90=100, 2, G90=-100, 2),"")</f>
        <v/>
      </c>
      <c r="O90" s="305" t="str">
        <f ca="1">IFERROR(_xludf.IFS(H90&lt;100,(ABS(100/H90))+1,H90&gt;100,(H90/100)+1,H90=100, 2, H90=-100, 2),"")</f>
        <v/>
      </c>
      <c r="P90" s="305" t="str">
        <f t="shared" ca="1" si="4"/>
        <v/>
      </c>
      <c r="Q90" s="271"/>
      <c r="R90" s="297"/>
      <c r="S90" s="271"/>
      <c r="T90" s="271"/>
      <c r="U90" s="271"/>
      <c r="V90" s="263"/>
      <c r="W90" s="263"/>
      <c r="X90" s="263"/>
      <c r="Y90" s="71"/>
      <c r="Z90" s="71"/>
      <c r="AA90" s="71"/>
      <c r="AB90" s="71"/>
    </row>
    <row r="91" spans="1:28" ht="15.75" customHeight="1">
      <c r="A91" s="143"/>
      <c r="B91" s="298"/>
      <c r="C91" s="298"/>
      <c r="D91" s="298"/>
      <c r="E91" s="298"/>
      <c r="F91" s="298"/>
      <c r="G91" s="298"/>
      <c r="H91" s="312"/>
      <c r="I91" s="311"/>
      <c r="J91" s="309"/>
      <c r="K91" s="298">
        <f t="shared" si="5"/>
        <v>0</v>
      </c>
      <c r="L91" s="303" t="str">
        <f t="shared" ca="1" si="6"/>
        <v/>
      </c>
      <c r="M91" s="304" t="str">
        <f t="shared" ca="1" si="7"/>
        <v/>
      </c>
      <c r="N91" s="305" t="str">
        <f ca="1">IFERROR(_xludf.IFS(G91&lt;100,(ABS(100/G91))+1,G91&gt;100,(G91/100)+1,G91=100, 2, G91=-100, 2),"")</f>
        <v/>
      </c>
      <c r="O91" s="305" t="str">
        <f ca="1">IFERROR(_xludf.IFS(H91&lt;100,(ABS(100/H91))+1,H91&gt;100,(H91/100)+1,H91=100, 2, H91=-100, 2),"")</f>
        <v/>
      </c>
      <c r="P91" s="305" t="str">
        <f t="shared" ca="1" si="4"/>
        <v/>
      </c>
      <c r="Q91" s="271"/>
      <c r="R91" s="297"/>
      <c r="S91" s="271"/>
      <c r="T91" s="271"/>
      <c r="U91" s="271"/>
      <c r="V91" s="263"/>
      <c r="W91" s="263"/>
      <c r="X91" s="263"/>
      <c r="Y91" s="71"/>
      <c r="Z91" s="71"/>
      <c r="AA91" s="71"/>
      <c r="AB91" s="71"/>
    </row>
    <row r="92" spans="1:28" ht="15.75" customHeight="1">
      <c r="A92" s="143"/>
      <c r="B92" s="298"/>
      <c r="C92" s="298"/>
      <c r="D92" s="298"/>
      <c r="E92" s="298"/>
      <c r="F92" s="298"/>
      <c r="G92" s="298"/>
      <c r="H92" s="312"/>
      <c r="I92" s="311"/>
      <c r="J92" s="309"/>
      <c r="K92" s="298">
        <f t="shared" si="5"/>
        <v>0</v>
      </c>
      <c r="L92" s="303" t="str">
        <f t="shared" ca="1" si="6"/>
        <v/>
      </c>
      <c r="M92" s="304" t="str">
        <f t="shared" ca="1" si="7"/>
        <v/>
      </c>
      <c r="N92" s="305" t="str">
        <f ca="1">IFERROR(_xludf.IFS(G92&lt;100,(ABS(100/G92))+1,G92&gt;100,(G92/100)+1,G92=100, 2, G92=-100, 2),"")</f>
        <v/>
      </c>
      <c r="O92" s="305" t="str">
        <f ca="1">IFERROR(_xludf.IFS(H92&lt;100,(ABS(100/H92))+1,H92&gt;100,(H92/100)+1,H92=100, 2, H92=-100, 2),"")</f>
        <v/>
      </c>
      <c r="P92" s="305" t="str">
        <f t="shared" ca="1" si="4"/>
        <v/>
      </c>
      <c r="Q92" s="271"/>
      <c r="R92" s="297"/>
      <c r="S92" s="271"/>
      <c r="T92" s="271"/>
      <c r="U92" s="271"/>
      <c r="V92" s="263"/>
      <c r="W92" s="263"/>
      <c r="X92" s="263"/>
      <c r="Y92" s="71"/>
      <c r="Z92" s="71"/>
      <c r="AA92" s="71"/>
      <c r="AB92" s="71"/>
    </row>
    <row r="93" spans="1:28" ht="15.75" customHeight="1">
      <c r="A93" s="143"/>
      <c r="B93" s="298"/>
      <c r="C93" s="298"/>
      <c r="D93" s="298"/>
      <c r="E93" s="298"/>
      <c r="F93" s="298"/>
      <c r="G93" s="298"/>
      <c r="H93" s="312"/>
      <c r="I93" s="311"/>
      <c r="J93" s="309"/>
      <c r="K93" s="298">
        <f t="shared" si="5"/>
        <v>0</v>
      </c>
      <c r="L93" s="303" t="str">
        <f t="shared" ca="1" si="6"/>
        <v/>
      </c>
      <c r="M93" s="304" t="str">
        <f t="shared" ca="1" si="7"/>
        <v/>
      </c>
      <c r="N93" s="305" t="str">
        <f ca="1">IFERROR(_xludf.IFS(G93&lt;100,(ABS(100/G93))+1,G93&gt;100,(G93/100)+1,G93=100, 2, G93=-100, 2),"")</f>
        <v/>
      </c>
      <c r="O93" s="305" t="str">
        <f ca="1">IFERROR(_xludf.IFS(H93&lt;100,(ABS(100/H93))+1,H93&gt;100,(H93/100)+1,H93=100, 2, H93=-100, 2),"")</f>
        <v/>
      </c>
      <c r="P93" s="305" t="str">
        <f t="shared" ca="1" si="4"/>
        <v/>
      </c>
      <c r="Q93" s="271"/>
      <c r="R93" s="297"/>
      <c r="S93" s="271"/>
      <c r="T93" s="271"/>
      <c r="U93" s="271"/>
      <c r="V93" s="263"/>
      <c r="W93" s="263"/>
      <c r="X93" s="263"/>
      <c r="Y93" s="71"/>
      <c r="Z93" s="71"/>
      <c r="AA93" s="71"/>
      <c r="AB93" s="71"/>
    </row>
    <row r="94" spans="1:28" ht="15.75" customHeight="1">
      <c r="A94" s="143"/>
      <c r="B94" s="298"/>
      <c r="C94" s="298"/>
      <c r="D94" s="298"/>
      <c r="E94" s="298"/>
      <c r="F94" s="298"/>
      <c r="G94" s="298"/>
      <c r="H94" s="312"/>
      <c r="I94" s="311"/>
      <c r="J94" s="309"/>
      <c r="K94" s="298">
        <f t="shared" si="5"/>
        <v>0</v>
      </c>
      <c r="L94" s="303" t="str">
        <f t="shared" ca="1" si="6"/>
        <v/>
      </c>
      <c r="M94" s="304" t="str">
        <f t="shared" ca="1" si="7"/>
        <v/>
      </c>
      <c r="N94" s="305" t="str">
        <f ca="1">IFERROR(_xludf.IFS(G94&lt;100,(ABS(100/G94))+1,G94&gt;100,(G94/100)+1,G94=100, 2, G94=-100, 2),"")</f>
        <v/>
      </c>
      <c r="O94" s="305" t="str">
        <f ca="1">IFERROR(_xludf.IFS(H94&lt;100,(ABS(100/H94))+1,H94&gt;100,(H94/100)+1,H94=100, 2, H94=-100, 2),"")</f>
        <v/>
      </c>
      <c r="P94" s="305" t="str">
        <f t="shared" ca="1" si="4"/>
        <v/>
      </c>
      <c r="Q94" s="271"/>
      <c r="R94" s="297"/>
      <c r="S94" s="271"/>
      <c r="T94" s="271"/>
      <c r="U94" s="271"/>
      <c r="V94" s="263"/>
      <c r="W94" s="263"/>
      <c r="X94" s="263"/>
      <c r="Y94" s="71"/>
      <c r="Z94" s="71"/>
      <c r="AA94" s="71"/>
      <c r="AB94" s="71"/>
    </row>
    <row r="95" spans="1:28" ht="15.75" customHeight="1">
      <c r="A95" s="143"/>
      <c r="B95" s="298"/>
      <c r="C95" s="298"/>
      <c r="D95" s="298"/>
      <c r="E95" s="298"/>
      <c r="F95" s="298"/>
      <c r="G95" s="298"/>
      <c r="H95" s="312"/>
      <c r="I95" s="311"/>
      <c r="J95" s="309"/>
      <c r="K95" s="298">
        <f t="shared" si="5"/>
        <v>0</v>
      </c>
      <c r="L95" s="303" t="str">
        <f t="shared" ca="1" si="6"/>
        <v/>
      </c>
      <c r="M95" s="304" t="str">
        <f t="shared" ca="1" si="7"/>
        <v/>
      </c>
      <c r="N95" s="305" t="str">
        <f ca="1">IFERROR(_xludf.IFS(G95&lt;100,(ABS(100/G95))+1,G95&gt;100,(G95/100)+1,G95=100, 2, G95=-100, 2),"")</f>
        <v/>
      </c>
      <c r="O95" s="305" t="str">
        <f ca="1">IFERROR(_xludf.IFS(H95&lt;100,(ABS(100/H95))+1,H95&gt;100,(H95/100)+1,H95=100, 2, H95=-100, 2),"")</f>
        <v/>
      </c>
      <c r="P95" s="305" t="str">
        <f t="shared" ca="1" si="4"/>
        <v/>
      </c>
      <c r="Q95" s="271"/>
      <c r="R95" s="297"/>
      <c r="S95" s="271"/>
      <c r="T95" s="271"/>
      <c r="U95" s="271"/>
      <c r="V95" s="263"/>
      <c r="W95" s="263"/>
      <c r="X95" s="263"/>
      <c r="Y95" s="71"/>
      <c r="Z95" s="71"/>
      <c r="AA95" s="71"/>
      <c r="AB95" s="71"/>
    </row>
    <row r="96" spans="1:28" ht="15.75" customHeight="1">
      <c r="A96" s="143"/>
      <c r="B96" s="298"/>
      <c r="C96" s="298"/>
      <c r="D96" s="298"/>
      <c r="E96" s="298"/>
      <c r="F96" s="298"/>
      <c r="G96" s="298"/>
      <c r="H96" s="312"/>
      <c r="I96" s="311"/>
      <c r="J96" s="309"/>
      <c r="K96" s="298">
        <f t="shared" si="5"/>
        <v>0</v>
      </c>
      <c r="L96" s="303" t="str">
        <f t="shared" ca="1" si="6"/>
        <v/>
      </c>
      <c r="M96" s="304" t="str">
        <f t="shared" ca="1" si="7"/>
        <v/>
      </c>
      <c r="N96" s="305" t="str">
        <f ca="1">IFERROR(_xludf.IFS(G96&lt;100,(ABS(100/G96))+1,G96&gt;100,(G96/100)+1,G96=100, 2, G96=-100, 2),"")</f>
        <v/>
      </c>
      <c r="O96" s="305" t="str">
        <f ca="1">IFERROR(_xludf.IFS(H96&lt;100,(ABS(100/H96))+1,H96&gt;100,(H96/100)+1,H96=100, 2, H96=-100, 2),"")</f>
        <v/>
      </c>
      <c r="P96" s="305" t="str">
        <f t="shared" ca="1" si="4"/>
        <v/>
      </c>
      <c r="Q96" s="271"/>
      <c r="R96" s="297"/>
      <c r="S96" s="271"/>
      <c r="T96" s="271"/>
      <c r="U96" s="271"/>
      <c r="V96" s="263"/>
      <c r="W96" s="263"/>
      <c r="X96" s="263"/>
      <c r="Y96" s="71"/>
      <c r="Z96" s="71"/>
      <c r="AA96" s="71"/>
      <c r="AB96" s="71"/>
    </row>
    <row r="97" spans="1:28" ht="15.75" customHeight="1">
      <c r="A97" s="143"/>
      <c r="B97" s="298"/>
      <c r="C97" s="298"/>
      <c r="D97" s="298"/>
      <c r="E97" s="298"/>
      <c r="F97" s="298"/>
      <c r="G97" s="298"/>
      <c r="H97" s="312"/>
      <c r="I97" s="311"/>
      <c r="J97" s="309"/>
      <c r="K97" s="298">
        <f t="shared" si="5"/>
        <v>0</v>
      </c>
      <c r="L97" s="303" t="str">
        <f t="shared" ca="1" si="6"/>
        <v/>
      </c>
      <c r="M97" s="304" t="str">
        <f t="shared" ca="1" si="7"/>
        <v/>
      </c>
      <c r="N97" s="305" t="str">
        <f ca="1">IFERROR(_xludf.IFS(G97&lt;100,(ABS(100/G97))+1,G97&gt;100,(G97/100)+1,G97=100, 2, G97=-100, 2),"")</f>
        <v/>
      </c>
      <c r="O97" s="305" t="str">
        <f ca="1">IFERROR(_xludf.IFS(H97&lt;100,(ABS(100/H97))+1,H97&gt;100,(H97/100)+1,H97=100, 2, H97=-100, 2),"")</f>
        <v/>
      </c>
      <c r="P97" s="305" t="str">
        <f t="shared" ca="1" si="4"/>
        <v/>
      </c>
      <c r="Q97" s="271"/>
      <c r="R97" s="297"/>
      <c r="S97" s="271"/>
      <c r="T97" s="271"/>
      <c r="U97" s="271"/>
      <c r="V97" s="263"/>
      <c r="W97" s="263"/>
      <c r="X97" s="263"/>
      <c r="Y97" s="71"/>
      <c r="Z97" s="71"/>
      <c r="AA97" s="71"/>
      <c r="AB97" s="71"/>
    </row>
    <row r="98" spans="1:28" ht="15.75" customHeight="1">
      <c r="A98" s="143"/>
      <c r="B98" s="298"/>
      <c r="C98" s="298"/>
      <c r="D98" s="298"/>
      <c r="E98" s="298"/>
      <c r="F98" s="298"/>
      <c r="G98" s="298"/>
      <c r="H98" s="312"/>
      <c r="I98" s="311"/>
      <c r="J98" s="309"/>
      <c r="K98" s="298">
        <f t="shared" si="5"/>
        <v>0</v>
      </c>
      <c r="L98" s="303" t="str">
        <f t="shared" ca="1" si="6"/>
        <v/>
      </c>
      <c r="M98" s="304" t="str">
        <f t="shared" ca="1" si="7"/>
        <v/>
      </c>
      <c r="N98" s="305" t="str">
        <f ca="1">IFERROR(_xludf.IFS(G98&lt;100,(ABS(100/G98))+1,G98&gt;100,(G98/100)+1,G98=100, 2, G98=-100, 2),"")</f>
        <v/>
      </c>
      <c r="O98" s="305" t="str">
        <f ca="1">IFERROR(_xludf.IFS(H98&lt;100,(ABS(100/H98))+1,H98&gt;100,(H98/100)+1,H98=100, 2, H98=-100, 2),"")</f>
        <v/>
      </c>
      <c r="P98" s="305" t="str">
        <f t="shared" ca="1" si="4"/>
        <v/>
      </c>
      <c r="Q98" s="271"/>
      <c r="R98" s="297"/>
      <c r="S98" s="271"/>
      <c r="T98" s="271"/>
      <c r="U98" s="271"/>
      <c r="V98" s="263"/>
      <c r="W98" s="263"/>
      <c r="X98" s="263"/>
      <c r="Y98" s="71"/>
      <c r="Z98" s="71"/>
      <c r="AA98" s="71"/>
      <c r="AB98" s="71"/>
    </row>
    <row r="99" spans="1:28" ht="15.75" customHeight="1">
      <c r="A99" s="143"/>
      <c r="B99" s="298"/>
      <c r="C99" s="298"/>
      <c r="D99" s="298"/>
      <c r="E99" s="298"/>
      <c r="F99" s="298"/>
      <c r="G99" s="298"/>
      <c r="H99" s="312"/>
      <c r="I99" s="311"/>
      <c r="J99" s="309"/>
      <c r="K99" s="298">
        <f t="shared" si="5"/>
        <v>0</v>
      </c>
      <c r="L99" s="303" t="str">
        <f t="shared" ca="1" si="6"/>
        <v/>
      </c>
      <c r="M99" s="304" t="str">
        <f t="shared" ca="1" si="7"/>
        <v/>
      </c>
      <c r="N99" s="305" t="str">
        <f ca="1">IFERROR(_xludf.IFS(G99&lt;100,(ABS(100/G99))+1,G99&gt;100,(G99/100)+1,G99=100, 2, G99=-100, 2),"")</f>
        <v/>
      </c>
      <c r="O99" s="305" t="str">
        <f ca="1">IFERROR(_xludf.IFS(H99&lt;100,(ABS(100/H99))+1,H99&gt;100,(H99/100)+1,H99=100, 2, H99=-100, 2),"")</f>
        <v/>
      </c>
      <c r="P99" s="305" t="str">
        <f t="shared" ca="1" si="4"/>
        <v/>
      </c>
      <c r="Q99" s="271"/>
      <c r="R99" s="297"/>
      <c r="S99" s="271"/>
      <c r="T99" s="271"/>
      <c r="U99" s="271"/>
      <c r="V99" s="263"/>
      <c r="W99" s="263"/>
      <c r="X99" s="263"/>
      <c r="Y99" s="71"/>
      <c r="Z99" s="71"/>
      <c r="AA99" s="71"/>
      <c r="AB99" s="71"/>
    </row>
    <row r="100" spans="1:28" ht="15.75" customHeight="1">
      <c r="A100" s="143"/>
      <c r="B100" s="298"/>
      <c r="C100" s="298"/>
      <c r="D100" s="298"/>
      <c r="E100" s="298"/>
      <c r="F100" s="298"/>
      <c r="G100" s="298"/>
      <c r="H100" s="312"/>
      <c r="I100" s="311"/>
      <c r="J100" s="309"/>
      <c r="K100" s="298">
        <f t="shared" si="5"/>
        <v>0</v>
      </c>
      <c r="L100" s="303" t="str">
        <f t="shared" ca="1" si="6"/>
        <v/>
      </c>
      <c r="M100" s="304" t="str">
        <f t="shared" ca="1" si="7"/>
        <v/>
      </c>
      <c r="N100" s="305" t="str">
        <f ca="1">IFERROR(_xludf.IFS(G100&lt;100,(ABS(100/G100))+1,G100&gt;100,(G100/100)+1,G100=100, 2, G100=-100, 2),"")</f>
        <v/>
      </c>
      <c r="O100" s="305" t="str">
        <f ca="1">IFERROR(_xludf.IFS(H100&lt;100,(ABS(100/H100))+1,H100&gt;100,(H100/100)+1,H100=100, 2, H100=-100, 2),"")</f>
        <v/>
      </c>
      <c r="P100" s="305" t="str">
        <f t="shared" ref="P100:P163" ca="1" si="8">IFERROR(O100*1.035,"")</f>
        <v/>
      </c>
      <c r="Q100" s="271"/>
      <c r="R100" s="297"/>
      <c r="S100" s="271"/>
      <c r="T100" s="271"/>
      <c r="U100" s="271"/>
      <c r="V100" s="263"/>
      <c r="W100" s="263"/>
      <c r="X100" s="263"/>
      <c r="Y100" s="71"/>
      <c r="Z100" s="71"/>
      <c r="AA100" s="71"/>
      <c r="AB100" s="71"/>
    </row>
    <row r="101" spans="1:28" ht="15.75" customHeight="1">
      <c r="A101" s="143"/>
      <c r="B101" s="298"/>
      <c r="C101" s="298"/>
      <c r="D101" s="298"/>
      <c r="E101" s="298"/>
      <c r="F101" s="298"/>
      <c r="G101" s="298"/>
      <c r="H101" s="312"/>
      <c r="I101" s="311"/>
      <c r="J101" s="309"/>
      <c r="K101" s="298">
        <f t="shared" si="5"/>
        <v>0</v>
      </c>
      <c r="L101" s="303" t="str">
        <f t="shared" ca="1" si="6"/>
        <v/>
      </c>
      <c r="M101" s="304" t="str">
        <f t="shared" ca="1" si="7"/>
        <v/>
      </c>
      <c r="N101" s="305" t="str">
        <f ca="1">IFERROR(_xludf.IFS(G101&lt;100,(ABS(100/G101))+1,G101&gt;100,(G101/100)+1,G101=100, 2, G101=-100, 2),"")</f>
        <v/>
      </c>
      <c r="O101" s="305" t="str">
        <f ca="1">IFERROR(_xludf.IFS(H101&lt;100,(ABS(100/H101))+1,H101&gt;100,(H101/100)+1,H101=100, 2, H101=-100, 2),"")</f>
        <v/>
      </c>
      <c r="P101" s="305" t="str">
        <f t="shared" ca="1" si="8"/>
        <v/>
      </c>
      <c r="Q101" s="271"/>
      <c r="R101" s="297"/>
      <c r="S101" s="271"/>
      <c r="T101" s="271"/>
      <c r="U101" s="271"/>
      <c r="V101" s="263"/>
      <c r="W101" s="263"/>
      <c r="X101" s="263"/>
      <c r="Y101" s="71"/>
      <c r="Z101" s="71"/>
      <c r="AA101" s="71"/>
      <c r="AB101" s="71"/>
    </row>
    <row r="102" spans="1:28" ht="15.75" customHeight="1">
      <c r="A102" s="143"/>
      <c r="B102" s="298"/>
      <c r="C102" s="298"/>
      <c r="D102" s="298"/>
      <c r="E102" s="298"/>
      <c r="F102" s="298"/>
      <c r="G102" s="298"/>
      <c r="H102" s="312"/>
      <c r="I102" s="311"/>
      <c r="J102" s="309"/>
      <c r="K102" s="298">
        <f t="shared" si="5"/>
        <v>0</v>
      </c>
      <c r="L102" s="303" t="str">
        <f t="shared" ca="1" si="6"/>
        <v/>
      </c>
      <c r="M102" s="304" t="str">
        <f t="shared" ca="1" si="7"/>
        <v/>
      </c>
      <c r="N102" s="305" t="str">
        <f ca="1">IFERROR(_xludf.IFS(G102&lt;100,(ABS(100/G102))+1,G102&gt;100,(G102/100)+1,G102=100, 2, G102=-100, 2),"")</f>
        <v/>
      </c>
      <c r="O102" s="305" t="str">
        <f ca="1">IFERROR(_xludf.IFS(H102&lt;100,(ABS(100/H102))+1,H102&gt;100,(H102/100)+1,H102=100, 2, H102=-100, 2),"")</f>
        <v/>
      </c>
      <c r="P102" s="305" t="str">
        <f t="shared" ca="1" si="8"/>
        <v/>
      </c>
      <c r="Q102" s="271"/>
      <c r="R102" s="297"/>
      <c r="S102" s="271"/>
      <c r="T102" s="271"/>
      <c r="U102" s="271"/>
      <c r="V102" s="263"/>
      <c r="W102" s="263"/>
      <c r="X102" s="263"/>
      <c r="Y102" s="71"/>
      <c r="Z102" s="71"/>
      <c r="AA102" s="71"/>
      <c r="AB102" s="71"/>
    </row>
    <row r="103" spans="1:28" ht="15.75" customHeight="1">
      <c r="A103" s="143"/>
      <c r="B103" s="298"/>
      <c r="C103" s="298"/>
      <c r="D103" s="298"/>
      <c r="E103" s="298"/>
      <c r="F103" s="298"/>
      <c r="G103" s="298"/>
      <c r="H103" s="312"/>
      <c r="I103" s="311"/>
      <c r="J103" s="309"/>
      <c r="K103" s="298">
        <f t="shared" si="5"/>
        <v>0</v>
      </c>
      <c r="L103" s="303" t="str">
        <f t="shared" ca="1" si="6"/>
        <v/>
      </c>
      <c r="M103" s="304" t="str">
        <f t="shared" ca="1" si="7"/>
        <v/>
      </c>
      <c r="N103" s="305" t="str">
        <f ca="1">IFERROR(_xludf.IFS(G103&lt;100,(ABS(100/G103))+1,G103&gt;100,(G103/100)+1,G103=100, 2, G103=-100, 2),"")</f>
        <v/>
      </c>
      <c r="O103" s="305" t="str">
        <f ca="1">IFERROR(_xludf.IFS(H103&lt;100,(ABS(100/H103))+1,H103&gt;100,(H103/100)+1,H103=100, 2, H103=-100, 2),"")</f>
        <v/>
      </c>
      <c r="P103" s="305" t="str">
        <f t="shared" ca="1" si="8"/>
        <v/>
      </c>
      <c r="Q103" s="271"/>
      <c r="R103" s="297"/>
      <c r="S103" s="271"/>
      <c r="T103" s="271"/>
      <c r="U103" s="271"/>
      <c r="V103" s="263"/>
      <c r="W103" s="263"/>
      <c r="X103" s="263"/>
      <c r="Y103" s="71"/>
      <c r="Z103" s="71"/>
      <c r="AA103" s="71"/>
      <c r="AB103" s="71"/>
    </row>
    <row r="104" spans="1:28" ht="15.75" customHeight="1">
      <c r="A104" s="143"/>
      <c r="B104" s="298"/>
      <c r="C104" s="298"/>
      <c r="D104" s="298"/>
      <c r="E104" s="298"/>
      <c r="F104" s="298"/>
      <c r="G104" s="298"/>
      <c r="H104" s="312"/>
      <c r="I104" s="311"/>
      <c r="J104" s="309"/>
      <c r="K104" s="298">
        <f t="shared" si="5"/>
        <v>0</v>
      </c>
      <c r="L104" s="303" t="str">
        <f t="shared" ca="1" si="6"/>
        <v/>
      </c>
      <c r="M104" s="304" t="str">
        <f t="shared" ca="1" si="7"/>
        <v/>
      </c>
      <c r="N104" s="305" t="str">
        <f ca="1">IFERROR(_xludf.IFS(G104&lt;100,(ABS(100/G104))+1,G104&gt;100,(G104/100)+1,G104=100, 2, G104=-100, 2),"")</f>
        <v/>
      </c>
      <c r="O104" s="305" t="str">
        <f ca="1">IFERROR(_xludf.IFS(H104&lt;100,(ABS(100/H104))+1,H104&gt;100,(H104/100)+1,H104=100, 2, H104=-100, 2),"")</f>
        <v/>
      </c>
      <c r="P104" s="305" t="str">
        <f t="shared" ca="1" si="8"/>
        <v/>
      </c>
      <c r="Q104" s="271"/>
      <c r="R104" s="297"/>
      <c r="S104" s="271"/>
      <c r="T104" s="271"/>
      <c r="U104" s="271"/>
      <c r="V104" s="263"/>
      <c r="W104" s="263"/>
      <c r="X104" s="263"/>
      <c r="Y104" s="71"/>
      <c r="Z104" s="71"/>
      <c r="AA104" s="71"/>
      <c r="AB104" s="71"/>
    </row>
    <row r="105" spans="1:28" ht="15.75" customHeight="1">
      <c r="A105" s="143"/>
      <c r="B105" s="298"/>
      <c r="C105" s="298"/>
      <c r="D105" s="298"/>
      <c r="E105" s="298"/>
      <c r="F105" s="298"/>
      <c r="G105" s="298"/>
      <c r="H105" s="312"/>
      <c r="I105" s="311"/>
      <c r="J105" s="309"/>
      <c r="K105" s="298">
        <f t="shared" si="5"/>
        <v>0</v>
      </c>
      <c r="L105" s="303" t="str">
        <f t="shared" ca="1" si="6"/>
        <v/>
      </c>
      <c r="M105" s="304" t="str">
        <f t="shared" ca="1" si="7"/>
        <v/>
      </c>
      <c r="N105" s="305" t="str">
        <f ca="1">IFERROR(_xludf.IFS(G105&lt;100,(ABS(100/G105))+1,G105&gt;100,(G105/100)+1,G105=100, 2, G105=-100, 2),"")</f>
        <v/>
      </c>
      <c r="O105" s="305" t="str">
        <f ca="1">IFERROR(_xludf.IFS(H105&lt;100,(ABS(100/H105))+1,H105&gt;100,(H105/100)+1,H105=100, 2, H105=-100, 2),"")</f>
        <v/>
      </c>
      <c r="P105" s="305" t="str">
        <f t="shared" ca="1" si="8"/>
        <v/>
      </c>
      <c r="Q105" s="271"/>
      <c r="R105" s="297"/>
      <c r="S105" s="271"/>
      <c r="T105" s="271"/>
      <c r="U105" s="271"/>
      <c r="V105" s="263"/>
      <c r="W105" s="263"/>
      <c r="X105" s="263"/>
      <c r="Y105" s="71"/>
      <c r="Z105" s="71"/>
      <c r="AA105" s="71"/>
      <c r="AB105" s="71"/>
    </row>
    <row r="106" spans="1:28" ht="15.75" customHeight="1">
      <c r="A106" s="143"/>
      <c r="B106" s="298"/>
      <c r="C106" s="298"/>
      <c r="D106" s="298"/>
      <c r="E106" s="298"/>
      <c r="F106" s="298"/>
      <c r="G106" s="298"/>
      <c r="H106" s="312"/>
      <c r="I106" s="311"/>
      <c r="J106" s="309"/>
      <c r="K106" s="298">
        <f t="shared" si="5"/>
        <v>0</v>
      </c>
      <c r="L106" s="303" t="str">
        <f t="shared" ca="1" si="6"/>
        <v/>
      </c>
      <c r="M106" s="304" t="str">
        <f t="shared" ca="1" si="7"/>
        <v/>
      </c>
      <c r="N106" s="305" t="str">
        <f ca="1">IFERROR(_xludf.IFS(G106&lt;100,(ABS(100/G106))+1,G106&gt;100,(G106/100)+1,G106=100, 2, G106=-100, 2),"")</f>
        <v/>
      </c>
      <c r="O106" s="305" t="str">
        <f ca="1">IFERROR(_xludf.IFS(H106&lt;100,(ABS(100/H106))+1,H106&gt;100,(H106/100)+1,H106=100, 2, H106=-100, 2),"")</f>
        <v/>
      </c>
      <c r="P106" s="305" t="str">
        <f t="shared" ca="1" si="8"/>
        <v/>
      </c>
      <c r="Q106" s="271"/>
      <c r="R106" s="297"/>
      <c r="S106" s="271"/>
      <c r="T106" s="271"/>
      <c r="U106" s="271"/>
      <c r="V106" s="263"/>
      <c r="W106" s="263"/>
      <c r="X106" s="263"/>
      <c r="Y106" s="71"/>
      <c r="Z106" s="71"/>
      <c r="AA106" s="71"/>
      <c r="AB106" s="71"/>
    </row>
    <row r="107" spans="1:28" ht="15.75" customHeight="1">
      <c r="A107" s="143"/>
      <c r="B107" s="298"/>
      <c r="C107" s="298"/>
      <c r="D107" s="298"/>
      <c r="E107" s="298"/>
      <c r="F107" s="298"/>
      <c r="G107" s="298"/>
      <c r="H107" s="312"/>
      <c r="I107" s="311"/>
      <c r="J107" s="309"/>
      <c r="K107" s="298">
        <f t="shared" si="5"/>
        <v>0</v>
      </c>
      <c r="L107" s="303" t="str">
        <f t="shared" ca="1" si="6"/>
        <v/>
      </c>
      <c r="M107" s="304" t="str">
        <f t="shared" ca="1" si="7"/>
        <v/>
      </c>
      <c r="N107" s="305" t="str">
        <f ca="1">IFERROR(_xludf.IFS(G107&lt;100,(ABS(100/G107))+1,G107&gt;100,(G107/100)+1,G107=100, 2, G107=-100, 2),"")</f>
        <v/>
      </c>
      <c r="O107" s="305" t="str">
        <f ca="1">IFERROR(_xludf.IFS(H107&lt;100,(ABS(100/H107))+1,H107&gt;100,(H107/100)+1,H107=100, 2, H107=-100, 2),"")</f>
        <v/>
      </c>
      <c r="P107" s="305" t="str">
        <f t="shared" ca="1" si="8"/>
        <v/>
      </c>
      <c r="Q107" s="271"/>
      <c r="R107" s="297"/>
      <c r="S107" s="271"/>
      <c r="T107" s="271"/>
      <c r="U107" s="271"/>
      <c r="V107" s="263"/>
      <c r="W107" s="263"/>
      <c r="X107" s="263"/>
      <c r="Y107" s="71"/>
      <c r="Z107" s="71"/>
      <c r="AA107" s="71"/>
      <c r="AB107" s="71"/>
    </row>
    <row r="108" spans="1:28" ht="15.75" customHeight="1">
      <c r="A108" s="143"/>
      <c r="B108" s="298"/>
      <c r="C108" s="298"/>
      <c r="D108" s="298"/>
      <c r="E108" s="298"/>
      <c r="F108" s="298"/>
      <c r="G108" s="298"/>
      <c r="H108" s="312"/>
      <c r="I108" s="311"/>
      <c r="J108" s="309"/>
      <c r="K108" s="298">
        <f t="shared" si="5"/>
        <v>0</v>
      </c>
      <c r="L108" s="303" t="str">
        <f t="shared" ca="1" si="6"/>
        <v/>
      </c>
      <c r="M108" s="304" t="str">
        <f t="shared" ca="1" si="7"/>
        <v/>
      </c>
      <c r="N108" s="305" t="str">
        <f ca="1">IFERROR(_xludf.IFS(G108&lt;100,(ABS(100/G108))+1,G108&gt;100,(G108/100)+1,G108=100, 2, G108=-100, 2),"")</f>
        <v/>
      </c>
      <c r="O108" s="305" t="str">
        <f ca="1">IFERROR(_xludf.IFS(H108&lt;100,(ABS(100/H108))+1,H108&gt;100,(H108/100)+1,H108=100, 2, H108=-100, 2),"")</f>
        <v/>
      </c>
      <c r="P108" s="305" t="str">
        <f t="shared" ca="1" si="8"/>
        <v/>
      </c>
      <c r="Q108" s="271"/>
      <c r="R108" s="297"/>
      <c r="S108" s="271"/>
      <c r="T108" s="271"/>
      <c r="U108" s="271"/>
      <c r="V108" s="263"/>
      <c r="W108" s="263"/>
      <c r="X108" s="263"/>
      <c r="Y108" s="71"/>
      <c r="Z108" s="71"/>
      <c r="AA108" s="71"/>
      <c r="AB108" s="71"/>
    </row>
    <row r="109" spans="1:28" ht="15.75" customHeight="1">
      <c r="A109" s="143"/>
      <c r="B109" s="298"/>
      <c r="C109" s="298"/>
      <c r="D109" s="298"/>
      <c r="E109" s="298"/>
      <c r="F109" s="298"/>
      <c r="G109" s="298"/>
      <c r="H109" s="312"/>
      <c r="I109" s="311"/>
      <c r="J109" s="309"/>
      <c r="K109" s="298">
        <f t="shared" si="5"/>
        <v>0</v>
      </c>
      <c r="L109" s="303" t="str">
        <f t="shared" ca="1" si="6"/>
        <v/>
      </c>
      <c r="M109" s="304" t="str">
        <f t="shared" ca="1" si="7"/>
        <v/>
      </c>
      <c r="N109" s="305" t="str">
        <f ca="1">IFERROR(_xludf.IFS(G109&lt;100,(ABS(100/G109))+1,G109&gt;100,(G109/100)+1,G109=100, 2, G109=-100, 2),"")</f>
        <v/>
      </c>
      <c r="O109" s="305" t="str">
        <f ca="1">IFERROR(_xludf.IFS(H109&lt;100,(ABS(100/H109))+1,H109&gt;100,(H109/100)+1,H109=100, 2, H109=-100, 2),"")</f>
        <v/>
      </c>
      <c r="P109" s="305" t="str">
        <f t="shared" ca="1" si="8"/>
        <v/>
      </c>
      <c r="Q109" s="271"/>
      <c r="R109" s="297"/>
      <c r="S109" s="271"/>
      <c r="T109" s="271"/>
      <c r="U109" s="271"/>
      <c r="V109" s="263"/>
      <c r="W109" s="263"/>
      <c r="X109" s="263"/>
      <c r="Y109" s="71"/>
      <c r="Z109" s="71"/>
      <c r="AA109" s="71"/>
      <c r="AB109" s="71"/>
    </row>
    <row r="110" spans="1:28" ht="15.75" customHeight="1">
      <c r="A110" s="143"/>
      <c r="B110" s="298"/>
      <c r="C110" s="298"/>
      <c r="D110" s="298"/>
      <c r="E110" s="298"/>
      <c r="F110" s="298"/>
      <c r="G110" s="298"/>
      <c r="H110" s="312"/>
      <c r="I110" s="311"/>
      <c r="J110" s="309"/>
      <c r="K110" s="298">
        <f t="shared" si="5"/>
        <v>0</v>
      </c>
      <c r="L110" s="303" t="str">
        <f t="shared" ca="1" si="6"/>
        <v/>
      </c>
      <c r="M110" s="304" t="str">
        <f t="shared" ca="1" si="7"/>
        <v/>
      </c>
      <c r="N110" s="305" t="str">
        <f ca="1">IFERROR(_xludf.IFS(G110&lt;100,(ABS(100/G110))+1,G110&gt;100,(G110/100)+1,G110=100, 2, G110=-100, 2),"")</f>
        <v/>
      </c>
      <c r="O110" s="305" t="str">
        <f ca="1">IFERROR(_xludf.IFS(H110&lt;100,(ABS(100/H110))+1,H110&gt;100,(H110/100)+1,H110=100, 2, H110=-100, 2),"")</f>
        <v/>
      </c>
      <c r="P110" s="305" t="str">
        <f t="shared" ca="1" si="8"/>
        <v/>
      </c>
      <c r="Q110" s="271"/>
      <c r="R110" s="297"/>
      <c r="S110" s="271"/>
      <c r="T110" s="271"/>
      <c r="U110" s="271"/>
      <c r="V110" s="263"/>
      <c r="W110" s="263"/>
      <c r="X110" s="263"/>
      <c r="Y110" s="71"/>
      <c r="Z110" s="71"/>
      <c r="AA110" s="71"/>
      <c r="AB110" s="71"/>
    </row>
    <row r="111" spans="1:28" ht="15.75" customHeight="1">
      <c r="A111" s="143"/>
      <c r="B111" s="298"/>
      <c r="C111" s="298"/>
      <c r="D111" s="298"/>
      <c r="E111" s="298"/>
      <c r="F111" s="298"/>
      <c r="G111" s="298"/>
      <c r="H111" s="312"/>
      <c r="I111" s="311"/>
      <c r="J111" s="309"/>
      <c r="K111" s="298">
        <f t="shared" si="5"/>
        <v>0</v>
      </c>
      <c r="L111" s="303" t="str">
        <f t="shared" ca="1" si="6"/>
        <v/>
      </c>
      <c r="M111" s="304" t="str">
        <f t="shared" ca="1" si="7"/>
        <v/>
      </c>
      <c r="N111" s="305" t="str">
        <f ca="1">IFERROR(_xludf.IFS(G111&lt;100,(ABS(100/G111))+1,G111&gt;100,(G111/100)+1,G111=100, 2, G111=-100, 2),"")</f>
        <v/>
      </c>
      <c r="O111" s="305" t="str">
        <f ca="1">IFERROR(_xludf.IFS(H111&lt;100,(ABS(100/H111))+1,H111&gt;100,(H111/100)+1,H111=100, 2, H111=-100, 2),"")</f>
        <v/>
      </c>
      <c r="P111" s="305" t="str">
        <f t="shared" ca="1" si="8"/>
        <v/>
      </c>
      <c r="Q111" s="271"/>
      <c r="R111" s="297"/>
      <c r="S111" s="271"/>
      <c r="T111" s="271"/>
      <c r="U111" s="271"/>
      <c r="V111" s="263"/>
      <c r="W111" s="263"/>
      <c r="X111" s="263"/>
      <c r="Y111" s="71"/>
      <c r="Z111" s="71"/>
      <c r="AA111" s="71"/>
      <c r="AB111" s="71"/>
    </row>
    <row r="112" spans="1:28" ht="15.75" customHeight="1">
      <c r="A112" s="143"/>
      <c r="B112" s="298"/>
      <c r="C112" s="298"/>
      <c r="D112" s="298"/>
      <c r="E112" s="298"/>
      <c r="F112" s="298"/>
      <c r="G112" s="298"/>
      <c r="H112" s="312"/>
      <c r="I112" s="311"/>
      <c r="J112" s="309"/>
      <c r="K112" s="298">
        <f t="shared" si="5"/>
        <v>0</v>
      </c>
      <c r="L112" s="303" t="str">
        <f t="shared" ca="1" si="6"/>
        <v/>
      </c>
      <c r="M112" s="304" t="str">
        <f t="shared" ca="1" si="7"/>
        <v/>
      </c>
      <c r="N112" s="305" t="str">
        <f ca="1">IFERROR(_xludf.IFS(G112&lt;100,(ABS(100/G112))+1,G112&gt;100,(G112/100)+1,G112=100, 2, G112=-100, 2),"")</f>
        <v/>
      </c>
      <c r="O112" s="305" t="str">
        <f ca="1">IFERROR(_xludf.IFS(H112&lt;100,(ABS(100/H112))+1,H112&gt;100,(H112/100)+1,H112=100, 2, H112=-100, 2),"")</f>
        <v/>
      </c>
      <c r="P112" s="305" t="str">
        <f t="shared" ca="1" si="8"/>
        <v/>
      </c>
      <c r="Q112" s="271"/>
      <c r="R112" s="297"/>
      <c r="S112" s="271"/>
      <c r="T112" s="271"/>
      <c r="U112" s="271"/>
      <c r="V112" s="263"/>
      <c r="W112" s="263"/>
      <c r="X112" s="263"/>
      <c r="Y112" s="71"/>
      <c r="Z112" s="71"/>
      <c r="AA112" s="71"/>
      <c r="AB112" s="71"/>
    </row>
    <row r="113" spans="1:28" ht="15.75" customHeight="1">
      <c r="A113" s="143"/>
      <c r="B113" s="298"/>
      <c r="C113" s="298"/>
      <c r="D113" s="298"/>
      <c r="E113" s="298"/>
      <c r="F113" s="298"/>
      <c r="G113" s="298"/>
      <c r="H113" s="312"/>
      <c r="I113" s="311"/>
      <c r="J113" s="309"/>
      <c r="K113" s="298">
        <f t="shared" si="5"/>
        <v>0</v>
      </c>
      <c r="L113" s="303" t="str">
        <f t="shared" ca="1" si="6"/>
        <v/>
      </c>
      <c r="M113" s="304" t="str">
        <f t="shared" ca="1" si="7"/>
        <v/>
      </c>
      <c r="N113" s="305" t="str">
        <f ca="1">IFERROR(_xludf.IFS(G113&lt;100,(ABS(100/G113))+1,G113&gt;100,(G113/100)+1,G113=100, 2, G113=-100, 2),"")</f>
        <v/>
      </c>
      <c r="O113" s="305" t="str">
        <f ca="1">IFERROR(_xludf.IFS(H113&lt;100,(ABS(100/H113))+1,H113&gt;100,(H113/100)+1,H113=100, 2, H113=-100, 2),"")</f>
        <v/>
      </c>
      <c r="P113" s="305" t="str">
        <f t="shared" ca="1" si="8"/>
        <v/>
      </c>
      <c r="Q113" s="271"/>
      <c r="R113" s="297"/>
      <c r="S113" s="271"/>
      <c r="T113" s="271"/>
      <c r="U113" s="271"/>
      <c r="V113" s="263"/>
      <c r="W113" s="263"/>
      <c r="X113" s="263"/>
      <c r="Y113" s="71"/>
      <c r="Z113" s="71"/>
      <c r="AA113" s="71"/>
      <c r="AB113" s="71"/>
    </row>
    <row r="114" spans="1:28" ht="15.75" customHeight="1">
      <c r="A114" s="143"/>
      <c r="B114" s="298"/>
      <c r="C114" s="298"/>
      <c r="D114" s="298"/>
      <c r="E114" s="298"/>
      <c r="F114" s="298"/>
      <c r="G114" s="298"/>
      <c r="H114" s="312"/>
      <c r="I114" s="311"/>
      <c r="J114" s="309"/>
      <c r="K114" s="298">
        <f t="shared" si="5"/>
        <v>0</v>
      </c>
      <c r="L114" s="303" t="str">
        <f t="shared" ca="1" si="6"/>
        <v/>
      </c>
      <c r="M114" s="304" t="str">
        <f t="shared" ca="1" si="7"/>
        <v/>
      </c>
      <c r="N114" s="305" t="str">
        <f ca="1">IFERROR(_xludf.IFS(G114&lt;100,(ABS(100/G114))+1,G114&gt;100,(G114/100)+1,G114=100, 2, G114=-100, 2),"")</f>
        <v/>
      </c>
      <c r="O114" s="305" t="str">
        <f ca="1">IFERROR(_xludf.IFS(H114&lt;100,(ABS(100/H114))+1,H114&gt;100,(H114/100)+1,H114=100, 2, H114=-100, 2),"")</f>
        <v/>
      </c>
      <c r="P114" s="305" t="str">
        <f t="shared" ca="1" si="8"/>
        <v/>
      </c>
      <c r="Q114" s="271"/>
      <c r="R114" s="297"/>
      <c r="S114" s="271"/>
      <c r="T114" s="271"/>
      <c r="U114" s="271"/>
      <c r="V114" s="263"/>
      <c r="W114" s="263"/>
      <c r="X114" s="263"/>
      <c r="Y114" s="71"/>
      <c r="Z114" s="71"/>
      <c r="AA114" s="71"/>
      <c r="AB114" s="71"/>
    </row>
    <row r="115" spans="1:28" ht="15.75" customHeight="1">
      <c r="A115" s="143"/>
      <c r="B115" s="298"/>
      <c r="C115" s="298"/>
      <c r="D115" s="298"/>
      <c r="E115" s="298"/>
      <c r="F115" s="298"/>
      <c r="G115" s="298"/>
      <c r="H115" s="312"/>
      <c r="I115" s="311"/>
      <c r="J115" s="309"/>
      <c r="K115" s="298">
        <f t="shared" si="5"/>
        <v>0</v>
      </c>
      <c r="L115" s="303" t="str">
        <f t="shared" ca="1" si="6"/>
        <v/>
      </c>
      <c r="M115" s="304" t="str">
        <f t="shared" ca="1" si="7"/>
        <v/>
      </c>
      <c r="N115" s="305" t="str">
        <f ca="1">IFERROR(_xludf.IFS(G115&lt;100,(ABS(100/G115))+1,G115&gt;100,(G115/100)+1,G115=100, 2, G115=-100, 2),"")</f>
        <v/>
      </c>
      <c r="O115" s="305" t="str">
        <f ca="1">IFERROR(_xludf.IFS(H115&lt;100,(ABS(100/H115))+1,H115&gt;100,(H115/100)+1,H115=100, 2, H115=-100, 2),"")</f>
        <v/>
      </c>
      <c r="P115" s="305" t="str">
        <f t="shared" ca="1" si="8"/>
        <v/>
      </c>
      <c r="Q115" s="271"/>
      <c r="R115" s="297"/>
      <c r="S115" s="271"/>
      <c r="T115" s="271"/>
      <c r="U115" s="271"/>
      <c r="V115" s="263"/>
      <c r="W115" s="263"/>
      <c r="X115" s="263"/>
      <c r="Y115" s="71"/>
      <c r="Z115" s="71"/>
      <c r="AA115" s="71"/>
      <c r="AB115" s="71"/>
    </row>
    <row r="116" spans="1:28" ht="15.75" customHeight="1">
      <c r="A116" s="143"/>
      <c r="B116" s="298"/>
      <c r="C116" s="298"/>
      <c r="D116" s="298"/>
      <c r="E116" s="298"/>
      <c r="F116" s="298"/>
      <c r="G116" s="298"/>
      <c r="H116" s="312"/>
      <c r="I116" s="311"/>
      <c r="J116" s="309"/>
      <c r="K116" s="298">
        <f t="shared" si="5"/>
        <v>0</v>
      </c>
      <c r="L116" s="303" t="str">
        <f t="shared" ca="1" si="6"/>
        <v/>
      </c>
      <c r="M116" s="304" t="str">
        <f t="shared" ca="1" si="7"/>
        <v/>
      </c>
      <c r="N116" s="305" t="str">
        <f ca="1">IFERROR(_xludf.IFS(G116&lt;100,(ABS(100/G116))+1,G116&gt;100,(G116/100)+1,G116=100, 2, G116=-100, 2),"")</f>
        <v/>
      </c>
      <c r="O116" s="305" t="str">
        <f ca="1">IFERROR(_xludf.IFS(H116&lt;100,(ABS(100/H116))+1,H116&gt;100,(H116/100)+1,H116=100, 2, H116=-100, 2),"")</f>
        <v/>
      </c>
      <c r="P116" s="305" t="str">
        <f t="shared" ca="1" si="8"/>
        <v/>
      </c>
      <c r="Q116" s="271"/>
      <c r="R116" s="297"/>
      <c r="S116" s="271"/>
      <c r="T116" s="271"/>
      <c r="U116" s="271"/>
      <c r="V116" s="263"/>
      <c r="W116" s="263"/>
      <c r="X116" s="263"/>
      <c r="Y116" s="71"/>
      <c r="Z116" s="71"/>
      <c r="AA116" s="71"/>
      <c r="AB116" s="71"/>
    </row>
    <row r="117" spans="1:28" ht="15.75" customHeight="1">
      <c r="A117" s="143"/>
      <c r="B117" s="298"/>
      <c r="C117" s="298"/>
      <c r="D117" s="298"/>
      <c r="E117" s="298"/>
      <c r="F117" s="298"/>
      <c r="G117" s="298"/>
      <c r="H117" s="312"/>
      <c r="I117" s="311"/>
      <c r="J117" s="309"/>
      <c r="K117" s="298">
        <f t="shared" si="5"/>
        <v>0</v>
      </c>
      <c r="L117" s="303" t="str">
        <f t="shared" ca="1" si="6"/>
        <v/>
      </c>
      <c r="M117" s="304" t="str">
        <f t="shared" ca="1" si="7"/>
        <v/>
      </c>
      <c r="N117" s="305" t="str">
        <f ca="1">IFERROR(_xludf.IFS(G117&lt;100,(ABS(100/G117))+1,G117&gt;100,(G117/100)+1,G117=100, 2, G117=-100, 2),"")</f>
        <v/>
      </c>
      <c r="O117" s="305" t="str">
        <f ca="1">IFERROR(_xludf.IFS(H117&lt;100,(ABS(100/H117))+1,H117&gt;100,(H117/100)+1,H117=100, 2, H117=-100, 2),"")</f>
        <v/>
      </c>
      <c r="P117" s="305" t="str">
        <f t="shared" ca="1" si="8"/>
        <v/>
      </c>
      <c r="Q117" s="271"/>
      <c r="R117" s="297"/>
      <c r="S117" s="271"/>
      <c r="T117" s="271"/>
      <c r="U117" s="271"/>
      <c r="V117" s="263"/>
      <c r="W117" s="263"/>
      <c r="X117" s="263"/>
      <c r="Y117" s="71"/>
      <c r="Z117" s="71"/>
      <c r="AA117" s="71"/>
      <c r="AB117" s="71"/>
    </row>
    <row r="118" spans="1:28" ht="15.75" customHeight="1">
      <c r="A118" s="143"/>
      <c r="B118" s="298"/>
      <c r="C118" s="298"/>
      <c r="D118" s="298"/>
      <c r="E118" s="298"/>
      <c r="F118" s="298"/>
      <c r="G118" s="298"/>
      <c r="H118" s="312"/>
      <c r="I118" s="311"/>
      <c r="J118" s="309"/>
      <c r="K118" s="298">
        <f t="shared" si="5"/>
        <v>0</v>
      </c>
      <c r="L118" s="303" t="str">
        <f t="shared" ca="1" si="6"/>
        <v/>
      </c>
      <c r="M118" s="304" t="str">
        <f t="shared" ca="1" si="7"/>
        <v/>
      </c>
      <c r="N118" s="305" t="str">
        <f ca="1">IFERROR(_xludf.IFS(G118&lt;100,(ABS(100/G118))+1,G118&gt;100,(G118/100)+1,G118=100, 2, G118=-100, 2),"")</f>
        <v/>
      </c>
      <c r="O118" s="305" t="str">
        <f ca="1">IFERROR(_xludf.IFS(H118&lt;100,(ABS(100/H118))+1,H118&gt;100,(H118/100)+1,H118=100, 2, H118=-100, 2),"")</f>
        <v/>
      </c>
      <c r="P118" s="305" t="str">
        <f t="shared" ca="1" si="8"/>
        <v/>
      </c>
      <c r="Q118" s="271"/>
      <c r="R118" s="297"/>
      <c r="S118" s="271"/>
      <c r="T118" s="271"/>
      <c r="U118" s="271"/>
      <c r="V118" s="263"/>
      <c r="W118" s="263"/>
      <c r="X118" s="263"/>
      <c r="Y118" s="71"/>
      <c r="Z118" s="71"/>
      <c r="AA118" s="71"/>
      <c r="AB118" s="71"/>
    </row>
    <row r="119" spans="1:28" ht="15.75" customHeight="1">
      <c r="A119" s="143"/>
      <c r="B119" s="298"/>
      <c r="C119" s="298"/>
      <c r="D119" s="298"/>
      <c r="E119" s="298"/>
      <c r="F119" s="298"/>
      <c r="G119" s="298"/>
      <c r="H119" s="312"/>
      <c r="I119" s="311"/>
      <c r="J119" s="309"/>
      <c r="K119" s="298">
        <f t="shared" si="5"/>
        <v>0</v>
      </c>
      <c r="L119" s="303" t="str">
        <f t="shared" ca="1" si="6"/>
        <v/>
      </c>
      <c r="M119" s="304" t="str">
        <f t="shared" ca="1" si="7"/>
        <v/>
      </c>
      <c r="N119" s="305" t="str">
        <f ca="1">IFERROR(_xludf.IFS(G119&lt;100,(ABS(100/G119))+1,G119&gt;100,(G119/100)+1,G119=100, 2, G119=-100, 2),"")</f>
        <v/>
      </c>
      <c r="O119" s="305" t="str">
        <f ca="1">IFERROR(_xludf.IFS(H119&lt;100,(ABS(100/H119))+1,H119&gt;100,(H119/100)+1,H119=100, 2, H119=-100, 2),"")</f>
        <v/>
      </c>
      <c r="P119" s="305" t="str">
        <f t="shared" ca="1" si="8"/>
        <v/>
      </c>
      <c r="Q119" s="271"/>
      <c r="R119" s="297"/>
      <c r="S119" s="271"/>
      <c r="T119" s="271"/>
      <c r="U119" s="271"/>
      <c r="V119" s="263"/>
      <c r="W119" s="263"/>
      <c r="X119" s="263"/>
      <c r="Y119" s="71"/>
      <c r="Z119" s="71"/>
      <c r="AA119" s="71"/>
      <c r="AB119" s="71"/>
    </row>
    <row r="120" spans="1:28" ht="15.75" customHeight="1">
      <c r="A120" s="143"/>
      <c r="B120" s="298"/>
      <c r="C120" s="298"/>
      <c r="D120" s="298"/>
      <c r="E120" s="298"/>
      <c r="F120" s="298"/>
      <c r="G120" s="298"/>
      <c r="H120" s="312"/>
      <c r="I120" s="311"/>
      <c r="J120" s="309"/>
      <c r="K120" s="298">
        <f t="shared" si="5"/>
        <v>0</v>
      </c>
      <c r="L120" s="303" t="str">
        <f t="shared" ca="1" si="6"/>
        <v/>
      </c>
      <c r="M120" s="304" t="str">
        <f t="shared" ca="1" si="7"/>
        <v/>
      </c>
      <c r="N120" s="305" t="str">
        <f ca="1">IFERROR(_xludf.IFS(G120&lt;100,(ABS(100/G120))+1,G120&gt;100,(G120/100)+1,G120=100, 2, G120=-100, 2),"")</f>
        <v/>
      </c>
      <c r="O120" s="305" t="str">
        <f ca="1">IFERROR(_xludf.IFS(H120&lt;100,(ABS(100/H120))+1,H120&gt;100,(H120/100)+1,H120=100, 2, H120=-100, 2),"")</f>
        <v/>
      </c>
      <c r="P120" s="305" t="str">
        <f t="shared" ca="1" si="8"/>
        <v/>
      </c>
      <c r="Q120" s="271"/>
      <c r="R120" s="297"/>
      <c r="S120" s="271"/>
      <c r="T120" s="271"/>
      <c r="U120" s="271"/>
      <c r="V120" s="263"/>
      <c r="W120" s="263"/>
      <c r="X120" s="263"/>
      <c r="Y120" s="71"/>
      <c r="Z120" s="71"/>
      <c r="AA120" s="71"/>
      <c r="AB120" s="71"/>
    </row>
    <row r="121" spans="1:28" ht="15.75" customHeight="1">
      <c r="A121" s="143"/>
      <c r="B121" s="298"/>
      <c r="C121" s="298"/>
      <c r="D121" s="298"/>
      <c r="E121" s="298"/>
      <c r="F121" s="298"/>
      <c r="G121" s="298"/>
      <c r="H121" s="312"/>
      <c r="I121" s="311"/>
      <c r="J121" s="309"/>
      <c r="K121" s="298">
        <f t="shared" si="5"/>
        <v>0</v>
      </c>
      <c r="L121" s="303" t="str">
        <f t="shared" ca="1" si="6"/>
        <v/>
      </c>
      <c r="M121" s="304" t="str">
        <f t="shared" ca="1" si="7"/>
        <v/>
      </c>
      <c r="N121" s="305" t="str">
        <f ca="1">IFERROR(_xludf.IFS(G121&lt;100,(ABS(100/G121))+1,G121&gt;100,(G121/100)+1,G121=100, 2, G121=-100, 2),"")</f>
        <v/>
      </c>
      <c r="O121" s="305" t="str">
        <f ca="1">IFERROR(_xludf.IFS(H121&lt;100,(ABS(100/H121))+1,H121&gt;100,(H121/100)+1,H121=100, 2, H121=-100, 2),"")</f>
        <v/>
      </c>
      <c r="P121" s="305" t="str">
        <f t="shared" ca="1" si="8"/>
        <v/>
      </c>
      <c r="Q121" s="271"/>
      <c r="R121" s="297"/>
      <c r="S121" s="271"/>
      <c r="T121" s="271"/>
      <c r="U121" s="271"/>
      <c r="V121" s="263"/>
      <c r="W121" s="263"/>
      <c r="X121" s="263"/>
      <c r="Y121" s="71"/>
      <c r="Z121" s="71"/>
      <c r="AA121" s="71"/>
      <c r="AB121" s="71"/>
    </row>
    <row r="122" spans="1:28" ht="15.75" customHeight="1">
      <c r="A122" s="143"/>
      <c r="B122" s="298"/>
      <c r="C122" s="298"/>
      <c r="D122" s="298"/>
      <c r="E122" s="298"/>
      <c r="F122" s="298"/>
      <c r="G122" s="298"/>
      <c r="H122" s="312"/>
      <c r="I122" s="311"/>
      <c r="J122" s="309"/>
      <c r="K122" s="298">
        <f t="shared" si="5"/>
        <v>0</v>
      </c>
      <c r="L122" s="303" t="str">
        <f t="shared" ca="1" si="6"/>
        <v/>
      </c>
      <c r="M122" s="304" t="str">
        <f t="shared" ca="1" si="7"/>
        <v/>
      </c>
      <c r="N122" s="305" t="str">
        <f ca="1">IFERROR(_xludf.IFS(G122&lt;100,(ABS(100/G122))+1,G122&gt;100,(G122/100)+1,G122=100, 2, G122=-100, 2),"")</f>
        <v/>
      </c>
      <c r="O122" s="305" t="str">
        <f ca="1">IFERROR(_xludf.IFS(H122&lt;100,(ABS(100/H122))+1,H122&gt;100,(H122/100)+1,H122=100, 2, H122=-100, 2),"")</f>
        <v/>
      </c>
      <c r="P122" s="305" t="str">
        <f t="shared" ca="1" si="8"/>
        <v/>
      </c>
      <c r="Q122" s="271"/>
      <c r="R122" s="297"/>
      <c r="S122" s="271"/>
      <c r="T122" s="271"/>
      <c r="U122" s="271"/>
      <c r="V122" s="263"/>
      <c r="W122" s="263"/>
      <c r="X122" s="263"/>
      <c r="Y122" s="71"/>
      <c r="Z122" s="71"/>
      <c r="AA122" s="71"/>
      <c r="AB122" s="71"/>
    </row>
    <row r="123" spans="1:28" ht="15.75" customHeight="1">
      <c r="A123" s="143"/>
      <c r="B123" s="298"/>
      <c r="C123" s="298"/>
      <c r="D123" s="298"/>
      <c r="E123" s="298"/>
      <c r="F123" s="298"/>
      <c r="G123" s="298"/>
      <c r="H123" s="312"/>
      <c r="I123" s="311"/>
      <c r="J123" s="309"/>
      <c r="K123" s="298">
        <f t="shared" si="5"/>
        <v>0</v>
      </c>
      <c r="L123" s="303" t="str">
        <f t="shared" ca="1" si="6"/>
        <v/>
      </c>
      <c r="M123" s="304" t="str">
        <f t="shared" ca="1" si="7"/>
        <v/>
      </c>
      <c r="N123" s="305" t="str">
        <f ca="1">IFERROR(_xludf.IFS(G123&lt;100,(ABS(100/G123))+1,G123&gt;100,(G123/100)+1,G123=100, 2, G123=-100, 2),"")</f>
        <v/>
      </c>
      <c r="O123" s="305" t="str">
        <f ca="1">IFERROR(_xludf.IFS(H123&lt;100,(ABS(100/H123))+1,H123&gt;100,(H123/100)+1,H123=100, 2, H123=-100, 2),"")</f>
        <v/>
      </c>
      <c r="P123" s="305" t="str">
        <f t="shared" ca="1" si="8"/>
        <v/>
      </c>
      <c r="Q123" s="271"/>
      <c r="R123" s="297"/>
      <c r="S123" s="271"/>
      <c r="T123" s="271"/>
      <c r="U123" s="271"/>
      <c r="V123" s="263"/>
      <c r="W123" s="263"/>
      <c r="X123" s="263"/>
      <c r="Y123" s="71"/>
      <c r="Z123" s="71"/>
      <c r="AA123" s="71"/>
      <c r="AB123" s="71"/>
    </row>
    <row r="124" spans="1:28" ht="15.75" customHeight="1">
      <c r="A124" s="143"/>
      <c r="B124" s="298"/>
      <c r="C124" s="298"/>
      <c r="D124" s="298"/>
      <c r="E124" s="298"/>
      <c r="F124" s="298"/>
      <c r="G124" s="298"/>
      <c r="H124" s="312"/>
      <c r="I124" s="311"/>
      <c r="J124" s="309"/>
      <c r="K124" s="298">
        <f t="shared" si="5"/>
        <v>0</v>
      </c>
      <c r="L124" s="303" t="str">
        <f t="shared" ca="1" si="6"/>
        <v/>
      </c>
      <c r="M124" s="304" t="str">
        <f t="shared" ca="1" si="7"/>
        <v/>
      </c>
      <c r="N124" s="305" t="str">
        <f ca="1">IFERROR(_xludf.IFS(G124&lt;100,(ABS(100/G124))+1,G124&gt;100,(G124/100)+1,G124=100, 2, G124=-100, 2),"")</f>
        <v/>
      </c>
      <c r="O124" s="305" t="str">
        <f ca="1">IFERROR(_xludf.IFS(H124&lt;100,(ABS(100/H124))+1,H124&gt;100,(H124/100)+1,H124=100, 2, H124=-100, 2),"")</f>
        <v/>
      </c>
      <c r="P124" s="305" t="str">
        <f t="shared" ca="1" si="8"/>
        <v/>
      </c>
      <c r="Q124" s="271"/>
      <c r="R124" s="297"/>
      <c r="S124" s="271"/>
      <c r="T124" s="271"/>
      <c r="U124" s="271"/>
      <c r="V124" s="263"/>
      <c r="W124" s="263"/>
      <c r="X124" s="263"/>
      <c r="Y124" s="71"/>
      <c r="Z124" s="71"/>
      <c r="AA124" s="71"/>
      <c r="AB124" s="71"/>
    </row>
    <row r="125" spans="1:28" ht="15.75" customHeight="1">
      <c r="A125" s="143"/>
      <c r="B125" s="298"/>
      <c r="C125" s="298"/>
      <c r="D125" s="298"/>
      <c r="E125" s="298"/>
      <c r="F125" s="298"/>
      <c r="G125" s="298"/>
      <c r="H125" s="312"/>
      <c r="I125" s="311"/>
      <c r="J125" s="309"/>
      <c r="K125" s="298">
        <f t="shared" si="5"/>
        <v>0</v>
      </c>
      <c r="L125" s="303" t="str">
        <f t="shared" ca="1" si="6"/>
        <v/>
      </c>
      <c r="M125" s="304" t="str">
        <f t="shared" ca="1" si="7"/>
        <v/>
      </c>
      <c r="N125" s="305" t="str">
        <f ca="1">IFERROR(_xludf.IFS(G125&lt;100,(ABS(100/G125))+1,G125&gt;100,(G125/100)+1,G125=100, 2, G125=-100, 2),"")</f>
        <v/>
      </c>
      <c r="O125" s="305" t="str">
        <f ca="1">IFERROR(_xludf.IFS(H125&lt;100,(ABS(100/H125))+1,H125&gt;100,(H125/100)+1,H125=100, 2, H125=-100, 2),"")</f>
        <v/>
      </c>
      <c r="P125" s="305" t="str">
        <f t="shared" ca="1" si="8"/>
        <v/>
      </c>
      <c r="Q125" s="271"/>
      <c r="R125" s="297"/>
      <c r="S125" s="271"/>
      <c r="T125" s="271"/>
      <c r="U125" s="271"/>
      <c r="V125" s="263"/>
      <c r="W125" s="263"/>
      <c r="X125" s="263"/>
      <c r="Y125" s="71"/>
      <c r="Z125" s="71"/>
      <c r="AA125" s="71"/>
      <c r="AB125" s="71"/>
    </row>
    <row r="126" spans="1:28" ht="15.75" customHeight="1">
      <c r="A126" s="143"/>
      <c r="B126" s="298"/>
      <c r="C126" s="298"/>
      <c r="D126" s="298"/>
      <c r="E126" s="298"/>
      <c r="F126" s="298"/>
      <c r="G126" s="298"/>
      <c r="H126" s="312"/>
      <c r="I126" s="311"/>
      <c r="J126" s="309"/>
      <c r="K126" s="298">
        <f t="shared" si="5"/>
        <v>0</v>
      </c>
      <c r="L126" s="303" t="str">
        <f t="shared" ca="1" si="6"/>
        <v/>
      </c>
      <c r="M126" s="304" t="str">
        <f t="shared" ca="1" si="7"/>
        <v/>
      </c>
      <c r="N126" s="305" t="str">
        <f ca="1">IFERROR(_xludf.IFS(G126&lt;100,(ABS(100/G126))+1,G126&gt;100,(G126/100)+1,G126=100, 2, G126=-100, 2),"")</f>
        <v/>
      </c>
      <c r="O126" s="305" t="str">
        <f ca="1">IFERROR(_xludf.IFS(H126&lt;100,(ABS(100/H126))+1,H126&gt;100,(H126/100)+1,H126=100, 2, H126=-100, 2),"")</f>
        <v/>
      </c>
      <c r="P126" s="305" t="str">
        <f t="shared" ca="1" si="8"/>
        <v/>
      </c>
      <c r="Q126" s="271"/>
      <c r="R126" s="297"/>
      <c r="S126" s="271"/>
      <c r="T126" s="271"/>
      <c r="U126" s="271"/>
      <c r="V126" s="263"/>
      <c r="W126" s="263"/>
      <c r="X126" s="263"/>
      <c r="Y126" s="71"/>
      <c r="Z126" s="71"/>
      <c r="AA126" s="71"/>
      <c r="AB126" s="71"/>
    </row>
    <row r="127" spans="1:28" ht="15.75" customHeight="1">
      <c r="A127" s="143"/>
      <c r="B127" s="298"/>
      <c r="C127" s="298"/>
      <c r="D127" s="298"/>
      <c r="E127" s="298"/>
      <c r="F127" s="298"/>
      <c r="G127" s="298"/>
      <c r="H127" s="312"/>
      <c r="I127" s="311"/>
      <c r="J127" s="309"/>
      <c r="K127" s="298">
        <f t="shared" si="5"/>
        <v>0</v>
      </c>
      <c r="L127" s="303" t="str">
        <f t="shared" ca="1" si="6"/>
        <v/>
      </c>
      <c r="M127" s="304" t="str">
        <f t="shared" ca="1" si="7"/>
        <v/>
      </c>
      <c r="N127" s="305" t="str">
        <f ca="1">IFERROR(_xludf.IFS(G127&lt;100,(ABS(100/G127))+1,G127&gt;100,(G127/100)+1,G127=100, 2, G127=-100, 2),"")</f>
        <v/>
      </c>
      <c r="O127" s="305" t="str">
        <f ca="1">IFERROR(_xludf.IFS(H127&lt;100,(ABS(100/H127))+1,H127&gt;100,(H127/100)+1,H127=100, 2, H127=-100, 2),"")</f>
        <v/>
      </c>
      <c r="P127" s="305" t="str">
        <f t="shared" ca="1" si="8"/>
        <v/>
      </c>
      <c r="Q127" s="271"/>
      <c r="R127" s="297"/>
      <c r="S127" s="271"/>
      <c r="T127" s="271"/>
      <c r="U127" s="271"/>
      <c r="V127" s="263"/>
      <c r="W127" s="263"/>
      <c r="X127" s="263"/>
      <c r="Y127" s="71"/>
      <c r="Z127" s="71"/>
      <c r="AA127" s="71"/>
      <c r="AB127" s="71"/>
    </row>
    <row r="128" spans="1:28" ht="15.75" customHeight="1">
      <c r="A128" s="143"/>
      <c r="B128" s="298"/>
      <c r="C128" s="298"/>
      <c r="D128" s="298"/>
      <c r="E128" s="298"/>
      <c r="F128" s="298"/>
      <c r="G128" s="298"/>
      <c r="H128" s="312"/>
      <c r="I128" s="311"/>
      <c r="J128" s="309"/>
      <c r="K128" s="298">
        <f t="shared" si="5"/>
        <v>0</v>
      </c>
      <c r="L128" s="303" t="str">
        <f t="shared" ca="1" si="6"/>
        <v/>
      </c>
      <c r="M128" s="304" t="str">
        <f t="shared" ca="1" si="7"/>
        <v/>
      </c>
      <c r="N128" s="305" t="str">
        <f ca="1">IFERROR(_xludf.IFS(G128&lt;100,(ABS(100/G128))+1,G128&gt;100,(G128/100)+1,G128=100, 2, G128=-100, 2),"")</f>
        <v/>
      </c>
      <c r="O128" s="305" t="str">
        <f ca="1">IFERROR(_xludf.IFS(H128&lt;100,(ABS(100/H128))+1,H128&gt;100,(H128/100)+1,H128=100, 2, H128=-100, 2),"")</f>
        <v/>
      </c>
      <c r="P128" s="305" t="str">
        <f t="shared" ca="1" si="8"/>
        <v/>
      </c>
      <c r="Q128" s="271"/>
      <c r="R128" s="297"/>
      <c r="S128" s="271"/>
      <c r="T128" s="271"/>
      <c r="U128" s="271"/>
      <c r="V128" s="263"/>
      <c r="W128" s="263"/>
      <c r="X128" s="263"/>
      <c r="Y128" s="71"/>
      <c r="Z128" s="71"/>
      <c r="AA128" s="71"/>
      <c r="AB128" s="71"/>
    </row>
    <row r="129" spans="1:28" ht="15.75" customHeight="1">
      <c r="A129" s="143"/>
      <c r="B129" s="298"/>
      <c r="C129" s="298"/>
      <c r="D129" s="298"/>
      <c r="E129" s="298"/>
      <c r="F129" s="298"/>
      <c r="G129" s="298"/>
      <c r="H129" s="312"/>
      <c r="I129" s="311"/>
      <c r="J129" s="309"/>
      <c r="K129" s="298">
        <f t="shared" si="5"/>
        <v>0</v>
      </c>
      <c r="L129" s="303" t="str">
        <f t="shared" ca="1" si="6"/>
        <v/>
      </c>
      <c r="M129" s="304" t="str">
        <f t="shared" ca="1" si="7"/>
        <v/>
      </c>
      <c r="N129" s="305" t="str">
        <f ca="1">IFERROR(_xludf.IFS(G129&lt;100,(ABS(100/G129))+1,G129&gt;100,(G129/100)+1,G129=100, 2, G129=-100, 2),"")</f>
        <v/>
      </c>
      <c r="O129" s="305" t="str">
        <f ca="1">IFERROR(_xludf.IFS(H129&lt;100,(ABS(100/H129))+1,H129&gt;100,(H129/100)+1,H129=100, 2, H129=-100, 2),"")</f>
        <v/>
      </c>
      <c r="P129" s="305" t="str">
        <f t="shared" ca="1" si="8"/>
        <v/>
      </c>
      <c r="Q129" s="271"/>
      <c r="R129" s="297"/>
      <c r="S129" s="271"/>
      <c r="T129" s="271"/>
      <c r="U129" s="271"/>
      <c r="V129" s="263"/>
      <c r="W129" s="263"/>
      <c r="X129" s="263"/>
      <c r="Y129" s="71"/>
      <c r="Z129" s="71"/>
      <c r="AA129" s="71"/>
      <c r="AB129" s="71"/>
    </row>
    <row r="130" spans="1:28" ht="15.75" customHeight="1">
      <c r="A130" s="143"/>
      <c r="B130" s="298"/>
      <c r="C130" s="298"/>
      <c r="D130" s="298"/>
      <c r="E130" s="298"/>
      <c r="F130" s="298"/>
      <c r="G130" s="298"/>
      <c r="H130" s="312"/>
      <c r="I130" s="311"/>
      <c r="J130" s="309"/>
      <c r="K130" s="298">
        <f t="shared" si="5"/>
        <v>0</v>
      </c>
      <c r="L130" s="303" t="str">
        <f t="shared" ca="1" si="6"/>
        <v/>
      </c>
      <c r="M130" s="304" t="str">
        <f t="shared" ca="1" si="7"/>
        <v/>
      </c>
      <c r="N130" s="305" t="str">
        <f ca="1">IFERROR(_xludf.IFS(G130&lt;100,(ABS(100/G130))+1,G130&gt;100,(G130/100)+1,G130=100, 2, G130=-100, 2),"")</f>
        <v/>
      </c>
      <c r="O130" s="305" t="str">
        <f ca="1">IFERROR(_xludf.IFS(H130&lt;100,(ABS(100/H130))+1,H130&gt;100,(H130/100)+1,H130=100, 2, H130=-100, 2),"")</f>
        <v/>
      </c>
      <c r="P130" s="305" t="str">
        <f t="shared" ca="1" si="8"/>
        <v/>
      </c>
      <c r="Q130" s="271"/>
      <c r="R130" s="297"/>
      <c r="S130" s="271"/>
      <c r="T130" s="271"/>
      <c r="U130" s="271"/>
      <c r="V130" s="263"/>
      <c r="W130" s="263"/>
      <c r="X130" s="263"/>
      <c r="Y130" s="71"/>
      <c r="Z130" s="71"/>
      <c r="AA130" s="71"/>
      <c r="AB130" s="71"/>
    </row>
    <row r="131" spans="1:28" ht="15.75" customHeight="1">
      <c r="A131" s="143"/>
      <c r="B131" s="298"/>
      <c r="C131" s="298"/>
      <c r="D131" s="298"/>
      <c r="E131" s="298"/>
      <c r="F131" s="298"/>
      <c r="G131" s="298"/>
      <c r="H131" s="312"/>
      <c r="I131" s="311"/>
      <c r="J131" s="309"/>
      <c r="K131" s="298">
        <f t="shared" si="5"/>
        <v>0</v>
      </c>
      <c r="L131" s="303" t="str">
        <f t="shared" ca="1" si="6"/>
        <v/>
      </c>
      <c r="M131" s="304" t="str">
        <f t="shared" ca="1" si="7"/>
        <v/>
      </c>
      <c r="N131" s="305" t="str">
        <f ca="1">IFERROR(_xludf.IFS(G131&lt;100,(ABS(100/G131))+1,G131&gt;100,(G131/100)+1,G131=100, 2, G131=-100, 2),"")</f>
        <v/>
      </c>
      <c r="O131" s="305" t="str">
        <f ca="1">IFERROR(_xludf.IFS(H131&lt;100,(ABS(100/H131))+1,H131&gt;100,(H131/100)+1,H131=100, 2, H131=-100, 2),"")</f>
        <v/>
      </c>
      <c r="P131" s="305" t="str">
        <f t="shared" ca="1" si="8"/>
        <v/>
      </c>
      <c r="Q131" s="271"/>
      <c r="R131" s="297"/>
      <c r="S131" s="271"/>
      <c r="T131" s="271"/>
      <c r="U131" s="271"/>
      <c r="V131" s="263"/>
      <c r="W131" s="263"/>
      <c r="X131" s="263"/>
      <c r="Y131" s="71"/>
      <c r="Z131" s="71"/>
      <c r="AA131" s="71"/>
      <c r="AB131" s="71"/>
    </row>
    <row r="132" spans="1:28" ht="15.75" customHeight="1">
      <c r="A132" s="143"/>
      <c r="B132" s="298"/>
      <c r="C132" s="298"/>
      <c r="D132" s="298"/>
      <c r="E132" s="298"/>
      <c r="F132" s="298"/>
      <c r="G132" s="298"/>
      <c r="H132" s="312"/>
      <c r="I132" s="311"/>
      <c r="J132" s="309"/>
      <c r="K132" s="298">
        <f t="shared" si="5"/>
        <v>0</v>
      </c>
      <c r="L132" s="303" t="str">
        <f t="shared" ca="1" si="6"/>
        <v/>
      </c>
      <c r="M132" s="304" t="str">
        <f t="shared" ca="1" si="7"/>
        <v/>
      </c>
      <c r="N132" s="305" t="str">
        <f ca="1">IFERROR(_xludf.IFS(G132&lt;100,(ABS(100/G132))+1,G132&gt;100,(G132/100)+1,G132=100, 2, G132=-100, 2),"")</f>
        <v/>
      </c>
      <c r="O132" s="305" t="str">
        <f ca="1">IFERROR(_xludf.IFS(H132&lt;100,(ABS(100/H132))+1,H132&gt;100,(H132/100)+1,H132=100, 2, H132=-100, 2),"")</f>
        <v/>
      </c>
      <c r="P132" s="305" t="str">
        <f t="shared" ca="1" si="8"/>
        <v/>
      </c>
      <c r="Q132" s="271"/>
      <c r="R132" s="297"/>
      <c r="S132" s="271"/>
      <c r="T132" s="271"/>
      <c r="U132" s="271"/>
      <c r="V132" s="263"/>
      <c r="W132" s="263"/>
      <c r="X132" s="263"/>
      <c r="Y132" s="71"/>
      <c r="Z132" s="71"/>
      <c r="AA132" s="71"/>
      <c r="AB132" s="71"/>
    </row>
    <row r="133" spans="1:28" ht="15.75" customHeight="1">
      <c r="A133" s="143"/>
      <c r="B133" s="298"/>
      <c r="C133" s="298"/>
      <c r="D133" s="298"/>
      <c r="E133" s="298"/>
      <c r="F133" s="298"/>
      <c r="G133" s="298"/>
      <c r="H133" s="312"/>
      <c r="I133" s="311"/>
      <c r="J133" s="309"/>
      <c r="K133" s="298">
        <f t="shared" si="5"/>
        <v>0</v>
      </c>
      <c r="L133" s="303" t="str">
        <f t="shared" ca="1" si="6"/>
        <v/>
      </c>
      <c r="M133" s="304" t="str">
        <f t="shared" ca="1" si="7"/>
        <v/>
      </c>
      <c r="N133" s="305" t="str">
        <f ca="1">IFERROR(_xludf.IFS(G133&lt;100,(ABS(100/G133))+1,G133&gt;100,(G133/100)+1,G133=100, 2, G133=-100, 2),"")</f>
        <v/>
      </c>
      <c r="O133" s="305" t="str">
        <f ca="1">IFERROR(_xludf.IFS(H133&lt;100,(ABS(100/H133))+1,H133&gt;100,(H133/100)+1,H133=100, 2, H133=-100, 2),"")</f>
        <v/>
      </c>
      <c r="P133" s="305" t="str">
        <f t="shared" ca="1" si="8"/>
        <v/>
      </c>
      <c r="Q133" s="271"/>
      <c r="R133" s="297"/>
      <c r="S133" s="271"/>
      <c r="T133" s="271"/>
      <c r="U133" s="271"/>
      <c r="V133" s="263"/>
      <c r="W133" s="263"/>
      <c r="X133" s="263"/>
      <c r="Y133" s="71"/>
      <c r="Z133" s="71"/>
      <c r="AA133" s="71"/>
      <c r="AB133" s="71"/>
    </row>
    <row r="134" spans="1:28" ht="15.75" customHeight="1">
      <c r="A134" s="143"/>
      <c r="B134" s="298"/>
      <c r="C134" s="298"/>
      <c r="D134" s="298"/>
      <c r="E134" s="298"/>
      <c r="F134" s="298"/>
      <c r="G134" s="298"/>
      <c r="H134" s="312"/>
      <c r="I134" s="311"/>
      <c r="J134" s="309"/>
      <c r="K134" s="298">
        <f t="shared" si="5"/>
        <v>0</v>
      </c>
      <c r="L134" s="303" t="str">
        <f t="shared" ca="1" si="6"/>
        <v/>
      </c>
      <c r="M134" s="304" t="str">
        <f t="shared" ca="1" si="7"/>
        <v/>
      </c>
      <c r="N134" s="305" t="str">
        <f ca="1">IFERROR(_xludf.IFS(G134&lt;100,(ABS(100/G134))+1,G134&gt;100,(G134/100)+1,G134=100, 2, G134=-100, 2),"")</f>
        <v/>
      </c>
      <c r="O134" s="305" t="str">
        <f ca="1">IFERROR(_xludf.IFS(H134&lt;100,(ABS(100/H134))+1,H134&gt;100,(H134/100)+1,H134=100, 2, H134=-100, 2),"")</f>
        <v/>
      </c>
      <c r="P134" s="305" t="str">
        <f t="shared" ca="1" si="8"/>
        <v/>
      </c>
      <c r="Q134" s="271"/>
      <c r="R134" s="297"/>
      <c r="S134" s="271"/>
      <c r="T134" s="271"/>
      <c r="U134" s="271"/>
      <c r="V134" s="263"/>
      <c r="W134" s="263"/>
      <c r="X134" s="263"/>
      <c r="Y134" s="71"/>
      <c r="Z134" s="71"/>
      <c r="AA134" s="71"/>
      <c r="AB134" s="71"/>
    </row>
    <row r="135" spans="1:28" ht="15.75" customHeight="1">
      <c r="A135" s="143"/>
      <c r="B135" s="298"/>
      <c r="C135" s="298"/>
      <c r="D135" s="298"/>
      <c r="E135" s="298"/>
      <c r="F135" s="298"/>
      <c r="G135" s="298"/>
      <c r="H135" s="312"/>
      <c r="I135" s="311"/>
      <c r="J135" s="309"/>
      <c r="K135" s="298">
        <f t="shared" si="5"/>
        <v>0</v>
      </c>
      <c r="L135" s="303" t="str">
        <f t="shared" ca="1" si="6"/>
        <v/>
      </c>
      <c r="M135" s="304" t="str">
        <f t="shared" ca="1" si="7"/>
        <v/>
      </c>
      <c r="N135" s="305" t="str">
        <f ca="1">IFERROR(_xludf.IFS(G135&lt;100,(ABS(100/G135))+1,G135&gt;100,(G135/100)+1,G135=100, 2, G135=-100, 2),"")</f>
        <v/>
      </c>
      <c r="O135" s="305" t="str">
        <f ca="1">IFERROR(_xludf.IFS(H135&lt;100,(ABS(100/H135))+1,H135&gt;100,(H135/100)+1,H135=100, 2, H135=-100, 2),"")</f>
        <v/>
      </c>
      <c r="P135" s="305" t="str">
        <f t="shared" ca="1" si="8"/>
        <v/>
      </c>
      <c r="Q135" s="271"/>
      <c r="R135" s="297"/>
      <c r="S135" s="271"/>
      <c r="T135" s="271"/>
      <c r="U135" s="271"/>
      <c r="V135" s="263"/>
      <c r="W135" s="263"/>
      <c r="X135" s="263"/>
      <c r="Y135" s="71"/>
      <c r="Z135" s="71"/>
      <c r="AA135" s="71"/>
      <c r="AB135" s="71"/>
    </row>
    <row r="136" spans="1:28" ht="15.75" customHeight="1">
      <c r="A136" s="143"/>
      <c r="B136" s="298"/>
      <c r="C136" s="298"/>
      <c r="D136" s="298"/>
      <c r="E136" s="298"/>
      <c r="F136" s="298"/>
      <c r="G136" s="298"/>
      <c r="H136" s="312"/>
      <c r="I136" s="311"/>
      <c r="J136" s="309"/>
      <c r="K136" s="298">
        <f t="shared" si="5"/>
        <v>0</v>
      </c>
      <c r="L136" s="303" t="str">
        <f t="shared" ca="1" si="6"/>
        <v/>
      </c>
      <c r="M136" s="304" t="str">
        <f t="shared" ca="1" si="7"/>
        <v/>
      </c>
      <c r="N136" s="305" t="str">
        <f ca="1">IFERROR(_xludf.IFS(G136&lt;100,(ABS(100/G136))+1,G136&gt;100,(G136/100)+1,G136=100, 2, G136=-100, 2),"")</f>
        <v/>
      </c>
      <c r="O136" s="305" t="str">
        <f ca="1">IFERROR(_xludf.IFS(H136&lt;100,(ABS(100/H136))+1,H136&gt;100,(H136/100)+1,H136=100, 2, H136=-100, 2),"")</f>
        <v/>
      </c>
      <c r="P136" s="305" t="str">
        <f t="shared" ca="1" si="8"/>
        <v/>
      </c>
      <c r="Q136" s="271"/>
      <c r="R136" s="297"/>
      <c r="S136" s="271"/>
      <c r="T136" s="271"/>
      <c r="U136" s="271"/>
      <c r="V136" s="263"/>
      <c r="W136" s="263"/>
      <c r="X136" s="263"/>
      <c r="Y136" s="71"/>
      <c r="Z136" s="71"/>
      <c r="AA136" s="71"/>
      <c r="AB136" s="71"/>
    </row>
    <row r="137" spans="1:28" ht="15.75" customHeight="1">
      <c r="A137" s="143"/>
      <c r="B137" s="298"/>
      <c r="C137" s="298"/>
      <c r="D137" s="298"/>
      <c r="E137" s="298"/>
      <c r="F137" s="298"/>
      <c r="G137" s="298"/>
      <c r="H137" s="312"/>
      <c r="I137" s="311"/>
      <c r="J137" s="309"/>
      <c r="K137" s="298">
        <f t="shared" si="5"/>
        <v>0</v>
      </c>
      <c r="L137" s="303" t="str">
        <f t="shared" ca="1" si="6"/>
        <v/>
      </c>
      <c r="M137" s="304" t="str">
        <f t="shared" ca="1" si="7"/>
        <v/>
      </c>
      <c r="N137" s="305" t="str">
        <f ca="1">IFERROR(_xludf.IFS(G137&lt;100,(ABS(100/G137))+1,G137&gt;100,(G137/100)+1,G137=100, 2, G137=-100, 2),"")</f>
        <v/>
      </c>
      <c r="O137" s="305" t="str">
        <f ca="1">IFERROR(_xludf.IFS(H137&lt;100,(ABS(100/H137))+1,H137&gt;100,(H137/100)+1,H137=100, 2, H137=-100, 2),"")</f>
        <v/>
      </c>
      <c r="P137" s="305" t="str">
        <f t="shared" ca="1" si="8"/>
        <v/>
      </c>
      <c r="Q137" s="271"/>
      <c r="R137" s="297"/>
      <c r="S137" s="271"/>
      <c r="T137" s="271"/>
      <c r="U137" s="271"/>
      <c r="V137" s="263"/>
      <c r="W137" s="263"/>
      <c r="X137" s="263"/>
      <c r="Y137" s="71"/>
      <c r="Z137" s="71"/>
      <c r="AA137" s="71"/>
      <c r="AB137" s="71"/>
    </row>
    <row r="138" spans="1:28" ht="15.75" customHeight="1">
      <c r="A138" s="143"/>
      <c r="B138" s="298"/>
      <c r="C138" s="298"/>
      <c r="D138" s="298"/>
      <c r="E138" s="298"/>
      <c r="F138" s="298"/>
      <c r="G138" s="298"/>
      <c r="H138" s="312"/>
      <c r="I138" s="311"/>
      <c r="J138" s="309"/>
      <c r="K138" s="298">
        <f t="shared" ref="K138:K201" si="9">IF(J138="W",N138*I138-I138,IF(J138="L",-I138,0))</f>
        <v>0</v>
      </c>
      <c r="L138" s="303" t="str">
        <f t="shared" ref="L138:L201" ca="1" si="10">IFERROR((1/O138-1/N138)/(1/N138),"")</f>
        <v/>
      </c>
      <c r="M138" s="304" t="str">
        <f t="shared" ref="M138:M201" ca="1" si="11">IFERROR((1/P138-1/N138)/(1/N138),"")</f>
        <v/>
      </c>
      <c r="N138" s="305" t="str">
        <f ca="1">IFERROR(_xludf.IFS(G138&lt;100,(ABS(100/G138))+1,G138&gt;100,(G138/100)+1,G138=100, 2, G138=-100, 2),"")</f>
        <v/>
      </c>
      <c r="O138" s="305" t="str">
        <f ca="1">IFERROR(_xludf.IFS(H138&lt;100,(ABS(100/H138))+1,H138&gt;100,(H138/100)+1,H138=100, 2, H138=-100, 2),"")</f>
        <v/>
      </c>
      <c r="P138" s="305" t="str">
        <f t="shared" ca="1" si="8"/>
        <v/>
      </c>
      <c r="Q138" s="271"/>
      <c r="R138" s="297"/>
      <c r="S138" s="271"/>
      <c r="T138" s="271"/>
      <c r="U138" s="271"/>
      <c r="V138" s="263"/>
      <c r="W138" s="263"/>
      <c r="X138" s="263"/>
      <c r="Y138" s="71"/>
      <c r="Z138" s="71"/>
      <c r="AA138" s="71"/>
      <c r="AB138" s="71"/>
    </row>
    <row r="139" spans="1:28" ht="15.75" customHeight="1">
      <c r="A139" s="143"/>
      <c r="B139" s="298"/>
      <c r="C139" s="298"/>
      <c r="D139" s="298"/>
      <c r="E139" s="298"/>
      <c r="F139" s="298"/>
      <c r="G139" s="298"/>
      <c r="H139" s="312"/>
      <c r="I139" s="311"/>
      <c r="J139" s="309"/>
      <c r="K139" s="298">
        <f t="shared" si="9"/>
        <v>0</v>
      </c>
      <c r="L139" s="303" t="str">
        <f t="shared" ca="1" si="10"/>
        <v/>
      </c>
      <c r="M139" s="304" t="str">
        <f t="shared" ca="1" si="11"/>
        <v/>
      </c>
      <c r="N139" s="305" t="str">
        <f ca="1">IFERROR(_xludf.IFS(G139&lt;100,(ABS(100/G139))+1,G139&gt;100,(G139/100)+1,G139=100, 2, G139=-100, 2),"")</f>
        <v/>
      </c>
      <c r="O139" s="305" t="str">
        <f ca="1">IFERROR(_xludf.IFS(H139&lt;100,(ABS(100/H139))+1,H139&gt;100,(H139/100)+1,H139=100, 2, H139=-100, 2),"")</f>
        <v/>
      </c>
      <c r="P139" s="305" t="str">
        <f t="shared" ca="1" si="8"/>
        <v/>
      </c>
      <c r="Q139" s="271"/>
      <c r="R139" s="297"/>
      <c r="S139" s="271"/>
      <c r="T139" s="271"/>
      <c r="U139" s="271"/>
      <c r="V139" s="263"/>
      <c r="W139" s="263"/>
      <c r="X139" s="263"/>
      <c r="Y139" s="71"/>
      <c r="Z139" s="71"/>
      <c r="AA139" s="71"/>
      <c r="AB139" s="71"/>
    </row>
    <row r="140" spans="1:28" ht="15.75" customHeight="1">
      <c r="A140" s="143"/>
      <c r="B140" s="298"/>
      <c r="C140" s="298"/>
      <c r="D140" s="298"/>
      <c r="E140" s="298"/>
      <c r="F140" s="298"/>
      <c r="G140" s="298"/>
      <c r="H140" s="312"/>
      <c r="I140" s="311"/>
      <c r="J140" s="309"/>
      <c r="K140" s="298">
        <f t="shared" si="9"/>
        <v>0</v>
      </c>
      <c r="L140" s="303" t="str">
        <f t="shared" ca="1" si="10"/>
        <v/>
      </c>
      <c r="M140" s="304" t="str">
        <f t="shared" ca="1" si="11"/>
        <v/>
      </c>
      <c r="N140" s="305" t="str">
        <f ca="1">IFERROR(_xludf.IFS(G140&lt;100,(ABS(100/G140))+1,G140&gt;100,(G140/100)+1,G140=100, 2, G140=-100, 2),"")</f>
        <v/>
      </c>
      <c r="O140" s="305" t="str">
        <f ca="1">IFERROR(_xludf.IFS(H140&lt;100,(ABS(100/H140))+1,H140&gt;100,(H140/100)+1,H140=100, 2, H140=-100, 2),"")</f>
        <v/>
      </c>
      <c r="P140" s="305" t="str">
        <f t="shared" ca="1" si="8"/>
        <v/>
      </c>
      <c r="Q140" s="271"/>
      <c r="R140" s="297"/>
      <c r="S140" s="271"/>
      <c r="T140" s="271"/>
      <c r="U140" s="271"/>
      <c r="V140" s="263"/>
      <c r="W140" s="263"/>
      <c r="X140" s="263"/>
      <c r="Y140" s="71"/>
      <c r="Z140" s="71"/>
      <c r="AA140" s="71"/>
      <c r="AB140" s="71"/>
    </row>
    <row r="141" spans="1:28" ht="15.75" customHeight="1">
      <c r="A141" s="143"/>
      <c r="B141" s="298"/>
      <c r="C141" s="298"/>
      <c r="D141" s="298"/>
      <c r="E141" s="298"/>
      <c r="F141" s="298"/>
      <c r="G141" s="298"/>
      <c r="H141" s="312"/>
      <c r="I141" s="311"/>
      <c r="J141" s="309"/>
      <c r="K141" s="298">
        <f t="shared" si="9"/>
        <v>0</v>
      </c>
      <c r="L141" s="303" t="str">
        <f t="shared" ca="1" si="10"/>
        <v/>
      </c>
      <c r="M141" s="304" t="str">
        <f t="shared" ca="1" si="11"/>
        <v/>
      </c>
      <c r="N141" s="305" t="str">
        <f ca="1">IFERROR(_xludf.IFS(G141&lt;100,(ABS(100/G141))+1,G141&gt;100,(G141/100)+1,G141=100, 2, G141=-100, 2),"")</f>
        <v/>
      </c>
      <c r="O141" s="305" t="str">
        <f ca="1">IFERROR(_xludf.IFS(H141&lt;100,(ABS(100/H141))+1,H141&gt;100,(H141/100)+1,H141=100, 2, H141=-100, 2),"")</f>
        <v/>
      </c>
      <c r="P141" s="305" t="str">
        <f t="shared" ca="1" si="8"/>
        <v/>
      </c>
      <c r="Q141" s="271"/>
      <c r="R141" s="297"/>
      <c r="S141" s="271"/>
      <c r="T141" s="271"/>
      <c r="U141" s="271"/>
      <c r="V141" s="263"/>
      <c r="W141" s="263"/>
      <c r="X141" s="263"/>
      <c r="Y141" s="71"/>
      <c r="Z141" s="71"/>
      <c r="AA141" s="71"/>
      <c r="AB141" s="71"/>
    </row>
    <row r="142" spans="1:28" ht="15.75" customHeight="1">
      <c r="A142" s="143"/>
      <c r="B142" s="298"/>
      <c r="C142" s="298"/>
      <c r="D142" s="298"/>
      <c r="E142" s="298"/>
      <c r="F142" s="298"/>
      <c r="G142" s="298"/>
      <c r="H142" s="312"/>
      <c r="I142" s="311"/>
      <c r="J142" s="309"/>
      <c r="K142" s="298">
        <f t="shared" si="9"/>
        <v>0</v>
      </c>
      <c r="L142" s="303" t="str">
        <f t="shared" ca="1" si="10"/>
        <v/>
      </c>
      <c r="M142" s="304" t="str">
        <f t="shared" ca="1" si="11"/>
        <v/>
      </c>
      <c r="N142" s="305" t="str">
        <f ca="1">IFERROR(_xludf.IFS(G142&lt;100,(ABS(100/G142))+1,G142&gt;100,(G142/100)+1,G142=100, 2, G142=-100, 2),"")</f>
        <v/>
      </c>
      <c r="O142" s="305" t="str">
        <f ca="1">IFERROR(_xludf.IFS(H142&lt;100,(ABS(100/H142))+1,H142&gt;100,(H142/100)+1,H142=100, 2, H142=-100, 2),"")</f>
        <v/>
      </c>
      <c r="P142" s="305" t="str">
        <f t="shared" ca="1" si="8"/>
        <v/>
      </c>
      <c r="Q142" s="271"/>
      <c r="R142" s="297"/>
      <c r="S142" s="271"/>
      <c r="T142" s="271"/>
      <c r="U142" s="271"/>
      <c r="V142" s="263"/>
      <c r="W142" s="263"/>
      <c r="X142" s="263"/>
      <c r="Y142" s="71"/>
      <c r="Z142" s="71"/>
      <c r="AA142" s="71"/>
      <c r="AB142" s="71"/>
    </row>
    <row r="143" spans="1:28" ht="15.75" customHeight="1">
      <c r="A143" s="143"/>
      <c r="B143" s="298"/>
      <c r="C143" s="298"/>
      <c r="D143" s="298"/>
      <c r="E143" s="298"/>
      <c r="F143" s="298"/>
      <c r="G143" s="298"/>
      <c r="H143" s="312"/>
      <c r="I143" s="311"/>
      <c r="J143" s="309"/>
      <c r="K143" s="298">
        <f t="shared" si="9"/>
        <v>0</v>
      </c>
      <c r="L143" s="303" t="str">
        <f t="shared" ca="1" si="10"/>
        <v/>
      </c>
      <c r="M143" s="304" t="str">
        <f t="shared" ca="1" si="11"/>
        <v/>
      </c>
      <c r="N143" s="305" t="str">
        <f ca="1">IFERROR(_xludf.IFS(G143&lt;100,(ABS(100/G143))+1,G143&gt;100,(G143/100)+1,G143=100, 2, G143=-100, 2),"")</f>
        <v/>
      </c>
      <c r="O143" s="305" t="str">
        <f ca="1">IFERROR(_xludf.IFS(H143&lt;100,(ABS(100/H143))+1,H143&gt;100,(H143/100)+1,H143=100, 2, H143=-100, 2),"")</f>
        <v/>
      </c>
      <c r="P143" s="305" t="str">
        <f t="shared" ca="1" si="8"/>
        <v/>
      </c>
      <c r="Q143" s="271"/>
      <c r="R143" s="297"/>
      <c r="S143" s="271"/>
      <c r="T143" s="271"/>
      <c r="U143" s="271"/>
      <c r="V143" s="263"/>
      <c r="W143" s="263"/>
      <c r="X143" s="263"/>
      <c r="Y143" s="71"/>
      <c r="Z143" s="71"/>
      <c r="AA143" s="71"/>
      <c r="AB143" s="71"/>
    </row>
    <row r="144" spans="1:28" ht="15.75" customHeight="1">
      <c r="A144" s="143"/>
      <c r="B144" s="298"/>
      <c r="C144" s="298"/>
      <c r="D144" s="298"/>
      <c r="E144" s="298"/>
      <c r="F144" s="298"/>
      <c r="G144" s="298"/>
      <c r="H144" s="312"/>
      <c r="I144" s="311"/>
      <c r="J144" s="309"/>
      <c r="K144" s="298">
        <f t="shared" si="9"/>
        <v>0</v>
      </c>
      <c r="L144" s="303" t="str">
        <f t="shared" ca="1" si="10"/>
        <v/>
      </c>
      <c r="M144" s="304" t="str">
        <f t="shared" ca="1" si="11"/>
        <v/>
      </c>
      <c r="N144" s="305" t="str">
        <f ca="1">IFERROR(_xludf.IFS(G144&lt;100,(ABS(100/G144))+1,G144&gt;100,(G144/100)+1,G144=100, 2, G144=-100, 2),"")</f>
        <v/>
      </c>
      <c r="O144" s="305" t="str">
        <f ca="1">IFERROR(_xludf.IFS(H144&lt;100,(ABS(100/H144))+1,H144&gt;100,(H144/100)+1,H144=100, 2, H144=-100, 2),"")</f>
        <v/>
      </c>
      <c r="P144" s="305" t="str">
        <f t="shared" ca="1" si="8"/>
        <v/>
      </c>
      <c r="Q144" s="271"/>
      <c r="R144" s="297"/>
      <c r="S144" s="271"/>
      <c r="T144" s="271"/>
      <c r="U144" s="271"/>
      <c r="V144" s="263"/>
      <c r="W144" s="263"/>
      <c r="X144" s="263"/>
      <c r="Y144" s="71"/>
      <c r="Z144" s="71"/>
      <c r="AA144" s="71"/>
      <c r="AB144" s="71"/>
    </row>
    <row r="145" spans="1:28" ht="15.75" customHeight="1">
      <c r="A145" s="143"/>
      <c r="B145" s="298"/>
      <c r="C145" s="298"/>
      <c r="D145" s="298"/>
      <c r="E145" s="298"/>
      <c r="F145" s="298"/>
      <c r="G145" s="298"/>
      <c r="H145" s="312"/>
      <c r="I145" s="311"/>
      <c r="J145" s="309"/>
      <c r="K145" s="298">
        <f t="shared" si="9"/>
        <v>0</v>
      </c>
      <c r="L145" s="303" t="str">
        <f t="shared" ca="1" si="10"/>
        <v/>
      </c>
      <c r="M145" s="304" t="str">
        <f t="shared" ca="1" si="11"/>
        <v/>
      </c>
      <c r="N145" s="305" t="str">
        <f ca="1">IFERROR(_xludf.IFS(G145&lt;100,(ABS(100/G145))+1,G145&gt;100,(G145/100)+1,G145=100, 2, G145=-100, 2),"")</f>
        <v/>
      </c>
      <c r="O145" s="305" t="str">
        <f ca="1">IFERROR(_xludf.IFS(H145&lt;100,(ABS(100/H145))+1,H145&gt;100,(H145/100)+1,H145=100, 2, H145=-100, 2),"")</f>
        <v/>
      </c>
      <c r="P145" s="305" t="str">
        <f t="shared" ca="1" si="8"/>
        <v/>
      </c>
      <c r="Q145" s="271"/>
      <c r="R145" s="297"/>
      <c r="S145" s="271"/>
      <c r="T145" s="271"/>
      <c r="U145" s="271"/>
      <c r="V145" s="263"/>
      <c r="W145" s="263"/>
      <c r="X145" s="263"/>
      <c r="Y145" s="71"/>
      <c r="Z145" s="71"/>
      <c r="AA145" s="71"/>
      <c r="AB145" s="71"/>
    </row>
    <row r="146" spans="1:28" ht="15.75" customHeight="1">
      <c r="A146" s="143"/>
      <c r="B146" s="298"/>
      <c r="C146" s="298"/>
      <c r="D146" s="298"/>
      <c r="E146" s="298"/>
      <c r="F146" s="298"/>
      <c r="G146" s="298"/>
      <c r="H146" s="312"/>
      <c r="I146" s="311"/>
      <c r="J146" s="309"/>
      <c r="K146" s="298">
        <f t="shared" si="9"/>
        <v>0</v>
      </c>
      <c r="L146" s="303" t="str">
        <f t="shared" ca="1" si="10"/>
        <v/>
      </c>
      <c r="M146" s="304" t="str">
        <f t="shared" ca="1" si="11"/>
        <v/>
      </c>
      <c r="N146" s="305" t="str">
        <f ca="1">IFERROR(_xludf.IFS(G146&lt;100,(ABS(100/G146))+1,G146&gt;100,(G146/100)+1,G146=100, 2, G146=-100, 2),"")</f>
        <v/>
      </c>
      <c r="O146" s="305" t="str">
        <f ca="1">IFERROR(_xludf.IFS(H146&lt;100,(ABS(100/H146))+1,H146&gt;100,(H146/100)+1,H146=100, 2, H146=-100, 2),"")</f>
        <v/>
      </c>
      <c r="P146" s="305" t="str">
        <f t="shared" ca="1" si="8"/>
        <v/>
      </c>
      <c r="Q146" s="271"/>
      <c r="R146" s="297"/>
      <c r="S146" s="271"/>
      <c r="T146" s="271"/>
      <c r="U146" s="271"/>
      <c r="V146" s="263"/>
      <c r="W146" s="263"/>
      <c r="X146" s="263"/>
      <c r="Y146" s="71"/>
      <c r="Z146" s="71"/>
      <c r="AA146" s="71"/>
      <c r="AB146" s="71"/>
    </row>
    <row r="147" spans="1:28" ht="15.75" customHeight="1">
      <c r="A147" s="143"/>
      <c r="B147" s="298"/>
      <c r="C147" s="298"/>
      <c r="D147" s="298"/>
      <c r="E147" s="298"/>
      <c r="F147" s="298"/>
      <c r="G147" s="298"/>
      <c r="H147" s="312"/>
      <c r="I147" s="311"/>
      <c r="J147" s="309"/>
      <c r="K147" s="298">
        <f t="shared" si="9"/>
        <v>0</v>
      </c>
      <c r="L147" s="303" t="str">
        <f t="shared" ca="1" si="10"/>
        <v/>
      </c>
      <c r="M147" s="304" t="str">
        <f t="shared" ca="1" si="11"/>
        <v/>
      </c>
      <c r="N147" s="305" t="str">
        <f ca="1">IFERROR(_xludf.IFS(G147&lt;100,(ABS(100/G147))+1,G147&gt;100,(G147/100)+1,G147=100, 2, G147=-100, 2),"")</f>
        <v/>
      </c>
      <c r="O147" s="305" t="str">
        <f ca="1">IFERROR(_xludf.IFS(H147&lt;100,(ABS(100/H147))+1,H147&gt;100,(H147/100)+1,H147=100, 2, H147=-100, 2),"")</f>
        <v/>
      </c>
      <c r="P147" s="305" t="str">
        <f t="shared" ca="1" si="8"/>
        <v/>
      </c>
      <c r="Q147" s="271"/>
      <c r="R147" s="297"/>
      <c r="S147" s="271"/>
      <c r="T147" s="271"/>
      <c r="U147" s="271"/>
      <c r="V147" s="263"/>
      <c r="W147" s="263"/>
      <c r="X147" s="263"/>
      <c r="Y147" s="71"/>
      <c r="Z147" s="71"/>
      <c r="AA147" s="71"/>
      <c r="AB147" s="71"/>
    </row>
    <row r="148" spans="1:28" ht="15.75" customHeight="1">
      <c r="A148" s="143"/>
      <c r="B148" s="298"/>
      <c r="C148" s="298"/>
      <c r="D148" s="298"/>
      <c r="E148" s="298"/>
      <c r="F148" s="298"/>
      <c r="G148" s="298"/>
      <c r="H148" s="312"/>
      <c r="I148" s="311"/>
      <c r="J148" s="309"/>
      <c r="K148" s="298">
        <f t="shared" si="9"/>
        <v>0</v>
      </c>
      <c r="L148" s="303" t="str">
        <f t="shared" ca="1" si="10"/>
        <v/>
      </c>
      <c r="M148" s="304" t="str">
        <f t="shared" ca="1" si="11"/>
        <v/>
      </c>
      <c r="N148" s="305" t="str">
        <f ca="1">IFERROR(_xludf.IFS(G148&lt;100,(ABS(100/G148))+1,G148&gt;100,(G148/100)+1,G148=100, 2, G148=-100, 2),"")</f>
        <v/>
      </c>
      <c r="O148" s="305" t="str">
        <f ca="1">IFERROR(_xludf.IFS(H148&lt;100,(ABS(100/H148))+1,H148&gt;100,(H148/100)+1,H148=100, 2, H148=-100, 2),"")</f>
        <v/>
      </c>
      <c r="P148" s="305" t="str">
        <f t="shared" ca="1" si="8"/>
        <v/>
      </c>
      <c r="Q148" s="271"/>
      <c r="R148" s="297"/>
      <c r="S148" s="271"/>
      <c r="T148" s="271"/>
      <c r="U148" s="271"/>
      <c r="V148" s="263"/>
      <c r="W148" s="263"/>
      <c r="X148" s="263"/>
      <c r="Y148" s="71"/>
      <c r="Z148" s="71"/>
      <c r="AA148" s="71"/>
      <c r="AB148" s="71"/>
    </row>
    <row r="149" spans="1:28" ht="15.75" customHeight="1">
      <c r="A149" s="143"/>
      <c r="B149" s="298"/>
      <c r="C149" s="298"/>
      <c r="D149" s="298"/>
      <c r="E149" s="298"/>
      <c r="F149" s="298"/>
      <c r="G149" s="298"/>
      <c r="H149" s="312"/>
      <c r="I149" s="311"/>
      <c r="J149" s="309"/>
      <c r="K149" s="298">
        <f t="shared" si="9"/>
        <v>0</v>
      </c>
      <c r="L149" s="303" t="str">
        <f t="shared" ca="1" si="10"/>
        <v/>
      </c>
      <c r="M149" s="304" t="str">
        <f t="shared" ca="1" si="11"/>
        <v/>
      </c>
      <c r="N149" s="305" t="str">
        <f ca="1">IFERROR(_xludf.IFS(G149&lt;100,(ABS(100/G149))+1,G149&gt;100,(G149/100)+1,G149=100, 2, G149=-100, 2),"")</f>
        <v/>
      </c>
      <c r="O149" s="305" t="str">
        <f ca="1">IFERROR(_xludf.IFS(H149&lt;100,(ABS(100/H149))+1,H149&gt;100,(H149/100)+1,H149=100, 2, H149=-100, 2),"")</f>
        <v/>
      </c>
      <c r="P149" s="305" t="str">
        <f t="shared" ca="1" si="8"/>
        <v/>
      </c>
      <c r="Q149" s="271"/>
      <c r="R149" s="297"/>
      <c r="S149" s="271"/>
      <c r="T149" s="271"/>
      <c r="U149" s="271"/>
      <c r="V149" s="263"/>
      <c r="W149" s="263"/>
      <c r="X149" s="263"/>
      <c r="Y149" s="71"/>
      <c r="Z149" s="71"/>
      <c r="AA149" s="71"/>
      <c r="AB149" s="71"/>
    </row>
    <row r="150" spans="1:28" ht="15.75" customHeight="1">
      <c r="A150" s="143"/>
      <c r="B150" s="298"/>
      <c r="C150" s="298"/>
      <c r="D150" s="298"/>
      <c r="E150" s="298"/>
      <c r="F150" s="298"/>
      <c r="G150" s="298"/>
      <c r="H150" s="312"/>
      <c r="I150" s="311"/>
      <c r="J150" s="309"/>
      <c r="K150" s="298">
        <f t="shared" si="9"/>
        <v>0</v>
      </c>
      <c r="L150" s="303" t="str">
        <f t="shared" ca="1" si="10"/>
        <v/>
      </c>
      <c r="M150" s="304" t="str">
        <f t="shared" ca="1" si="11"/>
        <v/>
      </c>
      <c r="N150" s="305" t="str">
        <f ca="1">IFERROR(_xludf.IFS(G150&lt;100,(ABS(100/G150))+1,G150&gt;100,(G150/100)+1,G150=100, 2, G150=-100, 2),"")</f>
        <v/>
      </c>
      <c r="O150" s="305" t="str">
        <f ca="1">IFERROR(_xludf.IFS(H150&lt;100,(ABS(100/H150))+1,H150&gt;100,(H150/100)+1,H150=100, 2, H150=-100, 2),"")</f>
        <v/>
      </c>
      <c r="P150" s="305" t="str">
        <f t="shared" ca="1" si="8"/>
        <v/>
      </c>
      <c r="Q150" s="271"/>
      <c r="R150" s="297"/>
      <c r="S150" s="271"/>
      <c r="T150" s="271"/>
      <c r="U150" s="271"/>
      <c r="V150" s="263"/>
      <c r="W150" s="263"/>
      <c r="X150" s="263"/>
      <c r="Y150" s="71"/>
      <c r="Z150" s="71"/>
      <c r="AA150" s="71"/>
      <c r="AB150" s="71"/>
    </row>
    <row r="151" spans="1:28" ht="15.75" customHeight="1">
      <c r="A151" s="143"/>
      <c r="B151" s="298"/>
      <c r="C151" s="298"/>
      <c r="D151" s="298"/>
      <c r="E151" s="298"/>
      <c r="F151" s="298"/>
      <c r="G151" s="298"/>
      <c r="H151" s="312"/>
      <c r="I151" s="311"/>
      <c r="J151" s="309"/>
      <c r="K151" s="298">
        <f t="shared" si="9"/>
        <v>0</v>
      </c>
      <c r="L151" s="303" t="str">
        <f t="shared" ca="1" si="10"/>
        <v/>
      </c>
      <c r="M151" s="304" t="str">
        <f t="shared" ca="1" si="11"/>
        <v/>
      </c>
      <c r="N151" s="305" t="str">
        <f ca="1">IFERROR(_xludf.IFS(G151&lt;100,(ABS(100/G151))+1,G151&gt;100,(G151/100)+1,G151=100, 2, G151=-100, 2),"")</f>
        <v/>
      </c>
      <c r="O151" s="305" t="str">
        <f ca="1">IFERROR(_xludf.IFS(H151&lt;100,(ABS(100/H151))+1,H151&gt;100,(H151/100)+1,H151=100, 2, H151=-100, 2),"")</f>
        <v/>
      </c>
      <c r="P151" s="305" t="str">
        <f t="shared" ca="1" si="8"/>
        <v/>
      </c>
      <c r="Q151" s="271"/>
      <c r="R151" s="297"/>
      <c r="S151" s="271"/>
      <c r="T151" s="271"/>
      <c r="U151" s="271"/>
      <c r="V151" s="263"/>
      <c r="W151" s="263"/>
      <c r="X151" s="263"/>
      <c r="Y151" s="71"/>
      <c r="Z151" s="71"/>
      <c r="AA151" s="71"/>
      <c r="AB151" s="71"/>
    </row>
    <row r="152" spans="1:28" ht="15.75" customHeight="1">
      <c r="A152" s="143"/>
      <c r="B152" s="298"/>
      <c r="C152" s="298"/>
      <c r="D152" s="298"/>
      <c r="E152" s="298"/>
      <c r="F152" s="298"/>
      <c r="G152" s="298"/>
      <c r="H152" s="312"/>
      <c r="I152" s="311"/>
      <c r="J152" s="309"/>
      <c r="K152" s="298">
        <f t="shared" si="9"/>
        <v>0</v>
      </c>
      <c r="L152" s="303" t="str">
        <f t="shared" ca="1" si="10"/>
        <v/>
      </c>
      <c r="M152" s="304" t="str">
        <f t="shared" ca="1" si="11"/>
        <v/>
      </c>
      <c r="N152" s="305" t="str">
        <f ca="1">IFERROR(_xludf.IFS(G152&lt;100,(ABS(100/G152))+1,G152&gt;100,(G152/100)+1,G152=100, 2, G152=-100, 2),"")</f>
        <v/>
      </c>
      <c r="O152" s="305" t="str">
        <f ca="1">IFERROR(_xludf.IFS(H152&lt;100,(ABS(100/H152))+1,H152&gt;100,(H152/100)+1,H152=100, 2, H152=-100, 2),"")</f>
        <v/>
      </c>
      <c r="P152" s="305" t="str">
        <f t="shared" ca="1" si="8"/>
        <v/>
      </c>
      <c r="Q152" s="271"/>
      <c r="R152" s="297"/>
      <c r="S152" s="271"/>
      <c r="T152" s="271"/>
      <c r="U152" s="271"/>
      <c r="V152" s="263"/>
      <c r="W152" s="263"/>
      <c r="X152" s="263"/>
      <c r="Y152" s="71"/>
      <c r="Z152" s="71"/>
      <c r="AA152" s="71"/>
      <c r="AB152" s="71"/>
    </row>
    <row r="153" spans="1:28" ht="15.75" customHeight="1">
      <c r="A153" s="143"/>
      <c r="B153" s="298"/>
      <c r="C153" s="298"/>
      <c r="D153" s="298"/>
      <c r="E153" s="298"/>
      <c r="F153" s="298"/>
      <c r="G153" s="298"/>
      <c r="H153" s="312"/>
      <c r="I153" s="311"/>
      <c r="J153" s="309"/>
      <c r="K153" s="298">
        <f t="shared" si="9"/>
        <v>0</v>
      </c>
      <c r="L153" s="303" t="str">
        <f t="shared" ca="1" si="10"/>
        <v/>
      </c>
      <c r="M153" s="304" t="str">
        <f t="shared" ca="1" si="11"/>
        <v/>
      </c>
      <c r="N153" s="305" t="str">
        <f ca="1">IFERROR(_xludf.IFS(G153&lt;100,(ABS(100/G153))+1,G153&gt;100,(G153/100)+1,G153=100, 2, G153=-100, 2),"")</f>
        <v/>
      </c>
      <c r="O153" s="305" t="str">
        <f ca="1">IFERROR(_xludf.IFS(H153&lt;100,(ABS(100/H153))+1,H153&gt;100,(H153/100)+1,H153=100, 2, H153=-100, 2),"")</f>
        <v/>
      </c>
      <c r="P153" s="305" t="str">
        <f t="shared" ca="1" si="8"/>
        <v/>
      </c>
      <c r="Q153" s="271"/>
      <c r="R153" s="297"/>
      <c r="S153" s="271"/>
      <c r="T153" s="271"/>
      <c r="U153" s="271"/>
      <c r="V153" s="263"/>
      <c r="W153" s="263"/>
      <c r="X153" s="263"/>
      <c r="Y153" s="71"/>
      <c r="Z153" s="71"/>
      <c r="AA153" s="71"/>
      <c r="AB153" s="71"/>
    </row>
    <row r="154" spans="1:28" ht="15.75" customHeight="1">
      <c r="A154" s="143"/>
      <c r="B154" s="298"/>
      <c r="C154" s="298"/>
      <c r="D154" s="298"/>
      <c r="E154" s="298"/>
      <c r="F154" s="298"/>
      <c r="G154" s="298"/>
      <c r="H154" s="312"/>
      <c r="I154" s="311"/>
      <c r="J154" s="309"/>
      <c r="K154" s="298">
        <f t="shared" si="9"/>
        <v>0</v>
      </c>
      <c r="L154" s="303" t="str">
        <f t="shared" ca="1" si="10"/>
        <v/>
      </c>
      <c r="M154" s="304" t="str">
        <f t="shared" ca="1" si="11"/>
        <v/>
      </c>
      <c r="N154" s="305" t="str">
        <f ca="1">IFERROR(_xludf.IFS(G154&lt;100,(ABS(100/G154))+1,G154&gt;100,(G154/100)+1,G154=100, 2, G154=-100, 2),"")</f>
        <v/>
      </c>
      <c r="O154" s="305" t="str">
        <f ca="1">IFERROR(_xludf.IFS(H154&lt;100,(ABS(100/H154))+1,H154&gt;100,(H154/100)+1,H154=100, 2, H154=-100, 2),"")</f>
        <v/>
      </c>
      <c r="P154" s="305" t="str">
        <f t="shared" ca="1" si="8"/>
        <v/>
      </c>
      <c r="Q154" s="271"/>
      <c r="R154" s="297"/>
      <c r="S154" s="271"/>
      <c r="T154" s="271"/>
      <c r="U154" s="271"/>
      <c r="V154" s="263"/>
      <c r="W154" s="263"/>
      <c r="X154" s="263"/>
      <c r="Y154" s="71"/>
      <c r="Z154" s="71"/>
      <c r="AA154" s="71"/>
      <c r="AB154" s="71"/>
    </row>
    <row r="155" spans="1:28" ht="15.75" customHeight="1">
      <c r="A155" s="143"/>
      <c r="B155" s="298"/>
      <c r="C155" s="298"/>
      <c r="D155" s="298"/>
      <c r="E155" s="298"/>
      <c r="F155" s="298"/>
      <c r="G155" s="298"/>
      <c r="H155" s="312"/>
      <c r="I155" s="311"/>
      <c r="J155" s="309"/>
      <c r="K155" s="298">
        <f t="shared" si="9"/>
        <v>0</v>
      </c>
      <c r="L155" s="303" t="str">
        <f t="shared" ca="1" si="10"/>
        <v/>
      </c>
      <c r="M155" s="304" t="str">
        <f t="shared" ca="1" si="11"/>
        <v/>
      </c>
      <c r="N155" s="305" t="str">
        <f ca="1">IFERROR(_xludf.IFS(G155&lt;100,(ABS(100/G155))+1,G155&gt;100,(G155/100)+1,G155=100, 2, G155=-100, 2),"")</f>
        <v/>
      </c>
      <c r="O155" s="305" t="str">
        <f ca="1">IFERROR(_xludf.IFS(H155&lt;100,(ABS(100/H155))+1,H155&gt;100,(H155/100)+1,H155=100, 2, H155=-100, 2),"")</f>
        <v/>
      </c>
      <c r="P155" s="305" t="str">
        <f t="shared" ca="1" si="8"/>
        <v/>
      </c>
      <c r="Q155" s="271"/>
      <c r="R155" s="297"/>
      <c r="S155" s="271"/>
      <c r="T155" s="271"/>
      <c r="U155" s="271"/>
      <c r="V155" s="263"/>
      <c r="W155" s="263"/>
      <c r="X155" s="263"/>
      <c r="Y155" s="71"/>
      <c r="Z155" s="71"/>
      <c r="AA155" s="71"/>
      <c r="AB155" s="71"/>
    </row>
    <row r="156" spans="1:28" ht="15.75" customHeight="1">
      <c r="A156" s="143"/>
      <c r="B156" s="298"/>
      <c r="C156" s="298"/>
      <c r="D156" s="298"/>
      <c r="E156" s="298"/>
      <c r="F156" s="298"/>
      <c r="G156" s="298"/>
      <c r="H156" s="312"/>
      <c r="I156" s="311"/>
      <c r="J156" s="309"/>
      <c r="K156" s="298">
        <f t="shared" si="9"/>
        <v>0</v>
      </c>
      <c r="L156" s="303" t="str">
        <f t="shared" ca="1" si="10"/>
        <v/>
      </c>
      <c r="M156" s="304" t="str">
        <f t="shared" ca="1" si="11"/>
        <v/>
      </c>
      <c r="N156" s="305" t="str">
        <f ca="1">IFERROR(_xludf.IFS(G156&lt;100,(ABS(100/G156))+1,G156&gt;100,(G156/100)+1,G156=100, 2, G156=-100, 2),"")</f>
        <v/>
      </c>
      <c r="O156" s="305" t="str">
        <f ca="1">IFERROR(_xludf.IFS(H156&lt;100,(ABS(100/H156))+1,H156&gt;100,(H156/100)+1,H156=100, 2, H156=-100, 2),"")</f>
        <v/>
      </c>
      <c r="P156" s="305" t="str">
        <f t="shared" ca="1" si="8"/>
        <v/>
      </c>
      <c r="Q156" s="271"/>
      <c r="R156" s="297"/>
      <c r="S156" s="271"/>
      <c r="T156" s="271"/>
      <c r="U156" s="271"/>
      <c r="V156" s="263"/>
      <c r="W156" s="263"/>
      <c r="X156" s="263"/>
      <c r="Y156" s="71"/>
      <c r="Z156" s="71"/>
      <c r="AA156" s="71"/>
      <c r="AB156" s="71"/>
    </row>
    <row r="157" spans="1:28" ht="15.75" customHeight="1">
      <c r="A157" s="143"/>
      <c r="B157" s="298"/>
      <c r="C157" s="298"/>
      <c r="D157" s="298"/>
      <c r="E157" s="298"/>
      <c r="F157" s="298"/>
      <c r="G157" s="298"/>
      <c r="H157" s="312"/>
      <c r="I157" s="311"/>
      <c r="J157" s="309"/>
      <c r="K157" s="298">
        <f t="shared" si="9"/>
        <v>0</v>
      </c>
      <c r="L157" s="303" t="str">
        <f t="shared" ca="1" si="10"/>
        <v/>
      </c>
      <c r="M157" s="304" t="str">
        <f t="shared" ca="1" si="11"/>
        <v/>
      </c>
      <c r="N157" s="305" t="str">
        <f ca="1">IFERROR(_xludf.IFS(G157&lt;100,(ABS(100/G157))+1,G157&gt;100,(G157/100)+1,G157=100, 2, G157=-100, 2),"")</f>
        <v/>
      </c>
      <c r="O157" s="305" t="str">
        <f ca="1">IFERROR(_xludf.IFS(H157&lt;100,(ABS(100/H157))+1,H157&gt;100,(H157/100)+1,H157=100, 2, H157=-100, 2),"")</f>
        <v/>
      </c>
      <c r="P157" s="305" t="str">
        <f t="shared" ca="1" si="8"/>
        <v/>
      </c>
      <c r="Q157" s="271"/>
      <c r="R157" s="297"/>
      <c r="S157" s="271"/>
      <c r="T157" s="271"/>
      <c r="U157" s="271"/>
      <c r="V157" s="263"/>
      <c r="W157" s="263"/>
      <c r="X157" s="263"/>
      <c r="Y157" s="71"/>
      <c r="Z157" s="71"/>
      <c r="AA157" s="71"/>
      <c r="AB157" s="71"/>
    </row>
    <row r="158" spans="1:28" ht="15.75" customHeight="1">
      <c r="A158" s="143"/>
      <c r="B158" s="298"/>
      <c r="C158" s="298"/>
      <c r="D158" s="298"/>
      <c r="E158" s="298"/>
      <c r="F158" s="298"/>
      <c r="G158" s="298"/>
      <c r="H158" s="312"/>
      <c r="I158" s="311"/>
      <c r="J158" s="309"/>
      <c r="K158" s="298">
        <f t="shared" si="9"/>
        <v>0</v>
      </c>
      <c r="L158" s="303" t="str">
        <f t="shared" ca="1" si="10"/>
        <v/>
      </c>
      <c r="M158" s="304" t="str">
        <f t="shared" ca="1" si="11"/>
        <v/>
      </c>
      <c r="N158" s="305" t="str">
        <f ca="1">IFERROR(_xludf.IFS(G158&lt;100,(ABS(100/G158))+1,G158&gt;100,(G158/100)+1,G158=100, 2, G158=-100, 2),"")</f>
        <v/>
      </c>
      <c r="O158" s="305" t="str">
        <f ca="1">IFERROR(_xludf.IFS(H158&lt;100,(ABS(100/H158))+1,H158&gt;100,(H158/100)+1,H158=100, 2, H158=-100, 2),"")</f>
        <v/>
      </c>
      <c r="P158" s="305" t="str">
        <f t="shared" ca="1" si="8"/>
        <v/>
      </c>
      <c r="Q158" s="271"/>
      <c r="R158" s="297"/>
      <c r="S158" s="271"/>
      <c r="T158" s="271"/>
      <c r="U158" s="271"/>
      <c r="V158" s="263"/>
      <c r="W158" s="263"/>
      <c r="X158" s="263"/>
      <c r="Y158" s="71"/>
      <c r="Z158" s="71"/>
      <c r="AA158" s="71"/>
      <c r="AB158" s="71"/>
    </row>
    <row r="159" spans="1:28" ht="15.75" customHeight="1">
      <c r="A159" s="143"/>
      <c r="B159" s="298"/>
      <c r="C159" s="298"/>
      <c r="D159" s="298"/>
      <c r="E159" s="298"/>
      <c r="F159" s="298"/>
      <c r="G159" s="298"/>
      <c r="H159" s="312"/>
      <c r="I159" s="311"/>
      <c r="J159" s="309"/>
      <c r="K159" s="298">
        <f t="shared" si="9"/>
        <v>0</v>
      </c>
      <c r="L159" s="303" t="str">
        <f t="shared" ca="1" si="10"/>
        <v/>
      </c>
      <c r="M159" s="304" t="str">
        <f t="shared" ca="1" si="11"/>
        <v/>
      </c>
      <c r="N159" s="305" t="str">
        <f ca="1">IFERROR(_xludf.IFS(G159&lt;100,(ABS(100/G159))+1,G159&gt;100,(G159/100)+1,G159=100, 2, G159=-100, 2),"")</f>
        <v/>
      </c>
      <c r="O159" s="305" t="str">
        <f ca="1">IFERROR(_xludf.IFS(H159&lt;100,(ABS(100/H159))+1,H159&gt;100,(H159/100)+1,H159=100, 2, H159=-100, 2),"")</f>
        <v/>
      </c>
      <c r="P159" s="305" t="str">
        <f t="shared" ca="1" si="8"/>
        <v/>
      </c>
      <c r="Q159" s="271"/>
      <c r="R159" s="297"/>
      <c r="S159" s="271"/>
      <c r="T159" s="271"/>
      <c r="U159" s="271"/>
      <c r="V159" s="263"/>
      <c r="W159" s="263"/>
      <c r="X159" s="263"/>
      <c r="Y159" s="71"/>
      <c r="Z159" s="71"/>
      <c r="AA159" s="71"/>
      <c r="AB159" s="71"/>
    </row>
    <row r="160" spans="1:28" ht="15.75" customHeight="1">
      <c r="A160" s="143"/>
      <c r="B160" s="298"/>
      <c r="C160" s="298"/>
      <c r="D160" s="298"/>
      <c r="E160" s="298"/>
      <c r="F160" s="298"/>
      <c r="G160" s="298"/>
      <c r="H160" s="312"/>
      <c r="I160" s="311"/>
      <c r="J160" s="309"/>
      <c r="K160" s="298">
        <f t="shared" si="9"/>
        <v>0</v>
      </c>
      <c r="L160" s="303" t="str">
        <f t="shared" ca="1" si="10"/>
        <v/>
      </c>
      <c r="M160" s="304" t="str">
        <f t="shared" ca="1" si="11"/>
        <v/>
      </c>
      <c r="N160" s="305" t="str">
        <f ca="1">IFERROR(_xludf.IFS(G160&lt;100,(ABS(100/G160))+1,G160&gt;100,(G160/100)+1,G160=100, 2, G160=-100, 2),"")</f>
        <v/>
      </c>
      <c r="O160" s="305" t="str">
        <f ca="1">IFERROR(_xludf.IFS(H160&lt;100,(ABS(100/H160))+1,H160&gt;100,(H160/100)+1,H160=100, 2, H160=-100, 2),"")</f>
        <v/>
      </c>
      <c r="P160" s="305" t="str">
        <f t="shared" ca="1" si="8"/>
        <v/>
      </c>
      <c r="Q160" s="271"/>
      <c r="R160" s="297"/>
      <c r="S160" s="271"/>
      <c r="T160" s="271"/>
      <c r="U160" s="271"/>
      <c r="V160" s="263"/>
      <c r="W160" s="263"/>
      <c r="X160" s="263"/>
      <c r="Y160" s="71"/>
      <c r="Z160" s="71"/>
      <c r="AA160" s="71"/>
      <c r="AB160" s="71"/>
    </row>
    <row r="161" spans="1:28" ht="15.75" customHeight="1">
      <c r="A161" s="143"/>
      <c r="B161" s="298"/>
      <c r="C161" s="298"/>
      <c r="D161" s="298"/>
      <c r="E161" s="298"/>
      <c r="F161" s="298"/>
      <c r="G161" s="298"/>
      <c r="H161" s="312"/>
      <c r="I161" s="311"/>
      <c r="J161" s="309"/>
      <c r="K161" s="298">
        <f t="shared" si="9"/>
        <v>0</v>
      </c>
      <c r="L161" s="303" t="str">
        <f t="shared" ca="1" si="10"/>
        <v/>
      </c>
      <c r="M161" s="304" t="str">
        <f t="shared" ca="1" si="11"/>
        <v/>
      </c>
      <c r="N161" s="305" t="str">
        <f ca="1">IFERROR(_xludf.IFS(G161&lt;100,(ABS(100/G161))+1,G161&gt;100,(G161/100)+1,G161=100, 2, G161=-100, 2),"")</f>
        <v/>
      </c>
      <c r="O161" s="305" t="str">
        <f ca="1">IFERROR(_xludf.IFS(H161&lt;100,(ABS(100/H161))+1,H161&gt;100,(H161/100)+1,H161=100, 2, H161=-100, 2),"")</f>
        <v/>
      </c>
      <c r="P161" s="305" t="str">
        <f t="shared" ca="1" si="8"/>
        <v/>
      </c>
      <c r="Q161" s="271"/>
      <c r="R161" s="297"/>
      <c r="S161" s="271"/>
      <c r="T161" s="271"/>
      <c r="U161" s="271"/>
      <c r="V161" s="263"/>
      <c r="W161" s="263"/>
      <c r="X161" s="263"/>
      <c r="Y161" s="71"/>
      <c r="Z161" s="71"/>
      <c r="AA161" s="71"/>
      <c r="AB161" s="71"/>
    </row>
    <row r="162" spans="1:28" ht="15.75" customHeight="1">
      <c r="A162" s="143"/>
      <c r="B162" s="298"/>
      <c r="C162" s="298"/>
      <c r="D162" s="298"/>
      <c r="E162" s="298"/>
      <c r="F162" s="298"/>
      <c r="G162" s="298"/>
      <c r="H162" s="312"/>
      <c r="I162" s="311"/>
      <c r="J162" s="309"/>
      <c r="K162" s="298">
        <f t="shared" si="9"/>
        <v>0</v>
      </c>
      <c r="L162" s="303" t="str">
        <f t="shared" ca="1" si="10"/>
        <v/>
      </c>
      <c r="M162" s="304" t="str">
        <f t="shared" ca="1" si="11"/>
        <v/>
      </c>
      <c r="N162" s="305" t="str">
        <f ca="1">IFERROR(_xludf.IFS(G162&lt;100,(ABS(100/G162))+1,G162&gt;100,(G162/100)+1,G162=100, 2, G162=-100, 2),"")</f>
        <v/>
      </c>
      <c r="O162" s="305" t="str">
        <f ca="1">IFERROR(_xludf.IFS(H162&lt;100,(ABS(100/H162))+1,H162&gt;100,(H162/100)+1,H162=100, 2, H162=-100, 2),"")</f>
        <v/>
      </c>
      <c r="P162" s="305" t="str">
        <f t="shared" ca="1" si="8"/>
        <v/>
      </c>
      <c r="Q162" s="271"/>
      <c r="R162" s="297"/>
      <c r="S162" s="271"/>
      <c r="T162" s="271"/>
      <c r="U162" s="271"/>
      <c r="V162" s="263"/>
      <c r="W162" s="263"/>
      <c r="X162" s="263"/>
      <c r="Y162" s="71"/>
      <c r="Z162" s="71"/>
      <c r="AA162" s="71"/>
      <c r="AB162" s="71"/>
    </row>
    <row r="163" spans="1:28" ht="15.75" customHeight="1">
      <c r="A163" s="143"/>
      <c r="B163" s="298"/>
      <c r="C163" s="298"/>
      <c r="D163" s="298"/>
      <c r="E163" s="298"/>
      <c r="F163" s="298"/>
      <c r="G163" s="298"/>
      <c r="H163" s="312"/>
      <c r="I163" s="311"/>
      <c r="J163" s="309"/>
      <c r="K163" s="298">
        <f t="shared" si="9"/>
        <v>0</v>
      </c>
      <c r="L163" s="303" t="str">
        <f t="shared" ca="1" si="10"/>
        <v/>
      </c>
      <c r="M163" s="304" t="str">
        <f t="shared" ca="1" si="11"/>
        <v/>
      </c>
      <c r="N163" s="305" t="str">
        <f ca="1">IFERROR(_xludf.IFS(G163&lt;100,(ABS(100/G163))+1,G163&gt;100,(G163/100)+1,G163=100, 2, G163=-100, 2),"")</f>
        <v/>
      </c>
      <c r="O163" s="305" t="str">
        <f ca="1">IFERROR(_xludf.IFS(H163&lt;100,(ABS(100/H163))+1,H163&gt;100,(H163/100)+1,H163=100, 2, H163=-100, 2),"")</f>
        <v/>
      </c>
      <c r="P163" s="305" t="str">
        <f t="shared" ca="1" si="8"/>
        <v/>
      </c>
      <c r="Q163" s="271"/>
      <c r="R163" s="297"/>
      <c r="S163" s="271"/>
      <c r="T163" s="271"/>
      <c r="U163" s="271"/>
      <c r="V163" s="263"/>
      <c r="W163" s="263"/>
      <c r="X163" s="263"/>
      <c r="Y163" s="71"/>
      <c r="Z163" s="71"/>
      <c r="AA163" s="71"/>
      <c r="AB163" s="71"/>
    </row>
    <row r="164" spans="1:28" ht="15.75" customHeight="1">
      <c r="A164" s="143"/>
      <c r="B164" s="298"/>
      <c r="C164" s="298"/>
      <c r="D164" s="298"/>
      <c r="E164" s="298"/>
      <c r="F164" s="298"/>
      <c r="G164" s="298"/>
      <c r="H164" s="312"/>
      <c r="I164" s="311"/>
      <c r="J164" s="309"/>
      <c r="K164" s="298">
        <f t="shared" si="9"/>
        <v>0</v>
      </c>
      <c r="L164" s="303" t="str">
        <f t="shared" ca="1" si="10"/>
        <v/>
      </c>
      <c r="M164" s="304" t="str">
        <f t="shared" ca="1" si="11"/>
        <v/>
      </c>
      <c r="N164" s="305" t="str">
        <f ca="1">IFERROR(_xludf.IFS(G164&lt;100,(ABS(100/G164))+1,G164&gt;100,(G164/100)+1,G164=100, 2, G164=-100, 2),"")</f>
        <v/>
      </c>
      <c r="O164" s="305" t="str">
        <f ca="1">IFERROR(_xludf.IFS(H164&lt;100,(ABS(100/H164))+1,H164&gt;100,(H164/100)+1,H164=100, 2, H164=-100, 2),"")</f>
        <v/>
      </c>
      <c r="P164" s="305" t="str">
        <f t="shared" ref="P164:P227" ca="1" si="12">IFERROR(O164*1.035,"")</f>
        <v/>
      </c>
      <c r="Q164" s="271"/>
      <c r="R164" s="297"/>
      <c r="S164" s="271"/>
      <c r="T164" s="271"/>
      <c r="U164" s="271"/>
      <c r="V164" s="263"/>
      <c r="W164" s="263"/>
      <c r="X164" s="263"/>
      <c r="Y164" s="71"/>
      <c r="Z164" s="71"/>
      <c r="AA164" s="71"/>
      <c r="AB164" s="71"/>
    </row>
    <row r="165" spans="1:28" ht="15.75" customHeight="1">
      <c r="A165" s="143"/>
      <c r="B165" s="298"/>
      <c r="C165" s="298"/>
      <c r="D165" s="298"/>
      <c r="E165" s="298"/>
      <c r="F165" s="298"/>
      <c r="G165" s="298"/>
      <c r="H165" s="312"/>
      <c r="I165" s="311"/>
      <c r="J165" s="309"/>
      <c r="K165" s="298">
        <f t="shared" si="9"/>
        <v>0</v>
      </c>
      <c r="L165" s="303" t="str">
        <f t="shared" ca="1" si="10"/>
        <v/>
      </c>
      <c r="M165" s="304" t="str">
        <f t="shared" ca="1" si="11"/>
        <v/>
      </c>
      <c r="N165" s="305" t="str">
        <f ca="1">IFERROR(_xludf.IFS(G165&lt;100,(ABS(100/G165))+1,G165&gt;100,(G165/100)+1,G165=100, 2, G165=-100, 2),"")</f>
        <v/>
      </c>
      <c r="O165" s="305" t="str">
        <f ca="1">IFERROR(_xludf.IFS(H165&lt;100,(ABS(100/H165))+1,H165&gt;100,(H165/100)+1,H165=100, 2, H165=-100, 2),"")</f>
        <v/>
      </c>
      <c r="P165" s="305" t="str">
        <f t="shared" ca="1" si="12"/>
        <v/>
      </c>
      <c r="Q165" s="271"/>
      <c r="R165" s="297"/>
      <c r="S165" s="271"/>
      <c r="T165" s="271"/>
      <c r="U165" s="271"/>
      <c r="V165" s="263"/>
      <c r="W165" s="263"/>
      <c r="X165" s="263"/>
      <c r="Y165" s="71"/>
      <c r="Z165" s="71"/>
      <c r="AA165" s="71"/>
      <c r="AB165" s="71"/>
    </row>
    <row r="166" spans="1:28" ht="15.75" customHeight="1">
      <c r="A166" s="143"/>
      <c r="B166" s="298"/>
      <c r="C166" s="298"/>
      <c r="D166" s="298"/>
      <c r="E166" s="298"/>
      <c r="F166" s="298"/>
      <c r="G166" s="298"/>
      <c r="H166" s="312"/>
      <c r="I166" s="311"/>
      <c r="J166" s="309"/>
      <c r="K166" s="298">
        <f t="shared" si="9"/>
        <v>0</v>
      </c>
      <c r="L166" s="303" t="str">
        <f t="shared" ca="1" si="10"/>
        <v/>
      </c>
      <c r="M166" s="304" t="str">
        <f t="shared" ca="1" si="11"/>
        <v/>
      </c>
      <c r="N166" s="305" t="str">
        <f ca="1">IFERROR(_xludf.IFS(G166&lt;100,(ABS(100/G166))+1,G166&gt;100,(G166/100)+1,G166=100, 2, G166=-100, 2),"")</f>
        <v/>
      </c>
      <c r="O166" s="305" t="str">
        <f ca="1">IFERROR(_xludf.IFS(H166&lt;100,(ABS(100/H166))+1,H166&gt;100,(H166/100)+1,H166=100, 2, H166=-100, 2),"")</f>
        <v/>
      </c>
      <c r="P166" s="305" t="str">
        <f t="shared" ca="1" si="12"/>
        <v/>
      </c>
      <c r="Q166" s="271"/>
      <c r="R166" s="297"/>
      <c r="S166" s="271"/>
      <c r="T166" s="271"/>
      <c r="U166" s="271"/>
      <c r="V166" s="263"/>
      <c r="W166" s="263"/>
      <c r="X166" s="263"/>
      <c r="Y166" s="71"/>
      <c r="Z166" s="71"/>
      <c r="AA166" s="71"/>
      <c r="AB166" s="71"/>
    </row>
    <row r="167" spans="1:28" ht="15.75" customHeight="1">
      <c r="A167" s="143"/>
      <c r="B167" s="298"/>
      <c r="C167" s="298"/>
      <c r="D167" s="298"/>
      <c r="E167" s="298"/>
      <c r="F167" s="298"/>
      <c r="G167" s="298"/>
      <c r="H167" s="312"/>
      <c r="I167" s="311"/>
      <c r="J167" s="309"/>
      <c r="K167" s="298">
        <f t="shared" si="9"/>
        <v>0</v>
      </c>
      <c r="L167" s="303" t="str">
        <f t="shared" ca="1" si="10"/>
        <v/>
      </c>
      <c r="M167" s="304" t="str">
        <f t="shared" ca="1" si="11"/>
        <v/>
      </c>
      <c r="N167" s="305" t="str">
        <f ca="1">IFERROR(_xludf.IFS(G167&lt;100,(ABS(100/G167))+1,G167&gt;100,(G167/100)+1,G167=100, 2, G167=-100, 2),"")</f>
        <v/>
      </c>
      <c r="O167" s="305" t="str">
        <f ca="1">IFERROR(_xludf.IFS(H167&lt;100,(ABS(100/H167))+1,H167&gt;100,(H167/100)+1,H167=100, 2, H167=-100, 2),"")</f>
        <v/>
      </c>
      <c r="P167" s="305" t="str">
        <f t="shared" ca="1" si="12"/>
        <v/>
      </c>
      <c r="Q167" s="271"/>
      <c r="R167" s="297"/>
      <c r="S167" s="271"/>
      <c r="T167" s="271"/>
      <c r="U167" s="271"/>
      <c r="V167" s="263"/>
      <c r="W167" s="263"/>
      <c r="X167" s="263"/>
      <c r="Y167" s="71"/>
      <c r="Z167" s="71"/>
      <c r="AA167" s="71"/>
      <c r="AB167" s="71"/>
    </row>
    <row r="168" spans="1:28" ht="15.75" customHeight="1">
      <c r="A168" s="143"/>
      <c r="B168" s="298"/>
      <c r="C168" s="298"/>
      <c r="D168" s="298"/>
      <c r="E168" s="298"/>
      <c r="F168" s="298"/>
      <c r="G168" s="298"/>
      <c r="H168" s="312"/>
      <c r="I168" s="311"/>
      <c r="J168" s="309"/>
      <c r="K168" s="298">
        <f t="shared" si="9"/>
        <v>0</v>
      </c>
      <c r="L168" s="303" t="str">
        <f t="shared" ca="1" si="10"/>
        <v/>
      </c>
      <c r="M168" s="304" t="str">
        <f t="shared" ca="1" si="11"/>
        <v/>
      </c>
      <c r="N168" s="305" t="str">
        <f ca="1">IFERROR(_xludf.IFS(G168&lt;100,(ABS(100/G168))+1,G168&gt;100,(G168/100)+1,G168=100, 2, G168=-100, 2),"")</f>
        <v/>
      </c>
      <c r="O168" s="305" t="str">
        <f ca="1">IFERROR(_xludf.IFS(H168&lt;100,(ABS(100/H168))+1,H168&gt;100,(H168/100)+1,H168=100, 2, H168=-100, 2),"")</f>
        <v/>
      </c>
      <c r="P168" s="305" t="str">
        <f t="shared" ca="1" si="12"/>
        <v/>
      </c>
      <c r="Q168" s="271"/>
      <c r="R168" s="297"/>
      <c r="S168" s="271"/>
      <c r="T168" s="271"/>
      <c r="U168" s="271"/>
      <c r="V168" s="263"/>
      <c r="W168" s="263"/>
      <c r="X168" s="263"/>
      <c r="Y168" s="71"/>
      <c r="Z168" s="71"/>
      <c r="AA168" s="71"/>
      <c r="AB168" s="71"/>
    </row>
    <row r="169" spans="1:28" ht="15.75" customHeight="1">
      <c r="A169" s="143"/>
      <c r="B169" s="298"/>
      <c r="C169" s="298"/>
      <c r="D169" s="298"/>
      <c r="E169" s="298"/>
      <c r="F169" s="298"/>
      <c r="G169" s="298"/>
      <c r="H169" s="312"/>
      <c r="I169" s="311"/>
      <c r="J169" s="309"/>
      <c r="K169" s="298">
        <f t="shared" si="9"/>
        <v>0</v>
      </c>
      <c r="L169" s="303" t="str">
        <f t="shared" ca="1" si="10"/>
        <v/>
      </c>
      <c r="M169" s="304" t="str">
        <f t="shared" ca="1" si="11"/>
        <v/>
      </c>
      <c r="N169" s="305" t="str">
        <f ca="1">IFERROR(_xludf.IFS(G169&lt;100,(ABS(100/G169))+1,G169&gt;100,(G169/100)+1,G169=100, 2, G169=-100, 2),"")</f>
        <v/>
      </c>
      <c r="O169" s="305" t="str">
        <f ca="1">IFERROR(_xludf.IFS(H169&lt;100,(ABS(100/H169))+1,H169&gt;100,(H169/100)+1,H169=100, 2, H169=-100, 2),"")</f>
        <v/>
      </c>
      <c r="P169" s="305" t="str">
        <f t="shared" ca="1" si="12"/>
        <v/>
      </c>
      <c r="Q169" s="271"/>
      <c r="R169" s="297"/>
      <c r="S169" s="271"/>
      <c r="T169" s="271"/>
      <c r="U169" s="271"/>
      <c r="V169" s="263"/>
      <c r="W169" s="263"/>
      <c r="X169" s="263"/>
      <c r="Y169" s="71"/>
      <c r="Z169" s="71"/>
      <c r="AA169" s="71"/>
      <c r="AB169" s="71"/>
    </row>
    <row r="170" spans="1:28" ht="15.75" customHeight="1">
      <c r="A170" s="143"/>
      <c r="B170" s="298"/>
      <c r="C170" s="298"/>
      <c r="D170" s="298"/>
      <c r="E170" s="298"/>
      <c r="F170" s="298"/>
      <c r="G170" s="298"/>
      <c r="H170" s="312"/>
      <c r="I170" s="311"/>
      <c r="J170" s="309"/>
      <c r="K170" s="298">
        <f t="shared" si="9"/>
        <v>0</v>
      </c>
      <c r="L170" s="303" t="str">
        <f t="shared" ca="1" si="10"/>
        <v/>
      </c>
      <c r="M170" s="304" t="str">
        <f t="shared" ca="1" si="11"/>
        <v/>
      </c>
      <c r="N170" s="305" t="str">
        <f ca="1">IFERROR(_xludf.IFS(G170&lt;100,(ABS(100/G170))+1,G170&gt;100,(G170/100)+1,G170=100, 2, G170=-100, 2),"")</f>
        <v/>
      </c>
      <c r="O170" s="305" t="str">
        <f ca="1">IFERROR(_xludf.IFS(H170&lt;100,(ABS(100/H170))+1,H170&gt;100,(H170/100)+1,H170=100, 2, H170=-100, 2),"")</f>
        <v/>
      </c>
      <c r="P170" s="305" t="str">
        <f t="shared" ca="1" si="12"/>
        <v/>
      </c>
      <c r="Q170" s="271"/>
      <c r="R170" s="297"/>
      <c r="S170" s="271"/>
      <c r="T170" s="271"/>
      <c r="U170" s="271"/>
      <c r="V170" s="263"/>
      <c r="W170" s="263"/>
      <c r="X170" s="263"/>
      <c r="Y170" s="71"/>
      <c r="Z170" s="71"/>
      <c r="AA170" s="71"/>
      <c r="AB170" s="71"/>
    </row>
    <row r="171" spans="1:28" ht="15.75" customHeight="1">
      <c r="A171" s="143"/>
      <c r="B171" s="298"/>
      <c r="C171" s="298"/>
      <c r="D171" s="298"/>
      <c r="E171" s="298"/>
      <c r="F171" s="298"/>
      <c r="G171" s="298"/>
      <c r="H171" s="312"/>
      <c r="I171" s="311"/>
      <c r="J171" s="309"/>
      <c r="K171" s="298">
        <f t="shared" si="9"/>
        <v>0</v>
      </c>
      <c r="L171" s="303" t="str">
        <f t="shared" ca="1" si="10"/>
        <v/>
      </c>
      <c r="M171" s="304" t="str">
        <f t="shared" ca="1" si="11"/>
        <v/>
      </c>
      <c r="N171" s="305" t="str">
        <f ca="1">IFERROR(_xludf.IFS(G171&lt;100,(ABS(100/G171))+1,G171&gt;100,(G171/100)+1,G171=100, 2, G171=-100, 2),"")</f>
        <v/>
      </c>
      <c r="O171" s="305" t="str">
        <f ca="1">IFERROR(_xludf.IFS(H171&lt;100,(ABS(100/H171))+1,H171&gt;100,(H171/100)+1,H171=100, 2, H171=-100, 2),"")</f>
        <v/>
      </c>
      <c r="P171" s="305" t="str">
        <f t="shared" ca="1" si="12"/>
        <v/>
      </c>
      <c r="Q171" s="271"/>
      <c r="R171" s="297"/>
      <c r="S171" s="271"/>
      <c r="T171" s="271"/>
      <c r="U171" s="271"/>
      <c r="V171" s="263"/>
      <c r="W171" s="263"/>
      <c r="X171" s="263"/>
      <c r="Y171" s="71"/>
      <c r="Z171" s="71"/>
      <c r="AA171" s="71"/>
      <c r="AB171" s="71"/>
    </row>
    <row r="172" spans="1:28" ht="15.75" customHeight="1">
      <c r="A172" s="143"/>
      <c r="B172" s="298"/>
      <c r="C172" s="298"/>
      <c r="D172" s="298"/>
      <c r="E172" s="298"/>
      <c r="F172" s="298"/>
      <c r="G172" s="298"/>
      <c r="H172" s="312"/>
      <c r="I172" s="311"/>
      <c r="J172" s="309"/>
      <c r="K172" s="298">
        <f t="shared" si="9"/>
        <v>0</v>
      </c>
      <c r="L172" s="303" t="str">
        <f t="shared" ca="1" si="10"/>
        <v/>
      </c>
      <c r="M172" s="304" t="str">
        <f t="shared" ca="1" si="11"/>
        <v/>
      </c>
      <c r="N172" s="305" t="str">
        <f ca="1">IFERROR(_xludf.IFS(G172&lt;100,(ABS(100/G172))+1,G172&gt;100,(G172/100)+1,G172=100, 2, G172=-100, 2),"")</f>
        <v/>
      </c>
      <c r="O172" s="305" t="str">
        <f ca="1">IFERROR(_xludf.IFS(H172&lt;100,(ABS(100/H172))+1,H172&gt;100,(H172/100)+1,H172=100, 2, H172=-100, 2),"")</f>
        <v/>
      </c>
      <c r="P172" s="305" t="str">
        <f t="shared" ca="1" si="12"/>
        <v/>
      </c>
      <c r="Q172" s="271"/>
      <c r="R172" s="297"/>
      <c r="S172" s="271"/>
      <c r="T172" s="271"/>
      <c r="U172" s="271"/>
      <c r="V172" s="263"/>
      <c r="W172" s="263"/>
      <c r="X172" s="263"/>
      <c r="Y172" s="71"/>
      <c r="Z172" s="71"/>
      <c r="AA172" s="71"/>
      <c r="AB172" s="71"/>
    </row>
    <row r="173" spans="1:28" ht="15.75" customHeight="1">
      <c r="A173" s="143"/>
      <c r="B173" s="298"/>
      <c r="C173" s="298"/>
      <c r="D173" s="298"/>
      <c r="E173" s="298"/>
      <c r="F173" s="298"/>
      <c r="G173" s="298"/>
      <c r="H173" s="312"/>
      <c r="I173" s="311"/>
      <c r="J173" s="309"/>
      <c r="K173" s="298">
        <f t="shared" si="9"/>
        <v>0</v>
      </c>
      <c r="L173" s="303" t="str">
        <f t="shared" ca="1" si="10"/>
        <v/>
      </c>
      <c r="M173" s="304" t="str">
        <f t="shared" ca="1" si="11"/>
        <v/>
      </c>
      <c r="N173" s="305" t="str">
        <f ca="1">IFERROR(_xludf.IFS(G173&lt;100,(ABS(100/G173))+1,G173&gt;100,(G173/100)+1,G173=100, 2, G173=-100, 2),"")</f>
        <v/>
      </c>
      <c r="O173" s="305" t="str">
        <f ca="1">IFERROR(_xludf.IFS(H173&lt;100,(ABS(100/H173))+1,H173&gt;100,(H173/100)+1,H173=100, 2, H173=-100, 2),"")</f>
        <v/>
      </c>
      <c r="P173" s="305" t="str">
        <f t="shared" ca="1" si="12"/>
        <v/>
      </c>
      <c r="Q173" s="271"/>
      <c r="R173" s="297"/>
      <c r="S173" s="271"/>
      <c r="T173" s="271"/>
      <c r="U173" s="271"/>
      <c r="V173" s="263"/>
      <c r="W173" s="263"/>
      <c r="X173" s="263"/>
      <c r="Y173" s="71"/>
      <c r="Z173" s="71"/>
      <c r="AA173" s="71"/>
      <c r="AB173" s="71"/>
    </row>
    <row r="174" spans="1:28" ht="15.75" customHeight="1">
      <c r="A174" s="143"/>
      <c r="B174" s="298"/>
      <c r="C174" s="298"/>
      <c r="D174" s="298"/>
      <c r="E174" s="298"/>
      <c r="F174" s="298"/>
      <c r="G174" s="298"/>
      <c r="H174" s="312"/>
      <c r="I174" s="311"/>
      <c r="J174" s="309"/>
      <c r="K174" s="298">
        <f t="shared" si="9"/>
        <v>0</v>
      </c>
      <c r="L174" s="303" t="str">
        <f t="shared" ca="1" si="10"/>
        <v/>
      </c>
      <c r="M174" s="304" t="str">
        <f t="shared" ca="1" si="11"/>
        <v/>
      </c>
      <c r="N174" s="305" t="str">
        <f ca="1">IFERROR(_xludf.IFS(G174&lt;100,(ABS(100/G174))+1,G174&gt;100,(G174/100)+1,G174=100, 2, G174=-100, 2),"")</f>
        <v/>
      </c>
      <c r="O174" s="305" t="str">
        <f ca="1">IFERROR(_xludf.IFS(H174&lt;100,(ABS(100/H174))+1,H174&gt;100,(H174/100)+1,H174=100, 2, H174=-100, 2),"")</f>
        <v/>
      </c>
      <c r="P174" s="305" t="str">
        <f t="shared" ca="1" si="12"/>
        <v/>
      </c>
      <c r="Q174" s="271"/>
      <c r="R174" s="297"/>
      <c r="S174" s="271"/>
      <c r="T174" s="271"/>
      <c r="U174" s="271"/>
      <c r="V174" s="263"/>
      <c r="W174" s="263"/>
      <c r="X174" s="263"/>
      <c r="Y174" s="71"/>
      <c r="Z174" s="71"/>
      <c r="AA174" s="71"/>
      <c r="AB174" s="71"/>
    </row>
    <row r="175" spans="1:28" ht="15.75" customHeight="1">
      <c r="A175" s="143"/>
      <c r="B175" s="298"/>
      <c r="C175" s="298"/>
      <c r="D175" s="298"/>
      <c r="E175" s="298"/>
      <c r="F175" s="298"/>
      <c r="G175" s="298"/>
      <c r="H175" s="312"/>
      <c r="I175" s="311"/>
      <c r="J175" s="309"/>
      <c r="K175" s="298">
        <f t="shared" si="9"/>
        <v>0</v>
      </c>
      <c r="L175" s="303" t="str">
        <f t="shared" ca="1" si="10"/>
        <v/>
      </c>
      <c r="M175" s="304" t="str">
        <f t="shared" ca="1" si="11"/>
        <v/>
      </c>
      <c r="N175" s="305" t="str">
        <f ca="1">IFERROR(_xludf.IFS(G175&lt;100,(ABS(100/G175))+1,G175&gt;100,(G175/100)+1,G175=100, 2, G175=-100, 2),"")</f>
        <v/>
      </c>
      <c r="O175" s="305" t="str">
        <f ca="1">IFERROR(_xludf.IFS(H175&lt;100,(ABS(100/H175))+1,H175&gt;100,(H175/100)+1,H175=100, 2, H175=-100, 2),"")</f>
        <v/>
      </c>
      <c r="P175" s="305" t="str">
        <f t="shared" ca="1" si="12"/>
        <v/>
      </c>
      <c r="Q175" s="271"/>
      <c r="R175" s="297"/>
      <c r="S175" s="271"/>
      <c r="T175" s="271"/>
      <c r="U175" s="271"/>
      <c r="V175" s="263"/>
      <c r="W175" s="263"/>
      <c r="X175" s="263"/>
      <c r="Y175" s="71"/>
      <c r="Z175" s="71"/>
      <c r="AA175" s="71"/>
      <c r="AB175" s="71"/>
    </row>
    <row r="176" spans="1:28" ht="15.75" customHeight="1">
      <c r="A176" s="143"/>
      <c r="B176" s="298"/>
      <c r="C176" s="298"/>
      <c r="D176" s="298"/>
      <c r="E176" s="298"/>
      <c r="F176" s="298"/>
      <c r="G176" s="298"/>
      <c r="H176" s="312"/>
      <c r="I176" s="311"/>
      <c r="J176" s="309"/>
      <c r="K176" s="298">
        <f t="shared" si="9"/>
        <v>0</v>
      </c>
      <c r="L176" s="303" t="str">
        <f t="shared" ca="1" si="10"/>
        <v/>
      </c>
      <c r="M176" s="304" t="str">
        <f t="shared" ca="1" si="11"/>
        <v/>
      </c>
      <c r="N176" s="305" t="str">
        <f ca="1">IFERROR(_xludf.IFS(G176&lt;100,(ABS(100/G176))+1,G176&gt;100,(G176/100)+1,G176=100, 2, G176=-100, 2),"")</f>
        <v/>
      </c>
      <c r="O176" s="305" t="str">
        <f ca="1">IFERROR(_xludf.IFS(H176&lt;100,(ABS(100/H176))+1,H176&gt;100,(H176/100)+1,H176=100, 2, H176=-100, 2),"")</f>
        <v/>
      </c>
      <c r="P176" s="305" t="str">
        <f t="shared" ca="1" si="12"/>
        <v/>
      </c>
      <c r="Q176" s="271"/>
      <c r="R176" s="297"/>
      <c r="S176" s="271"/>
      <c r="T176" s="271"/>
      <c r="U176" s="271"/>
      <c r="V176" s="263"/>
      <c r="W176" s="263"/>
      <c r="X176" s="263"/>
      <c r="Y176" s="71"/>
      <c r="Z176" s="71"/>
      <c r="AA176" s="71"/>
      <c r="AB176" s="71"/>
    </row>
    <row r="177" spans="1:28" ht="15.75" customHeight="1">
      <c r="A177" s="143"/>
      <c r="B177" s="298"/>
      <c r="C177" s="298"/>
      <c r="D177" s="298"/>
      <c r="E177" s="298"/>
      <c r="F177" s="298"/>
      <c r="G177" s="298"/>
      <c r="H177" s="312"/>
      <c r="I177" s="311"/>
      <c r="J177" s="309"/>
      <c r="K177" s="298">
        <f t="shared" si="9"/>
        <v>0</v>
      </c>
      <c r="L177" s="303" t="str">
        <f t="shared" ca="1" si="10"/>
        <v/>
      </c>
      <c r="M177" s="304" t="str">
        <f t="shared" ca="1" si="11"/>
        <v/>
      </c>
      <c r="N177" s="305" t="str">
        <f ca="1">IFERROR(_xludf.IFS(G177&lt;100,(ABS(100/G177))+1,G177&gt;100,(G177/100)+1,G177=100, 2, G177=-100, 2),"")</f>
        <v/>
      </c>
      <c r="O177" s="305" t="str">
        <f ca="1">IFERROR(_xludf.IFS(H177&lt;100,(ABS(100/H177))+1,H177&gt;100,(H177/100)+1,H177=100, 2, H177=-100, 2),"")</f>
        <v/>
      </c>
      <c r="P177" s="305" t="str">
        <f t="shared" ca="1" si="12"/>
        <v/>
      </c>
      <c r="Q177" s="271"/>
      <c r="R177" s="297"/>
      <c r="S177" s="271"/>
      <c r="T177" s="271"/>
      <c r="U177" s="271"/>
      <c r="V177" s="263"/>
      <c r="W177" s="263"/>
      <c r="X177" s="263"/>
      <c r="Y177" s="71"/>
      <c r="Z177" s="71"/>
      <c r="AA177" s="71"/>
      <c r="AB177" s="71"/>
    </row>
    <row r="178" spans="1:28" ht="15.75" customHeight="1">
      <c r="A178" s="143"/>
      <c r="B178" s="298"/>
      <c r="C178" s="298"/>
      <c r="D178" s="298"/>
      <c r="E178" s="298"/>
      <c r="F178" s="298"/>
      <c r="G178" s="298"/>
      <c r="H178" s="312"/>
      <c r="I178" s="311"/>
      <c r="J178" s="309"/>
      <c r="K178" s="298">
        <f t="shared" si="9"/>
        <v>0</v>
      </c>
      <c r="L178" s="303" t="str">
        <f t="shared" ca="1" si="10"/>
        <v/>
      </c>
      <c r="M178" s="304" t="str">
        <f t="shared" ca="1" si="11"/>
        <v/>
      </c>
      <c r="N178" s="305" t="str">
        <f ca="1">IFERROR(_xludf.IFS(G178&lt;100,(ABS(100/G178))+1,G178&gt;100,(G178/100)+1,G178=100, 2, G178=-100, 2),"")</f>
        <v/>
      </c>
      <c r="O178" s="305" t="str">
        <f ca="1">IFERROR(_xludf.IFS(H178&lt;100,(ABS(100/H178))+1,H178&gt;100,(H178/100)+1,H178=100, 2, H178=-100, 2),"")</f>
        <v/>
      </c>
      <c r="P178" s="305" t="str">
        <f t="shared" ca="1" si="12"/>
        <v/>
      </c>
      <c r="Q178" s="271"/>
      <c r="R178" s="297"/>
      <c r="S178" s="271"/>
      <c r="T178" s="271"/>
      <c r="U178" s="271"/>
      <c r="V178" s="263"/>
      <c r="W178" s="263"/>
      <c r="X178" s="263"/>
      <c r="Y178" s="71"/>
      <c r="Z178" s="71"/>
      <c r="AA178" s="71"/>
      <c r="AB178" s="71"/>
    </row>
    <row r="179" spans="1:28" ht="15.75" customHeight="1">
      <c r="A179" s="143"/>
      <c r="B179" s="298"/>
      <c r="C179" s="298"/>
      <c r="D179" s="298"/>
      <c r="E179" s="298"/>
      <c r="F179" s="298"/>
      <c r="G179" s="298"/>
      <c r="H179" s="312"/>
      <c r="I179" s="311"/>
      <c r="J179" s="309"/>
      <c r="K179" s="298">
        <f t="shared" si="9"/>
        <v>0</v>
      </c>
      <c r="L179" s="303" t="str">
        <f t="shared" ca="1" si="10"/>
        <v/>
      </c>
      <c r="M179" s="304" t="str">
        <f t="shared" ca="1" si="11"/>
        <v/>
      </c>
      <c r="N179" s="305" t="str">
        <f ca="1">IFERROR(_xludf.IFS(G179&lt;100,(ABS(100/G179))+1,G179&gt;100,(G179/100)+1,G179=100, 2, G179=-100, 2),"")</f>
        <v/>
      </c>
      <c r="O179" s="305" t="str">
        <f ca="1">IFERROR(_xludf.IFS(H179&lt;100,(ABS(100/H179))+1,H179&gt;100,(H179/100)+1,H179=100, 2, H179=-100, 2),"")</f>
        <v/>
      </c>
      <c r="P179" s="305" t="str">
        <f t="shared" ca="1" si="12"/>
        <v/>
      </c>
      <c r="Q179" s="271"/>
      <c r="R179" s="297"/>
      <c r="S179" s="271"/>
      <c r="T179" s="271"/>
      <c r="U179" s="271"/>
      <c r="V179" s="263"/>
      <c r="W179" s="263"/>
      <c r="X179" s="263"/>
      <c r="Y179" s="71"/>
      <c r="Z179" s="71"/>
      <c r="AA179" s="71"/>
      <c r="AB179" s="71"/>
    </row>
    <row r="180" spans="1:28" ht="15.75" customHeight="1">
      <c r="A180" s="143"/>
      <c r="B180" s="298"/>
      <c r="C180" s="298"/>
      <c r="D180" s="298"/>
      <c r="E180" s="298"/>
      <c r="F180" s="298"/>
      <c r="G180" s="298"/>
      <c r="H180" s="312"/>
      <c r="I180" s="311"/>
      <c r="J180" s="309"/>
      <c r="K180" s="298">
        <f t="shared" si="9"/>
        <v>0</v>
      </c>
      <c r="L180" s="303" t="str">
        <f t="shared" ca="1" si="10"/>
        <v/>
      </c>
      <c r="M180" s="304" t="str">
        <f t="shared" ca="1" si="11"/>
        <v/>
      </c>
      <c r="N180" s="305" t="str">
        <f ca="1">IFERROR(_xludf.IFS(G180&lt;100,(ABS(100/G180))+1,G180&gt;100,(G180/100)+1,G180=100, 2, G180=-100, 2),"")</f>
        <v/>
      </c>
      <c r="O180" s="305" t="str">
        <f ca="1">IFERROR(_xludf.IFS(H180&lt;100,(ABS(100/H180))+1,H180&gt;100,(H180/100)+1,H180=100, 2, H180=-100, 2),"")</f>
        <v/>
      </c>
      <c r="P180" s="305" t="str">
        <f t="shared" ca="1" si="12"/>
        <v/>
      </c>
      <c r="Q180" s="271"/>
      <c r="R180" s="297"/>
      <c r="S180" s="271"/>
      <c r="T180" s="271"/>
      <c r="U180" s="271"/>
      <c r="V180" s="263"/>
      <c r="W180" s="263"/>
      <c r="X180" s="263"/>
      <c r="Y180" s="71"/>
      <c r="Z180" s="71"/>
      <c r="AA180" s="71"/>
      <c r="AB180" s="71"/>
    </row>
    <row r="181" spans="1:28" ht="15.75" customHeight="1">
      <c r="A181" s="143"/>
      <c r="B181" s="298"/>
      <c r="C181" s="298"/>
      <c r="D181" s="298"/>
      <c r="E181" s="298"/>
      <c r="F181" s="298"/>
      <c r="G181" s="298"/>
      <c r="H181" s="312"/>
      <c r="I181" s="311"/>
      <c r="J181" s="309"/>
      <c r="K181" s="298">
        <f t="shared" si="9"/>
        <v>0</v>
      </c>
      <c r="L181" s="303" t="str">
        <f t="shared" ca="1" si="10"/>
        <v/>
      </c>
      <c r="M181" s="304" t="str">
        <f t="shared" ca="1" si="11"/>
        <v/>
      </c>
      <c r="N181" s="305" t="str">
        <f ca="1">IFERROR(_xludf.IFS(G181&lt;100,(ABS(100/G181))+1,G181&gt;100,(G181/100)+1,G181=100, 2, G181=-100, 2),"")</f>
        <v/>
      </c>
      <c r="O181" s="305" t="str">
        <f ca="1">IFERROR(_xludf.IFS(H181&lt;100,(ABS(100/H181))+1,H181&gt;100,(H181/100)+1,H181=100, 2, H181=-100, 2),"")</f>
        <v/>
      </c>
      <c r="P181" s="305" t="str">
        <f t="shared" ca="1" si="12"/>
        <v/>
      </c>
      <c r="Q181" s="271"/>
      <c r="R181" s="297"/>
      <c r="S181" s="271"/>
      <c r="T181" s="271"/>
      <c r="U181" s="271"/>
      <c r="V181" s="263"/>
      <c r="W181" s="263"/>
      <c r="X181" s="263"/>
      <c r="Y181" s="71"/>
      <c r="Z181" s="71"/>
      <c r="AA181" s="71"/>
      <c r="AB181" s="71"/>
    </row>
    <row r="182" spans="1:28" ht="15.75" customHeight="1">
      <c r="A182" s="143"/>
      <c r="B182" s="298"/>
      <c r="C182" s="298"/>
      <c r="D182" s="298"/>
      <c r="E182" s="298"/>
      <c r="F182" s="298"/>
      <c r="G182" s="298"/>
      <c r="H182" s="312"/>
      <c r="I182" s="311"/>
      <c r="J182" s="309"/>
      <c r="K182" s="298">
        <f t="shared" si="9"/>
        <v>0</v>
      </c>
      <c r="L182" s="303" t="str">
        <f t="shared" ca="1" si="10"/>
        <v/>
      </c>
      <c r="M182" s="304" t="str">
        <f t="shared" ca="1" si="11"/>
        <v/>
      </c>
      <c r="N182" s="305" t="str">
        <f ca="1">IFERROR(_xludf.IFS(G182&lt;100,(ABS(100/G182))+1,G182&gt;100,(G182/100)+1,G182=100, 2, G182=-100, 2),"")</f>
        <v/>
      </c>
      <c r="O182" s="305" t="str">
        <f ca="1">IFERROR(_xludf.IFS(H182&lt;100,(ABS(100/H182))+1,H182&gt;100,(H182/100)+1,H182=100, 2, H182=-100, 2),"")</f>
        <v/>
      </c>
      <c r="P182" s="305" t="str">
        <f t="shared" ca="1" si="12"/>
        <v/>
      </c>
      <c r="Q182" s="271"/>
      <c r="R182" s="297"/>
      <c r="S182" s="271"/>
      <c r="T182" s="271"/>
      <c r="U182" s="271"/>
      <c r="V182" s="263"/>
      <c r="W182" s="263"/>
      <c r="X182" s="263"/>
      <c r="Y182" s="71"/>
      <c r="Z182" s="71"/>
      <c r="AA182" s="71"/>
      <c r="AB182" s="71"/>
    </row>
    <row r="183" spans="1:28" ht="15.75" customHeight="1">
      <c r="A183" s="143"/>
      <c r="B183" s="298"/>
      <c r="C183" s="298"/>
      <c r="D183" s="298"/>
      <c r="E183" s="298"/>
      <c r="F183" s="298"/>
      <c r="G183" s="298"/>
      <c r="H183" s="312"/>
      <c r="I183" s="311"/>
      <c r="J183" s="309"/>
      <c r="K183" s="298">
        <f t="shared" si="9"/>
        <v>0</v>
      </c>
      <c r="L183" s="303" t="str">
        <f t="shared" ca="1" si="10"/>
        <v/>
      </c>
      <c r="M183" s="304" t="str">
        <f t="shared" ca="1" si="11"/>
        <v/>
      </c>
      <c r="N183" s="305" t="str">
        <f ca="1">IFERROR(_xludf.IFS(G183&lt;100,(ABS(100/G183))+1,G183&gt;100,(G183/100)+1,G183=100, 2, G183=-100, 2),"")</f>
        <v/>
      </c>
      <c r="O183" s="305" t="str">
        <f ca="1">IFERROR(_xludf.IFS(H183&lt;100,(ABS(100/H183))+1,H183&gt;100,(H183/100)+1,H183=100, 2, H183=-100, 2),"")</f>
        <v/>
      </c>
      <c r="P183" s="305" t="str">
        <f t="shared" ca="1" si="12"/>
        <v/>
      </c>
      <c r="Q183" s="271"/>
      <c r="R183" s="297"/>
      <c r="S183" s="271"/>
      <c r="T183" s="271"/>
      <c r="U183" s="271"/>
      <c r="V183" s="263"/>
      <c r="W183" s="263"/>
      <c r="X183" s="263"/>
      <c r="Y183" s="71"/>
      <c r="Z183" s="71"/>
      <c r="AA183" s="71"/>
      <c r="AB183" s="71"/>
    </row>
    <row r="184" spans="1:28" ht="15.75" customHeight="1">
      <c r="A184" s="143"/>
      <c r="B184" s="298"/>
      <c r="C184" s="298"/>
      <c r="D184" s="298"/>
      <c r="E184" s="298"/>
      <c r="F184" s="298"/>
      <c r="G184" s="298"/>
      <c r="H184" s="312"/>
      <c r="I184" s="311"/>
      <c r="J184" s="309"/>
      <c r="K184" s="298">
        <f t="shared" si="9"/>
        <v>0</v>
      </c>
      <c r="L184" s="303" t="str">
        <f t="shared" ca="1" si="10"/>
        <v/>
      </c>
      <c r="M184" s="304" t="str">
        <f t="shared" ca="1" si="11"/>
        <v/>
      </c>
      <c r="N184" s="305" t="str">
        <f ca="1">IFERROR(_xludf.IFS(G184&lt;100,(ABS(100/G184))+1,G184&gt;100,(G184/100)+1,G184=100, 2, G184=-100, 2),"")</f>
        <v/>
      </c>
      <c r="O184" s="305" t="str">
        <f ca="1">IFERROR(_xludf.IFS(H184&lt;100,(ABS(100/H184))+1,H184&gt;100,(H184/100)+1,H184=100, 2, H184=-100, 2),"")</f>
        <v/>
      </c>
      <c r="P184" s="305" t="str">
        <f t="shared" ca="1" si="12"/>
        <v/>
      </c>
      <c r="Q184" s="271"/>
      <c r="R184" s="297"/>
      <c r="S184" s="271"/>
      <c r="T184" s="271"/>
      <c r="U184" s="271"/>
      <c r="V184" s="263"/>
      <c r="W184" s="263"/>
      <c r="X184" s="263"/>
      <c r="Y184" s="71"/>
      <c r="Z184" s="71"/>
      <c r="AA184" s="71"/>
      <c r="AB184" s="71"/>
    </row>
    <row r="185" spans="1:28" ht="15.75" customHeight="1">
      <c r="A185" s="143"/>
      <c r="B185" s="298"/>
      <c r="C185" s="298"/>
      <c r="D185" s="298"/>
      <c r="E185" s="298"/>
      <c r="F185" s="298"/>
      <c r="G185" s="298"/>
      <c r="H185" s="312"/>
      <c r="I185" s="311"/>
      <c r="J185" s="309"/>
      <c r="K185" s="298">
        <f t="shared" si="9"/>
        <v>0</v>
      </c>
      <c r="L185" s="303" t="str">
        <f t="shared" ca="1" si="10"/>
        <v/>
      </c>
      <c r="M185" s="304" t="str">
        <f t="shared" ca="1" si="11"/>
        <v/>
      </c>
      <c r="N185" s="305" t="str">
        <f ca="1">IFERROR(_xludf.IFS(G185&lt;100,(ABS(100/G185))+1,G185&gt;100,(G185/100)+1,G185=100, 2, G185=-100, 2),"")</f>
        <v/>
      </c>
      <c r="O185" s="305" t="str">
        <f ca="1">IFERROR(_xludf.IFS(H185&lt;100,(ABS(100/H185))+1,H185&gt;100,(H185/100)+1,H185=100, 2, H185=-100, 2),"")</f>
        <v/>
      </c>
      <c r="P185" s="305" t="str">
        <f t="shared" ca="1" si="12"/>
        <v/>
      </c>
      <c r="Q185" s="271"/>
      <c r="R185" s="297"/>
      <c r="S185" s="271"/>
      <c r="T185" s="271"/>
      <c r="U185" s="271"/>
      <c r="V185" s="263"/>
      <c r="W185" s="263"/>
      <c r="X185" s="263"/>
      <c r="Y185" s="71"/>
      <c r="Z185" s="71"/>
      <c r="AA185" s="71"/>
      <c r="AB185" s="71"/>
    </row>
    <row r="186" spans="1:28" ht="15.75" customHeight="1">
      <c r="A186" s="143"/>
      <c r="B186" s="298"/>
      <c r="C186" s="298"/>
      <c r="D186" s="298"/>
      <c r="E186" s="298"/>
      <c r="F186" s="298"/>
      <c r="G186" s="298"/>
      <c r="H186" s="312"/>
      <c r="I186" s="311"/>
      <c r="J186" s="309"/>
      <c r="K186" s="298">
        <f t="shared" si="9"/>
        <v>0</v>
      </c>
      <c r="L186" s="303" t="str">
        <f t="shared" ca="1" si="10"/>
        <v/>
      </c>
      <c r="M186" s="304" t="str">
        <f t="shared" ca="1" si="11"/>
        <v/>
      </c>
      <c r="N186" s="305" t="str">
        <f ca="1">IFERROR(_xludf.IFS(G186&lt;100,(ABS(100/G186))+1,G186&gt;100,(G186/100)+1,G186=100, 2, G186=-100, 2),"")</f>
        <v/>
      </c>
      <c r="O186" s="305" t="str">
        <f ca="1">IFERROR(_xludf.IFS(H186&lt;100,(ABS(100/H186))+1,H186&gt;100,(H186/100)+1,H186=100, 2, H186=-100, 2),"")</f>
        <v/>
      </c>
      <c r="P186" s="305" t="str">
        <f t="shared" ca="1" si="12"/>
        <v/>
      </c>
      <c r="Q186" s="271"/>
      <c r="R186" s="297"/>
      <c r="S186" s="271"/>
      <c r="T186" s="271"/>
      <c r="U186" s="271"/>
      <c r="V186" s="263"/>
      <c r="W186" s="263"/>
      <c r="X186" s="263"/>
      <c r="Y186" s="71"/>
      <c r="Z186" s="71"/>
      <c r="AA186" s="71"/>
      <c r="AB186" s="71"/>
    </row>
    <row r="187" spans="1:28" ht="15.75" customHeight="1">
      <c r="A187" s="143"/>
      <c r="B187" s="298"/>
      <c r="C187" s="298"/>
      <c r="D187" s="298"/>
      <c r="E187" s="298"/>
      <c r="F187" s="298"/>
      <c r="G187" s="298"/>
      <c r="H187" s="312"/>
      <c r="I187" s="311"/>
      <c r="J187" s="309"/>
      <c r="K187" s="298">
        <f t="shared" si="9"/>
        <v>0</v>
      </c>
      <c r="L187" s="303" t="str">
        <f t="shared" ca="1" si="10"/>
        <v/>
      </c>
      <c r="M187" s="304" t="str">
        <f t="shared" ca="1" si="11"/>
        <v/>
      </c>
      <c r="N187" s="305" t="str">
        <f ca="1">IFERROR(_xludf.IFS(G187&lt;100,(ABS(100/G187))+1,G187&gt;100,(G187/100)+1,G187=100, 2, G187=-100, 2),"")</f>
        <v/>
      </c>
      <c r="O187" s="305" t="str">
        <f ca="1">IFERROR(_xludf.IFS(H187&lt;100,(ABS(100/H187))+1,H187&gt;100,(H187/100)+1,H187=100, 2, H187=-100, 2),"")</f>
        <v/>
      </c>
      <c r="P187" s="305" t="str">
        <f t="shared" ca="1" si="12"/>
        <v/>
      </c>
      <c r="Q187" s="271"/>
      <c r="R187" s="297"/>
      <c r="S187" s="271"/>
      <c r="T187" s="271"/>
      <c r="U187" s="271"/>
      <c r="V187" s="263"/>
      <c r="W187" s="263"/>
      <c r="X187" s="263"/>
      <c r="Y187" s="71"/>
      <c r="Z187" s="71"/>
      <c r="AA187" s="71"/>
      <c r="AB187" s="71"/>
    </row>
    <row r="188" spans="1:28" ht="15.75" customHeight="1">
      <c r="A188" s="143"/>
      <c r="B188" s="298"/>
      <c r="C188" s="298"/>
      <c r="D188" s="298"/>
      <c r="E188" s="298"/>
      <c r="F188" s="298"/>
      <c r="G188" s="298"/>
      <c r="H188" s="312"/>
      <c r="I188" s="311"/>
      <c r="J188" s="309"/>
      <c r="K188" s="298">
        <f t="shared" si="9"/>
        <v>0</v>
      </c>
      <c r="L188" s="303" t="str">
        <f t="shared" ca="1" si="10"/>
        <v/>
      </c>
      <c r="M188" s="304" t="str">
        <f t="shared" ca="1" si="11"/>
        <v/>
      </c>
      <c r="N188" s="305" t="str">
        <f ca="1">IFERROR(_xludf.IFS(G188&lt;100,(ABS(100/G188))+1,G188&gt;100,(G188/100)+1,G188=100, 2, G188=-100, 2),"")</f>
        <v/>
      </c>
      <c r="O188" s="305" t="str">
        <f ca="1">IFERROR(_xludf.IFS(H188&lt;100,(ABS(100/H188))+1,H188&gt;100,(H188/100)+1,H188=100, 2, H188=-100, 2),"")</f>
        <v/>
      </c>
      <c r="P188" s="305" t="str">
        <f t="shared" ca="1" si="12"/>
        <v/>
      </c>
      <c r="Q188" s="271"/>
      <c r="R188" s="297"/>
      <c r="S188" s="271"/>
      <c r="T188" s="271"/>
      <c r="U188" s="271"/>
      <c r="V188" s="263"/>
      <c r="W188" s="263"/>
      <c r="X188" s="263"/>
      <c r="Y188" s="71"/>
      <c r="Z188" s="71"/>
      <c r="AA188" s="71"/>
      <c r="AB188" s="71"/>
    </row>
    <row r="189" spans="1:28" ht="15.75" customHeight="1">
      <c r="A189" s="143"/>
      <c r="B189" s="298"/>
      <c r="C189" s="298"/>
      <c r="D189" s="298"/>
      <c r="E189" s="298"/>
      <c r="F189" s="298"/>
      <c r="G189" s="298"/>
      <c r="H189" s="312"/>
      <c r="I189" s="311"/>
      <c r="J189" s="309"/>
      <c r="K189" s="298">
        <f t="shared" si="9"/>
        <v>0</v>
      </c>
      <c r="L189" s="303" t="str">
        <f t="shared" ca="1" si="10"/>
        <v/>
      </c>
      <c r="M189" s="304" t="str">
        <f t="shared" ca="1" si="11"/>
        <v/>
      </c>
      <c r="N189" s="305" t="str">
        <f ca="1">IFERROR(_xludf.IFS(G189&lt;100,(ABS(100/G189))+1,G189&gt;100,(G189/100)+1,G189=100, 2, G189=-100, 2),"")</f>
        <v/>
      </c>
      <c r="O189" s="305" t="str">
        <f ca="1">IFERROR(_xludf.IFS(H189&lt;100,(ABS(100/H189))+1,H189&gt;100,(H189/100)+1,H189=100, 2, H189=-100, 2),"")</f>
        <v/>
      </c>
      <c r="P189" s="305" t="str">
        <f t="shared" ca="1" si="12"/>
        <v/>
      </c>
      <c r="Q189" s="271"/>
      <c r="R189" s="297"/>
      <c r="S189" s="271"/>
      <c r="T189" s="271"/>
      <c r="U189" s="271"/>
      <c r="V189" s="263"/>
      <c r="W189" s="263"/>
      <c r="X189" s="263"/>
      <c r="Y189" s="71"/>
      <c r="Z189" s="71"/>
      <c r="AA189" s="71"/>
      <c r="AB189" s="71"/>
    </row>
    <row r="190" spans="1:28" ht="15.75" customHeight="1">
      <c r="A190" s="143"/>
      <c r="B190" s="298"/>
      <c r="C190" s="298"/>
      <c r="D190" s="298"/>
      <c r="E190" s="298"/>
      <c r="F190" s="298"/>
      <c r="G190" s="298"/>
      <c r="H190" s="312"/>
      <c r="I190" s="311"/>
      <c r="J190" s="309"/>
      <c r="K190" s="298">
        <f t="shared" si="9"/>
        <v>0</v>
      </c>
      <c r="L190" s="303" t="str">
        <f t="shared" ca="1" si="10"/>
        <v/>
      </c>
      <c r="M190" s="304" t="str">
        <f t="shared" ca="1" si="11"/>
        <v/>
      </c>
      <c r="N190" s="305" t="str">
        <f ca="1">IFERROR(_xludf.IFS(G190&lt;100,(ABS(100/G190))+1,G190&gt;100,(G190/100)+1,G190=100, 2, G190=-100, 2),"")</f>
        <v/>
      </c>
      <c r="O190" s="305" t="str">
        <f ca="1">IFERROR(_xludf.IFS(H190&lt;100,(ABS(100/H190))+1,H190&gt;100,(H190/100)+1,H190=100, 2, H190=-100, 2),"")</f>
        <v/>
      </c>
      <c r="P190" s="305" t="str">
        <f t="shared" ca="1" si="12"/>
        <v/>
      </c>
      <c r="Q190" s="271"/>
      <c r="R190" s="297"/>
      <c r="S190" s="271"/>
      <c r="T190" s="271"/>
      <c r="U190" s="271"/>
      <c r="V190" s="263"/>
      <c r="W190" s="263"/>
      <c r="X190" s="263"/>
      <c r="Y190" s="71"/>
      <c r="Z190" s="71"/>
      <c r="AA190" s="71"/>
      <c r="AB190" s="71"/>
    </row>
    <row r="191" spans="1:28" ht="15.75" customHeight="1">
      <c r="A191" s="143"/>
      <c r="B191" s="298"/>
      <c r="C191" s="298"/>
      <c r="D191" s="298"/>
      <c r="E191" s="298"/>
      <c r="F191" s="298"/>
      <c r="G191" s="298"/>
      <c r="H191" s="312"/>
      <c r="I191" s="311"/>
      <c r="J191" s="309"/>
      <c r="K191" s="298">
        <f t="shared" si="9"/>
        <v>0</v>
      </c>
      <c r="L191" s="303" t="str">
        <f t="shared" ca="1" si="10"/>
        <v/>
      </c>
      <c r="M191" s="304" t="str">
        <f t="shared" ca="1" si="11"/>
        <v/>
      </c>
      <c r="N191" s="305" t="str">
        <f ca="1">IFERROR(_xludf.IFS(G191&lt;100,(ABS(100/G191))+1,G191&gt;100,(G191/100)+1,G191=100, 2, G191=-100, 2),"")</f>
        <v/>
      </c>
      <c r="O191" s="305" t="str">
        <f ca="1">IFERROR(_xludf.IFS(H191&lt;100,(ABS(100/H191))+1,H191&gt;100,(H191/100)+1,H191=100, 2, H191=-100, 2),"")</f>
        <v/>
      </c>
      <c r="P191" s="305" t="str">
        <f t="shared" ca="1" si="12"/>
        <v/>
      </c>
      <c r="Q191" s="271"/>
      <c r="R191" s="297"/>
      <c r="S191" s="271"/>
      <c r="T191" s="271"/>
      <c r="U191" s="271"/>
      <c r="V191" s="263"/>
      <c r="W191" s="263"/>
      <c r="X191" s="263"/>
      <c r="Y191" s="71"/>
      <c r="Z191" s="71"/>
      <c r="AA191" s="71"/>
      <c r="AB191" s="71"/>
    </row>
    <row r="192" spans="1:28" ht="15.75" customHeight="1">
      <c r="A192" s="143"/>
      <c r="B192" s="298"/>
      <c r="C192" s="298"/>
      <c r="D192" s="298"/>
      <c r="E192" s="298"/>
      <c r="F192" s="298"/>
      <c r="G192" s="298"/>
      <c r="H192" s="312"/>
      <c r="I192" s="311"/>
      <c r="J192" s="309"/>
      <c r="K192" s="298">
        <f t="shared" si="9"/>
        <v>0</v>
      </c>
      <c r="L192" s="303" t="str">
        <f t="shared" ca="1" si="10"/>
        <v/>
      </c>
      <c r="M192" s="304" t="str">
        <f t="shared" ca="1" si="11"/>
        <v/>
      </c>
      <c r="N192" s="305" t="str">
        <f ca="1">IFERROR(_xludf.IFS(G192&lt;100,(ABS(100/G192))+1,G192&gt;100,(G192/100)+1,G192=100, 2, G192=-100, 2),"")</f>
        <v/>
      </c>
      <c r="O192" s="305" t="str">
        <f ca="1">IFERROR(_xludf.IFS(H192&lt;100,(ABS(100/H192))+1,H192&gt;100,(H192/100)+1,H192=100, 2, H192=-100, 2),"")</f>
        <v/>
      </c>
      <c r="P192" s="305" t="str">
        <f t="shared" ca="1" si="12"/>
        <v/>
      </c>
      <c r="Q192" s="271"/>
      <c r="R192" s="297"/>
      <c r="S192" s="271"/>
      <c r="T192" s="271"/>
      <c r="U192" s="271"/>
      <c r="V192" s="263"/>
      <c r="W192" s="263"/>
      <c r="X192" s="263"/>
      <c r="Y192" s="71"/>
      <c r="Z192" s="71"/>
      <c r="AA192" s="71"/>
      <c r="AB192" s="71"/>
    </row>
    <row r="193" spans="1:28" ht="15.75" customHeight="1">
      <c r="A193" s="143"/>
      <c r="B193" s="298"/>
      <c r="C193" s="298"/>
      <c r="D193" s="298"/>
      <c r="E193" s="298"/>
      <c r="F193" s="298"/>
      <c r="G193" s="298"/>
      <c r="H193" s="312"/>
      <c r="I193" s="311"/>
      <c r="J193" s="309"/>
      <c r="K193" s="298">
        <f t="shared" si="9"/>
        <v>0</v>
      </c>
      <c r="L193" s="303" t="str">
        <f t="shared" ca="1" si="10"/>
        <v/>
      </c>
      <c r="M193" s="304" t="str">
        <f t="shared" ca="1" si="11"/>
        <v/>
      </c>
      <c r="N193" s="305" t="str">
        <f ca="1">IFERROR(_xludf.IFS(G193&lt;100,(ABS(100/G193))+1,G193&gt;100,(G193/100)+1,G193=100, 2, G193=-100, 2),"")</f>
        <v/>
      </c>
      <c r="O193" s="305" t="str">
        <f ca="1">IFERROR(_xludf.IFS(H193&lt;100,(ABS(100/H193))+1,H193&gt;100,(H193/100)+1,H193=100, 2, H193=-100, 2),"")</f>
        <v/>
      </c>
      <c r="P193" s="305" t="str">
        <f t="shared" ca="1" si="12"/>
        <v/>
      </c>
      <c r="Q193" s="271"/>
      <c r="R193" s="297"/>
      <c r="S193" s="271"/>
      <c r="T193" s="271"/>
      <c r="U193" s="271"/>
      <c r="V193" s="263"/>
      <c r="W193" s="263"/>
      <c r="X193" s="263"/>
      <c r="Y193" s="71"/>
      <c r="Z193" s="71"/>
      <c r="AA193" s="71"/>
      <c r="AB193" s="71"/>
    </row>
    <row r="194" spans="1:28" ht="15.75" customHeight="1">
      <c r="A194" s="143"/>
      <c r="B194" s="298"/>
      <c r="C194" s="298"/>
      <c r="D194" s="298"/>
      <c r="E194" s="298"/>
      <c r="F194" s="298"/>
      <c r="G194" s="298"/>
      <c r="H194" s="312"/>
      <c r="I194" s="311"/>
      <c r="J194" s="309"/>
      <c r="K194" s="298">
        <f t="shared" si="9"/>
        <v>0</v>
      </c>
      <c r="L194" s="303" t="str">
        <f t="shared" ca="1" si="10"/>
        <v/>
      </c>
      <c r="M194" s="304" t="str">
        <f t="shared" ca="1" si="11"/>
        <v/>
      </c>
      <c r="N194" s="305" t="str">
        <f ca="1">IFERROR(_xludf.IFS(G194&lt;100,(ABS(100/G194))+1,G194&gt;100,(G194/100)+1,G194=100, 2, G194=-100, 2),"")</f>
        <v/>
      </c>
      <c r="O194" s="305" t="str">
        <f ca="1">IFERROR(_xludf.IFS(H194&lt;100,(ABS(100/H194))+1,H194&gt;100,(H194/100)+1,H194=100, 2, H194=-100, 2),"")</f>
        <v/>
      </c>
      <c r="P194" s="305" t="str">
        <f t="shared" ca="1" si="12"/>
        <v/>
      </c>
      <c r="Q194" s="271"/>
      <c r="R194" s="297"/>
      <c r="S194" s="271"/>
      <c r="T194" s="271"/>
      <c r="U194" s="271"/>
      <c r="V194" s="263"/>
      <c r="W194" s="263"/>
      <c r="X194" s="263"/>
      <c r="Y194" s="71"/>
      <c r="Z194" s="71"/>
      <c r="AA194" s="71"/>
      <c r="AB194" s="71"/>
    </row>
    <row r="195" spans="1:28" ht="15.75" customHeight="1">
      <c r="A195" s="143"/>
      <c r="B195" s="298"/>
      <c r="C195" s="298"/>
      <c r="D195" s="298"/>
      <c r="E195" s="298"/>
      <c r="F195" s="298"/>
      <c r="G195" s="298"/>
      <c r="H195" s="312"/>
      <c r="I195" s="311"/>
      <c r="J195" s="309"/>
      <c r="K195" s="298">
        <f t="shared" si="9"/>
        <v>0</v>
      </c>
      <c r="L195" s="303" t="str">
        <f t="shared" ca="1" si="10"/>
        <v/>
      </c>
      <c r="M195" s="304" t="str">
        <f t="shared" ca="1" si="11"/>
        <v/>
      </c>
      <c r="N195" s="305" t="str">
        <f ca="1">IFERROR(_xludf.IFS(G195&lt;100,(ABS(100/G195))+1,G195&gt;100,(G195/100)+1,G195=100, 2, G195=-100, 2),"")</f>
        <v/>
      </c>
      <c r="O195" s="305" t="str">
        <f ca="1">IFERROR(_xludf.IFS(H195&lt;100,(ABS(100/H195))+1,H195&gt;100,(H195/100)+1,H195=100, 2, H195=-100, 2),"")</f>
        <v/>
      </c>
      <c r="P195" s="305" t="str">
        <f t="shared" ca="1" si="12"/>
        <v/>
      </c>
      <c r="Q195" s="271"/>
      <c r="R195" s="297"/>
      <c r="S195" s="271"/>
      <c r="T195" s="271"/>
      <c r="U195" s="271"/>
      <c r="V195" s="263"/>
      <c r="W195" s="263"/>
      <c r="X195" s="263"/>
      <c r="Y195" s="71"/>
      <c r="Z195" s="71"/>
      <c r="AA195" s="71"/>
      <c r="AB195" s="71"/>
    </row>
    <row r="196" spans="1:28" ht="15.75" customHeight="1">
      <c r="A196" s="143"/>
      <c r="B196" s="298"/>
      <c r="C196" s="298"/>
      <c r="D196" s="298"/>
      <c r="E196" s="298"/>
      <c r="F196" s="298"/>
      <c r="G196" s="298"/>
      <c r="H196" s="312"/>
      <c r="I196" s="311"/>
      <c r="J196" s="309"/>
      <c r="K196" s="298">
        <f t="shared" si="9"/>
        <v>0</v>
      </c>
      <c r="L196" s="303" t="str">
        <f t="shared" ca="1" si="10"/>
        <v/>
      </c>
      <c r="M196" s="304" t="str">
        <f t="shared" ca="1" si="11"/>
        <v/>
      </c>
      <c r="N196" s="305" t="str">
        <f ca="1">IFERROR(_xludf.IFS(G196&lt;100,(ABS(100/G196))+1,G196&gt;100,(G196/100)+1,G196=100, 2, G196=-100, 2),"")</f>
        <v/>
      </c>
      <c r="O196" s="305" t="str">
        <f ca="1">IFERROR(_xludf.IFS(H196&lt;100,(ABS(100/H196))+1,H196&gt;100,(H196/100)+1,H196=100, 2, H196=-100, 2),"")</f>
        <v/>
      </c>
      <c r="P196" s="305" t="str">
        <f t="shared" ca="1" si="12"/>
        <v/>
      </c>
      <c r="Q196" s="271"/>
      <c r="R196" s="297"/>
      <c r="S196" s="271"/>
      <c r="T196" s="271"/>
      <c r="U196" s="271"/>
      <c r="V196" s="263"/>
      <c r="W196" s="263"/>
      <c r="X196" s="263"/>
      <c r="Y196" s="71"/>
      <c r="Z196" s="71"/>
      <c r="AA196" s="71"/>
      <c r="AB196" s="71"/>
    </row>
    <row r="197" spans="1:28" ht="15.75" customHeight="1">
      <c r="A197" s="143"/>
      <c r="B197" s="298"/>
      <c r="C197" s="298"/>
      <c r="D197" s="298"/>
      <c r="E197" s="298"/>
      <c r="F197" s="298"/>
      <c r="G197" s="298"/>
      <c r="H197" s="312"/>
      <c r="I197" s="311"/>
      <c r="J197" s="309"/>
      <c r="K197" s="298">
        <f t="shared" si="9"/>
        <v>0</v>
      </c>
      <c r="L197" s="303" t="str">
        <f t="shared" ca="1" si="10"/>
        <v/>
      </c>
      <c r="M197" s="304" t="str">
        <f t="shared" ca="1" si="11"/>
        <v/>
      </c>
      <c r="N197" s="305" t="str">
        <f ca="1">IFERROR(_xludf.IFS(G197&lt;100,(ABS(100/G197))+1,G197&gt;100,(G197/100)+1,G197=100, 2, G197=-100, 2),"")</f>
        <v/>
      </c>
      <c r="O197" s="305" t="str">
        <f ca="1">IFERROR(_xludf.IFS(H197&lt;100,(ABS(100/H197))+1,H197&gt;100,(H197/100)+1,H197=100, 2, H197=-100, 2),"")</f>
        <v/>
      </c>
      <c r="P197" s="305" t="str">
        <f t="shared" ca="1" si="12"/>
        <v/>
      </c>
      <c r="Q197" s="271"/>
      <c r="R197" s="297"/>
      <c r="S197" s="271"/>
      <c r="T197" s="271"/>
      <c r="U197" s="271"/>
      <c r="V197" s="263"/>
      <c r="W197" s="263"/>
      <c r="X197" s="263"/>
      <c r="Y197" s="71"/>
      <c r="Z197" s="71"/>
      <c r="AA197" s="71"/>
      <c r="AB197" s="71"/>
    </row>
    <row r="198" spans="1:28" ht="15.75" customHeight="1">
      <c r="A198" s="143"/>
      <c r="B198" s="298"/>
      <c r="C198" s="298"/>
      <c r="D198" s="298"/>
      <c r="E198" s="298"/>
      <c r="F198" s="298"/>
      <c r="G198" s="298"/>
      <c r="H198" s="312"/>
      <c r="I198" s="311"/>
      <c r="J198" s="309"/>
      <c r="K198" s="298">
        <f t="shared" si="9"/>
        <v>0</v>
      </c>
      <c r="L198" s="303" t="str">
        <f t="shared" ca="1" si="10"/>
        <v/>
      </c>
      <c r="M198" s="304" t="str">
        <f t="shared" ca="1" si="11"/>
        <v/>
      </c>
      <c r="N198" s="305" t="str">
        <f ca="1">IFERROR(_xludf.IFS(G198&lt;100,(ABS(100/G198))+1,G198&gt;100,(G198/100)+1,G198=100, 2, G198=-100, 2),"")</f>
        <v/>
      </c>
      <c r="O198" s="305" t="str">
        <f ca="1">IFERROR(_xludf.IFS(H198&lt;100,(ABS(100/H198))+1,H198&gt;100,(H198/100)+1,H198=100, 2, H198=-100, 2),"")</f>
        <v/>
      </c>
      <c r="P198" s="305" t="str">
        <f t="shared" ca="1" si="12"/>
        <v/>
      </c>
      <c r="Q198" s="271"/>
      <c r="R198" s="297"/>
      <c r="S198" s="271"/>
      <c r="T198" s="271"/>
      <c r="U198" s="271"/>
      <c r="V198" s="263"/>
      <c r="W198" s="263"/>
      <c r="X198" s="263"/>
      <c r="Y198" s="71"/>
      <c r="Z198" s="71"/>
      <c r="AA198" s="71"/>
      <c r="AB198" s="71"/>
    </row>
    <row r="199" spans="1:28" ht="15.75" customHeight="1">
      <c r="A199" s="143"/>
      <c r="B199" s="298"/>
      <c r="C199" s="298"/>
      <c r="D199" s="298"/>
      <c r="E199" s="298"/>
      <c r="F199" s="298"/>
      <c r="G199" s="298"/>
      <c r="H199" s="312"/>
      <c r="I199" s="311"/>
      <c r="J199" s="309"/>
      <c r="K199" s="298">
        <f t="shared" si="9"/>
        <v>0</v>
      </c>
      <c r="L199" s="303" t="str">
        <f t="shared" ca="1" si="10"/>
        <v/>
      </c>
      <c r="M199" s="304" t="str">
        <f t="shared" ca="1" si="11"/>
        <v/>
      </c>
      <c r="N199" s="305" t="str">
        <f ca="1">IFERROR(_xludf.IFS(G199&lt;100,(ABS(100/G199))+1,G199&gt;100,(G199/100)+1,G199=100, 2, G199=-100, 2),"")</f>
        <v/>
      </c>
      <c r="O199" s="305" t="str">
        <f ca="1">IFERROR(_xludf.IFS(H199&lt;100,(ABS(100/H199))+1,H199&gt;100,(H199/100)+1,H199=100, 2, H199=-100, 2),"")</f>
        <v/>
      </c>
      <c r="P199" s="305" t="str">
        <f t="shared" ca="1" si="12"/>
        <v/>
      </c>
      <c r="Q199" s="271"/>
      <c r="R199" s="297"/>
      <c r="S199" s="271"/>
      <c r="T199" s="271"/>
      <c r="U199" s="271"/>
      <c r="V199" s="263"/>
      <c r="W199" s="263"/>
      <c r="X199" s="263"/>
      <c r="Y199" s="71"/>
      <c r="Z199" s="71"/>
      <c r="AA199" s="71"/>
      <c r="AB199" s="71"/>
    </row>
    <row r="200" spans="1:28" ht="15.75" customHeight="1">
      <c r="A200" s="143"/>
      <c r="B200" s="298"/>
      <c r="C200" s="298"/>
      <c r="D200" s="298"/>
      <c r="E200" s="298"/>
      <c r="F200" s="298"/>
      <c r="G200" s="298"/>
      <c r="H200" s="312"/>
      <c r="I200" s="311"/>
      <c r="J200" s="309"/>
      <c r="K200" s="298">
        <f t="shared" si="9"/>
        <v>0</v>
      </c>
      <c r="L200" s="303" t="str">
        <f t="shared" ca="1" si="10"/>
        <v/>
      </c>
      <c r="M200" s="304" t="str">
        <f t="shared" ca="1" si="11"/>
        <v/>
      </c>
      <c r="N200" s="305" t="str">
        <f ca="1">IFERROR(_xludf.IFS(G200&lt;100,(ABS(100/G200))+1,G200&gt;100,(G200/100)+1,G200=100, 2, G200=-100, 2),"")</f>
        <v/>
      </c>
      <c r="O200" s="305" t="str">
        <f ca="1">IFERROR(_xludf.IFS(H200&lt;100,(ABS(100/H200))+1,H200&gt;100,(H200/100)+1,H200=100, 2, H200=-100, 2),"")</f>
        <v/>
      </c>
      <c r="P200" s="305" t="str">
        <f t="shared" ca="1" si="12"/>
        <v/>
      </c>
      <c r="Q200" s="271"/>
      <c r="R200" s="297"/>
      <c r="S200" s="271"/>
      <c r="T200" s="271"/>
      <c r="U200" s="271"/>
      <c r="V200" s="263"/>
      <c r="W200" s="263"/>
      <c r="X200" s="263"/>
      <c r="Y200" s="71"/>
      <c r="Z200" s="71"/>
      <c r="AA200" s="71"/>
      <c r="AB200" s="71"/>
    </row>
    <row r="201" spans="1:28" ht="15.75" customHeight="1">
      <c r="A201" s="143"/>
      <c r="B201" s="298"/>
      <c r="C201" s="298"/>
      <c r="D201" s="298"/>
      <c r="E201" s="298"/>
      <c r="F201" s="298"/>
      <c r="G201" s="298"/>
      <c r="H201" s="312"/>
      <c r="I201" s="311"/>
      <c r="J201" s="309"/>
      <c r="K201" s="298">
        <f t="shared" si="9"/>
        <v>0</v>
      </c>
      <c r="L201" s="303" t="str">
        <f t="shared" ca="1" si="10"/>
        <v/>
      </c>
      <c r="M201" s="304" t="str">
        <f t="shared" ca="1" si="11"/>
        <v/>
      </c>
      <c r="N201" s="305" t="str">
        <f ca="1">IFERROR(_xludf.IFS(G201&lt;100,(ABS(100/G201))+1,G201&gt;100,(G201/100)+1,G201=100, 2, G201=-100, 2),"")</f>
        <v/>
      </c>
      <c r="O201" s="305" t="str">
        <f ca="1">IFERROR(_xludf.IFS(H201&lt;100,(ABS(100/H201))+1,H201&gt;100,(H201/100)+1,H201=100, 2, H201=-100, 2),"")</f>
        <v/>
      </c>
      <c r="P201" s="305" t="str">
        <f t="shared" ca="1" si="12"/>
        <v/>
      </c>
      <c r="Q201" s="271"/>
      <c r="R201" s="297"/>
      <c r="S201" s="271"/>
      <c r="T201" s="271"/>
      <c r="U201" s="271"/>
      <c r="V201" s="263"/>
      <c r="W201" s="263"/>
      <c r="X201" s="263"/>
      <c r="Y201" s="71"/>
      <c r="Z201" s="71"/>
      <c r="AA201" s="71"/>
      <c r="AB201" s="71"/>
    </row>
    <row r="202" spans="1:28" ht="15.75" customHeight="1">
      <c r="A202" s="143"/>
      <c r="B202" s="298"/>
      <c r="C202" s="298"/>
      <c r="D202" s="298"/>
      <c r="E202" s="298"/>
      <c r="F202" s="298"/>
      <c r="G202" s="298"/>
      <c r="H202" s="312"/>
      <c r="I202" s="311"/>
      <c r="J202" s="309"/>
      <c r="K202" s="298">
        <f t="shared" ref="K202:K265" si="13">IF(J202="W",N202*I202-I202,IF(J202="L",-I202,0))</f>
        <v>0</v>
      </c>
      <c r="L202" s="303" t="str">
        <f t="shared" ref="L202:L265" ca="1" si="14">IFERROR((1/O202-1/N202)/(1/N202),"")</f>
        <v/>
      </c>
      <c r="M202" s="304" t="str">
        <f t="shared" ref="M202:M265" ca="1" si="15">IFERROR((1/P202-1/N202)/(1/N202),"")</f>
        <v/>
      </c>
      <c r="N202" s="305" t="str">
        <f ca="1">IFERROR(_xludf.IFS(G202&lt;100,(ABS(100/G202))+1,G202&gt;100,(G202/100)+1,G202=100, 2, G202=-100, 2),"")</f>
        <v/>
      </c>
      <c r="O202" s="305" t="str">
        <f ca="1">IFERROR(_xludf.IFS(H202&lt;100,(ABS(100/H202))+1,H202&gt;100,(H202/100)+1,H202=100, 2, H202=-100, 2),"")</f>
        <v/>
      </c>
      <c r="P202" s="305" t="str">
        <f t="shared" ca="1" si="12"/>
        <v/>
      </c>
      <c r="Q202" s="271"/>
      <c r="R202" s="297"/>
      <c r="S202" s="271"/>
      <c r="T202" s="271"/>
      <c r="U202" s="271"/>
      <c r="V202" s="263"/>
      <c r="W202" s="263"/>
      <c r="X202" s="263"/>
      <c r="Y202" s="71"/>
      <c r="Z202" s="71"/>
      <c r="AA202" s="71"/>
      <c r="AB202" s="71"/>
    </row>
    <row r="203" spans="1:28" ht="15.75" customHeight="1">
      <c r="A203" s="143"/>
      <c r="B203" s="298"/>
      <c r="C203" s="298"/>
      <c r="D203" s="298"/>
      <c r="E203" s="298"/>
      <c r="F203" s="298"/>
      <c r="G203" s="298"/>
      <c r="H203" s="312"/>
      <c r="I203" s="311"/>
      <c r="J203" s="309"/>
      <c r="K203" s="298">
        <f t="shared" si="13"/>
        <v>0</v>
      </c>
      <c r="L203" s="303" t="str">
        <f t="shared" ca="1" si="14"/>
        <v/>
      </c>
      <c r="M203" s="304" t="str">
        <f t="shared" ca="1" si="15"/>
        <v/>
      </c>
      <c r="N203" s="305" t="str">
        <f ca="1">IFERROR(_xludf.IFS(G203&lt;100,(ABS(100/G203))+1,G203&gt;100,(G203/100)+1,G203=100, 2, G203=-100, 2),"")</f>
        <v/>
      </c>
      <c r="O203" s="305" t="str">
        <f ca="1">IFERROR(_xludf.IFS(H203&lt;100,(ABS(100/H203))+1,H203&gt;100,(H203/100)+1,H203=100, 2, H203=-100, 2),"")</f>
        <v/>
      </c>
      <c r="P203" s="305" t="str">
        <f t="shared" ca="1" si="12"/>
        <v/>
      </c>
      <c r="Q203" s="271"/>
      <c r="R203" s="297"/>
      <c r="S203" s="271"/>
      <c r="T203" s="271"/>
      <c r="U203" s="271"/>
      <c r="V203" s="263"/>
      <c r="W203" s="263"/>
      <c r="X203" s="263"/>
      <c r="Y203" s="71"/>
      <c r="Z203" s="71"/>
      <c r="AA203" s="71"/>
      <c r="AB203" s="71"/>
    </row>
    <row r="204" spans="1:28" ht="15.75" customHeight="1">
      <c r="A204" s="143"/>
      <c r="B204" s="298"/>
      <c r="C204" s="298"/>
      <c r="D204" s="298"/>
      <c r="E204" s="298"/>
      <c r="F204" s="298"/>
      <c r="G204" s="298"/>
      <c r="H204" s="312"/>
      <c r="I204" s="311"/>
      <c r="J204" s="309"/>
      <c r="K204" s="298">
        <f t="shared" si="13"/>
        <v>0</v>
      </c>
      <c r="L204" s="303" t="str">
        <f t="shared" ca="1" si="14"/>
        <v/>
      </c>
      <c r="M204" s="304" t="str">
        <f t="shared" ca="1" si="15"/>
        <v/>
      </c>
      <c r="N204" s="305" t="str">
        <f ca="1">IFERROR(_xludf.IFS(G204&lt;100,(ABS(100/G204))+1,G204&gt;100,(G204/100)+1,G204=100, 2, G204=-100, 2),"")</f>
        <v/>
      </c>
      <c r="O204" s="305" t="str">
        <f ca="1">IFERROR(_xludf.IFS(H204&lt;100,(ABS(100/H204))+1,H204&gt;100,(H204/100)+1,H204=100, 2, H204=-100, 2),"")</f>
        <v/>
      </c>
      <c r="P204" s="305" t="str">
        <f t="shared" ca="1" si="12"/>
        <v/>
      </c>
      <c r="Q204" s="271"/>
      <c r="R204" s="297"/>
      <c r="S204" s="271"/>
      <c r="T204" s="271"/>
      <c r="U204" s="271"/>
      <c r="V204" s="263"/>
      <c r="W204" s="263"/>
      <c r="X204" s="263"/>
      <c r="Y204" s="71"/>
      <c r="Z204" s="71"/>
      <c r="AA204" s="71"/>
      <c r="AB204" s="71"/>
    </row>
    <row r="205" spans="1:28" ht="15.75" customHeight="1">
      <c r="A205" s="143"/>
      <c r="B205" s="298"/>
      <c r="C205" s="298"/>
      <c r="D205" s="298"/>
      <c r="E205" s="298"/>
      <c r="F205" s="298"/>
      <c r="G205" s="298"/>
      <c r="H205" s="312"/>
      <c r="I205" s="311"/>
      <c r="J205" s="309"/>
      <c r="K205" s="298">
        <f t="shared" si="13"/>
        <v>0</v>
      </c>
      <c r="L205" s="303" t="str">
        <f t="shared" ca="1" si="14"/>
        <v/>
      </c>
      <c r="M205" s="304" t="str">
        <f t="shared" ca="1" si="15"/>
        <v/>
      </c>
      <c r="N205" s="305" t="str">
        <f ca="1">IFERROR(_xludf.IFS(G205&lt;100,(ABS(100/G205))+1,G205&gt;100,(G205/100)+1,G205=100, 2, G205=-100, 2),"")</f>
        <v/>
      </c>
      <c r="O205" s="305" t="str">
        <f ca="1">IFERROR(_xludf.IFS(H205&lt;100,(ABS(100/H205))+1,H205&gt;100,(H205/100)+1,H205=100, 2, H205=-100, 2),"")</f>
        <v/>
      </c>
      <c r="P205" s="305" t="str">
        <f t="shared" ca="1" si="12"/>
        <v/>
      </c>
      <c r="Q205" s="271"/>
      <c r="R205" s="297"/>
      <c r="S205" s="271"/>
      <c r="T205" s="271"/>
      <c r="U205" s="271"/>
      <c r="V205" s="263"/>
      <c r="W205" s="263"/>
      <c r="X205" s="263"/>
      <c r="Y205" s="71"/>
      <c r="Z205" s="71"/>
      <c r="AA205" s="71"/>
      <c r="AB205" s="71"/>
    </row>
    <row r="206" spans="1:28" ht="15.75" customHeight="1">
      <c r="A206" s="143"/>
      <c r="B206" s="298"/>
      <c r="C206" s="298"/>
      <c r="D206" s="298"/>
      <c r="E206" s="298"/>
      <c r="F206" s="298"/>
      <c r="G206" s="298"/>
      <c r="H206" s="312"/>
      <c r="I206" s="311"/>
      <c r="J206" s="309"/>
      <c r="K206" s="298">
        <f t="shared" si="13"/>
        <v>0</v>
      </c>
      <c r="L206" s="303" t="str">
        <f t="shared" ca="1" si="14"/>
        <v/>
      </c>
      <c r="M206" s="304" t="str">
        <f t="shared" ca="1" si="15"/>
        <v/>
      </c>
      <c r="N206" s="305" t="str">
        <f ca="1">IFERROR(_xludf.IFS(G206&lt;100,(ABS(100/G206))+1,G206&gt;100,(G206/100)+1,G206=100, 2, G206=-100, 2),"")</f>
        <v/>
      </c>
      <c r="O206" s="305" t="str">
        <f ca="1">IFERROR(_xludf.IFS(H206&lt;100,(ABS(100/H206))+1,H206&gt;100,(H206/100)+1,H206=100, 2, H206=-100, 2),"")</f>
        <v/>
      </c>
      <c r="P206" s="305" t="str">
        <f t="shared" ca="1" si="12"/>
        <v/>
      </c>
      <c r="Q206" s="271"/>
      <c r="R206" s="297"/>
      <c r="S206" s="271"/>
      <c r="T206" s="271"/>
      <c r="U206" s="271"/>
      <c r="V206" s="263"/>
      <c r="W206" s="263"/>
      <c r="X206" s="263"/>
      <c r="Y206" s="71"/>
      <c r="Z206" s="71"/>
      <c r="AA206" s="71"/>
      <c r="AB206" s="71"/>
    </row>
    <row r="207" spans="1:28" ht="15.75" customHeight="1">
      <c r="A207" s="143"/>
      <c r="B207" s="298"/>
      <c r="C207" s="298"/>
      <c r="D207" s="298"/>
      <c r="E207" s="298"/>
      <c r="F207" s="298"/>
      <c r="G207" s="298"/>
      <c r="H207" s="312"/>
      <c r="I207" s="311"/>
      <c r="J207" s="309"/>
      <c r="K207" s="298">
        <f t="shared" si="13"/>
        <v>0</v>
      </c>
      <c r="L207" s="303" t="str">
        <f t="shared" ca="1" si="14"/>
        <v/>
      </c>
      <c r="M207" s="304" t="str">
        <f t="shared" ca="1" si="15"/>
        <v/>
      </c>
      <c r="N207" s="305" t="str">
        <f ca="1">IFERROR(_xludf.IFS(G207&lt;100,(ABS(100/G207))+1,G207&gt;100,(G207/100)+1,G207=100, 2, G207=-100, 2),"")</f>
        <v/>
      </c>
      <c r="O207" s="305" t="str">
        <f ca="1">IFERROR(_xludf.IFS(H207&lt;100,(ABS(100/H207))+1,H207&gt;100,(H207/100)+1,H207=100, 2, H207=-100, 2),"")</f>
        <v/>
      </c>
      <c r="P207" s="305" t="str">
        <f t="shared" ca="1" si="12"/>
        <v/>
      </c>
      <c r="Q207" s="271"/>
      <c r="R207" s="297"/>
      <c r="S207" s="271"/>
      <c r="T207" s="271"/>
      <c r="U207" s="271"/>
      <c r="V207" s="263"/>
      <c r="W207" s="263"/>
      <c r="X207" s="263"/>
      <c r="Y207" s="71"/>
      <c r="Z207" s="71"/>
      <c r="AA207" s="71"/>
      <c r="AB207" s="71"/>
    </row>
    <row r="208" spans="1:28" ht="15.75" customHeight="1">
      <c r="A208" s="143"/>
      <c r="B208" s="298"/>
      <c r="C208" s="298"/>
      <c r="D208" s="298"/>
      <c r="E208" s="298"/>
      <c r="F208" s="298"/>
      <c r="G208" s="298"/>
      <c r="H208" s="312"/>
      <c r="I208" s="311"/>
      <c r="J208" s="309"/>
      <c r="K208" s="298">
        <f t="shared" si="13"/>
        <v>0</v>
      </c>
      <c r="L208" s="303" t="str">
        <f t="shared" ca="1" si="14"/>
        <v/>
      </c>
      <c r="M208" s="304" t="str">
        <f t="shared" ca="1" si="15"/>
        <v/>
      </c>
      <c r="N208" s="305" t="str">
        <f ca="1">IFERROR(_xludf.IFS(G208&lt;100,(ABS(100/G208))+1,G208&gt;100,(G208/100)+1,G208=100, 2, G208=-100, 2),"")</f>
        <v/>
      </c>
      <c r="O208" s="305" t="str">
        <f ca="1">IFERROR(_xludf.IFS(H208&lt;100,(ABS(100/H208))+1,H208&gt;100,(H208/100)+1,H208=100, 2, H208=-100, 2),"")</f>
        <v/>
      </c>
      <c r="P208" s="305" t="str">
        <f t="shared" ca="1" si="12"/>
        <v/>
      </c>
      <c r="Q208" s="271"/>
      <c r="R208" s="297"/>
      <c r="S208" s="271"/>
      <c r="T208" s="271"/>
      <c r="U208" s="271"/>
      <c r="V208" s="263"/>
      <c r="W208" s="263"/>
      <c r="X208" s="263"/>
      <c r="Y208" s="71"/>
      <c r="Z208" s="71"/>
      <c r="AA208" s="71"/>
      <c r="AB208" s="71"/>
    </row>
    <row r="209" spans="1:28" ht="15.75" customHeight="1">
      <c r="A209" s="143"/>
      <c r="B209" s="298"/>
      <c r="C209" s="298"/>
      <c r="D209" s="298"/>
      <c r="E209" s="298"/>
      <c r="F209" s="298"/>
      <c r="G209" s="298"/>
      <c r="H209" s="312"/>
      <c r="I209" s="311"/>
      <c r="J209" s="309"/>
      <c r="K209" s="298">
        <f t="shared" si="13"/>
        <v>0</v>
      </c>
      <c r="L209" s="303" t="str">
        <f t="shared" ca="1" si="14"/>
        <v/>
      </c>
      <c r="M209" s="304" t="str">
        <f t="shared" ca="1" si="15"/>
        <v/>
      </c>
      <c r="N209" s="305" t="str">
        <f ca="1">IFERROR(_xludf.IFS(G209&lt;100,(ABS(100/G209))+1,G209&gt;100,(G209/100)+1,G209=100, 2, G209=-100, 2),"")</f>
        <v/>
      </c>
      <c r="O209" s="305" t="str">
        <f ca="1">IFERROR(_xludf.IFS(H209&lt;100,(ABS(100/H209))+1,H209&gt;100,(H209/100)+1,H209=100, 2, H209=-100, 2),"")</f>
        <v/>
      </c>
      <c r="P209" s="305" t="str">
        <f t="shared" ca="1" si="12"/>
        <v/>
      </c>
      <c r="Q209" s="271"/>
      <c r="R209" s="297"/>
      <c r="S209" s="271"/>
      <c r="T209" s="271"/>
      <c r="U209" s="271"/>
      <c r="V209" s="263"/>
      <c r="W209" s="263"/>
      <c r="X209" s="263"/>
      <c r="Y209" s="71"/>
      <c r="Z209" s="71"/>
      <c r="AA209" s="71"/>
      <c r="AB209" s="71"/>
    </row>
    <row r="210" spans="1:28" ht="15.75" customHeight="1">
      <c r="A210" s="143"/>
      <c r="B210" s="298"/>
      <c r="C210" s="298"/>
      <c r="D210" s="298"/>
      <c r="E210" s="298"/>
      <c r="F210" s="298"/>
      <c r="G210" s="298"/>
      <c r="H210" s="312"/>
      <c r="I210" s="311"/>
      <c r="J210" s="309"/>
      <c r="K210" s="298">
        <f t="shared" si="13"/>
        <v>0</v>
      </c>
      <c r="L210" s="303" t="str">
        <f t="shared" ca="1" si="14"/>
        <v/>
      </c>
      <c r="M210" s="304" t="str">
        <f t="shared" ca="1" si="15"/>
        <v/>
      </c>
      <c r="N210" s="305" t="str">
        <f ca="1">IFERROR(_xludf.IFS(G210&lt;100,(ABS(100/G210))+1,G210&gt;100,(G210/100)+1,G210=100, 2, G210=-100, 2),"")</f>
        <v/>
      </c>
      <c r="O210" s="305" t="str">
        <f ca="1">IFERROR(_xludf.IFS(H210&lt;100,(ABS(100/H210))+1,H210&gt;100,(H210/100)+1,H210=100, 2, H210=-100, 2),"")</f>
        <v/>
      </c>
      <c r="P210" s="305" t="str">
        <f t="shared" ca="1" si="12"/>
        <v/>
      </c>
      <c r="Q210" s="271"/>
      <c r="R210" s="297"/>
      <c r="S210" s="271"/>
      <c r="T210" s="271"/>
      <c r="U210" s="271"/>
      <c r="V210" s="263"/>
      <c r="W210" s="263"/>
      <c r="X210" s="263"/>
      <c r="Y210" s="71"/>
      <c r="Z210" s="71"/>
      <c r="AA210" s="71"/>
      <c r="AB210" s="71"/>
    </row>
    <row r="211" spans="1:28" ht="15.75" customHeight="1">
      <c r="A211" s="143"/>
      <c r="B211" s="298"/>
      <c r="C211" s="298"/>
      <c r="D211" s="298"/>
      <c r="E211" s="298"/>
      <c r="F211" s="298"/>
      <c r="G211" s="298"/>
      <c r="H211" s="312"/>
      <c r="I211" s="311"/>
      <c r="J211" s="309"/>
      <c r="K211" s="298">
        <f t="shared" si="13"/>
        <v>0</v>
      </c>
      <c r="L211" s="303" t="str">
        <f t="shared" ca="1" si="14"/>
        <v/>
      </c>
      <c r="M211" s="304" t="str">
        <f t="shared" ca="1" si="15"/>
        <v/>
      </c>
      <c r="N211" s="305" t="str">
        <f ca="1">IFERROR(_xludf.IFS(G211&lt;100,(ABS(100/G211))+1,G211&gt;100,(G211/100)+1,G211=100, 2, G211=-100, 2),"")</f>
        <v/>
      </c>
      <c r="O211" s="305" t="str">
        <f ca="1">IFERROR(_xludf.IFS(H211&lt;100,(ABS(100/H211))+1,H211&gt;100,(H211/100)+1,H211=100, 2, H211=-100, 2),"")</f>
        <v/>
      </c>
      <c r="P211" s="305" t="str">
        <f t="shared" ca="1" si="12"/>
        <v/>
      </c>
      <c r="Q211" s="271"/>
      <c r="R211" s="297"/>
      <c r="S211" s="271"/>
      <c r="T211" s="271"/>
      <c r="U211" s="271"/>
      <c r="V211" s="263"/>
      <c r="W211" s="263"/>
      <c r="X211" s="263"/>
      <c r="Y211" s="71"/>
      <c r="Z211" s="71"/>
      <c r="AA211" s="71"/>
      <c r="AB211" s="71"/>
    </row>
    <row r="212" spans="1:28" ht="15.75" customHeight="1">
      <c r="A212" s="143"/>
      <c r="B212" s="298"/>
      <c r="C212" s="298"/>
      <c r="D212" s="298"/>
      <c r="E212" s="298"/>
      <c r="F212" s="298"/>
      <c r="G212" s="298"/>
      <c r="H212" s="312"/>
      <c r="I212" s="311"/>
      <c r="J212" s="309"/>
      <c r="K212" s="298">
        <f t="shared" si="13"/>
        <v>0</v>
      </c>
      <c r="L212" s="303" t="str">
        <f t="shared" ca="1" si="14"/>
        <v/>
      </c>
      <c r="M212" s="304" t="str">
        <f t="shared" ca="1" si="15"/>
        <v/>
      </c>
      <c r="N212" s="305" t="str">
        <f ca="1">IFERROR(_xludf.IFS(G212&lt;100,(ABS(100/G212))+1,G212&gt;100,(G212/100)+1,G212=100, 2, G212=-100, 2),"")</f>
        <v/>
      </c>
      <c r="O212" s="305" t="str">
        <f ca="1">IFERROR(_xludf.IFS(H212&lt;100,(ABS(100/H212))+1,H212&gt;100,(H212/100)+1,H212=100, 2, H212=-100, 2),"")</f>
        <v/>
      </c>
      <c r="P212" s="305" t="str">
        <f t="shared" ca="1" si="12"/>
        <v/>
      </c>
      <c r="Q212" s="271"/>
      <c r="R212" s="297"/>
      <c r="S212" s="271"/>
      <c r="T212" s="271"/>
      <c r="U212" s="271"/>
      <c r="V212" s="263"/>
      <c r="W212" s="263"/>
      <c r="X212" s="263"/>
      <c r="Y212" s="71"/>
      <c r="Z212" s="71"/>
      <c r="AA212" s="71"/>
      <c r="AB212" s="71"/>
    </row>
    <row r="213" spans="1:28" ht="15.75" customHeight="1">
      <c r="A213" s="143"/>
      <c r="B213" s="298"/>
      <c r="C213" s="298"/>
      <c r="D213" s="298"/>
      <c r="E213" s="298"/>
      <c r="F213" s="298"/>
      <c r="G213" s="298"/>
      <c r="H213" s="312"/>
      <c r="I213" s="311"/>
      <c r="J213" s="309"/>
      <c r="K213" s="298">
        <f t="shared" si="13"/>
        <v>0</v>
      </c>
      <c r="L213" s="303" t="str">
        <f t="shared" ca="1" si="14"/>
        <v/>
      </c>
      <c r="M213" s="304" t="str">
        <f t="shared" ca="1" si="15"/>
        <v/>
      </c>
      <c r="N213" s="305" t="str">
        <f ca="1">IFERROR(_xludf.IFS(G213&lt;100,(ABS(100/G213))+1,G213&gt;100,(G213/100)+1,G213=100, 2, G213=-100, 2),"")</f>
        <v/>
      </c>
      <c r="O213" s="305" t="str">
        <f ca="1">IFERROR(_xludf.IFS(H213&lt;100,(ABS(100/H213))+1,H213&gt;100,(H213/100)+1,H213=100, 2, H213=-100, 2),"")</f>
        <v/>
      </c>
      <c r="P213" s="305" t="str">
        <f t="shared" ca="1" si="12"/>
        <v/>
      </c>
      <c r="Q213" s="271"/>
      <c r="R213" s="297"/>
      <c r="S213" s="271"/>
      <c r="T213" s="271"/>
      <c r="U213" s="271"/>
      <c r="V213" s="263"/>
      <c r="W213" s="263"/>
      <c r="X213" s="263"/>
      <c r="Y213" s="71"/>
      <c r="Z213" s="71"/>
      <c r="AA213" s="71"/>
      <c r="AB213" s="71"/>
    </row>
    <row r="214" spans="1:28" ht="15.75" customHeight="1">
      <c r="A214" s="143"/>
      <c r="B214" s="298"/>
      <c r="C214" s="298"/>
      <c r="D214" s="298"/>
      <c r="E214" s="298"/>
      <c r="F214" s="298"/>
      <c r="G214" s="298"/>
      <c r="H214" s="312"/>
      <c r="I214" s="311"/>
      <c r="J214" s="309"/>
      <c r="K214" s="298">
        <f t="shared" si="13"/>
        <v>0</v>
      </c>
      <c r="L214" s="303" t="str">
        <f t="shared" ca="1" si="14"/>
        <v/>
      </c>
      <c r="M214" s="304" t="str">
        <f t="shared" ca="1" si="15"/>
        <v/>
      </c>
      <c r="N214" s="305" t="str">
        <f ca="1">IFERROR(_xludf.IFS(G214&lt;100,(ABS(100/G214))+1,G214&gt;100,(G214/100)+1,G214=100, 2, G214=-100, 2),"")</f>
        <v/>
      </c>
      <c r="O214" s="305" t="str">
        <f ca="1">IFERROR(_xludf.IFS(H214&lt;100,(ABS(100/H214))+1,H214&gt;100,(H214/100)+1,H214=100, 2, H214=-100, 2),"")</f>
        <v/>
      </c>
      <c r="P214" s="305" t="str">
        <f t="shared" ca="1" si="12"/>
        <v/>
      </c>
      <c r="Q214" s="271"/>
      <c r="R214" s="297"/>
      <c r="S214" s="271"/>
      <c r="T214" s="271"/>
      <c r="U214" s="271"/>
      <c r="V214" s="263"/>
      <c r="W214" s="263"/>
      <c r="X214" s="263"/>
      <c r="Y214" s="71"/>
      <c r="Z214" s="71"/>
      <c r="AA214" s="71"/>
      <c r="AB214" s="71"/>
    </row>
    <row r="215" spans="1:28" ht="15.75" customHeight="1">
      <c r="A215" s="143"/>
      <c r="B215" s="298"/>
      <c r="C215" s="298"/>
      <c r="D215" s="298"/>
      <c r="E215" s="298"/>
      <c r="F215" s="298"/>
      <c r="G215" s="298"/>
      <c r="H215" s="312"/>
      <c r="I215" s="311"/>
      <c r="J215" s="309"/>
      <c r="K215" s="298">
        <f t="shared" si="13"/>
        <v>0</v>
      </c>
      <c r="L215" s="303" t="str">
        <f t="shared" ca="1" si="14"/>
        <v/>
      </c>
      <c r="M215" s="304" t="str">
        <f t="shared" ca="1" si="15"/>
        <v/>
      </c>
      <c r="N215" s="305" t="str">
        <f ca="1">IFERROR(_xludf.IFS(G215&lt;100,(ABS(100/G215))+1,G215&gt;100,(G215/100)+1,G215=100, 2, G215=-100, 2),"")</f>
        <v/>
      </c>
      <c r="O215" s="305" t="str">
        <f ca="1">IFERROR(_xludf.IFS(H215&lt;100,(ABS(100/H215))+1,H215&gt;100,(H215/100)+1,H215=100, 2, H215=-100, 2),"")</f>
        <v/>
      </c>
      <c r="P215" s="305" t="str">
        <f t="shared" ca="1" si="12"/>
        <v/>
      </c>
      <c r="Q215" s="271"/>
      <c r="R215" s="297"/>
      <c r="S215" s="271"/>
      <c r="T215" s="271"/>
      <c r="U215" s="271"/>
      <c r="V215" s="263"/>
      <c r="W215" s="263"/>
      <c r="X215" s="263"/>
      <c r="Y215" s="71"/>
      <c r="Z215" s="71"/>
      <c r="AA215" s="71"/>
      <c r="AB215" s="71"/>
    </row>
    <row r="216" spans="1:28" ht="15.75" customHeight="1">
      <c r="A216" s="143"/>
      <c r="B216" s="298"/>
      <c r="C216" s="298"/>
      <c r="D216" s="298"/>
      <c r="E216" s="298"/>
      <c r="F216" s="298"/>
      <c r="G216" s="298"/>
      <c r="H216" s="312"/>
      <c r="I216" s="311"/>
      <c r="J216" s="309"/>
      <c r="K216" s="298">
        <f t="shared" si="13"/>
        <v>0</v>
      </c>
      <c r="L216" s="303" t="str">
        <f t="shared" ca="1" si="14"/>
        <v/>
      </c>
      <c r="M216" s="304" t="str">
        <f t="shared" ca="1" si="15"/>
        <v/>
      </c>
      <c r="N216" s="305" t="str">
        <f ca="1">IFERROR(_xludf.IFS(G216&lt;100,(ABS(100/G216))+1,G216&gt;100,(G216/100)+1,G216=100, 2, G216=-100, 2),"")</f>
        <v/>
      </c>
      <c r="O216" s="305" t="str">
        <f ca="1">IFERROR(_xludf.IFS(H216&lt;100,(ABS(100/H216))+1,H216&gt;100,(H216/100)+1,H216=100, 2, H216=-100, 2),"")</f>
        <v/>
      </c>
      <c r="P216" s="305" t="str">
        <f t="shared" ca="1" si="12"/>
        <v/>
      </c>
      <c r="Q216" s="271"/>
      <c r="R216" s="297"/>
      <c r="S216" s="271"/>
      <c r="T216" s="271"/>
      <c r="U216" s="271"/>
      <c r="V216" s="263"/>
      <c r="W216" s="263"/>
      <c r="X216" s="263"/>
      <c r="Y216" s="71"/>
      <c r="Z216" s="71"/>
      <c r="AA216" s="71"/>
      <c r="AB216" s="71"/>
    </row>
    <row r="217" spans="1:28" ht="15.75" customHeight="1">
      <c r="A217" s="143"/>
      <c r="B217" s="298"/>
      <c r="C217" s="298"/>
      <c r="D217" s="298"/>
      <c r="E217" s="298"/>
      <c r="F217" s="298"/>
      <c r="G217" s="298"/>
      <c r="H217" s="312"/>
      <c r="I217" s="311"/>
      <c r="J217" s="309"/>
      <c r="K217" s="298">
        <f t="shared" si="13"/>
        <v>0</v>
      </c>
      <c r="L217" s="303" t="str">
        <f t="shared" ca="1" si="14"/>
        <v/>
      </c>
      <c r="M217" s="304" t="str">
        <f t="shared" ca="1" si="15"/>
        <v/>
      </c>
      <c r="N217" s="305" t="str">
        <f ca="1">IFERROR(_xludf.IFS(G217&lt;100,(ABS(100/G217))+1,G217&gt;100,(G217/100)+1,G217=100, 2, G217=-100, 2),"")</f>
        <v/>
      </c>
      <c r="O217" s="305" t="str">
        <f ca="1">IFERROR(_xludf.IFS(H217&lt;100,(ABS(100/H217))+1,H217&gt;100,(H217/100)+1,H217=100, 2, H217=-100, 2),"")</f>
        <v/>
      </c>
      <c r="P217" s="305" t="str">
        <f t="shared" ca="1" si="12"/>
        <v/>
      </c>
      <c r="Q217" s="271"/>
      <c r="R217" s="297"/>
      <c r="S217" s="271"/>
      <c r="T217" s="271"/>
      <c r="U217" s="271"/>
      <c r="V217" s="263"/>
      <c r="W217" s="263"/>
      <c r="X217" s="263"/>
      <c r="Y217" s="71"/>
      <c r="Z217" s="71"/>
      <c r="AA217" s="71"/>
      <c r="AB217" s="71"/>
    </row>
    <row r="218" spans="1:28" ht="15.75" customHeight="1">
      <c r="A218" s="143"/>
      <c r="B218" s="298"/>
      <c r="C218" s="298"/>
      <c r="D218" s="298"/>
      <c r="E218" s="298"/>
      <c r="F218" s="298"/>
      <c r="G218" s="298"/>
      <c r="H218" s="312"/>
      <c r="I218" s="311"/>
      <c r="J218" s="309"/>
      <c r="K218" s="298">
        <f t="shared" si="13"/>
        <v>0</v>
      </c>
      <c r="L218" s="303" t="str">
        <f t="shared" ca="1" si="14"/>
        <v/>
      </c>
      <c r="M218" s="304" t="str">
        <f t="shared" ca="1" si="15"/>
        <v/>
      </c>
      <c r="N218" s="305" t="str">
        <f ca="1">IFERROR(_xludf.IFS(G218&lt;100,(ABS(100/G218))+1,G218&gt;100,(G218/100)+1,G218=100, 2, G218=-100, 2),"")</f>
        <v/>
      </c>
      <c r="O218" s="305" t="str">
        <f ca="1">IFERROR(_xludf.IFS(H218&lt;100,(ABS(100/H218))+1,H218&gt;100,(H218/100)+1,H218=100, 2, H218=-100, 2),"")</f>
        <v/>
      </c>
      <c r="P218" s="305" t="str">
        <f t="shared" ca="1" si="12"/>
        <v/>
      </c>
      <c r="Q218" s="271"/>
      <c r="R218" s="297"/>
      <c r="S218" s="271"/>
      <c r="T218" s="271"/>
      <c r="U218" s="271"/>
      <c r="V218" s="263"/>
      <c r="W218" s="263"/>
      <c r="X218" s="263"/>
      <c r="Y218" s="71"/>
      <c r="Z218" s="71"/>
      <c r="AA218" s="71"/>
      <c r="AB218" s="71"/>
    </row>
    <row r="219" spans="1:28" ht="15.75" customHeight="1">
      <c r="A219" s="143"/>
      <c r="B219" s="298"/>
      <c r="C219" s="298"/>
      <c r="D219" s="298"/>
      <c r="E219" s="298"/>
      <c r="F219" s="298"/>
      <c r="G219" s="298"/>
      <c r="H219" s="312"/>
      <c r="I219" s="311"/>
      <c r="J219" s="309"/>
      <c r="K219" s="298">
        <f t="shared" si="13"/>
        <v>0</v>
      </c>
      <c r="L219" s="303" t="str">
        <f t="shared" ca="1" si="14"/>
        <v/>
      </c>
      <c r="M219" s="304" t="str">
        <f t="shared" ca="1" si="15"/>
        <v/>
      </c>
      <c r="N219" s="305" t="str">
        <f ca="1">IFERROR(_xludf.IFS(G219&lt;100,(ABS(100/G219))+1,G219&gt;100,(G219/100)+1,G219=100, 2, G219=-100, 2),"")</f>
        <v/>
      </c>
      <c r="O219" s="305" t="str">
        <f ca="1">IFERROR(_xludf.IFS(H219&lt;100,(ABS(100/H219))+1,H219&gt;100,(H219/100)+1,H219=100, 2, H219=-100, 2),"")</f>
        <v/>
      </c>
      <c r="P219" s="305" t="str">
        <f t="shared" ca="1" si="12"/>
        <v/>
      </c>
      <c r="Q219" s="271"/>
      <c r="R219" s="297"/>
      <c r="S219" s="271"/>
      <c r="T219" s="271"/>
      <c r="U219" s="271"/>
      <c r="V219" s="263"/>
      <c r="W219" s="263"/>
      <c r="X219" s="263"/>
      <c r="Y219" s="71"/>
      <c r="Z219" s="71"/>
      <c r="AA219" s="71"/>
      <c r="AB219" s="71"/>
    </row>
    <row r="220" spans="1:28" ht="15.75" customHeight="1">
      <c r="A220" s="143"/>
      <c r="B220" s="298"/>
      <c r="C220" s="298"/>
      <c r="D220" s="298"/>
      <c r="E220" s="298"/>
      <c r="F220" s="298"/>
      <c r="G220" s="298"/>
      <c r="H220" s="312"/>
      <c r="I220" s="311"/>
      <c r="J220" s="309"/>
      <c r="K220" s="298">
        <f t="shared" si="13"/>
        <v>0</v>
      </c>
      <c r="L220" s="303" t="str">
        <f t="shared" ca="1" si="14"/>
        <v/>
      </c>
      <c r="M220" s="304" t="str">
        <f t="shared" ca="1" si="15"/>
        <v/>
      </c>
      <c r="N220" s="305" t="str">
        <f ca="1">IFERROR(_xludf.IFS(G220&lt;100,(ABS(100/G220))+1,G220&gt;100,(G220/100)+1,G220=100, 2, G220=-100, 2),"")</f>
        <v/>
      </c>
      <c r="O220" s="305" t="str">
        <f ca="1">IFERROR(_xludf.IFS(H220&lt;100,(ABS(100/H220))+1,H220&gt;100,(H220/100)+1,H220=100, 2, H220=-100, 2),"")</f>
        <v/>
      </c>
      <c r="P220" s="305" t="str">
        <f t="shared" ca="1" si="12"/>
        <v/>
      </c>
      <c r="Q220" s="271"/>
      <c r="R220" s="297"/>
      <c r="S220" s="271"/>
      <c r="T220" s="271"/>
      <c r="U220" s="271"/>
      <c r="V220" s="263"/>
      <c r="W220" s="263"/>
      <c r="X220" s="263"/>
      <c r="Y220" s="71"/>
      <c r="Z220" s="71"/>
      <c r="AA220" s="71"/>
      <c r="AB220" s="71"/>
    </row>
    <row r="221" spans="1:28" ht="15.75" customHeight="1">
      <c r="A221" s="143"/>
      <c r="B221" s="298"/>
      <c r="C221" s="298"/>
      <c r="D221" s="298"/>
      <c r="E221" s="298"/>
      <c r="F221" s="298"/>
      <c r="G221" s="298"/>
      <c r="H221" s="312"/>
      <c r="I221" s="311"/>
      <c r="J221" s="309"/>
      <c r="K221" s="298">
        <f t="shared" si="13"/>
        <v>0</v>
      </c>
      <c r="L221" s="303" t="str">
        <f t="shared" ca="1" si="14"/>
        <v/>
      </c>
      <c r="M221" s="304" t="str">
        <f t="shared" ca="1" si="15"/>
        <v/>
      </c>
      <c r="N221" s="305" t="str">
        <f ca="1">IFERROR(_xludf.IFS(G221&lt;100,(ABS(100/G221))+1,G221&gt;100,(G221/100)+1,G221=100, 2, G221=-100, 2),"")</f>
        <v/>
      </c>
      <c r="O221" s="305" t="str">
        <f ca="1">IFERROR(_xludf.IFS(H221&lt;100,(ABS(100/H221))+1,H221&gt;100,(H221/100)+1,H221=100, 2, H221=-100, 2),"")</f>
        <v/>
      </c>
      <c r="P221" s="305" t="str">
        <f t="shared" ca="1" si="12"/>
        <v/>
      </c>
      <c r="Q221" s="271"/>
      <c r="R221" s="297"/>
      <c r="S221" s="271"/>
      <c r="T221" s="271"/>
      <c r="U221" s="271"/>
      <c r="V221" s="263"/>
      <c r="W221" s="263"/>
      <c r="X221" s="263"/>
      <c r="Y221" s="71"/>
      <c r="Z221" s="71"/>
      <c r="AA221" s="71"/>
      <c r="AB221" s="71"/>
    </row>
    <row r="222" spans="1:28" ht="15.75" customHeight="1">
      <c r="A222" s="143"/>
      <c r="B222" s="298"/>
      <c r="C222" s="298"/>
      <c r="D222" s="298"/>
      <c r="E222" s="298"/>
      <c r="F222" s="298"/>
      <c r="G222" s="298"/>
      <c r="H222" s="312"/>
      <c r="I222" s="311"/>
      <c r="J222" s="309"/>
      <c r="K222" s="298">
        <f t="shared" si="13"/>
        <v>0</v>
      </c>
      <c r="L222" s="303" t="str">
        <f t="shared" ca="1" si="14"/>
        <v/>
      </c>
      <c r="M222" s="304" t="str">
        <f t="shared" ca="1" si="15"/>
        <v/>
      </c>
      <c r="N222" s="305" t="str">
        <f ca="1">IFERROR(_xludf.IFS(G222&lt;100,(ABS(100/G222))+1,G222&gt;100,(G222/100)+1,G222=100, 2, G222=-100, 2),"")</f>
        <v/>
      </c>
      <c r="O222" s="305" t="str">
        <f ca="1">IFERROR(_xludf.IFS(H222&lt;100,(ABS(100/H222))+1,H222&gt;100,(H222/100)+1,H222=100, 2, H222=-100, 2),"")</f>
        <v/>
      </c>
      <c r="P222" s="305" t="str">
        <f t="shared" ca="1" si="12"/>
        <v/>
      </c>
      <c r="Q222" s="271"/>
      <c r="R222" s="297"/>
      <c r="S222" s="271"/>
      <c r="T222" s="271"/>
      <c r="U222" s="271"/>
      <c r="V222" s="263"/>
      <c r="W222" s="263"/>
      <c r="X222" s="263"/>
      <c r="Y222" s="71"/>
      <c r="Z222" s="71"/>
      <c r="AA222" s="71"/>
      <c r="AB222" s="71"/>
    </row>
    <row r="223" spans="1:28" ht="15.75" customHeight="1">
      <c r="A223" s="143"/>
      <c r="B223" s="298"/>
      <c r="C223" s="298"/>
      <c r="D223" s="298"/>
      <c r="E223" s="298"/>
      <c r="F223" s="298"/>
      <c r="G223" s="298"/>
      <c r="H223" s="312"/>
      <c r="I223" s="311"/>
      <c r="J223" s="309"/>
      <c r="K223" s="298">
        <f t="shared" si="13"/>
        <v>0</v>
      </c>
      <c r="L223" s="303" t="str">
        <f t="shared" ca="1" si="14"/>
        <v/>
      </c>
      <c r="M223" s="304" t="str">
        <f t="shared" ca="1" si="15"/>
        <v/>
      </c>
      <c r="N223" s="305" t="str">
        <f ca="1">IFERROR(_xludf.IFS(G223&lt;100,(ABS(100/G223))+1,G223&gt;100,(G223/100)+1,G223=100, 2, G223=-100, 2),"")</f>
        <v/>
      </c>
      <c r="O223" s="305" t="str">
        <f ca="1">IFERROR(_xludf.IFS(H223&lt;100,(ABS(100/H223))+1,H223&gt;100,(H223/100)+1,H223=100, 2, H223=-100, 2),"")</f>
        <v/>
      </c>
      <c r="P223" s="305" t="str">
        <f t="shared" ca="1" si="12"/>
        <v/>
      </c>
      <c r="Q223" s="271"/>
      <c r="R223" s="297"/>
      <c r="S223" s="271"/>
      <c r="T223" s="271"/>
      <c r="U223" s="271"/>
      <c r="V223" s="263"/>
      <c r="W223" s="263"/>
      <c r="X223" s="263"/>
      <c r="Y223" s="71"/>
      <c r="Z223" s="71"/>
      <c r="AA223" s="71"/>
      <c r="AB223" s="71"/>
    </row>
    <row r="224" spans="1:28" ht="15.75" customHeight="1">
      <c r="A224" s="143"/>
      <c r="B224" s="298"/>
      <c r="C224" s="298"/>
      <c r="D224" s="298"/>
      <c r="E224" s="298"/>
      <c r="F224" s="298"/>
      <c r="G224" s="298"/>
      <c r="H224" s="312"/>
      <c r="I224" s="311"/>
      <c r="J224" s="309"/>
      <c r="K224" s="298">
        <f t="shared" si="13"/>
        <v>0</v>
      </c>
      <c r="L224" s="303" t="str">
        <f t="shared" ca="1" si="14"/>
        <v/>
      </c>
      <c r="M224" s="304" t="str">
        <f t="shared" ca="1" si="15"/>
        <v/>
      </c>
      <c r="N224" s="305" t="str">
        <f ca="1">IFERROR(_xludf.IFS(G224&lt;100,(ABS(100/G224))+1,G224&gt;100,(G224/100)+1,G224=100, 2, G224=-100, 2),"")</f>
        <v/>
      </c>
      <c r="O224" s="305" t="str">
        <f ca="1">IFERROR(_xludf.IFS(H224&lt;100,(ABS(100/H224))+1,H224&gt;100,(H224/100)+1,H224=100, 2, H224=-100, 2),"")</f>
        <v/>
      </c>
      <c r="P224" s="305" t="str">
        <f t="shared" ca="1" si="12"/>
        <v/>
      </c>
      <c r="Q224" s="271"/>
      <c r="R224" s="297"/>
      <c r="S224" s="271"/>
      <c r="T224" s="271"/>
      <c r="U224" s="271"/>
      <c r="V224" s="263"/>
      <c r="W224" s="263"/>
      <c r="X224" s="263"/>
      <c r="Y224" s="71"/>
      <c r="Z224" s="71"/>
      <c r="AA224" s="71"/>
      <c r="AB224" s="71"/>
    </row>
    <row r="225" spans="1:28" ht="15.75" customHeight="1">
      <c r="A225" s="143"/>
      <c r="B225" s="298"/>
      <c r="C225" s="298"/>
      <c r="D225" s="298"/>
      <c r="E225" s="298"/>
      <c r="F225" s="298"/>
      <c r="G225" s="298"/>
      <c r="H225" s="312"/>
      <c r="I225" s="311"/>
      <c r="J225" s="309"/>
      <c r="K225" s="298">
        <f t="shared" si="13"/>
        <v>0</v>
      </c>
      <c r="L225" s="303" t="str">
        <f t="shared" ca="1" si="14"/>
        <v/>
      </c>
      <c r="M225" s="304" t="str">
        <f t="shared" ca="1" si="15"/>
        <v/>
      </c>
      <c r="N225" s="305" t="str">
        <f ca="1">IFERROR(_xludf.IFS(G225&lt;100,(ABS(100/G225))+1,G225&gt;100,(G225/100)+1,G225=100, 2, G225=-100, 2),"")</f>
        <v/>
      </c>
      <c r="O225" s="305" t="str">
        <f ca="1">IFERROR(_xludf.IFS(H225&lt;100,(ABS(100/H225))+1,H225&gt;100,(H225/100)+1,H225=100, 2, H225=-100, 2),"")</f>
        <v/>
      </c>
      <c r="P225" s="305" t="str">
        <f t="shared" ca="1" si="12"/>
        <v/>
      </c>
      <c r="Q225" s="271"/>
      <c r="R225" s="297"/>
      <c r="S225" s="271"/>
      <c r="T225" s="271"/>
      <c r="U225" s="271"/>
      <c r="V225" s="263"/>
      <c r="W225" s="263"/>
      <c r="X225" s="263"/>
      <c r="Y225" s="71"/>
      <c r="Z225" s="71"/>
      <c r="AA225" s="71"/>
      <c r="AB225" s="71"/>
    </row>
    <row r="226" spans="1:28" ht="15.75" customHeight="1">
      <c r="A226" s="143"/>
      <c r="B226" s="298"/>
      <c r="C226" s="298"/>
      <c r="D226" s="298"/>
      <c r="E226" s="298"/>
      <c r="F226" s="298"/>
      <c r="G226" s="298"/>
      <c r="H226" s="312"/>
      <c r="I226" s="311"/>
      <c r="J226" s="309"/>
      <c r="K226" s="298">
        <f t="shared" si="13"/>
        <v>0</v>
      </c>
      <c r="L226" s="303" t="str">
        <f t="shared" ca="1" si="14"/>
        <v/>
      </c>
      <c r="M226" s="304" t="str">
        <f t="shared" ca="1" si="15"/>
        <v/>
      </c>
      <c r="N226" s="305" t="str">
        <f ca="1">IFERROR(_xludf.IFS(G226&lt;100,(ABS(100/G226))+1,G226&gt;100,(G226/100)+1,G226=100, 2, G226=-100, 2),"")</f>
        <v/>
      </c>
      <c r="O226" s="305" t="str">
        <f ca="1">IFERROR(_xludf.IFS(H226&lt;100,(ABS(100/H226))+1,H226&gt;100,(H226/100)+1,H226=100, 2, H226=-100, 2),"")</f>
        <v/>
      </c>
      <c r="P226" s="305" t="str">
        <f t="shared" ca="1" si="12"/>
        <v/>
      </c>
      <c r="Q226" s="271"/>
      <c r="R226" s="297"/>
      <c r="S226" s="271"/>
      <c r="T226" s="271"/>
      <c r="U226" s="271"/>
      <c r="V226" s="263"/>
      <c r="W226" s="263"/>
      <c r="X226" s="263"/>
      <c r="Y226" s="71"/>
      <c r="Z226" s="71"/>
      <c r="AA226" s="71"/>
      <c r="AB226" s="71"/>
    </row>
    <row r="227" spans="1:28" ht="15.75" customHeight="1">
      <c r="A227" s="143"/>
      <c r="B227" s="298"/>
      <c r="C227" s="298"/>
      <c r="D227" s="298"/>
      <c r="E227" s="298"/>
      <c r="F227" s="298"/>
      <c r="G227" s="298"/>
      <c r="H227" s="312"/>
      <c r="I227" s="311"/>
      <c r="J227" s="309"/>
      <c r="K227" s="298">
        <f t="shared" si="13"/>
        <v>0</v>
      </c>
      <c r="L227" s="303" t="str">
        <f t="shared" ca="1" si="14"/>
        <v/>
      </c>
      <c r="M227" s="304" t="str">
        <f t="shared" ca="1" si="15"/>
        <v/>
      </c>
      <c r="N227" s="305" t="str">
        <f ca="1">IFERROR(_xludf.IFS(G227&lt;100,(ABS(100/G227))+1,G227&gt;100,(G227/100)+1,G227=100, 2, G227=-100, 2),"")</f>
        <v/>
      </c>
      <c r="O227" s="305" t="str">
        <f ca="1">IFERROR(_xludf.IFS(H227&lt;100,(ABS(100/H227))+1,H227&gt;100,(H227/100)+1,H227=100, 2, H227=-100, 2),"")</f>
        <v/>
      </c>
      <c r="P227" s="305" t="str">
        <f t="shared" ca="1" si="12"/>
        <v/>
      </c>
      <c r="Q227" s="271"/>
      <c r="R227" s="297"/>
      <c r="S227" s="271"/>
      <c r="T227" s="271"/>
      <c r="U227" s="271"/>
      <c r="V227" s="263"/>
      <c r="W227" s="263"/>
      <c r="X227" s="263"/>
      <c r="Y227" s="71"/>
      <c r="Z227" s="71"/>
      <c r="AA227" s="71"/>
      <c r="AB227" s="71"/>
    </row>
    <row r="228" spans="1:28" ht="15.75" customHeight="1">
      <c r="A228" s="143"/>
      <c r="B228" s="298"/>
      <c r="C228" s="298"/>
      <c r="D228" s="298"/>
      <c r="E228" s="298"/>
      <c r="F228" s="298"/>
      <c r="G228" s="298"/>
      <c r="H228" s="312"/>
      <c r="I228" s="311"/>
      <c r="J228" s="309"/>
      <c r="K228" s="298">
        <f t="shared" si="13"/>
        <v>0</v>
      </c>
      <c r="L228" s="303" t="str">
        <f t="shared" ca="1" si="14"/>
        <v/>
      </c>
      <c r="M228" s="304" t="str">
        <f t="shared" ca="1" si="15"/>
        <v/>
      </c>
      <c r="N228" s="305" t="str">
        <f ca="1">IFERROR(_xludf.IFS(G228&lt;100,(ABS(100/G228))+1,G228&gt;100,(G228/100)+1,G228=100, 2, G228=-100, 2),"")</f>
        <v/>
      </c>
      <c r="O228" s="305" t="str">
        <f ca="1">IFERROR(_xludf.IFS(H228&lt;100,(ABS(100/H228))+1,H228&gt;100,(H228/100)+1,H228=100, 2, H228=-100, 2),"")</f>
        <v/>
      </c>
      <c r="P228" s="305" t="str">
        <f t="shared" ref="P228:P291" ca="1" si="16">IFERROR(O228*1.035,"")</f>
        <v/>
      </c>
      <c r="Q228" s="271"/>
      <c r="R228" s="297"/>
      <c r="S228" s="271"/>
      <c r="T228" s="271"/>
      <c r="U228" s="271"/>
      <c r="V228" s="263"/>
      <c r="W228" s="263"/>
      <c r="X228" s="263"/>
      <c r="Y228" s="71"/>
      <c r="Z228" s="71"/>
      <c r="AA228" s="71"/>
      <c r="AB228" s="71"/>
    </row>
    <row r="229" spans="1:28" ht="15.75" customHeight="1">
      <c r="A229" s="143"/>
      <c r="B229" s="298"/>
      <c r="C229" s="298"/>
      <c r="D229" s="298"/>
      <c r="E229" s="298"/>
      <c r="F229" s="298"/>
      <c r="G229" s="298"/>
      <c r="H229" s="312"/>
      <c r="I229" s="311"/>
      <c r="J229" s="309"/>
      <c r="K229" s="298">
        <f t="shared" si="13"/>
        <v>0</v>
      </c>
      <c r="L229" s="303" t="str">
        <f t="shared" ca="1" si="14"/>
        <v/>
      </c>
      <c r="M229" s="304" t="str">
        <f t="shared" ca="1" si="15"/>
        <v/>
      </c>
      <c r="N229" s="305" t="str">
        <f ca="1">IFERROR(_xludf.IFS(G229&lt;100,(ABS(100/G229))+1,G229&gt;100,(G229/100)+1,G229=100, 2, G229=-100, 2),"")</f>
        <v/>
      </c>
      <c r="O229" s="305" t="str">
        <f ca="1">IFERROR(_xludf.IFS(H229&lt;100,(ABS(100/H229))+1,H229&gt;100,(H229/100)+1,H229=100, 2, H229=-100, 2),"")</f>
        <v/>
      </c>
      <c r="P229" s="305" t="str">
        <f t="shared" ca="1" si="16"/>
        <v/>
      </c>
      <c r="Q229" s="271"/>
      <c r="R229" s="297"/>
      <c r="S229" s="271"/>
      <c r="T229" s="271"/>
      <c r="U229" s="271"/>
      <c r="V229" s="263"/>
      <c r="W229" s="263"/>
      <c r="X229" s="263"/>
      <c r="Y229" s="71"/>
      <c r="Z229" s="71"/>
      <c r="AA229" s="71"/>
      <c r="AB229" s="71"/>
    </row>
    <row r="230" spans="1:28" ht="15.75" customHeight="1">
      <c r="A230" s="143"/>
      <c r="B230" s="298"/>
      <c r="C230" s="298"/>
      <c r="D230" s="298"/>
      <c r="E230" s="298"/>
      <c r="F230" s="298"/>
      <c r="G230" s="298"/>
      <c r="H230" s="312"/>
      <c r="I230" s="311"/>
      <c r="J230" s="309"/>
      <c r="K230" s="298">
        <f t="shared" si="13"/>
        <v>0</v>
      </c>
      <c r="L230" s="303" t="str">
        <f t="shared" ca="1" si="14"/>
        <v/>
      </c>
      <c r="M230" s="304" t="str">
        <f t="shared" ca="1" si="15"/>
        <v/>
      </c>
      <c r="N230" s="305" t="str">
        <f ca="1">IFERROR(_xludf.IFS(G230&lt;100,(ABS(100/G230))+1,G230&gt;100,(G230/100)+1,G230=100, 2, G230=-100, 2),"")</f>
        <v/>
      </c>
      <c r="O230" s="305" t="str">
        <f ca="1">IFERROR(_xludf.IFS(H230&lt;100,(ABS(100/H230))+1,H230&gt;100,(H230/100)+1,H230=100, 2, H230=-100, 2),"")</f>
        <v/>
      </c>
      <c r="P230" s="305" t="str">
        <f t="shared" ca="1" si="16"/>
        <v/>
      </c>
      <c r="Q230" s="271"/>
      <c r="R230" s="297"/>
      <c r="S230" s="271"/>
      <c r="T230" s="271"/>
      <c r="U230" s="271"/>
      <c r="V230" s="263"/>
      <c r="W230" s="263"/>
      <c r="X230" s="263"/>
      <c r="Y230" s="71"/>
      <c r="Z230" s="71"/>
      <c r="AA230" s="71"/>
      <c r="AB230" s="71"/>
    </row>
    <row r="231" spans="1:28" ht="15.75" customHeight="1">
      <c r="A231" s="143"/>
      <c r="B231" s="298"/>
      <c r="C231" s="298"/>
      <c r="D231" s="298"/>
      <c r="E231" s="298"/>
      <c r="F231" s="298"/>
      <c r="G231" s="298"/>
      <c r="H231" s="312"/>
      <c r="I231" s="311"/>
      <c r="J231" s="309"/>
      <c r="K231" s="298">
        <f t="shared" si="13"/>
        <v>0</v>
      </c>
      <c r="L231" s="303" t="str">
        <f t="shared" ca="1" si="14"/>
        <v/>
      </c>
      <c r="M231" s="304" t="str">
        <f t="shared" ca="1" si="15"/>
        <v/>
      </c>
      <c r="N231" s="305" t="str">
        <f ca="1">IFERROR(_xludf.IFS(G231&lt;100,(ABS(100/G231))+1,G231&gt;100,(G231/100)+1,G231=100, 2, G231=-100, 2),"")</f>
        <v/>
      </c>
      <c r="O231" s="305" t="str">
        <f ca="1">IFERROR(_xludf.IFS(H231&lt;100,(ABS(100/H231))+1,H231&gt;100,(H231/100)+1,H231=100, 2, H231=-100, 2),"")</f>
        <v/>
      </c>
      <c r="P231" s="305" t="str">
        <f t="shared" ca="1" si="16"/>
        <v/>
      </c>
      <c r="Q231" s="271"/>
      <c r="R231" s="297"/>
      <c r="S231" s="271"/>
      <c r="T231" s="271"/>
      <c r="U231" s="271"/>
      <c r="V231" s="263"/>
      <c r="W231" s="263"/>
      <c r="X231" s="263"/>
      <c r="Y231" s="71"/>
      <c r="Z231" s="71"/>
      <c r="AA231" s="71"/>
      <c r="AB231" s="71"/>
    </row>
    <row r="232" spans="1:28" ht="15.75" customHeight="1">
      <c r="A232" s="143"/>
      <c r="B232" s="298"/>
      <c r="C232" s="298"/>
      <c r="D232" s="298"/>
      <c r="E232" s="298"/>
      <c r="F232" s="298"/>
      <c r="G232" s="298"/>
      <c r="H232" s="312"/>
      <c r="I232" s="311"/>
      <c r="J232" s="309"/>
      <c r="K232" s="298">
        <f t="shared" si="13"/>
        <v>0</v>
      </c>
      <c r="L232" s="303" t="str">
        <f t="shared" ca="1" si="14"/>
        <v/>
      </c>
      <c r="M232" s="304" t="str">
        <f t="shared" ca="1" si="15"/>
        <v/>
      </c>
      <c r="N232" s="305" t="str">
        <f ca="1">IFERROR(_xludf.IFS(G232&lt;100,(ABS(100/G232))+1,G232&gt;100,(G232/100)+1,G232=100, 2, G232=-100, 2),"")</f>
        <v/>
      </c>
      <c r="O232" s="305" t="str">
        <f ca="1">IFERROR(_xludf.IFS(H232&lt;100,(ABS(100/H232))+1,H232&gt;100,(H232/100)+1,H232=100, 2, H232=-100, 2),"")</f>
        <v/>
      </c>
      <c r="P232" s="305" t="str">
        <f t="shared" ca="1" si="16"/>
        <v/>
      </c>
      <c r="Q232" s="271"/>
      <c r="R232" s="297"/>
      <c r="S232" s="271"/>
      <c r="T232" s="271"/>
      <c r="U232" s="271"/>
      <c r="V232" s="263"/>
      <c r="W232" s="263"/>
      <c r="X232" s="263"/>
      <c r="Y232" s="71"/>
      <c r="Z232" s="71"/>
      <c r="AA232" s="71"/>
      <c r="AB232" s="71"/>
    </row>
    <row r="233" spans="1:28" ht="15.75" customHeight="1">
      <c r="A233" s="143"/>
      <c r="B233" s="298"/>
      <c r="C233" s="298"/>
      <c r="D233" s="298"/>
      <c r="E233" s="298"/>
      <c r="F233" s="298"/>
      <c r="G233" s="298"/>
      <c r="H233" s="312"/>
      <c r="I233" s="311"/>
      <c r="J233" s="309"/>
      <c r="K233" s="298">
        <f t="shared" si="13"/>
        <v>0</v>
      </c>
      <c r="L233" s="303" t="str">
        <f t="shared" ca="1" si="14"/>
        <v/>
      </c>
      <c r="M233" s="304" t="str">
        <f t="shared" ca="1" si="15"/>
        <v/>
      </c>
      <c r="N233" s="305" t="str">
        <f ca="1">IFERROR(_xludf.IFS(G233&lt;100,(ABS(100/G233))+1,G233&gt;100,(G233/100)+1,G233=100, 2, G233=-100, 2),"")</f>
        <v/>
      </c>
      <c r="O233" s="305" t="str">
        <f ca="1">IFERROR(_xludf.IFS(H233&lt;100,(ABS(100/H233))+1,H233&gt;100,(H233/100)+1,H233=100, 2, H233=-100, 2),"")</f>
        <v/>
      </c>
      <c r="P233" s="305" t="str">
        <f t="shared" ca="1" si="16"/>
        <v/>
      </c>
      <c r="Q233" s="271"/>
      <c r="R233" s="297"/>
      <c r="S233" s="271"/>
      <c r="T233" s="271"/>
      <c r="U233" s="271"/>
      <c r="V233" s="263"/>
      <c r="W233" s="263"/>
      <c r="X233" s="263"/>
      <c r="Y233" s="71"/>
      <c r="Z233" s="71"/>
      <c r="AA233" s="71"/>
      <c r="AB233" s="71"/>
    </row>
    <row r="234" spans="1:28" ht="15.75" customHeight="1">
      <c r="A234" s="143"/>
      <c r="B234" s="298"/>
      <c r="C234" s="298"/>
      <c r="D234" s="298"/>
      <c r="E234" s="298"/>
      <c r="F234" s="298"/>
      <c r="G234" s="298"/>
      <c r="H234" s="312"/>
      <c r="I234" s="311"/>
      <c r="J234" s="309"/>
      <c r="K234" s="298">
        <f t="shared" si="13"/>
        <v>0</v>
      </c>
      <c r="L234" s="303" t="str">
        <f t="shared" ca="1" si="14"/>
        <v/>
      </c>
      <c r="M234" s="304" t="str">
        <f t="shared" ca="1" si="15"/>
        <v/>
      </c>
      <c r="N234" s="305" t="str">
        <f ca="1">IFERROR(_xludf.IFS(G234&lt;100,(ABS(100/G234))+1,G234&gt;100,(G234/100)+1,G234=100, 2, G234=-100, 2),"")</f>
        <v/>
      </c>
      <c r="O234" s="305" t="str">
        <f ca="1">IFERROR(_xludf.IFS(H234&lt;100,(ABS(100/H234))+1,H234&gt;100,(H234/100)+1,H234=100, 2, H234=-100, 2),"")</f>
        <v/>
      </c>
      <c r="P234" s="305" t="str">
        <f t="shared" ca="1" si="16"/>
        <v/>
      </c>
      <c r="Q234" s="271"/>
      <c r="R234" s="297"/>
      <c r="S234" s="271"/>
      <c r="T234" s="271"/>
      <c r="U234" s="271"/>
      <c r="V234" s="263"/>
      <c r="W234" s="263"/>
      <c r="X234" s="263"/>
      <c r="Y234" s="71"/>
      <c r="Z234" s="71"/>
      <c r="AA234" s="71"/>
      <c r="AB234" s="71"/>
    </row>
    <row r="235" spans="1:28" ht="15.75" customHeight="1">
      <c r="A235" s="143"/>
      <c r="B235" s="298"/>
      <c r="C235" s="298"/>
      <c r="D235" s="298"/>
      <c r="E235" s="298"/>
      <c r="F235" s="298"/>
      <c r="G235" s="298"/>
      <c r="H235" s="312"/>
      <c r="I235" s="311"/>
      <c r="J235" s="309"/>
      <c r="K235" s="298">
        <f t="shared" si="13"/>
        <v>0</v>
      </c>
      <c r="L235" s="303" t="str">
        <f t="shared" ca="1" si="14"/>
        <v/>
      </c>
      <c r="M235" s="304" t="str">
        <f t="shared" ca="1" si="15"/>
        <v/>
      </c>
      <c r="N235" s="305" t="str">
        <f ca="1">IFERROR(_xludf.IFS(G235&lt;100,(ABS(100/G235))+1,G235&gt;100,(G235/100)+1,G235=100, 2, G235=-100, 2),"")</f>
        <v/>
      </c>
      <c r="O235" s="305" t="str">
        <f ca="1">IFERROR(_xludf.IFS(H235&lt;100,(ABS(100/H235))+1,H235&gt;100,(H235/100)+1,H235=100, 2, H235=-100, 2),"")</f>
        <v/>
      </c>
      <c r="P235" s="305" t="str">
        <f t="shared" ca="1" si="16"/>
        <v/>
      </c>
      <c r="Q235" s="271"/>
      <c r="R235" s="297"/>
      <c r="S235" s="271"/>
      <c r="T235" s="271"/>
      <c r="U235" s="271"/>
      <c r="V235" s="263"/>
      <c r="W235" s="263"/>
      <c r="X235" s="263"/>
      <c r="Y235" s="71"/>
      <c r="Z235" s="71"/>
      <c r="AA235" s="71"/>
      <c r="AB235" s="71"/>
    </row>
    <row r="236" spans="1:28" ht="15.75" customHeight="1">
      <c r="A236" s="143"/>
      <c r="B236" s="298"/>
      <c r="C236" s="298"/>
      <c r="D236" s="298"/>
      <c r="E236" s="298"/>
      <c r="F236" s="298"/>
      <c r="G236" s="298"/>
      <c r="H236" s="312"/>
      <c r="I236" s="311"/>
      <c r="J236" s="309"/>
      <c r="K236" s="298">
        <f t="shared" si="13"/>
        <v>0</v>
      </c>
      <c r="L236" s="303" t="str">
        <f t="shared" ca="1" si="14"/>
        <v/>
      </c>
      <c r="M236" s="304" t="str">
        <f t="shared" ca="1" si="15"/>
        <v/>
      </c>
      <c r="N236" s="305" t="str">
        <f ca="1">IFERROR(_xludf.IFS(G236&lt;100,(ABS(100/G236))+1,G236&gt;100,(G236/100)+1,G236=100, 2, G236=-100, 2),"")</f>
        <v/>
      </c>
      <c r="O236" s="305" t="str">
        <f ca="1">IFERROR(_xludf.IFS(H236&lt;100,(ABS(100/H236))+1,H236&gt;100,(H236/100)+1,H236=100, 2, H236=-100, 2),"")</f>
        <v/>
      </c>
      <c r="P236" s="305" t="str">
        <f t="shared" ca="1" si="16"/>
        <v/>
      </c>
      <c r="Q236" s="271"/>
      <c r="R236" s="297"/>
      <c r="S236" s="271"/>
      <c r="T236" s="271"/>
      <c r="U236" s="271"/>
      <c r="V236" s="263"/>
      <c r="W236" s="263"/>
      <c r="X236" s="263"/>
      <c r="Y236" s="71"/>
      <c r="Z236" s="71"/>
      <c r="AA236" s="71"/>
      <c r="AB236" s="71"/>
    </row>
    <row r="237" spans="1:28" ht="15.75" customHeight="1">
      <c r="A237" s="143"/>
      <c r="B237" s="298"/>
      <c r="C237" s="298"/>
      <c r="D237" s="298"/>
      <c r="E237" s="298"/>
      <c r="F237" s="298"/>
      <c r="G237" s="298"/>
      <c r="H237" s="312"/>
      <c r="I237" s="311"/>
      <c r="J237" s="309"/>
      <c r="K237" s="298">
        <f t="shared" si="13"/>
        <v>0</v>
      </c>
      <c r="L237" s="303" t="str">
        <f t="shared" ca="1" si="14"/>
        <v/>
      </c>
      <c r="M237" s="304" t="str">
        <f t="shared" ca="1" si="15"/>
        <v/>
      </c>
      <c r="N237" s="305" t="str">
        <f ca="1">IFERROR(_xludf.IFS(G237&lt;100,(ABS(100/G237))+1,G237&gt;100,(G237/100)+1,G237=100, 2, G237=-100, 2),"")</f>
        <v/>
      </c>
      <c r="O237" s="305" t="str">
        <f ca="1">IFERROR(_xludf.IFS(H237&lt;100,(ABS(100/H237))+1,H237&gt;100,(H237/100)+1,H237=100, 2, H237=-100, 2),"")</f>
        <v/>
      </c>
      <c r="P237" s="305" t="str">
        <f t="shared" ca="1" si="16"/>
        <v/>
      </c>
      <c r="Q237" s="271"/>
      <c r="R237" s="297"/>
      <c r="S237" s="271"/>
      <c r="T237" s="271"/>
      <c r="U237" s="271"/>
      <c r="V237" s="263"/>
      <c r="W237" s="263"/>
      <c r="X237" s="263"/>
      <c r="Y237" s="71"/>
      <c r="Z237" s="71"/>
      <c r="AA237" s="71"/>
      <c r="AB237" s="71"/>
    </row>
    <row r="238" spans="1:28" ht="15.75" customHeight="1">
      <c r="A238" s="143"/>
      <c r="B238" s="298"/>
      <c r="C238" s="298"/>
      <c r="D238" s="298"/>
      <c r="E238" s="298"/>
      <c r="F238" s="298"/>
      <c r="G238" s="298"/>
      <c r="H238" s="312"/>
      <c r="I238" s="311"/>
      <c r="J238" s="309"/>
      <c r="K238" s="298">
        <f t="shared" si="13"/>
        <v>0</v>
      </c>
      <c r="L238" s="303" t="str">
        <f t="shared" ca="1" si="14"/>
        <v/>
      </c>
      <c r="M238" s="304" t="str">
        <f t="shared" ca="1" si="15"/>
        <v/>
      </c>
      <c r="N238" s="305" t="str">
        <f ca="1">IFERROR(_xludf.IFS(G238&lt;100,(ABS(100/G238))+1,G238&gt;100,(G238/100)+1,G238=100, 2, G238=-100, 2),"")</f>
        <v/>
      </c>
      <c r="O238" s="305" t="str">
        <f ca="1">IFERROR(_xludf.IFS(H238&lt;100,(ABS(100/H238))+1,H238&gt;100,(H238/100)+1,H238=100, 2, H238=-100, 2),"")</f>
        <v/>
      </c>
      <c r="P238" s="305" t="str">
        <f t="shared" ca="1" si="16"/>
        <v/>
      </c>
      <c r="Q238" s="271"/>
      <c r="R238" s="297"/>
      <c r="S238" s="271"/>
      <c r="T238" s="271"/>
      <c r="U238" s="271"/>
      <c r="V238" s="263"/>
      <c r="W238" s="263"/>
      <c r="X238" s="263"/>
      <c r="Y238" s="71"/>
      <c r="Z238" s="71"/>
      <c r="AA238" s="71"/>
      <c r="AB238" s="71"/>
    </row>
    <row r="239" spans="1:28" ht="15.75" customHeight="1">
      <c r="A239" s="143"/>
      <c r="B239" s="298"/>
      <c r="C239" s="298"/>
      <c r="D239" s="298"/>
      <c r="E239" s="298"/>
      <c r="F239" s="298"/>
      <c r="G239" s="298"/>
      <c r="H239" s="312"/>
      <c r="I239" s="311"/>
      <c r="J239" s="309"/>
      <c r="K239" s="298">
        <f t="shared" si="13"/>
        <v>0</v>
      </c>
      <c r="L239" s="303" t="str">
        <f t="shared" ca="1" si="14"/>
        <v/>
      </c>
      <c r="M239" s="304" t="str">
        <f t="shared" ca="1" si="15"/>
        <v/>
      </c>
      <c r="N239" s="305" t="str">
        <f ca="1">IFERROR(_xludf.IFS(G239&lt;100,(ABS(100/G239))+1,G239&gt;100,(G239/100)+1,G239=100, 2, G239=-100, 2),"")</f>
        <v/>
      </c>
      <c r="O239" s="305" t="str">
        <f ca="1">IFERROR(_xludf.IFS(H239&lt;100,(ABS(100/H239))+1,H239&gt;100,(H239/100)+1,H239=100, 2, H239=-100, 2),"")</f>
        <v/>
      </c>
      <c r="P239" s="305" t="str">
        <f t="shared" ca="1" si="16"/>
        <v/>
      </c>
      <c r="Q239" s="271"/>
      <c r="R239" s="297"/>
      <c r="S239" s="271"/>
      <c r="T239" s="271"/>
      <c r="U239" s="271"/>
      <c r="V239" s="263"/>
      <c r="W239" s="263"/>
      <c r="X239" s="263"/>
      <c r="Y239" s="71"/>
      <c r="Z239" s="71"/>
      <c r="AA239" s="71"/>
      <c r="AB239" s="71"/>
    </row>
    <row r="240" spans="1:28" ht="15.75" customHeight="1">
      <c r="A240" s="143"/>
      <c r="B240" s="298"/>
      <c r="C240" s="298"/>
      <c r="D240" s="298"/>
      <c r="E240" s="298"/>
      <c r="F240" s="298"/>
      <c r="G240" s="298"/>
      <c r="H240" s="312"/>
      <c r="I240" s="311"/>
      <c r="J240" s="309"/>
      <c r="K240" s="298">
        <f t="shared" si="13"/>
        <v>0</v>
      </c>
      <c r="L240" s="303" t="str">
        <f t="shared" ca="1" si="14"/>
        <v/>
      </c>
      <c r="M240" s="304" t="str">
        <f t="shared" ca="1" si="15"/>
        <v/>
      </c>
      <c r="N240" s="305" t="str">
        <f ca="1">IFERROR(_xludf.IFS(G240&lt;100,(ABS(100/G240))+1,G240&gt;100,(G240/100)+1,G240=100, 2, G240=-100, 2),"")</f>
        <v/>
      </c>
      <c r="O240" s="305" t="str">
        <f ca="1">IFERROR(_xludf.IFS(H240&lt;100,(ABS(100/H240))+1,H240&gt;100,(H240/100)+1,H240=100, 2, H240=-100, 2),"")</f>
        <v/>
      </c>
      <c r="P240" s="305" t="str">
        <f t="shared" ca="1" si="16"/>
        <v/>
      </c>
      <c r="Q240" s="271"/>
      <c r="R240" s="297"/>
      <c r="S240" s="271"/>
      <c r="T240" s="271"/>
      <c r="U240" s="271"/>
      <c r="V240" s="263"/>
      <c r="W240" s="263"/>
      <c r="X240" s="263"/>
      <c r="Y240" s="71"/>
      <c r="Z240" s="71"/>
      <c r="AA240" s="71"/>
      <c r="AB240" s="71"/>
    </row>
    <row r="241" spans="1:28" ht="15.75" customHeight="1">
      <c r="A241" s="143"/>
      <c r="B241" s="298"/>
      <c r="C241" s="298"/>
      <c r="D241" s="298"/>
      <c r="E241" s="298"/>
      <c r="F241" s="298"/>
      <c r="G241" s="298"/>
      <c r="H241" s="312"/>
      <c r="I241" s="311"/>
      <c r="J241" s="309"/>
      <c r="K241" s="298">
        <f t="shared" si="13"/>
        <v>0</v>
      </c>
      <c r="L241" s="303" t="str">
        <f t="shared" ca="1" si="14"/>
        <v/>
      </c>
      <c r="M241" s="304" t="str">
        <f t="shared" ca="1" si="15"/>
        <v/>
      </c>
      <c r="N241" s="305" t="str">
        <f ca="1">IFERROR(_xludf.IFS(G241&lt;100,(ABS(100/G241))+1,G241&gt;100,(G241/100)+1,G241=100, 2, G241=-100, 2),"")</f>
        <v/>
      </c>
      <c r="O241" s="305" t="str">
        <f ca="1">IFERROR(_xludf.IFS(H241&lt;100,(ABS(100/H241))+1,H241&gt;100,(H241/100)+1,H241=100, 2, H241=-100, 2),"")</f>
        <v/>
      </c>
      <c r="P241" s="305" t="str">
        <f t="shared" ca="1" si="16"/>
        <v/>
      </c>
      <c r="Q241" s="271"/>
      <c r="R241" s="297"/>
      <c r="S241" s="271"/>
      <c r="T241" s="271"/>
      <c r="U241" s="271"/>
      <c r="V241" s="263"/>
      <c r="W241" s="263"/>
      <c r="X241" s="263"/>
      <c r="Y241" s="71"/>
      <c r="Z241" s="71"/>
      <c r="AA241" s="71"/>
      <c r="AB241" s="71"/>
    </row>
    <row r="242" spans="1:28" ht="15.75" customHeight="1">
      <c r="A242" s="143"/>
      <c r="B242" s="298"/>
      <c r="C242" s="298"/>
      <c r="D242" s="298"/>
      <c r="E242" s="298"/>
      <c r="F242" s="298"/>
      <c r="G242" s="298"/>
      <c r="H242" s="312"/>
      <c r="I242" s="311"/>
      <c r="J242" s="309"/>
      <c r="K242" s="298">
        <f t="shared" si="13"/>
        <v>0</v>
      </c>
      <c r="L242" s="303" t="str">
        <f t="shared" ca="1" si="14"/>
        <v/>
      </c>
      <c r="M242" s="304" t="str">
        <f t="shared" ca="1" si="15"/>
        <v/>
      </c>
      <c r="N242" s="305" t="str">
        <f ca="1">IFERROR(_xludf.IFS(G242&lt;100,(ABS(100/G242))+1,G242&gt;100,(G242/100)+1,G242=100, 2, G242=-100, 2),"")</f>
        <v/>
      </c>
      <c r="O242" s="305" t="str">
        <f ca="1">IFERROR(_xludf.IFS(H242&lt;100,(ABS(100/H242))+1,H242&gt;100,(H242/100)+1,H242=100, 2, H242=-100, 2),"")</f>
        <v/>
      </c>
      <c r="P242" s="305" t="str">
        <f t="shared" ca="1" si="16"/>
        <v/>
      </c>
      <c r="Q242" s="271"/>
      <c r="R242" s="297"/>
      <c r="S242" s="271"/>
      <c r="T242" s="271"/>
      <c r="U242" s="271"/>
      <c r="V242" s="263"/>
      <c r="W242" s="263"/>
      <c r="X242" s="263"/>
      <c r="Y242" s="71"/>
      <c r="Z242" s="71"/>
      <c r="AA242" s="71"/>
      <c r="AB242" s="71"/>
    </row>
    <row r="243" spans="1:28" ht="15.75" customHeight="1">
      <c r="A243" s="143"/>
      <c r="B243" s="298"/>
      <c r="C243" s="298"/>
      <c r="D243" s="298"/>
      <c r="E243" s="298"/>
      <c r="F243" s="298"/>
      <c r="G243" s="298"/>
      <c r="H243" s="312"/>
      <c r="I243" s="311"/>
      <c r="J243" s="309"/>
      <c r="K243" s="298">
        <f t="shared" si="13"/>
        <v>0</v>
      </c>
      <c r="L243" s="303" t="str">
        <f t="shared" ca="1" si="14"/>
        <v/>
      </c>
      <c r="M243" s="304" t="str">
        <f t="shared" ca="1" si="15"/>
        <v/>
      </c>
      <c r="N243" s="305" t="str">
        <f ca="1">IFERROR(_xludf.IFS(G243&lt;100,(ABS(100/G243))+1,G243&gt;100,(G243/100)+1,G243=100, 2, G243=-100, 2),"")</f>
        <v/>
      </c>
      <c r="O243" s="305" t="str">
        <f ca="1">IFERROR(_xludf.IFS(H243&lt;100,(ABS(100/H243))+1,H243&gt;100,(H243/100)+1,H243=100, 2, H243=-100, 2),"")</f>
        <v/>
      </c>
      <c r="P243" s="305" t="str">
        <f t="shared" ca="1" si="16"/>
        <v/>
      </c>
      <c r="Q243" s="271"/>
      <c r="R243" s="297"/>
      <c r="S243" s="271"/>
      <c r="T243" s="271"/>
      <c r="U243" s="271"/>
      <c r="V243" s="263"/>
      <c r="W243" s="263"/>
      <c r="X243" s="263"/>
      <c r="Y243" s="71"/>
      <c r="Z243" s="71"/>
      <c r="AA243" s="71"/>
      <c r="AB243" s="71"/>
    </row>
    <row r="244" spans="1:28" ht="15.75" customHeight="1">
      <c r="A244" s="143"/>
      <c r="B244" s="298"/>
      <c r="C244" s="298"/>
      <c r="D244" s="298"/>
      <c r="E244" s="298"/>
      <c r="F244" s="298"/>
      <c r="G244" s="298"/>
      <c r="H244" s="312"/>
      <c r="I244" s="311"/>
      <c r="J244" s="309"/>
      <c r="K244" s="298">
        <f t="shared" si="13"/>
        <v>0</v>
      </c>
      <c r="L244" s="303" t="str">
        <f t="shared" ca="1" si="14"/>
        <v/>
      </c>
      <c r="M244" s="304" t="str">
        <f t="shared" ca="1" si="15"/>
        <v/>
      </c>
      <c r="N244" s="305" t="str">
        <f ca="1">IFERROR(_xludf.IFS(G244&lt;100,(ABS(100/G244))+1,G244&gt;100,(G244/100)+1,G244=100, 2, G244=-100, 2),"")</f>
        <v/>
      </c>
      <c r="O244" s="305" t="str">
        <f ca="1">IFERROR(_xludf.IFS(H244&lt;100,(ABS(100/H244))+1,H244&gt;100,(H244/100)+1,H244=100, 2, H244=-100, 2),"")</f>
        <v/>
      </c>
      <c r="P244" s="305" t="str">
        <f t="shared" ca="1" si="16"/>
        <v/>
      </c>
      <c r="Q244" s="271"/>
      <c r="R244" s="297"/>
      <c r="S244" s="271"/>
      <c r="T244" s="271"/>
      <c r="U244" s="271"/>
      <c r="V244" s="263"/>
      <c r="W244" s="263"/>
      <c r="X244" s="263"/>
      <c r="Y244" s="71"/>
      <c r="Z244" s="71"/>
      <c r="AA244" s="71"/>
      <c r="AB244" s="71"/>
    </row>
    <row r="245" spans="1:28" ht="15.75" customHeight="1">
      <c r="A245" s="143"/>
      <c r="B245" s="298"/>
      <c r="C245" s="298"/>
      <c r="D245" s="298"/>
      <c r="E245" s="298"/>
      <c r="F245" s="298"/>
      <c r="G245" s="298"/>
      <c r="H245" s="312"/>
      <c r="I245" s="311"/>
      <c r="J245" s="309"/>
      <c r="K245" s="298">
        <f t="shared" si="13"/>
        <v>0</v>
      </c>
      <c r="L245" s="303" t="str">
        <f t="shared" ca="1" si="14"/>
        <v/>
      </c>
      <c r="M245" s="304" t="str">
        <f t="shared" ca="1" si="15"/>
        <v/>
      </c>
      <c r="N245" s="305" t="str">
        <f ca="1">IFERROR(_xludf.IFS(G245&lt;100,(ABS(100/G245))+1,G245&gt;100,(G245/100)+1,G245=100, 2, G245=-100, 2),"")</f>
        <v/>
      </c>
      <c r="O245" s="305" t="str">
        <f ca="1">IFERROR(_xludf.IFS(H245&lt;100,(ABS(100/H245))+1,H245&gt;100,(H245/100)+1,H245=100, 2, H245=-100, 2),"")</f>
        <v/>
      </c>
      <c r="P245" s="305" t="str">
        <f t="shared" ca="1" si="16"/>
        <v/>
      </c>
      <c r="Q245" s="271"/>
      <c r="R245" s="297"/>
      <c r="S245" s="271"/>
      <c r="T245" s="271"/>
      <c r="U245" s="271"/>
      <c r="V245" s="263"/>
      <c r="W245" s="263"/>
      <c r="X245" s="263"/>
      <c r="Y245" s="71"/>
      <c r="Z245" s="71"/>
      <c r="AA245" s="71"/>
      <c r="AB245" s="71"/>
    </row>
    <row r="246" spans="1:28" ht="15.75" customHeight="1">
      <c r="A246" s="143"/>
      <c r="B246" s="298"/>
      <c r="C246" s="298"/>
      <c r="D246" s="298"/>
      <c r="E246" s="298"/>
      <c r="F246" s="298"/>
      <c r="G246" s="298"/>
      <c r="H246" s="312"/>
      <c r="I246" s="311"/>
      <c r="J246" s="309"/>
      <c r="K246" s="298">
        <f t="shared" si="13"/>
        <v>0</v>
      </c>
      <c r="L246" s="303" t="str">
        <f t="shared" ca="1" si="14"/>
        <v/>
      </c>
      <c r="M246" s="304" t="str">
        <f t="shared" ca="1" si="15"/>
        <v/>
      </c>
      <c r="N246" s="305" t="str">
        <f ca="1">IFERROR(_xludf.IFS(G246&lt;100,(ABS(100/G246))+1,G246&gt;100,(G246/100)+1,G246=100, 2, G246=-100, 2),"")</f>
        <v/>
      </c>
      <c r="O246" s="305" t="str">
        <f ca="1">IFERROR(_xludf.IFS(H246&lt;100,(ABS(100/H246))+1,H246&gt;100,(H246/100)+1,H246=100, 2, H246=-100, 2),"")</f>
        <v/>
      </c>
      <c r="P246" s="305" t="str">
        <f t="shared" ca="1" si="16"/>
        <v/>
      </c>
      <c r="Q246" s="271"/>
      <c r="R246" s="297"/>
      <c r="S246" s="271"/>
      <c r="T246" s="271"/>
      <c r="U246" s="271"/>
      <c r="V246" s="263"/>
      <c r="W246" s="263"/>
      <c r="X246" s="263"/>
      <c r="Y246" s="71"/>
      <c r="Z246" s="71"/>
      <c r="AA246" s="71"/>
      <c r="AB246" s="71"/>
    </row>
    <row r="247" spans="1:28" ht="15.75" customHeight="1">
      <c r="A247" s="143"/>
      <c r="B247" s="298"/>
      <c r="C247" s="298"/>
      <c r="D247" s="298"/>
      <c r="E247" s="298"/>
      <c r="F247" s="298"/>
      <c r="G247" s="298"/>
      <c r="H247" s="312"/>
      <c r="I247" s="311"/>
      <c r="J247" s="309"/>
      <c r="K247" s="298">
        <f t="shared" si="13"/>
        <v>0</v>
      </c>
      <c r="L247" s="303" t="str">
        <f t="shared" ca="1" si="14"/>
        <v/>
      </c>
      <c r="M247" s="304" t="str">
        <f t="shared" ca="1" si="15"/>
        <v/>
      </c>
      <c r="N247" s="305" t="str">
        <f ca="1">IFERROR(_xludf.IFS(G247&lt;100,(ABS(100/G247))+1,G247&gt;100,(G247/100)+1,G247=100, 2, G247=-100, 2),"")</f>
        <v/>
      </c>
      <c r="O247" s="305" t="str">
        <f ca="1">IFERROR(_xludf.IFS(H247&lt;100,(ABS(100/H247))+1,H247&gt;100,(H247/100)+1,H247=100, 2, H247=-100, 2),"")</f>
        <v/>
      </c>
      <c r="P247" s="305" t="str">
        <f t="shared" ca="1" si="16"/>
        <v/>
      </c>
      <c r="Q247" s="271"/>
      <c r="R247" s="297"/>
      <c r="S247" s="271"/>
      <c r="T247" s="271"/>
      <c r="U247" s="271"/>
      <c r="V247" s="263"/>
      <c r="W247" s="263"/>
      <c r="X247" s="263"/>
      <c r="Y247" s="71"/>
      <c r="Z247" s="71"/>
      <c r="AA247" s="71"/>
      <c r="AB247" s="71"/>
    </row>
    <row r="248" spans="1:28" ht="15.75" customHeight="1">
      <c r="A248" s="143"/>
      <c r="B248" s="298"/>
      <c r="C248" s="298"/>
      <c r="D248" s="298"/>
      <c r="E248" s="298"/>
      <c r="F248" s="298"/>
      <c r="G248" s="298"/>
      <c r="H248" s="312"/>
      <c r="I248" s="311"/>
      <c r="J248" s="309"/>
      <c r="K248" s="298">
        <f t="shared" si="13"/>
        <v>0</v>
      </c>
      <c r="L248" s="303" t="str">
        <f t="shared" ca="1" si="14"/>
        <v/>
      </c>
      <c r="M248" s="304" t="str">
        <f t="shared" ca="1" si="15"/>
        <v/>
      </c>
      <c r="N248" s="305" t="str">
        <f ca="1">IFERROR(_xludf.IFS(G248&lt;100,(ABS(100/G248))+1,G248&gt;100,(G248/100)+1,G248=100, 2, G248=-100, 2),"")</f>
        <v/>
      </c>
      <c r="O248" s="305" t="str">
        <f ca="1">IFERROR(_xludf.IFS(H248&lt;100,(ABS(100/H248))+1,H248&gt;100,(H248/100)+1,H248=100, 2, H248=-100, 2),"")</f>
        <v/>
      </c>
      <c r="P248" s="305" t="str">
        <f t="shared" ca="1" si="16"/>
        <v/>
      </c>
      <c r="Q248" s="271"/>
      <c r="R248" s="297"/>
      <c r="S248" s="271"/>
      <c r="T248" s="271"/>
      <c r="U248" s="271"/>
      <c r="V248" s="263"/>
      <c r="W248" s="263"/>
      <c r="X248" s="263"/>
      <c r="Y248" s="71"/>
      <c r="Z248" s="71"/>
      <c r="AA248" s="71"/>
      <c r="AB248" s="71"/>
    </row>
    <row r="249" spans="1:28" ht="15.75" customHeight="1">
      <c r="A249" s="143"/>
      <c r="B249" s="298"/>
      <c r="C249" s="298"/>
      <c r="D249" s="298"/>
      <c r="E249" s="298"/>
      <c r="F249" s="298"/>
      <c r="G249" s="298"/>
      <c r="H249" s="312"/>
      <c r="I249" s="311"/>
      <c r="J249" s="309"/>
      <c r="K249" s="298">
        <f t="shared" si="13"/>
        <v>0</v>
      </c>
      <c r="L249" s="303" t="str">
        <f t="shared" ca="1" si="14"/>
        <v/>
      </c>
      <c r="M249" s="304" t="str">
        <f t="shared" ca="1" si="15"/>
        <v/>
      </c>
      <c r="N249" s="305" t="str">
        <f ca="1">IFERROR(_xludf.IFS(G249&lt;100,(ABS(100/G249))+1,G249&gt;100,(G249/100)+1,G249=100, 2, G249=-100, 2),"")</f>
        <v/>
      </c>
      <c r="O249" s="305" t="str">
        <f ca="1">IFERROR(_xludf.IFS(H249&lt;100,(ABS(100/H249))+1,H249&gt;100,(H249/100)+1,H249=100, 2, H249=-100, 2),"")</f>
        <v/>
      </c>
      <c r="P249" s="305" t="str">
        <f t="shared" ca="1" si="16"/>
        <v/>
      </c>
      <c r="Q249" s="271"/>
      <c r="R249" s="297"/>
      <c r="S249" s="271"/>
      <c r="T249" s="271"/>
      <c r="U249" s="271"/>
      <c r="V249" s="263"/>
      <c r="W249" s="263"/>
      <c r="X249" s="263"/>
      <c r="Y249" s="71"/>
      <c r="Z249" s="71"/>
      <c r="AA249" s="71"/>
      <c r="AB249" s="71"/>
    </row>
    <row r="250" spans="1:28" ht="15.75" customHeight="1">
      <c r="A250" s="143"/>
      <c r="B250" s="298"/>
      <c r="C250" s="298"/>
      <c r="D250" s="298"/>
      <c r="E250" s="298"/>
      <c r="F250" s="298"/>
      <c r="G250" s="298"/>
      <c r="H250" s="312"/>
      <c r="I250" s="311"/>
      <c r="J250" s="309"/>
      <c r="K250" s="298">
        <f t="shared" si="13"/>
        <v>0</v>
      </c>
      <c r="L250" s="303" t="str">
        <f t="shared" ca="1" si="14"/>
        <v/>
      </c>
      <c r="M250" s="304" t="str">
        <f t="shared" ca="1" si="15"/>
        <v/>
      </c>
      <c r="N250" s="305" t="str">
        <f ca="1">IFERROR(_xludf.IFS(G250&lt;100,(ABS(100/G250))+1,G250&gt;100,(G250/100)+1,G250=100, 2, G250=-100, 2),"")</f>
        <v/>
      </c>
      <c r="O250" s="305" t="str">
        <f ca="1">IFERROR(_xludf.IFS(H250&lt;100,(ABS(100/H250))+1,H250&gt;100,(H250/100)+1,H250=100, 2, H250=-100, 2),"")</f>
        <v/>
      </c>
      <c r="P250" s="305" t="str">
        <f t="shared" ca="1" si="16"/>
        <v/>
      </c>
      <c r="Q250" s="271"/>
      <c r="R250" s="297"/>
      <c r="S250" s="271"/>
      <c r="T250" s="271"/>
      <c r="U250" s="271"/>
      <c r="V250" s="263"/>
      <c r="W250" s="263"/>
      <c r="X250" s="263"/>
      <c r="Y250" s="71"/>
      <c r="Z250" s="71"/>
      <c r="AA250" s="71"/>
      <c r="AB250" s="71"/>
    </row>
    <row r="251" spans="1:28" ht="15.75" customHeight="1">
      <c r="A251" s="143"/>
      <c r="B251" s="298"/>
      <c r="C251" s="298"/>
      <c r="D251" s="298"/>
      <c r="E251" s="298"/>
      <c r="F251" s="298"/>
      <c r="G251" s="298"/>
      <c r="H251" s="312"/>
      <c r="I251" s="311"/>
      <c r="J251" s="309"/>
      <c r="K251" s="298">
        <f t="shared" si="13"/>
        <v>0</v>
      </c>
      <c r="L251" s="303" t="str">
        <f t="shared" ca="1" si="14"/>
        <v/>
      </c>
      <c r="M251" s="304" t="str">
        <f t="shared" ca="1" si="15"/>
        <v/>
      </c>
      <c r="N251" s="305" t="str">
        <f ca="1">IFERROR(_xludf.IFS(G251&lt;100,(ABS(100/G251))+1,G251&gt;100,(G251/100)+1,G251=100, 2, G251=-100, 2),"")</f>
        <v/>
      </c>
      <c r="O251" s="305" t="str">
        <f ca="1">IFERROR(_xludf.IFS(H251&lt;100,(ABS(100/H251))+1,H251&gt;100,(H251/100)+1,H251=100, 2, H251=-100, 2),"")</f>
        <v/>
      </c>
      <c r="P251" s="305" t="str">
        <f t="shared" ca="1" si="16"/>
        <v/>
      </c>
      <c r="Q251" s="271"/>
      <c r="R251" s="297"/>
      <c r="S251" s="271"/>
      <c r="T251" s="271"/>
      <c r="U251" s="271"/>
      <c r="V251" s="263"/>
      <c r="W251" s="263"/>
      <c r="X251" s="263"/>
      <c r="Y251" s="71"/>
      <c r="Z251" s="71"/>
      <c r="AA251" s="71"/>
      <c r="AB251" s="71"/>
    </row>
    <row r="252" spans="1:28" ht="15.75" customHeight="1">
      <c r="A252" s="143"/>
      <c r="B252" s="298"/>
      <c r="C252" s="298"/>
      <c r="D252" s="298"/>
      <c r="E252" s="298"/>
      <c r="F252" s="298"/>
      <c r="G252" s="298"/>
      <c r="H252" s="312"/>
      <c r="I252" s="311"/>
      <c r="J252" s="309"/>
      <c r="K252" s="298">
        <f t="shared" si="13"/>
        <v>0</v>
      </c>
      <c r="L252" s="303" t="str">
        <f t="shared" ca="1" si="14"/>
        <v/>
      </c>
      <c r="M252" s="304" t="str">
        <f t="shared" ca="1" si="15"/>
        <v/>
      </c>
      <c r="N252" s="305" t="str">
        <f ca="1">IFERROR(_xludf.IFS(G252&lt;100,(ABS(100/G252))+1,G252&gt;100,(G252/100)+1,G252=100, 2, G252=-100, 2),"")</f>
        <v/>
      </c>
      <c r="O252" s="305" t="str">
        <f ca="1">IFERROR(_xludf.IFS(H252&lt;100,(ABS(100/H252))+1,H252&gt;100,(H252/100)+1,H252=100, 2, H252=-100, 2),"")</f>
        <v/>
      </c>
      <c r="P252" s="305" t="str">
        <f t="shared" ca="1" si="16"/>
        <v/>
      </c>
      <c r="Q252" s="271"/>
      <c r="R252" s="297"/>
      <c r="S252" s="271"/>
      <c r="T252" s="271"/>
      <c r="U252" s="271"/>
      <c r="V252" s="263"/>
      <c r="W252" s="263"/>
      <c r="X252" s="263"/>
      <c r="Y252" s="71"/>
      <c r="Z252" s="71"/>
      <c r="AA252" s="71"/>
      <c r="AB252" s="71"/>
    </row>
    <row r="253" spans="1:28" ht="15.75" customHeight="1">
      <c r="A253" s="143"/>
      <c r="B253" s="298"/>
      <c r="C253" s="298"/>
      <c r="D253" s="298"/>
      <c r="E253" s="298"/>
      <c r="F253" s="298"/>
      <c r="G253" s="298"/>
      <c r="H253" s="312"/>
      <c r="I253" s="311"/>
      <c r="J253" s="309"/>
      <c r="K253" s="298">
        <f t="shared" si="13"/>
        <v>0</v>
      </c>
      <c r="L253" s="303" t="str">
        <f t="shared" ca="1" si="14"/>
        <v/>
      </c>
      <c r="M253" s="304" t="str">
        <f t="shared" ca="1" si="15"/>
        <v/>
      </c>
      <c r="N253" s="305" t="str">
        <f ca="1">IFERROR(_xludf.IFS(G253&lt;100,(ABS(100/G253))+1,G253&gt;100,(G253/100)+1,G253=100, 2, G253=-100, 2),"")</f>
        <v/>
      </c>
      <c r="O253" s="305" t="str">
        <f ca="1">IFERROR(_xludf.IFS(H253&lt;100,(ABS(100/H253))+1,H253&gt;100,(H253/100)+1,H253=100, 2, H253=-100, 2),"")</f>
        <v/>
      </c>
      <c r="P253" s="305" t="str">
        <f t="shared" ca="1" si="16"/>
        <v/>
      </c>
      <c r="Q253" s="271"/>
      <c r="R253" s="297"/>
      <c r="S253" s="271"/>
      <c r="T253" s="271"/>
      <c r="U253" s="271"/>
      <c r="V253" s="263"/>
      <c r="W253" s="263"/>
      <c r="X253" s="263"/>
      <c r="Y253" s="71"/>
      <c r="Z253" s="71"/>
      <c r="AA253" s="71"/>
      <c r="AB253" s="71"/>
    </row>
    <row r="254" spans="1:28" ht="15.75" customHeight="1">
      <c r="A254" s="143"/>
      <c r="B254" s="298"/>
      <c r="C254" s="298"/>
      <c r="D254" s="298"/>
      <c r="E254" s="298"/>
      <c r="F254" s="298"/>
      <c r="G254" s="298"/>
      <c r="H254" s="312"/>
      <c r="I254" s="311"/>
      <c r="J254" s="309"/>
      <c r="K254" s="298">
        <f t="shared" si="13"/>
        <v>0</v>
      </c>
      <c r="L254" s="303" t="str">
        <f t="shared" ca="1" si="14"/>
        <v/>
      </c>
      <c r="M254" s="304" t="str">
        <f t="shared" ca="1" si="15"/>
        <v/>
      </c>
      <c r="N254" s="305" t="str">
        <f ca="1">IFERROR(_xludf.IFS(G254&lt;100,(ABS(100/G254))+1,G254&gt;100,(G254/100)+1,G254=100, 2, G254=-100, 2),"")</f>
        <v/>
      </c>
      <c r="O254" s="305" t="str">
        <f ca="1">IFERROR(_xludf.IFS(H254&lt;100,(ABS(100/H254))+1,H254&gt;100,(H254/100)+1,H254=100, 2, H254=-100, 2),"")</f>
        <v/>
      </c>
      <c r="P254" s="305" t="str">
        <f t="shared" ca="1" si="16"/>
        <v/>
      </c>
      <c r="Q254" s="271"/>
      <c r="R254" s="297"/>
      <c r="S254" s="271"/>
      <c r="T254" s="271"/>
      <c r="U254" s="271"/>
      <c r="V254" s="263"/>
      <c r="W254" s="263"/>
      <c r="X254" s="263"/>
      <c r="Y254" s="71"/>
      <c r="Z254" s="71"/>
      <c r="AA254" s="71"/>
      <c r="AB254" s="71"/>
    </row>
    <row r="255" spans="1:28" ht="15.75" customHeight="1">
      <c r="A255" s="143"/>
      <c r="B255" s="298"/>
      <c r="C255" s="298"/>
      <c r="D255" s="298"/>
      <c r="E255" s="298"/>
      <c r="F255" s="298"/>
      <c r="G255" s="298"/>
      <c r="H255" s="312"/>
      <c r="I255" s="311"/>
      <c r="J255" s="309"/>
      <c r="K255" s="298">
        <f t="shared" si="13"/>
        <v>0</v>
      </c>
      <c r="L255" s="303" t="str">
        <f t="shared" ca="1" si="14"/>
        <v/>
      </c>
      <c r="M255" s="304" t="str">
        <f t="shared" ca="1" si="15"/>
        <v/>
      </c>
      <c r="N255" s="305" t="str">
        <f ca="1">IFERROR(_xludf.IFS(G255&lt;100,(ABS(100/G255))+1,G255&gt;100,(G255/100)+1,G255=100, 2, G255=-100, 2),"")</f>
        <v/>
      </c>
      <c r="O255" s="305" t="str">
        <f ca="1">IFERROR(_xludf.IFS(H255&lt;100,(ABS(100/H255))+1,H255&gt;100,(H255/100)+1,H255=100, 2, H255=-100, 2),"")</f>
        <v/>
      </c>
      <c r="P255" s="305" t="str">
        <f t="shared" ca="1" si="16"/>
        <v/>
      </c>
      <c r="Q255" s="271"/>
      <c r="R255" s="297"/>
      <c r="S255" s="271"/>
      <c r="T255" s="271"/>
      <c r="U255" s="271"/>
      <c r="V255" s="263"/>
      <c r="W255" s="263"/>
      <c r="X255" s="263"/>
      <c r="Y255" s="71"/>
      <c r="Z255" s="71"/>
      <c r="AA255" s="71"/>
      <c r="AB255" s="71"/>
    </row>
    <row r="256" spans="1:28" ht="15.75" customHeight="1">
      <c r="A256" s="143"/>
      <c r="B256" s="298"/>
      <c r="C256" s="298"/>
      <c r="D256" s="298"/>
      <c r="E256" s="298"/>
      <c r="F256" s="298"/>
      <c r="G256" s="298"/>
      <c r="H256" s="312"/>
      <c r="I256" s="311"/>
      <c r="J256" s="309"/>
      <c r="K256" s="298">
        <f t="shared" si="13"/>
        <v>0</v>
      </c>
      <c r="L256" s="303" t="str">
        <f t="shared" ca="1" si="14"/>
        <v/>
      </c>
      <c r="M256" s="304" t="str">
        <f t="shared" ca="1" si="15"/>
        <v/>
      </c>
      <c r="N256" s="305" t="str">
        <f ca="1">IFERROR(_xludf.IFS(G256&lt;100,(ABS(100/G256))+1,G256&gt;100,(G256/100)+1,G256=100, 2, G256=-100, 2),"")</f>
        <v/>
      </c>
      <c r="O256" s="305" t="str">
        <f ca="1">IFERROR(_xludf.IFS(H256&lt;100,(ABS(100/H256))+1,H256&gt;100,(H256/100)+1,H256=100, 2, H256=-100, 2),"")</f>
        <v/>
      </c>
      <c r="P256" s="305" t="str">
        <f t="shared" ca="1" si="16"/>
        <v/>
      </c>
      <c r="Q256" s="271"/>
      <c r="R256" s="297"/>
      <c r="S256" s="271"/>
      <c r="T256" s="271"/>
      <c r="U256" s="271"/>
      <c r="V256" s="263"/>
      <c r="W256" s="263"/>
      <c r="X256" s="263"/>
      <c r="Y256" s="71"/>
      <c r="Z256" s="71"/>
      <c r="AA256" s="71"/>
      <c r="AB256" s="71"/>
    </row>
    <row r="257" spans="1:28" ht="15.75" customHeight="1">
      <c r="A257" s="143"/>
      <c r="B257" s="298"/>
      <c r="C257" s="298"/>
      <c r="D257" s="298"/>
      <c r="E257" s="298"/>
      <c r="F257" s="298"/>
      <c r="G257" s="298"/>
      <c r="H257" s="312"/>
      <c r="I257" s="311"/>
      <c r="J257" s="309"/>
      <c r="K257" s="298">
        <f t="shared" si="13"/>
        <v>0</v>
      </c>
      <c r="L257" s="303" t="str">
        <f t="shared" ca="1" si="14"/>
        <v/>
      </c>
      <c r="M257" s="304" t="str">
        <f t="shared" ca="1" si="15"/>
        <v/>
      </c>
      <c r="N257" s="305" t="str">
        <f ca="1">IFERROR(_xludf.IFS(G257&lt;100,(ABS(100/G257))+1,G257&gt;100,(G257/100)+1,G257=100, 2, G257=-100, 2),"")</f>
        <v/>
      </c>
      <c r="O257" s="305" t="str">
        <f ca="1">IFERROR(_xludf.IFS(H257&lt;100,(ABS(100/H257))+1,H257&gt;100,(H257/100)+1,H257=100, 2, H257=-100, 2),"")</f>
        <v/>
      </c>
      <c r="P257" s="305" t="str">
        <f t="shared" ca="1" si="16"/>
        <v/>
      </c>
      <c r="Q257" s="271"/>
      <c r="R257" s="297"/>
      <c r="S257" s="271"/>
      <c r="T257" s="271"/>
      <c r="U257" s="271"/>
      <c r="V257" s="263"/>
      <c r="W257" s="263"/>
      <c r="X257" s="263"/>
      <c r="Y257" s="71"/>
      <c r="Z257" s="71"/>
      <c r="AA257" s="71"/>
      <c r="AB257" s="71"/>
    </row>
    <row r="258" spans="1:28" ht="15.75" customHeight="1">
      <c r="A258" s="143"/>
      <c r="B258" s="298"/>
      <c r="C258" s="298"/>
      <c r="D258" s="298"/>
      <c r="E258" s="298"/>
      <c r="F258" s="298"/>
      <c r="G258" s="298"/>
      <c r="H258" s="312"/>
      <c r="I258" s="311"/>
      <c r="J258" s="309"/>
      <c r="K258" s="298">
        <f t="shared" si="13"/>
        <v>0</v>
      </c>
      <c r="L258" s="303" t="str">
        <f t="shared" ca="1" si="14"/>
        <v/>
      </c>
      <c r="M258" s="304" t="str">
        <f t="shared" ca="1" si="15"/>
        <v/>
      </c>
      <c r="N258" s="305" t="str">
        <f ca="1">IFERROR(_xludf.IFS(G258&lt;100,(ABS(100/G258))+1,G258&gt;100,(G258/100)+1,G258=100, 2, G258=-100, 2),"")</f>
        <v/>
      </c>
      <c r="O258" s="305" t="str">
        <f ca="1">IFERROR(_xludf.IFS(H258&lt;100,(ABS(100/H258))+1,H258&gt;100,(H258/100)+1,H258=100, 2, H258=-100, 2),"")</f>
        <v/>
      </c>
      <c r="P258" s="305" t="str">
        <f t="shared" ca="1" si="16"/>
        <v/>
      </c>
      <c r="Q258" s="271"/>
      <c r="R258" s="297"/>
      <c r="S258" s="271"/>
      <c r="T258" s="271"/>
      <c r="U258" s="271"/>
      <c r="V258" s="263"/>
      <c r="W258" s="263"/>
      <c r="X258" s="263"/>
      <c r="Y258" s="71"/>
      <c r="Z258" s="71"/>
      <c r="AA258" s="71"/>
      <c r="AB258" s="71"/>
    </row>
    <row r="259" spans="1:28" ht="15.75" customHeight="1">
      <c r="A259" s="143"/>
      <c r="B259" s="298"/>
      <c r="C259" s="298"/>
      <c r="D259" s="298"/>
      <c r="E259" s="298"/>
      <c r="F259" s="298"/>
      <c r="G259" s="298"/>
      <c r="H259" s="312"/>
      <c r="I259" s="311"/>
      <c r="J259" s="309"/>
      <c r="K259" s="298">
        <f t="shared" si="13"/>
        <v>0</v>
      </c>
      <c r="L259" s="303" t="str">
        <f t="shared" ca="1" si="14"/>
        <v/>
      </c>
      <c r="M259" s="304" t="str">
        <f t="shared" ca="1" si="15"/>
        <v/>
      </c>
      <c r="N259" s="305" t="str">
        <f ca="1">IFERROR(_xludf.IFS(G259&lt;100,(ABS(100/G259))+1,G259&gt;100,(G259/100)+1,G259=100, 2, G259=-100, 2),"")</f>
        <v/>
      </c>
      <c r="O259" s="305" t="str">
        <f ca="1">IFERROR(_xludf.IFS(H259&lt;100,(ABS(100/H259))+1,H259&gt;100,(H259/100)+1,H259=100, 2, H259=-100, 2),"")</f>
        <v/>
      </c>
      <c r="P259" s="305" t="str">
        <f t="shared" ca="1" si="16"/>
        <v/>
      </c>
      <c r="Q259" s="271"/>
      <c r="R259" s="297"/>
      <c r="S259" s="271"/>
      <c r="T259" s="271"/>
      <c r="U259" s="271"/>
      <c r="V259" s="263"/>
      <c r="W259" s="263"/>
      <c r="X259" s="263"/>
      <c r="Y259" s="71"/>
      <c r="Z259" s="71"/>
      <c r="AA259" s="71"/>
      <c r="AB259" s="71"/>
    </row>
    <row r="260" spans="1:28" ht="15.75" customHeight="1">
      <c r="A260" s="143"/>
      <c r="B260" s="298"/>
      <c r="C260" s="298"/>
      <c r="D260" s="298"/>
      <c r="E260" s="298"/>
      <c r="F260" s="298"/>
      <c r="G260" s="298"/>
      <c r="H260" s="312"/>
      <c r="I260" s="311"/>
      <c r="J260" s="309"/>
      <c r="K260" s="298">
        <f t="shared" si="13"/>
        <v>0</v>
      </c>
      <c r="L260" s="303" t="str">
        <f t="shared" ca="1" si="14"/>
        <v/>
      </c>
      <c r="M260" s="304" t="str">
        <f t="shared" ca="1" si="15"/>
        <v/>
      </c>
      <c r="N260" s="305" t="str">
        <f ca="1">IFERROR(_xludf.IFS(G260&lt;100,(ABS(100/G260))+1,G260&gt;100,(G260/100)+1,G260=100, 2, G260=-100, 2),"")</f>
        <v/>
      </c>
      <c r="O260" s="305" t="str">
        <f ca="1">IFERROR(_xludf.IFS(H260&lt;100,(ABS(100/H260))+1,H260&gt;100,(H260/100)+1,H260=100, 2, H260=-100, 2),"")</f>
        <v/>
      </c>
      <c r="P260" s="305" t="str">
        <f t="shared" ca="1" si="16"/>
        <v/>
      </c>
      <c r="Q260" s="271"/>
      <c r="R260" s="297"/>
      <c r="S260" s="271"/>
      <c r="T260" s="271"/>
      <c r="U260" s="271"/>
      <c r="V260" s="263"/>
      <c r="W260" s="263"/>
      <c r="X260" s="263"/>
      <c r="Y260" s="71"/>
      <c r="Z260" s="71"/>
      <c r="AA260" s="71"/>
      <c r="AB260" s="71"/>
    </row>
    <row r="261" spans="1:28" ht="15.75" customHeight="1">
      <c r="A261" s="143"/>
      <c r="B261" s="298"/>
      <c r="C261" s="298"/>
      <c r="D261" s="298"/>
      <c r="E261" s="298"/>
      <c r="F261" s="298"/>
      <c r="G261" s="298"/>
      <c r="H261" s="312"/>
      <c r="I261" s="311"/>
      <c r="J261" s="309"/>
      <c r="K261" s="298">
        <f t="shared" si="13"/>
        <v>0</v>
      </c>
      <c r="L261" s="303" t="str">
        <f t="shared" ca="1" si="14"/>
        <v/>
      </c>
      <c r="M261" s="304" t="str">
        <f t="shared" ca="1" si="15"/>
        <v/>
      </c>
      <c r="N261" s="305" t="str">
        <f ca="1">IFERROR(_xludf.IFS(G261&lt;100,(ABS(100/G261))+1,G261&gt;100,(G261/100)+1,G261=100, 2, G261=-100, 2),"")</f>
        <v/>
      </c>
      <c r="O261" s="305" t="str">
        <f ca="1">IFERROR(_xludf.IFS(H261&lt;100,(ABS(100/H261))+1,H261&gt;100,(H261/100)+1,H261=100, 2, H261=-100, 2),"")</f>
        <v/>
      </c>
      <c r="P261" s="305" t="str">
        <f t="shared" ca="1" si="16"/>
        <v/>
      </c>
      <c r="Q261" s="271"/>
      <c r="R261" s="297"/>
      <c r="S261" s="271"/>
      <c r="T261" s="271"/>
      <c r="U261" s="271"/>
      <c r="V261" s="263"/>
      <c r="W261" s="263"/>
      <c r="X261" s="263"/>
      <c r="Y261" s="71"/>
      <c r="Z261" s="71"/>
      <c r="AA261" s="71"/>
      <c r="AB261" s="71"/>
    </row>
    <row r="262" spans="1:28" ht="15.75" customHeight="1">
      <c r="A262" s="143"/>
      <c r="B262" s="298"/>
      <c r="C262" s="298"/>
      <c r="D262" s="298"/>
      <c r="E262" s="298"/>
      <c r="F262" s="298"/>
      <c r="G262" s="298"/>
      <c r="H262" s="312"/>
      <c r="I262" s="311"/>
      <c r="J262" s="309"/>
      <c r="K262" s="298">
        <f t="shared" si="13"/>
        <v>0</v>
      </c>
      <c r="L262" s="303" t="str">
        <f t="shared" ca="1" si="14"/>
        <v/>
      </c>
      <c r="M262" s="304" t="str">
        <f t="shared" ca="1" si="15"/>
        <v/>
      </c>
      <c r="N262" s="305" t="str">
        <f ca="1">IFERROR(_xludf.IFS(G262&lt;100,(ABS(100/G262))+1,G262&gt;100,(G262/100)+1,G262=100, 2, G262=-100, 2),"")</f>
        <v/>
      </c>
      <c r="O262" s="305" t="str">
        <f ca="1">IFERROR(_xludf.IFS(H262&lt;100,(ABS(100/H262))+1,H262&gt;100,(H262/100)+1,H262=100, 2, H262=-100, 2),"")</f>
        <v/>
      </c>
      <c r="P262" s="305" t="str">
        <f t="shared" ca="1" si="16"/>
        <v/>
      </c>
      <c r="Q262" s="271"/>
      <c r="R262" s="297"/>
      <c r="S262" s="271"/>
      <c r="T262" s="271"/>
      <c r="U262" s="271"/>
      <c r="V262" s="263"/>
      <c r="W262" s="263"/>
      <c r="X262" s="263"/>
      <c r="Y262" s="71"/>
      <c r="Z262" s="71"/>
      <c r="AA262" s="71"/>
      <c r="AB262" s="71"/>
    </row>
    <row r="263" spans="1:28" ht="15.75" customHeight="1">
      <c r="A263" s="143"/>
      <c r="B263" s="298"/>
      <c r="C263" s="298"/>
      <c r="D263" s="298"/>
      <c r="E263" s="298"/>
      <c r="F263" s="298"/>
      <c r="G263" s="298"/>
      <c r="H263" s="312"/>
      <c r="I263" s="311"/>
      <c r="J263" s="309"/>
      <c r="K263" s="298">
        <f t="shared" si="13"/>
        <v>0</v>
      </c>
      <c r="L263" s="303" t="str">
        <f t="shared" ca="1" si="14"/>
        <v/>
      </c>
      <c r="M263" s="304" t="str">
        <f t="shared" ca="1" si="15"/>
        <v/>
      </c>
      <c r="N263" s="305" t="str">
        <f ca="1">IFERROR(_xludf.IFS(G263&lt;100,(ABS(100/G263))+1,G263&gt;100,(G263/100)+1,G263=100, 2, G263=-100, 2),"")</f>
        <v/>
      </c>
      <c r="O263" s="305" t="str">
        <f ca="1">IFERROR(_xludf.IFS(H263&lt;100,(ABS(100/H263))+1,H263&gt;100,(H263/100)+1,H263=100, 2, H263=-100, 2),"")</f>
        <v/>
      </c>
      <c r="P263" s="305" t="str">
        <f t="shared" ca="1" si="16"/>
        <v/>
      </c>
      <c r="Q263" s="271"/>
      <c r="R263" s="297"/>
      <c r="S263" s="271"/>
      <c r="T263" s="271"/>
      <c r="U263" s="271"/>
      <c r="V263" s="263"/>
      <c r="W263" s="263"/>
      <c r="X263" s="263"/>
      <c r="Y263" s="71"/>
      <c r="Z263" s="71"/>
      <c r="AA263" s="71"/>
      <c r="AB263" s="71"/>
    </row>
    <row r="264" spans="1:28" ht="15.75" customHeight="1">
      <c r="A264" s="143"/>
      <c r="B264" s="298"/>
      <c r="C264" s="298"/>
      <c r="D264" s="298"/>
      <c r="E264" s="298"/>
      <c r="F264" s="298"/>
      <c r="G264" s="298"/>
      <c r="H264" s="312"/>
      <c r="I264" s="311"/>
      <c r="J264" s="309"/>
      <c r="K264" s="298">
        <f t="shared" si="13"/>
        <v>0</v>
      </c>
      <c r="L264" s="303" t="str">
        <f t="shared" ca="1" si="14"/>
        <v/>
      </c>
      <c r="M264" s="304" t="str">
        <f t="shared" ca="1" si="15"/>
        <v/>
      </c>
      <c r="N264" s="305" t="str">
        <f ca="1">IFERROR(_xludf.IFS(G264&lt;100,(ABS(100/G264))+1,G264&gt;100,(G264/100)+1,G264=100, 2, G264=-100, 2),"")</f>
        <v/>
      </c>
      <c r="O264" s="305" t="str">
        <f ca="1">IFERROR(_xludf.IFS(H264&lt;100,(ABS(100/H264))+1,H264&gt;100,(H264/100)+1,H264=100, 2, H264=-100, 2),"")</f>
        <v/>
      </c>
      <c r="P264" s="305" t="str">
        <f t="shared" ca="1" si="16"/>
        <v/>
      </c>
      <c r="Q264" s="271"/>
      <c r="R264" s="297"/>
      <c r="S264" s="271"/>
      <c r="T264" s="271"/>
      <c r="U264" s="271"/>
      <c r="V264" s="263"/>
      <c r="W264" s="263"/>
      <c r="X264" s="263"/>
      <c r="Y264" s="71"/>
      <c r="Z264" s="71"/>
      <c r="AA264" s="71"/>
      <c r="AB264" s="71"/>
    </row>
    <row r="265" spans="1:28" ht="15.75" customHeight="1">
      <c r="A265" s="143"/>
      <c r="B265" s="298"/>
      <c r="C265" s="298"/>
      <c r="D265" s="298"/>
      <c r="E265" s="298"/>
      <c r="F265" s="298"/>
      <c r="G265" s="298"/>
      <c r="H265" s="312"/>
      <c r="I265" s="311"/>
      <c r="J265" s="309"/>
      <c r="K265" s="298">
        <f t="shared" si="13"/>
        <v>0</v>
      </c>
      <c r="L265" s="303" t="str">
        <f t="shared" ca="1" si="14"/>
        <v/>
      </c>
      <c r="M265" s="304" t="str">
        <f t="shared" ca="1" si="15"/>
        <v/>
      </c>
      <c r="N265" s="305" t="str">
        <f ca="1">IFERROR(_xludf.IFS(G265&lt;100,(ABS(100/G265))+1,G265&gt;100,(G265/100)+1,G265=100, 2, G265=-100, 2),"")</f>
        <v/>
      </c>
      <c r="O265" s="305" t="str">
        <f ca="1">IFERROR(_xludf.IFS(H265&lt;100,(ABS(100/H265))+1,H265&gt;100,(H265/100)+1,H265=100, 2, H265=-100, 2),"")</f>
        <v/>
      </c>
      <c r="P265" s="305" t="str">
        <f t="shared" ca="1" si="16"/>
        <v/>
      </c>
      <c r="Q265" s="271"/>
      <c r="R265" s="297"/>
      <c r="S265" s="271"/>
      <c r="T265" s="271"/>
      <c r="U265" s="271"/>
      <c r="V265" s="263"/>
      <c r="W265" s="263"/>
      <c r="X265" s="263"/>
      <c r="Y265" s="71"/>
      <c r="Z265" s="71"/>
      <c r="AA265" s="71"/>
      <c r="AB265" s="71"/>
    </row>
    <row r="266" spans="1:28" ht="15.75" customHeight="1">
      <c r="A266" s="143"/>
      <c r="B266" s="298"/>
      <c r="C266" s="298"/>
      <c r="D266" s="298"/>
      <c r="E266" s="298"/>
      <c r="F266" s="298"/>
      <c r="G266" s="298"/>
      <c r="H266" s="312"/>
      <c r="I266" s="311"/>
      <c r="J266" s="309"/>
      <c r="K266" s="298">
        <f t="shared" ref="K266:K329" si="17">IF(J266="W",N266*I266-I266,IF(J266="L",-I266,0))</f>
        <v>0</v>
      </c>
      <c r="L266" s="303" t="str">
        <f t="shared" ref="L266:L329" ca="1" si="18">IFERROR((1/O266-1/N266)/(1/N266),"")</f>
        <v/>
      </c>
      <c r="M266" s="304" t="str">
        <f t="shared" ref="M266:M329" ca="1" si="19">IFERROR((1/P266-1/N266)/(1/N266),"")</f>
        <v/>
      </c>
      <c r="N266" s="305" t="str">
        <f ca="1">IFERROR(_xludf.IFS(G266&lt;100,(ABS(100/G266))+1,G266&gt;100,(G266/100)+1,G266=100, 2, G266=-100, 2),"")</f>
        <v/>
      </c>
      <c r="O266" s="305" t="str">
        <f ca="1">IFERROR(_xludf.IFS(H266&lt;100,(ABS(100/H266))+1,H266&gt;100,(H266/100)+1,H266=100, 2, H266=-100, 2),"")</f>
        <v/>
      </c>
      <c r="P266" s="305" t="str">
        <f t="shared" ca="1" si="16"/>
        <v/>
      </c>
      <c r="Q266" s="271"/>
      <c r="R266" s="297"/>
      <c r="S266" s="271"/>
      <c r="T266" s="271"/>
      <c r="U266" s="271"/>
      <c r="V266" s="263"/>
      <c r="W266" s="263"/>
      <c r="X266" s="263"/>
      <c r="Y266" s="71"/>
      <c r="Z266" s="71"/>
      <c r="AA266" s="71"/>
      <c r="AB266" s="71"/>
    </row>
    <row r="267" spans="1:28" ht="15.75" customHeight="1">
      <c r="A267" s="143"/>
      <c r="B267" s="298"/>
      <c r="C267" s="298"/>
      <c r="D267" s="298"/>
      <c r="E267" s="298"/>
      <c r="F267" s="298"/>
      <c r="G267" s="298"/>
      <c r="H267" s="312"/>
      <c r="I267" s="311"/>
      <c r="J267" s="309"/>
      <c r="K267" s="298">
        <f t="shared" si="17"/>
        <v>0</v>
      </c>
      <c r="L267" s="303" t="str">
        <f t="shared" ca="1" si="18"/>
        <v/>
      </c>
      <c r="M267" s="304" t="str">
        <f t="shared" ca="1" si="19"/>
        <v/>
      </c>
      <c r="N267" s="305" t="str">
        <f ca="1">IFERROR(_xludf.IFS(G267&lt;100,(ABS(100/G267))+1,G267&gt;100,(G267/100)+1,G267=100, 2, G267=-100, 2),"")</f>
        <v/>
      </c>
      <c r="O267" s="305" t="str">
        <f ca="1">IFERROR(_xludf.IFS(H267&lt;100,(ABS(100/H267))+1,H267&gt;100,(H267/100)+1,H267=100, 2, H267=-100, 2),"")</f>
        <v/>
      </c>
      <c r="P267" s="305" t="str">
        <f t="shared" ca="1" si="16"/>
        <v/>
      </c>
      <c r="Q267" s="271"/>
      <c r="R267" s="297"/>
      <c r="S267" s="271"/>
      <c r="T267" s="271"/>
      <c r="U267" s="271"/>
      <c r="V267" s="263"/>
      <c r="W267" s="263"/>
      <c r="X267" s="263"/>
      <c r="Y267" s="71"/>
      <c r="Z267" s="71"/>
      <c r="AA267" s="71"/>
      <c r="AB267" s="71"/>
    </row>
    <row r="268" spans="1:28" ht="15.75" customHeight="1">
      <c r="A268" s="143"/>
      <c r="B268" s="298"/>
      <c r="C268" s="298"/>
      <c r="D268" s="298"/>
      <c r="E268" s="298"/>
      <c r="F268" s="298"/>
      <c r="G268" s="298"/>
      <c r="H268" s="312"/>
      <c r="I268" s="311"/>
      <c r="J268" s="309"/>
      <c r="K268" s="298">
        <f t="shared" si="17"/>
        <v>0</v>
      </c>
      <c r="L268" s="303" t="str">
        <f t="shared" ca="1" si="18"/>
        <v/>
      </c>
      <c r="M268" s="304" t="str">
        <f t="shared" ca="1" si="19"/>
        <v/>
      </c>
      <c r="N268" s="305" t="str">
        <f ca="1">IFERROR(_xludf.IFS(G268&lt;100,(ABS(100/G268))+1,G268&gt;100,(G268/100)+1,G268=100, 2, G268=-100, 2),"")</f>
        <v/>
      </c>
      <c r="O268" s="305" t="str">
        <f ca="1">IFERROR(_xludf.IFS(H268&lt;100,(ABS(100/H268))+1,H268&gt;100,(H268/100)+1,H268=100, 2, H268=-100, 2),"")</f>
        <v/>
      </c>
      <c r="P268" s="305" t="str">
        <f t="shared" ca="1" si="16"/>
        <v/>
      </c>
      <c r="Q268" s="271"/>
      <c r="R268" s="297"/>
      <c r="S268" s="271"/>
      <c r="T268" s="271"/>
      <c r="U268" s="271"/>
      <c r="V268" s="263"/>
      <c r="W268" s="263"/>
      <c r="X268" s="263"/>
      <c r="Y268" s="71"/>
      <c r="Z268" s="71"/>
      <c r="AA268" s="71"/>
      <c r="AB268" s="71"/>
    </row>
    <row r="269" spans="1:28" ht="15.75" customHeight="1">
      <c r="A269" s="143"/>
      <c r="B269" s="298"/>
      <c r="C269" s="298"/>
      <c r="D269" s="298"/>
      <c r="E269" s="298"/>
      <c r="F269" s="298"/>
      <c r="G269" s="298"/>
      <c r="H269" s="312"/>
      <c r="I269" s="311"/>
      <c r="J269" s="309"/>
      <c r="K269" s="298">
        <f t="shared" si="17"/>
        <v>0</v>
      </c>
      <c r="L269" s="303" t="str">
        <f t="shared" ca="1" si="18"/>
        <v/>
      </c>
      <c r="M269" s="304" t="str">
        <f t="shared" ca="1" si="19"/>
        <v/>
      </c>
      <c r="N269" s="305" t="str">
        <f ca="1">IFERROR(_xludf.IFS(G269&lt;100,(ABS(100/G269))+1,G269&gt;100,(G269/100)+1,G269=100, 2, G269=-100, 2),"")</f>
        <v/>
      </c>
      <c r="O269" s="305" t="str">
        <f ca="1">IFERROR(_xludf.IFS(H269&lt;100,(ABS(100/H269))+1,H269&gt;100,(H269/100)+1,H269=100, 2, H269=-100, 2),"")</f>
        <v/>
      </c>
      <c r="P269" s="305" t="str">
        <f t="shared" ca="1" si="16"/>
        <v/>
      </c>
      <c r="Q269" s="271"/>
      <c r="R269" s="297"/>
      <c r="S269" s="271"/>
      <c r="T269" s="271"/>
      <c r="U269" s="271"/>
      <c r="V269" s="263"/>
      <c r="W269" s="263"/>
      <c r="X269" s="263"/>
      <c r="Y269" s="71"/>
      <c r="Z269" s="71"/>
      <c r="AA269" s="71"/>
      <c r="AB269" s="71"/>
    </row>
    <row r="270" spans="1:28" ht="15.75" customHeight="1">
      <c r="A270" s="143"/>
      <c r="B270" s="298"/>
      <c r="C270" s="298"/>
      <c r="D270" s="298"/>
      <c r="E270" s="298"/>
      <c r="F270" s="298"/>
      <c r="G270" s="298"/>
      <c r="H270" s="312"/>
      <c r="I270" s="311"/>
      <c r="J270" s="309"/>
      <c r="K270" s="298">
        <f t="shared" si="17"/>
        <v>0</v>
      </c>
      <c r="L270" s="303" t="str">
        <f t="shared" ca="1" si="18"/>
        <v/>
      </c>
      <c r="M270" s="304" t="str">
        <f t="shared" ca="1" si="19"/>
        <v/>
      </c>
      <c r="N270" s="305" t="str">
        <f ca="1">IFERROR(_xludf.IFS(G270&lt;100,(ABS(100/G270))+1,G270&gt;100,(G270/100)+1,G270=100, 2, G270=-100, 2),"")</f>
        <v/>
      </c>
      <c r="O270" s="305" t="str">
        <f ca="1">IFERROR(_xludf.IFS(H270&lt;100,(ABS(100/H270))+1,H270&gt;100,(H270/100)+1,H270=100, 2, H270=-100, 2),"")</f>
        <v/>
      </c>
      <c r="P270" s="305" t="str">
        <f t="shared" ca="1" si="16"/>
        <v/>
      </c>
      <c r="Q270" s="271"/>
      <c r="R270" s="297"/>
      <c r="S270" s="271"/>
      <c r="T270" s="271"/>
      <c r="U270" s="271"/>
      <c r="V270" s="263"/>
      <c r="W270" s="263"/>
      <c r="X270" s="263"/>
      <c r="Y270" s="71"/>
      <c r="Z270" s="71"/>
      <c r="AA270" s="71"/>
      <c r="AB270" s="71"/>
    </row>
    <row r="271" spans="1:28" ht="15.75" customHeight="1">
      <c r="A271" s="143"/>
      <c r="B271" s="298"/>
      <c r="C271" s="298"/>
      <c r="D271" s="298"/>
      <c r="E271" s="298"/>
      <c r="F271" s="298"/>
      <c r="G271" s="298"/>
      <c r="H271" s="312"/>
      <c r="I271" s="311"/>
      <c r="J271" s="309"/>
      <c r="K271" s="298">
        <f t="shared" si="17"/>
        <v>0</v>
      </c>
      <c r="L271" s="303" t="str">
        <f t="shared" ca="1" si="18"/>
        <v/>
      </c>
      <c r="M271" s="304" t="str">
        <f t="shared" ca="1" si="19"/>
        <v/>
      </c>
      <c r="N271" s="305" t="str">
        <f ca="1">IFERROR(_xludf.IFS(G271&lt;100,(ABS(100/G271))+1,G271&gt;100,(G271/100)+1,G271=100, 2, G271=-100, 2),"")</f>
        <v/>
      </c>
      <c r="O271" s="305" t="str">
        <f ca="1">IFERROR(_xludf.IFS(H271&lt;100,(ABS(100/H271))+1,H271&gt;100,(H271/100)+1,H271=100, 2, H271=-100, 2),"")</f>
        <v/>
      </c>
      <c r="P271" s="305" t="str">
        <f t="shared" ca="1" si="16"/>
        <v/>
      </c>
      <c r="Q271" s="271"/>
      <c r="R271" s="297"/>
      <c r="S271" s="271"/>
      <c r="T271" s="271"/>
      <c r="U271" s="271"/>
      <c r="V271" s="263"/>
      <c r="W271" s="263"/>
      <c r="X271" s="263"/>
      <c r="Y271" s="71"/>
      <c r="Z271" s="71"/>
      <c r="AA271" s="71"/>
      <c r="AB271" s="71"/>
    </row>
    <row r="272" spans="1:28" ht="15.75" customHeight="1">
      <c r="A272" s="143"/>
      <c r="B272" s="298"/>
      <c r="C272" s="298"/>
      <c r="D272" s="298"/>
      <c r="E272" s="298"/>
      <c r="F272" s="298"/>
      <c r="G272" s="298"/>
      <c r="H272" s="312"/>
      <c r="I272" s="311"/>
      <c r="J272" s="309"/>
      <c r="K272" s="298">
        <f t="shared" si="17"/>
        <v>0</v>
      </c>
      <c r="L272" s="303" t="str">
        <f t="shared" ca="1" si="18"/>
        <v/>
      </c>
      <c r="M272" s="304" t="str">
        <f t="shared" ca="1" si="19"/>
        <v/>
      </c>
      <c r="N272" s="305" t="str">
        <f ca="1">IFERROR(_xludf.IFS(G272&lt;100,(ABS(100/G272))+1,G272&gt;100,(G272/100)+1,G272=100, 2, G272=-100, 2),"")</f>
        <v/>
      </c>
      <c r="O272" s="305" t="str">
        <f ca="1">IFERROR(_xludf.IFS(H272&lt;100,(ABS(100/H272))+1,H272&gt;100,(H272/100)+1,H272=100, 2, H272=-100, 2),"")</f>
        <v/>
      </c>
      <c r="P272" s="305" t="str">
        <f t="shared" ca="1" si="16"/>
        <v/>
      </c>
      <c r="Q272" s="271"/>
      <c r="R272" s="297"/>
      <c r="S272" s="271"/>
      <c r="T272" s="271"/>
      <c r="U272" s="271"/>
      <c r="V272" s="263"/>
      <c r="W272" s="263"/>
      <c r="X272" s="263"/>
      <c r="Y272" s="71"/>
      <c r="Z272" s="71"/>
      <c r="AA272" s="71"/>
      <c r="AB272" s="71"/>
    </row>
    <row r="273" spans="1:28" ht="15.75" customHeight="1">
      <c r="A273" s="143"/>
      <c r="B273" s="298"/>
      <c r="C273" s="298"/>
      <c r="D273" s="298"/>
      <c r="E273" s="298"/>
      <c r="F273" s="298"/>
      <c r="G273" s="298"/>
      <c r="H273" s="312"/>
      <c r="I273" s="311"/>
      <c r="J273" s="309"/>
      <c r="K273" s="298">
        <f t="shared" si="17"/>
        <v>0</v>
      </c>
      <c r="L273" s="303" t="str">
        <f t="shared" ca="1" si="18"/>
        <v/>
      </c>
      <c r="M273" s="304" t="str">
        <f t="shared" ca="1" si="19"/>
        <v/>
      </c>
      <c r="N273" s="305" t="str">
        <f ca="1">IFERROR(_xludf.IFS(G273&lt;100,(ABS(100/G273))+1,G273&gt;100,(G273/100)+1,G273=100, 2, G273=-100, 2),"")</f>
        <v/>
      </c>
      <c r="O273" s="305" t="str">
        <f ca="1">IFERROR(_xludf.IFS(H273&lt;100,(ABS(100/H273))+1,H273&gt;100,(H273/100)+1,H273=100, 2, H273=-100, 2),"")</f>
        <v/>
      </c>
      <c r="P273" s="305" t="str">
        <f t="shared" ca="1" si="16"/>
        <v/>
      </c>
      <c r="Q273" s="271"/>
      <c r="R273" s="297"/>
      <c r="S273" s="271"/>
      <c r="T273" s="271"/>
      <c r="U273" s="271"/>
      <c r="V273" s="263"/>
      <c r="W273" s="263"/>
      <c r="X273" s="263"/>
      <c r="Y273" s="71"/>
      <c r="Z273" s="71"/>
      <c r="AA273" s="71"/>
      <c r="AB273" s="71"/>
    </row>
    <row r="274" spans="1:28" ht="15.75" customHeight="1">
      <c r="A274" s="143"/>
      <c r="B274" s="298"/>
      <c r="C274" s="298"/>
      <c r="D274" s="298"/>
      <c r="E274" s="298"/>
      <c r="F274" s="298"/>
      <c r="G274" s="298"/>
      <c r="H274" s="312"/>
      <c r="I274" s="311"/>
      <c r="J274" s="309"/>
      <c r="K274" s="298">
        <f t="shared" si="17"/>
        <v>0</v>
      </c>
      <c r="L274" s="303" t="str">
        <f t="shared" ca="1" si="18"/>
        <v/>
      </c>
      <c r="M274" s="304" t="str">
        <f t="shared" ca="1" si="19"/>
        <v/>
      </c>
      <c r="N274" s="305" t="str">
        <f ca="1">IFERROR(_xludf.IFS(G274&lt;100,(ABS(100/G274))+1,G274&gt;100,(G274/100)+1,G274=100, 2, G274=-100, 2),"")</f>
        <v/>
      </c>
      <c r="O274" s="305" t="str">
        <f ca="1">IFERROR(_xludf.IFS(H274&lt;100,(ABS(100/H274))+1,H274&gt;100,(H274/100)+1,H274=100, 2, H274=-100, 2),"")</f>
        <v/>
      </c>
      <c r="P274" s="305" t="str">
        <f t="shared" ca="1" si="16"/>
        <v/>
      </c>
      <c r="Q274" s="271"/>
      <c r="R274" s="297"/>
      <c r="S274" s="271"/>
      <c r="T274" s="271"/>
      <c r="U274" s="271"/>
      <c r="V274" s="263"/>
      <c r="W274" s="263"/>
      <c r="X274" s="263"/>
      <c r="Y274" s="71"/>
      <c r="Z274" s="71"/>
      <c r="AA274" s="71"/>
      <c r="AB274" s="71"/>
    </row>
    <row r="275" spans="1:28" ht="15.75" customHeight="1">
      <c r="A275" s="143"/>
      <c r="B275" s="298"/>
      <c r="C275" s="298"/>
      <c r="D275" s="298"/>
      <c r="E275" s="298"/>
      <c r="F275" s="298"/>
      <c r="G275" s="298"/>
      <c r="H275" s="312"/>
      <c r="I275" s="311"/>
      <c r="J275" s="309"/>
      <c r="K275" s="298">
        <f t="shared" si="17"/>
        <v>0</v>
      </c>
      <c r="L275" s="303" t="str">
        <f t="shared" ca="1" si="18"/>
        <v/>
      </c>
      <c r="M275" s="304" t="str">
        <f t="shared" ca="1" si="19"/>
        <v/>
      </c>
      <c r="N275" s="305" t="str">
        <f ca="1">IFERROR(_xludf.IFS(G275&lt;100,(ABS(100/G275))+1,G275&gt;100,(G275/100)+1,G275=100, 2, G275=-100, 2),"")</f>
        <v/>
      </c>
      <c r="O275" s="305" t="str">
        <f ca="1">IFERROR(_xludf.IFS(H275&lt;100,(ABS(100/H275))+1,H275&gt;100,(H275/100)+1,H275=100, 2, H275=-100, 2),"")</f>
        <v/>
      </c>
      <c r="P275" s="305" t="str">
        <f t="shared" ca="1" si="16"/>
        <v/>
      </c>
      <c r="Q275" s="271"/>
      <c r="R275" s="297"/>
      <c r="S275" s="271"/>
      <c r="T275" s="271"/>
      <c r="U275" s="271"/>
      <c r="V275" s="263"/>
      <c r="W275" s="263"/>
      <c r="X275" s="263"/>
      <c r="Y275" s="71"/>
      <c r="Z275" s="71"/>
      <c r="AA275" s="71"/>
      <c r="AB275" s="71"/>
    </row>
    <row r="276" spans="1:28" ht="15.75" customHeight="1">
      <c r="A276" s="143"/>
      <c r="B276" s="298"/>
      <c r="C276" s="298"/>
      <c r="D276" s="298"/>
      <c r="E276" s="298"/>
      <c r="F276" s="298"/>
      <c r="G276" s="298"/>
      <c r="H276" s="312"/>
      <c r="I276" s="311"/>
      <c r="J276" s="309"/>
      <c r="K276" s="298">
        <f t="shared" si="17"/>
        <v>0</v>
      </c>
      <c r="L276" s="303" t="str">
        <f t="shared" ca="1" si="18"/>
        <v/>
      </c>
      <c r="M276" s="304" t="str">
        <f t="shared" ca="1" si="19"/>
        <v/>
      </c>
      <c r="N276" s="305" t="str">
        <f ca="1">IFERROR(_xludf.IFS(G276&lt;100,(ABS(100/G276))+1,G276&gt;100,(G276/100)+1,G276=100, 2, G276=-100, 2),"")</f>
        <v/>
      </c>
      <c r="O276" s="305" t="str">
        <f ca="1">IFERROR(_xludf.IFS(H276&lt;100,(ABS(100/H276))+1,H276&gt;100,(H276/100)+1,H276=100, 2, H276=-100, 2),"")</f>
        <v/>
      </c>
      <c r="P276" s="305" t="str">
        <f t="shared" ca="1" si="16"/>
        <v/>
      </c>
      <c r="Q276" s="271"/>
      <c r="R276" s="297"/>
      <c r="S276" s="271"/>
      <c r="T276" s="271"/>
      <c r="U276" s="271"/>
      <c r="V276" s="263"/>
      <c r="W276" s="263"/>
      <c r="X276" s="263"/>
      <c r="Y276" s="71"/>
      <c r="Z276" s="71"/>
      <c r="AA276" s="71"/>
      <c r="AB276" s="71"/>
    </row>
    <row r="277" spans="1:28" ht="15.75" customHeight="1">
      <c r="A277" s="143"/>
      <c r="B277" s="298"/>
      <c r="C277" s="298"/>
      <c r="D277" s="298"/>
      <c r="E277" s="298"/>
      <c r="F277" s="298"/>
      <c r="G277" s="298"/>
      <c r="H277" s="312"/>
      <c r="I277" s="311"/>
      <c r="J277" s="309"/>
      <c r="K277" s="298">
        <f t="shared" si="17"/>
        <v>0</v>
      </c>
      <c r="L277" s="303" t="str">
        <f t="shared" ca="1" si="18"/>
        <v/>
      </c>
      <c r="M277" s="304" t="str">
        <f t="shared" ca="1" si="19"/>
        <v/>
      </c>
      <c r="N277" s="305" t="str">
        <f ca="1">IFERROR(_xludf.IFS(G277&lt;100,(ABS(100/G277))+1,G277&gt;100,(G277/100)+1,G277=100, 2, G277=-100, 2),"")</f>
        <v/>
      </c>
      <c r="O277" s="305" t="str">
        <f ca="1">IFERROR(_xludf.IFS(H277&lt;100,(ABS(100/H277))+1,H277&gt;100,(H277/100)+1,H277=100, 2, H277=-100, 2),"")</f>
        <v/>
      </c>
      <c r="P277" s="305" t="str">
        <f t="shared" ca="1" si="16"/>
        <v/>
      </c>
      <c r="Q277" s="271"/>
      <c r="R277" s="297"/>
      <c r="S277" s="271"/>
      <c r="T277" s="271"/>
      <c r="U277" s="271"/>
      <c r="V277" s="263"/>
      <c r="W277" s="263"/>
      <c r="X277" s="263"/>
      <c r="Y277" s="71"/>
      <c r="Z277" s="71"/>
      <c r="AA277" s="71"/>
      <c r="AB277" s="71"/>
    </row>
    <row r="278" spans="1:28" ht="15.75" customHeight="1">
      <c r="A278" s="143"/>
      <c r="B278" s="298"/>
      <c r="C278" s="298"/>
      <c r="D278" s="298"/>
      <c r="E278" s="298"/>
      <c r="F278" s="298"/>
      <c r="G278" s="298"/>
      <c r="H278" s="312"/>
      <c r="I278" s="311"/>
      <c r="J278" s="309"/>
      <c r="K278" s="298">
        <f t="shared" si="17"/>
        <v>0</v>
      </c>
      <c r="L278" s="303" t="str">
        <f t="shared" ca="1" si="18"/>
        <v/>
      </c>
      <c r="M278" s="304" t="str">
        <f t="shared" ca="1" si="19"/>
        <v/>
      </c>
      <c r="N278" s="305" t="str">
        <f ca="1">IFERROR(_xludf.IFS(G278&lt;100,(ABS(100/G278))+1,G278&gt;100,(G278/100)+1,G278=100, 2, G278=-100, 2),"")</f>
        <v/>
      </c>
      <c r="O278" s="305" t="str">
        <f ca="1">IFERROR(_xludf.IFS(H278&lt;100,(ABS(100/H278))+1,H278&gt;100,(H278/100)+1,H278=100, 2, H278=-100, 2),"")</f>
        <v/>
      </c>
      <c r="P278" s="305" t="str">
        <f t="shared" ca="1" si="16"/>
        <v/>
      </c>
      <c r="Q278" s="271"/>
      <c r="R278" s="297"/>
      <c r="S278" s="271"/>
      <c r="T278" s="271"/>
      <c r="U278" s="271"/>
      <c r="V278" s="263"/>
      <c r="W278" s="263"/>
      <c r="X278" s="263"/>
      <c r="Y278" s="71"/>
      <c r="Z278" s="71"/>
      <c r="AA278" s="71"/>
      <c r="AB278" s="71"/>
    </row>
    <row r="279" spans="1:28" ht="15.75" customHeight="1">
      <c r="A279" s="143"/>
      <c r="B279" s="298"/>
      <c r="C279" s="298"/>
      <c r="D279" s="298"/>
      <c r="E279" s="298"/>
      <c r="F279" s="298"/>
      <c r="G279" s="298"/>
      <c r="H279" s="312"/>
      <c r="I279" s="311"/>
      <c r="J279" s="309"/>
      <c r="K279" s="298">
        <f t="shared" si="17"/>
        <v>0</v>
      </c>
      <c r="L279" s="303" t="str">
        <f t="shared" ca="1" si="18"/>
        <v/>
      </c>
      <c r="M279" s="304" t="str">
        <f t="shared" ca="1" si="19"/>
        <v/>
      </c>
      <c r="N279" s="305" t="str">
        <f ca="1">IFERROR(_xludf.IFS(G279&lt;100,(ABS(100/G279))+1,G279&gt;100,(G279/100)+1,G279=100, 2, G279=-100, 2),"")</f>
        <v/>
      </c>
      <c r="O279" s="305" t="str">
        <f ca="1">IFERROR(_xludf.IFS(H279&lt;100,(ABS(100/H279))+1,H279&gt;100,(H279/100)+1,H279=100, 2, H279=-100, 2),"")</f>
        <v/>
      </c>
      <c r="P279" s="305" t="str">
        <f t="shared" ca="1" si="16"/>
        <v/>
      </c>
      <c r="Q279" s="271"/>
      <c r="R279" s="297"/>
      <c r="S279" s="271"/>
      <c r="T279" s="271"/>
      <c r="U279" s="271"/>
      <c r="V279" s="263"/>
      <c r="W279" s="263"/>
      <c r="X279" s="263"/>
      <c r="Y279" s="71"/>
      <c r="Z279" s="71"/>
      <c r="AA279" s="71"/>
      <c r="AB279" s="71"/>
    </row>
    <row r="280" spans="1:28" ht="15.75" customHeight="1">
      <c r="A280" s="143"/>
      <c r="B280" s="298"/>
      <c r="C280" s="298"/>
      <c r="D280" s="298"/>
      <c r="E280" s="298"/>
      <c r="F280" s="298"/>
      <c r="G280" s="298"/>
      <c r="H280" s="312"/>
      <c r="I280" s="311"/>
      <c r="J280" s="309"/>
      <c r="K280" s="298">
        <f t="shared" si="17"/>
        <v>0</v>
      </c>
      <c r="L280" s="303" t="str">
        <f t="shared" ca="1" si="18"/>
        <v/>
      </c>
      <c r="M280" s="304" t="str">
        <f t="shared" ca="1" si="19"/>
        <v/>
      </c>
      <c r="N280" s="305" t="str">
        <f ca="1">IFERROR(_xludf.IFS(G280&lt;100,(ABS(100/G280))+1,G280&gt;100,(G280/100)+1,G280=100, 2, G280=-100, 2),"")</f>
        <v/>
      </c>
      <c r="O280" s="305" t="str">
        <f ca="1">IFERROR(_xludf.IFS(H280&lt;100,(ABS(100/H280))+1,H280&gt;100,(H280/100)+1,H280=100, 2, H280=-100, 2),"")</f>
        <v/>
      </c>
      <c r="P280" s="305" t="str">
        <f t="shared" ca="1" si="16"/>
        <v/>
      </c>
      <c r="Q280" s="271"/>
      <c r="R280" s="297"/>
      <c r="S280" s="271"/>
      <c r="T280" s="271"/>
      <c r="U280" s="271"/>
      <c r="V280" s="263"/>
      <c r="W280" s="263"/>
      <c r="X280" s="263"/>
      <c r="Y280" s="71"/>
      <c r="Z280" s="71"/>
      <c r="AA280" s="71"/>
      <c r="AB280" s="71"/>
    </row>
    <row r="281" spans="1:28" ht="15.75" customHeight="1">
      <c r="A281" s="143"/>
      <c r="B281" s="298"/>
      <c r="C281" s="298"/>
      <c r="D281" s="298"/>
      <c r="E281" s="298"/>
      <c r="F281" s="298"/>
      <c r="G281" s="298"/>
      <c r="H281" s="312"/>
      <c r="I281" s="311"/>
      <c r="J281" s="309"/>
      <c r="K281" s="298">
        <f t="shared" si="17"/>
        <v>0</v>
      </c>
      <c r="L281" s="303" t="str">
        <f t="shared" ca="1" si="18"/>
        <v/>
      </c>
      <c r="M281" s="304" t="str">
        <f t="shared" ca="1" si="19"/>
        <v/>
      </c>
      <c r="N281" s="305" t="str">
        <f ca="1">IFERROR(_xludf.IFS(G281&lt;100,(ABS(100/G281))+1,G281&gt;100,(G281/100)+1,G281=100, 2, G281=-100, 2),"")</f>
        <v/>
      </c>
      <c r="O281" s="305" t="str">
        <f ca="1">IFERROR(_xludf.IFS(H281&lt;100,(ABS(100/H281))+1,H281&gt;100,(H281/100)+1,H281=100, 2, H281=-100, 2),"")</f>
        <v/>
      </c>
      <c r="P281" s="305" t="str">
        <f t="shared" ca="1" si="16"/>
        <v/>
      </c>
      <c r="Q281" s="271"/>
      <c r="R281" s="297"/>
      <c r="S281" s="271"/>
      <c r="T281" s="271"/>
      <c r="U281" s="271"/>
      <c r="V281" s="263"/>
      <c r="W281" s="263"/>
      <c r="X281" s="263"/>
      <c r="Y281" s="71"/>
      <c r="Z281" s="71"/>
      <c r="AA281" s="71"/>
      <c r="AB281" s="71"/>
    </row>
    <row r="282" spans="1:28" ht="15.75" customHeight="1">
      <c r="A282" s="143"/>
      <c r="B282" s="298"/>
      <c r="C282" s="298"/>
      <c r="D282" s="298"/>
      <c r="E282" s="298"/>
      <c r="F282" s="298"/>
      <c r="G282" s="298"/>
      <c r="H282" s="312"/>
      <c r="I282" s="311"/>
      <c r="J282" s="309"/>
      <c r="K282" s="298">
        <f t="shared" si="17"/>
        <v>0</v>
      </c>
      <c r="L282" s="303" t="str">
        <f t="shared" ca="1" si="18"/>
        <v/>
      </c>
      <c r="M282" s="304" t="str">
        <f t="shared" ca="1" si="19"/>
        <v/>
      </c>
      <c r="N282" s="305" t="str">
        <f ca="1">IFERROR(_xludf.IFS(G282&lt;100,(ABS(100/G282))+1,G282&gt;100,(G282/100)+1,G282=100, 2, G282=-100, 2),"")</f>
        <v/>
      </c>
      <c r="O282" s="305" t="str">
        <f ca="1">IFERROR(_xludf.IFS(H282&lt;100,(ABS(100/H282))+1,H282&gt;100,(H282/100)+1,H282=100, 2, H282=-100, 2),"")</f>
        <v/>
      </c>
      <c r="P282" s="305" t="str">
        <f t="shared" ca="1" si="16"/>
        <v/>
      </c>
      <c r="Q282" s="271"/>
      <c r="R282" s="297"/>
      <c r="S282" s="271"/>
      <c r="T282" s="271"/>
      <c r="U282" s="271"/>
      <c r="V282" s="263"/>
      <c r="W282" s="263"/>
      <c r="X282" s="263"/>
      <c r="Y282" s="71"/>
      <c r="Z282" s="71"/>
      <c r="AA282" s="71"/>
      <c r="AB282" s="71"/>
    </row>
    <row r="283" spans="1:28" ht="15.75" customHeight="1">
      <c r="A283" s="143"/>
      <c r="B283" s="298"/>
      <c r="C283" s="298"/>
      <c r="D283" s="298"/>
      <c r="E283" s="298"/>
      <c r="F283" s="298"/>
      <c r="G283" s="298"/>
      <c r="H283" s="312"/>
      <c r="I283" s="311"/>
      <c r="J283" s="309"/>
      <c r="K283" s="298">
        <f t="shared" si="17"/>
        <v>0</v>
      </c>
      <c r="L283" s="303" t="str">
        <f t="shared" ca="1" si="18"/>
        <v/>
      </c>
      <c r="M283" s="304" t="str">
        <f t="shared" ca="1" si="19"/>
        <v/>
      </c>
      <c r="N283" s="305" t="str">
        <f ca="1">IFERROR(_xludf.IFS(G283&lt;100,(ABS(100/G283))+1,G283&gt;100,(G283/100)+1,G283=100, 2, G283=-100, 2),"")</f>
        <v/>
      </c>
      <c r="O283" s="305" t="str">
        <f ca="1">IFERROR(_xludf.IFS(H283&lt;100,(ABS(100/H283))+1,H283&gt;100,(H283/100)+1,H283=100, 2, H283=-100, 2),"")</f>
        <v/>
      </c>
      <c r="P283" s="305" t="str">
        <f t="shared" ca="1" si="16"/>
        <v/>
      </c>
      <c r="Q283" s="271"/>
      <c r="R283" s="297"/>
      <c r="S283" s="271"/>
      <c r="T283" s="271"/>
      <c r="U283" s="271"/>
      <c r="V283" s="263"/>
      <c r="W283" s="263"/>
      <c r="X283" s="263"/>
      <c r="Y283" s="71"/>
      <c r="Z283" s="71"/>
      <c r="AA283" s="71"/>
      <c r="AB283" s="71"/>
    </row>
    <row r="284" spans="1:28" ht="15.75" customHeight="1">
      <c r="A284" s="143"/>
      <c r="B284" s="298"/>
      <c r="C284" s="298"/>
      <c r="D284" s="298"/>
      <c r="E284" s="298"/>
      <c r="F284" s="298"/>
      <c r="G284" s="298"/>
      <c r="H284" s="312"/>
      <c r="I284" s="311"/>
      <c r="J284" s="309"/>
      <c r="K284" s="298">
        <f t="shared" si="17"/>
        <v>0</v>
      </c>
      <c r="L284" s="303" t="str">
        <f t="shared" ca="1" si="18"/>
        <v/>
      </c>
      <c r="M284" s="304" t="str">
        <f t="shared" ca="1" si="19"/>
        <v/>
      </c>
      <c r="N284" s="305" t="str">
        <f ca="1">IFERROR(_xludf.IFS(G284&lt;100,(ABS(100/G284))+1,G284&gt;100,(G284/100)+1,G284=100, 2, G284=-100, 2),"")</f>
        <v/>
      </c>
      <c r="O284" s="305" t="str">
        <f ca="1">IFERROR(_xludf.IFS(H284&lt;100,(ABS(100/H284))+1,H284&gt;100,(H284/100)+1,H284=100, 2, H284=-100, 2),"")</f>
        <v/>
      </c>
      <c r="P284" s="305" t="str">
        <f t="shared" ca="1" si="16"/>
        <v/>
      </c>
      <c r="Q284" s="271"/>
      <c r="R284" s="297"/>
      <c r="S284" s="271"/>
      <c r="T284" s="271"/>
      <c r="U284" s="271"/>
      <c r="V284" s="263"/>
      <c r="W284" s="263"/>
      <c r="X284" s="263"/>
      <c r="Y284" s="71"/>
      <c r="Z284" s="71"/>
      <c r="AA284" s="71"/>
      <c r="AB284" s="71"/>
    </row>
    <row r="285" spans="1:28" ht="15.75" customHeight="1">
      <c r="A285" s="143"/>
      <c r="B285" s="298"/>
      <c r="C285" s="298"/>
      <c r="D285" s="298"/>
      <c r="E285" s="298"/>
      <c r="F285" s="298"/>
      <c r="G285" s="298"/>
      <c r="H285" s="312"/>
      <c r="I285" s="311"/>
      <c r="J285" s="309"/>
      <c r="K285" s="298">
        <f t="shared" si="17"/>
        <v>0</v>
      </c>
      <c r="L285" s="303" t="str">
        <f t="shared" ca="1" si="18"/>
        <v/>
      </c>
      <c r="M285" s="304" t="str">
        <f t="shared" ca="1" si="19"/>
        <v/>
      </c>
      <c r="N285" s="305" t="str">
        <f ca="1">IFERROR(_xludf.IFS(G285&lt;100,(ABS(100/G285))+1,G285&gt;100,(G285/100)+1,G285=100, 2, G285=-100, 2),"")</f>
        <v/>
      </c>
      <c r="O285" s="305" t="str">
        <f ca="1">IFERROR(_xludf.IFS(H285&lt;100,(ABS(100/H285))+1,H285&gt;100,(H285/100)+1,H285=100, 2, H285=-100, 2),"")</f>
        <v/>
      </c>
      <c r="P285" s="305" t="str">
        <f t="shared" ca="1" si="16"/>
        <v/>
      </c>
      <c r="Q285" s="271"/>
      <c r="R285" s="297"/>
      <c r="S285" s="271"/>
      <c r="T285" s="271"/>
      <c r="U285" s="271"/>
      <c r="V285" s="263"/>
      <c r="W285" s="263"/>
      <c r="X285" s="263"/>
      <c r="Y285" s="71"/>
      <c r="Z285" s="71"/>
      <c r="AA285" s="71"/>
      <c r="AB285" s="71"/>
    </row>
    <row r="286" spans="1:28" ht="15.75" customHeight="1">
      <c r="A286" s="143"/>
      <c r="B286" s="298"/>
      <c r="C286" s="298"/>
      <c r="D286" s="298"/>
      <c r="E286" s="298"/>
      <c r="F286" s="298"/>
      <c r="G286" s="298"/>
      <c r="H286" s="312"/>
      <c r="I286" s="311"/>
      <c r="J286" s="309"/>
      <c r="K286" s="298">
        <f t="shared" si="17"/>
        <v>0</v>
      </c>
      <c r="L286" s="303" t="str">
        <f t="shared" ca="1" si="18"/>
        <v/>
      </c>
      <c r="M286" s="304" t="str">
        <f t="shared" ca="1" si="19"/>
        <v/>
      </c>
      <c r="N286" s="305" t="str">
        <f ca="1">IFERROR(_xludf.IFS(G286&lt;100,(ABS(100/G286))+1,G286&gt;100,(G286/100)+1,G286=100, 2, G286=-100, 2),"")</f>
        <v/>
      </c>
      <c r="O286" s="305" t="str">
        <f ca="1">IFERROR(_xludf.IFS(H286&lt;100,(ABS(100/H286))+1,H286&gt;100,(H286/100)+1,H286=100, 2, H286=-100, 2),"")</f>
        <v/>
      </c>
      <c r="P286" s="305" t="str">
        <f t="shared" ca="1" si="16"/>
        <v/>
      </c>
      <c r="Q286" s="271"/>
      <c r="R286" s="297"/>
      <c r="S286" s="271"/>
      <c r="T286" s="271"/>
      <c r="U286" s="271"/>
      <c r="V286" s="263"/>
      <c r="W286" s="263"/>
      <c r="X286" s="263"/>
      <c r="Y286" s="71"/>
      <c r="Z286" s="71"/>
      <c r="AA286" s="71"/>
      <c r="AB286" s="71"/>
    </row>
    <row r="287" spans="1:28" ht="15.75" customHeight="1">
      <c r="A287" s="143"/>
      <c r="B287" s="298"/>
      <c r="C287" s="298"/>
      <c r="D287" s="298"/>
      <c r="E287" s="298"/>
      <c r="F287" s="298"/>
      <c r="G287" s="298"/>
      <c r="H287" s="312"/>
      <c r="I287" s="311"/>
      <c r="J287" s="309"/>
      <c r="K287" s="298">
        <f t="shared" si="17"/>
        <v>0</v>
      </c>
      <c r="L287" s="303" t="str">
        <f t="shared" ca="1" si="18"/>
        <v/>
      </c>
      <c r="M287" s="304" t="str">
        <f t="shared" ca="1" si="19"/>
        <v/>
      </c>
      <c r="N287" s="305" t="str">
        <f ca="1">IFERROR(_xludf.IFS(G287&lt;100,(ABS(100/G287))+1,G287&gt;100,(G287/100)+1,G287=100, 2, G287=-100, 2),"")</f>
        <v/>
      </c>
      <c r="O287" s="305" t="str">
        <f ca="1">IFERROR(_xludf.IFS(H287&lt;100,(ABS(100/H287))+1,H287&gt;100,(H287/100)+1,H287=100, 2, H287=-100, 2),"")</f>
        <v/>
      </c>
      <c r="P287" s="305" t="str">
        <f t="shared" ca="1" si="16"/>
        <v/>
      </c>
      <c r="Q287" s="271"/>
      <c r="R287" s="297"/>
      <c r="S287" s="271"/>
      <c r="T287" s="271"/>
      <c r="U287" s="271"/>
      <c r="V287" s="263"/>
      <c r="W287" s="263"/>
      <c r="X287" s="263"/>
      <c r="Y287" s="71"/>
      <c r="Z287" s="71"/>
      <c r="AA287" s="71"/>
      <c r="AB287" s="71"/>
    </row>
    <row r="288" spans="1:28" ht="15.75" customHeight="1">
      <c r="A288" s="143"/>
      <c r="B288" s="298"/>
      <c r="C288" s="298"/>
      <c r="D288" s="298"/>
      <c r="E288" s="298"/>
      <c r="F288" s="298"/>
      <c r="G288" s="298"/>
      <c r="H288" s="312"/>
      <c r="I288" s="311"/>
      <c r="J288" s="309"/>
      <c r="K288" s="298">
        <f t="shared" si="17"/>
        <v>0</v>
      </c>
      <c r="L288" s="303" t="str">
        <f t="shared" ca="1" si="18"/>
        <v/>
      </c>
      <c r="M288" s="304" t="str">
        <f t="shared" ca="1" si="19"/>
        <v/>
      </c>
      <c r="N288" s="305" t="str">
        <f ca="1">IFERROR(_xludf.IFS(G288&lt;100,(ABS(100/G288))+1,G288&gt;100,(G288/100)+1,G288=100, 2, G288=-100, 2),"")</f>
        <v/>
      </c>
      <c r="O288" s="305" t="str">
        <f ca="1">IFERROR(_xludf.IFS(H288&lt;100,(ABS(100/H288))+1,H288&gt;100,(H288/100)+1,H288=100, 2, H288=-100, 2),"")</f>
        <v/>
      </c>
      <c r="P288" s="305" t="str">
        <f t="shared" ca="1" si="16"/>
        <v/>
      </c>
      <c r="Q288" s="271"/>
      <c r="R288" s="297"/>
      <c r="S288" s="271"/>
      <c r="T288" s="271"/>
      <c r="U288" s="271"/>
      <c r="V288" s="263"/>
      <c r="W288" s="263"/>
      <c r="X288" s="263"/>
      <c r="Y288" s="71"/>
      <c r="Z288" s="71"/>
      <c r="AA288" s="71"/>
      <c r="AB288" s="71"/>
    </row>
    <row r="289" spans="1:28" ht="15.75" customHeight="1">
      <c r="A289" s="143"/>
      <c r="B289" s="298"/>
      <c r="C289" s="298"/>
      <c r="D289" s="298"/>
      <c r="E289" s="298"/>
      <c r="F289" s="298"/>
      <c r="G289" s="298"/>
      <c r="H289" s="312"/>
      <c r="I289" s="311"/>
      <c r="J289" s="309"/>
      <c r="K289" s="298">
        <f t="shared" si="17"/>
        <v>0</v>
      </c>
      <c r="L289" s="303" t="str">
        <f t="shared" ca="1" si="18"/>
        <v/>
      </c>
      <c r="M289" s="304" t="str">
        <f t="shared" ca="1" si="19"/>
        <v/>
      </c>
      <c r="N289" s="305" t="str">
        <f ca="1">IFERROR(_xludf.IFS(G289&lt;100,(ABS(100/G289))+1,G289&gt;100,(G289/100)+1,G289=100, 2, G289=-100, 2),"")</f>
        <v/>
      </c>
      <c r="O289" s="305" t="str">
        <f ca="1">IFERROR(_xludf.IFS(H289&lt;100,(ABS(100/H289))+1,H289&gt;100,(H289/100)+1,H289=100, 2, H289=-100, 2),"")</f>
        <v/>
      </c>
      <c r="P289" s="305" t="str">
        <f t="shared" ca="1" si="16"/>
        <v/>
      </c>
      <c r="Q289" s="271"/>
      <c r="R289" s="297"/>
      <c r="S289" s="271"/>
      <c r="T289" s="271"/>
      <c r="U289" s="271"/>
      <c r="V289" s="263"/>
      <c r="W289" s="263"/>
      <c r="X289" s="263"/>
      <c r="Y289" s="71"/>
      <c r="Z289" s="71"/>
      <c r="AA289" s="71"/>
      <c r="AB289" s="71"/>
    </row>
    <row r="290" spans="1:28" ht="15.75" customHeight="1">
      <c r="A290" s="143"/>
      <c r="B290" s="298"/>
      <c r="C290" s="298"/>
      <c r="D290" s="298"/>
      <c r="E290" s="298"/>
      <c r="F290" s="298"/>
      <c r="G290" s="298"/>
      <c r="H290" s="312"/>
      <c r="I290" s="311"/>
      <c r="J290" s="309"/>
      <c r="K290" s="298">
        <f t="shared" si="17"/>
        <v>0</v>
      </c>
      <c r="L290" s="303" t="str">
        <f t="shared" ca="1" si="18"/>
        <v/>
      </c>
      <c r="M290" s="304" t="str">
        <f t="shared" ca="1" si="19"/>
        <v/>
      </c>
      <c r="N290" s="305" t="str">
        <f ca="1">IFERROR(_xludf.IFS(G290&lt;100,(ABS(100/G290))+1,G290&gt;100,(G290/100)+1,G290=100, 2, G290=-100, 2),"")</f>
        <v/>
      </c>
      <c r="O290" s="305" t="str">
        <f ca="1">IFERROR(_xludf.IFS(H290&lt;100,(ABS(100/H290))+1,H290&gt;100,(H290/100)+1,H290=100, 2, H290=-100, 2),"")</f>
        <v/>
      </c>
      <c r="P290" s="305" t="str">
        <f t="shared" ca="1" si="16"/>
        <v/>
      </c>
      <c r="Q290" s="271"/>
      <c r="R290" s="297"/>
      <c r="S290" s="271"/>
      <c r="T290" s="271"/>
      <c r="U290" s="271"/>
      <c r="V290" s="263"/>
      <c r="W290" s="263"/>
      <c r="X290" s="263"/>
      <c r="Y290" s="71"/>
      <c r="Z290" s="71"/>
      <c r="AA290" s="71"/>
      <c r="AB290" s="71"/>
    </row>
    <row r="291" spans="1:28" ht="15.75" customHeight="1">
      <c r="A291" s="143"/>
      <c r="B291" s="298"/>
      <c r="C291" s="298"/>
      <c r="D291" s="298"/>
      <c r="E291" s="298"/>
      <c r="F291" s="298"/>
      <c r="G291" s="298"/>
      <c r="H291" s="312"/>
      <c r="I291" s="311"/>
      <c r="J291" s="309"/>
      <c r="K291" s="298">
        <f t="shared" si="17"/>
        <v>0</v>
      </c>
      <c r="L291" s="303" t="str">
        <f t="shared" ca="1" si="18"/>
        <v/>
      </c>
      <c r="M291" s="304" t="str">
        <f t="shared" ca="1" si="19"/>
        <v/>
      </c>
      <c r="N291" s="305" t="str">
        <f ca="1">IFERROR(_xludf.IFS(G291&lt;100,(ABS(100/G291))+1,G291&gt;100,(G291/100)+1,G291=100, 2, G291=-100, 2),"")</f>
        <v/>
      </c>
      <c r="O291" s="305" t="str">
        <f ca="1">IFERROR(_xludf.IFS(H291&lt;100,(ABS(100/H291))+1,H291&gt;100,(H291/100)+1,H291=100, 2, H291=-100, 2),"")</f>
        <v/>
      </c>
      <c r="P291" s="305" t="str">
        <f t="shared" ca="1" si="16"/>
        <v/>
      </c>
      <c r="Q291" s="271"/>
      <c r="R291" s="297"/>
      <c r="S291" s="271"/>
      <c r="T291" s="271"/>
      <c r="U291" s="271"/>
      <c r="V291" s="263"/>
      <c r="W291" s="263"/>
      <c r="X291" s="263"/>
      <c r="Y291" s="71"/>
      <c r="Z291" s="71"/>
      <c r="AA291" s="71"/>
      <c r="AB291" s="71"/>
    </row>
    <row r="292" spans="1:28" ht="15.75" customHeight="1">
      <c r="A292" s="143"/>
      <c r="B292" s="298"/>
      <c r="C292" s="298"/>
      <c r="D292" s="298"/>
      <c r="E292" s="298"/>
      <c r="F292" s="298"/>
      <c r="G292" s="298"/>
      <c r="H292" s="312"/>
      <c r="I292" s="311"/>
      <c r="J292" s="309"/>
      <c r="K292" s="298">
        <f t="shared" si="17"/>
        <v>0</v>
      </c>
      <c r="L292" s="303" t="str">
        <f t="shared" ca="1" si="18"/>
        <v/>
      </c>
      <c r="M292" s="304" t="str">
        <f t="shared" ca="1" si="19"/>
        <v/>
      </c>
      <c r="N292" s="305" t="str">
        <f ca="1">IFERROR(_xludf.IFS(G292&lt;100,(ABS(100/G292))+1,G292&gt;100,(G292/100)+1,G292=100, 2, G292=-100, 2),"")</f>
        <v/>
      </c>
      <c r="O292" s="305" t="str">
        <f ca="1">IFERROR(_xludf.IFS(H292&lt;100,(ABS(100/H292))+1,H292&gt;100,(H292/100)+1,H292=100, 2, H292=-100, 2),"")</f>
        <v/>
      </c>
      <c r="P292" s="305" t="str">
        <f t="shared" ref="P292:P355" ca="1" si="20">IFERROR(O292*1.035,"")</f>
        <v/>
      </c>
      <c r="Q292" s="271"/>
      <c r="R292" s="297"/>
      <c r="S292" s="271"/>
      <c r="T292" s="271"/>
      <c r="U292" s="271"/>
      <c r="V292" s="263"/>
      <c r="W292" s="263"/>
      <c r="X292" s="263"/>
      <c r="Y292" s="71"/>
      <c r="Z292" s="71"/>
      <c r="AA292" s="71"/>
      <c r="AB292" s="71"/>
    </row>
    <row r="293" spans="1:28" ht="15.75" customHeight="1">
      <c r="A293" s="143"/>
      <c r="B293" s="298"/>
      <c r="C293" s="298"/>
      <c r="D293" s="298"/>
      <c r="E293" s="298"/>
      <c r="F293" s="298"/>
      <c r="G293" s="298"/>
      <c r="H293" s="312"/>
      <c r="I293" s="311"/>
      <c r="J293" s="309"/>
      <c r="K293" s="298">
        <f t="shared" si="17"/>
        <v>0</v>
      </c>
      <c r="L293" s="303" t="str">
        <f t="shared" ca="1" si="18"/>
        <v/>
      </c>
      <c r="M293" s="304" t="str">
        <f t="shared" ca="1" si="19"/>
        <v/>
      </c>
      <c r="N293" s="305" t="str">
        <f ca="1">IFERROR(_xludf.IFS(G293&lt;100,(ABS(100/G293))+1,G293&gt;100,(G293/100)+1,G293=100, 2, G293=-100, 2),"")</f>
        <v/>
      </c>
      <c r="O293" s="305" t="str">
        <f ca="1">IFERROR(_xludf.IFS(H293&lt;100,(ABS(100/H293))+1,H293&gt;100,(H293/100)+1,H293=100, 2, H293=-100, 2),"")</f>
        <v/>
      </c>
      <c r="P293" s="305" t="str">
        <f t="shared" ca="1" si="20"/>
        <v/>
      </c>
      <c r="Q293" s="271"/>
      <c r="R293" s="297"/>
      <c r="S293" s="271"/>
      <c r="T293" s="271"/>
      <c r="U293" s="271"/>
      <c r="V293" s="263"/>
      <c r="W293" s="263"/>
      <c r="X293" s="263"/>
      <c r="Y293" s="71"/>
      <c r="Z293" s="71"/>
      <c r="AA293" s="71"/>
      <c r="AB293" s="71"/>
    </row>
    <row r="294" spans="1:28" ht="15.75" customHeight="1">
      <c r="A294" s="143"/>
      <c r="B294" s="298"/>
      <c r="C294" s="298"/>
      <c r="D294" s="298"/>
      <c r="E294" s="298"/>
      <c r="F294" s="298"/>
      <c r="G294" s="298"/>
      <c r="H294" s="312"/>
      <c r="I294" s="311"/>
      <c r="J294" s="309"/>
      <c r="K294" s="298">
        <f t="shared" si="17"/>
        <v>0</v>
      </c>
      <c r="L294" s="303" t="str">
        <f t="shared" ca="1" si="18"/>
        <v/>
      </c>
      <c r="M294" s="304" t="str">
        <f t="shared" ca="1" si="19"/>
        <v/>
      </c>
      <c r="N294" s="305" t="str">
        <f ca="1">IFERROR(_xludf.IFS(G294&lt;100,(ABS(100/G294))+1,G294&gt;100,(G294/100)+1,G294=100, 2, G294=-100, 2),"")</f>
        <v/>
      </c>
      <c r="O294" s="305" t="str">
        <f ca="1">IFERROR(_xludf.IFS(H294&lt;100,(ABS(100/H294))+1,H294&gt;100,(H294/100)+1,H294=100, 2, H294=-100, 2),"")</f>
        <v/>
      </c>
      <c r="P294" s="305" t="str">
        <f t="shared" ca="1" si="20"/>
        <v/>
      </c>
      <c r="Q294" s="271"/>
      <c r="R294" s="297"/>
      <c r="S294" s="271"/>
      <c r="T294" s="271"/>
      <c r="U294" s="271"/>
      <c r="V294" s="263"/>
      <c r="W294" s="263"/>
      <c r="X294" s="263"/>
      <c r="Y294" s="71"/>
      <c r="Z294" s="71"/>
      <c r="AA294" s="71"/>
      <c r="AB294" s="71"/>
    </row>
    <row r="295" spans="1:28" ht="15.75" customHeight="1">
      <c r="A295" s="143"/>
      <c r="B295" s="298"/>
      <c r="C295" s="298"/>
      <c r="D295" s="298"/>
      <c r="E295" s="298"/>
      <c r="F295" s="298"/>
      <c r="G295" s="298"/>
      <c r="H295" s="312"/>
      <c r="I295" s="311"/>
      <c r="J295" s="309"/>
      <c r="K295" s="298">
        <f t="shared" si="17"/>
        <v>0</v>
      </c>
      <c r="L295" s="303" t="str">
        <f t="shared" ca="1" si="18"/>
        <v/>
      </c>
      <c r="M295" s="304" t="str">
        <f t="shared" ca="1" si="19"/>
        <v/>
      </c>
      <c r="N295" s="305" t="str">
        <f ca="1">IFERROR(_xludf.IFS(G295&lt;100,(ABS(100/G295))+1,G295&gt;100,(G295/100)+1,G295=100, 2, G295=-100, 2),"")</f>
        <v/>
      </c>
      <c r="O295" s="305" t="str">
        <f ca="1">IFERROR(_xludf.IFS(H295&lt;100,(ABS(100/H295))+1,H295&gt;100,(H295/100)+1,H295=100, 2, H295=-100, 2),"")</f>
        <v/>
      </c>
      <c r="P295" s="305" t="str">
        <f t="shared" ca="1" si="20"/>
        <v/>
      </c>
      <c r="Q295" s="271"/>
      <c r="R295" s="297"/>
      <c r="S295" s="271"/>
      <c r="T295" s="271"/>
      <c r="U295" s="271"/>
      <c r="V295" s="263"/>
      <c r="W295" s="263"/>
      <c r="X295" s="263"/>
      <c r="Y295" s="71"/>
      <c r="Z295" s="71"/>
      <c r="AA295" s="71"/>
      <c r="AB295" s="71"/>
    </row>
    <row r="296" spans="1:28" ht="15.75" customHeight="1">
      <c r="A296" s="143"/>
      <c r="B296" s="298"/>
      <c r="C296" s="298"/>
      <c r="D296" s="298"/>
      <c r="E296" s="298"/>
      <c r="F296" s="298"/>
      <c r="G296" s="298"/>
      <c r="H296" s="312"/>
      <c r="I296" s="311"/>
      <c r="J296" s="309"/>
      <c r="K296" s="298">
        <f t="shared" si="17"/>
        <v>0</v>
      </c>
      <c r="L296" s="303" t="str">
        <f t="shared" ca="1" si="18"/>
        <v/>
      </c>
      <c r="M296" s="304" t="str">
        <f t="shared" ca="1" si="19"/>
        <v/>
      </c>
      <c r="N296" s="305" t="str">
        <f ca="1">IFERROR(_xludf.IFS(G296&lt;100,(ABS(100/G296))+1,G296&gt;100,(G296/100)+1,G296=100, 2, G296=-100, 2),"")</f>
        <v/>
      </c>
      <c r="O296" s="305" t="str">
        <f ca="1">IFERROR(_xludf.IFS(H296&lt;100,(ABS(100/H296))+1,H296&gt;100,(H296/100)+1,H296=100, 2, H296=-100, 2),"")</f>
        <v/>
      </c>
      <c r="P296" s="305" t="str">
        <f t="shared" ca="1" si="20"/>
        <v/>
      </c>
      <c r="Q296" s="271"/>
      <c r="R296" s="297"/>
      <c r="S296" s="271"/>
      <c r="T296" s="271"/>
      <c r="U296" s="271"/>
      <c r="V296" s="263"/>
      <c r="W296" s="263"/>
      <c r="X296" s="263"/>
      <c r="Y296" s="71"/>
      <c r="Z296" s="71"/>
      <c r="AA296" s="71"/>
      <c r="AB296" s="71"/>
    </row>
    <row r="297" spans="1:28" ht="15.75" customHeight="1">
      <c r="A297" s="143"/>
      <c r="B297" s="298"/>
      <c r="C297" s="298"/>
      <c r="D297" s="298"/>
      <c r="E297" s="298"/>
      <c r="F297" s="298"/>
      <c r="G297" s="298"/>
      <c r="H297" s="312"/>
      <c r="I297" s="311"/>
      <c r="J297" s="309"/>
      <c r="K297" s="298">
        <f t="shared" si="17"/>
        <v>0</v>
      </c>
      <c r="L297" s="303" t="str">
        <f t="shared" ca="1" si="18"/>
        <v/>
      </c>
      <c r="M297" s="304" t="str">
        <f t="shared" ca="1" si="19"/>
        <v/>
      </c>
      <c r="N297" s="305" t="str">
        <f ca="1">IFERROR(_xludf.IFS(G297&lt;100,(ABS(100/G297))+1,G297&gt;100,(G297/100)+1,G297=100, 2, G297=-100, 2),"")</f>
        <v/>
      </c>
      <c r="O297" s="305" t="str">
        <f ca="1">IFERROR(_xludf.IFS(H297&lt;100,(ABS(100/H297))+1,H297&gt;100,(H297/100)+1,H297=100, 2, H297=-100, 2),"")</f>
        <v/>
      </c>
      <c r="P297" s="305" t="str">
        <f t="shared" ca="1" si="20"/>
        <v/>
      </c>
      <c r="Q297" s="271"/>
      <c r="R297" s="297"/>
      <c r="S297" s="271"/>
      <c r="T297" s="271"/>
      <c r="U297" s="271"/>
      <c r="V297" s="263"/>
      <c r="W297" s="263"/>
      <c r="X297" s="263"/>
      <c r="Y297" s="71"/>
      <c r="Z297" s="71"/>
      <c r="AA297" s="71"/>
      <c r="AB297" s="71"/>
    </row>
    <row r="298" spans="1:28" ht="15.75" customHeight="1">
      <c r="A298" s="143"/>
      <c r="B298" s="298"/>
      <c r="C298" s="298"/>
      <c r="D298" s="298"/>
      <c r="E298" s="298"/>
      <c r="F298" s="298"/>
      <c r="G298" s="298"/>
      <c r="H298" s="312"/>
      <c r="I298" s="311"/>
      <c r="J298" s="309"/>
      <c r="K298" s="298">
        <f t="shared" si="17"/>
        <v>0</v>
      </c>
      <c r="L298" s="303" t="str">
        <f t="shared" ca="1" si="18"/>
        <v/>
      </c>
      <c r="M298" s="304" t="str">
        <f t="shared" ca="1" si="19"/>
        <v/>
      </c>
      <c r="N298" s="305" t="str">
        <f ca="1">IFERROR(_xludf.IFS(G298&lt;100,(ABS(100/G298))+1,G298&gt;100,(G298/100)+1,G298=100, 2, G298=-100, 2),"")</f>
        <v/>
      </c>
      <c r="O298" s="305" t="str">
        <f ca="1">IFERROR(_xludf.IFS(H298&lt;100,(ABS(100/H298))+1,H298&gt;100,(H298/100)+1,H298=100, 2, H298=-100, 2),"")</f>
        <v/>
      </c>
      <c r="P298" s="305" t="str">
        <f t="shared" ca="1" si="20"/>
        <v/>
      </c>
      <c r="Q298" s="271"/>
      <c r="R298" s="297"/>
      <c r="S298" s="271"/>
      <c r="T298" s="271"/>
      <c r="U298" s="271"/>
      <c r="V298" s="263"/>
      <c r="W298" s="263"/>
      <c r="X298" s="263"/>
      <c r="Y298" s="71"/>
      <c r="Z298" s="71"/>
      <c r="AA298" s="71"/>
      <c r="AB298" s="71"/>
    </row>
    <row r="299" spans="1:28" ht="15.75" customHeight="1">
      <c r="A299" s="143"/>
      <c r="B299" s="298"/>
      <c r="C299" s="298"/>
      <c r="D299" s="298"/>
      <c r="E299" s="298"/>
      <c r="F299" s="298"/>
      <c r="G299" s="298"/>
      <c r="H299" s="312"/>
      <c r="I299" s="311"/>
      <c r="J299" s="309"/>
      <c r="K299" s="298">
        <f t="shared" si="17"/>
        <v>0</v>
      </c>
      <c r="L299" s="303" t="str">
        <f t="shared" ca="1" si="18"/>
        <v/>
      </c>
      <c r="M299" s="304" t="str">
        <f t="shared" ca="1" si="19"/>
        <v/>
      </c>
      <c r="N299" s="305" t="str">
        <f ca="1">IFERROR(_xludf.IFS(G299&lt;100,(ABS(100/G299))+1,G299&gt;100,(G299/100)+1,G299=100, 2, G299=-100, 2),"")</f>
        <v/>
      </c>
      <c r="O299" s="305" t="str">
        <f ca="1">IFERROR(_xludf.IFS(H299&lt;100,(ABS(100/H299))+1,H299&gt;100,(H299/100)+1,H299=100, 2, H299=-100, 2),"")</f>
        <v/>
      </c>
      <c r="P299" s="305" t="str">
        <f t="shared" ca="1" si="20"/>
        <v/>
      </c>
      <c r="Q299" s="271"/>
      <c r="R299" s="297"/>
      <c r="S299" s="271"/>
      <c r="T299" s="271"/>
      <c r="U299" s="271"/>
      <c r="V299" s="263"/>
      <c r="W299" s="263"/>
      <c r="X299" s="263"/>
      <c r="Y299" s="71"/>
      <c r="Z299" s="71"/>
      <c r="AA299" s="71"/>
      <c r="AB299" s="71"/>
    </row>
    <row r="300" spans="1:28" ht="15.75" customHeight="1">
      <c r="A300" s="143"/>
      <c r="B300" s="298"/>
      <c r="C300" s="298"/>
      <c r="D300" s="298"/>
      <c r="E300" s="298"/>
      <c r="F300" s="298"/>
      <c r="G300" s="298"/>
      <c r="H300" s="312"/>
      <c r="I300" s="311"/>
      <c r="J300" s="309"/>
      <c r="K300" s="298">
        <f t="shared" si="17"/>
        <v>0</v>
      </c>
      <c r="L300" s="303" t="str">
        <f t="shared" ca="1" si="18"/>
        <v/>
      </c>
      <c r="M300" s="304" t="str">
        <f t="shared" ca="1" si="19"/>
        <v/>
      </c>
      <c r="N300" s="305" t="str">
        <f ca="1">IFERROR(_xludf.IFS(G300&lt;100,(ABS(100/G300))+1,G300&gt;100,(G300/100)+1,G300=100, 2, G300=-100, 2),"")</f>
        <v/>
      </c>
      <c r="O300" s="305" t="str">
        <f ca="1">IFERROR(_xludf.IFS(H300&lt;100,(ABS(100/H300))+1,H300&gt;100,(H300/100)+1,H300=100, 2, H300=-100, 2),"")</f>
        <v/>
      </c>
      <c r="P300" s="305" t="str">
        <f t="shared" ca="1" si="20"/>
        <v/>
      </c>
      <c r="Q300" s="271"/>
      <c r="R300" s="297"/>
      <c r="S300" s="271"/>
      <c r="T300" s="271"/>
      <c r="U300" s="271"/>
      <c r="V300" s="263"/>
      <c r="W300" s="263"/>
      <c r="X300" s="263"/>
      <c r="Y300" s="71"/>
      <c r="Z300" s="71"/>
      <c r="AA300" s="71"/>
      <c r="AB300" s="71"/>
    </row>
    <row r="301" spans="1:28" ht="15.75" customHeight="1">
      <c r="A301" s="143"/>
      <c r="B301" s="298"/>
      <c r="C301" s="298"/>
      <c r="D301" s="298"/>
      <c r="E301" s="298"/>
      <c r="F301" s="298"/>
      <c r="G301" s="298"/>
      <c r="H301" s="312"/>
      <c r="I301" s="311"/>
      <c r="J301" s="309"/>
      <c r="K301" s="298">
        <f t="shared" si="17"/>
        <v>0</v>
      </c>
      <c r="L301" s="303" t="str">
        <f t="shared" ca="1" si="18"/>
        <v/>
      </c>
      <c r="M301" s="304" t="str">
        <f t="shared" ca="1" si="19"/>
        <v/>
      </c>
      <c r="N301" s="305" t="str">
        <f ca="1">IFERROR(_xludf.IFS(G301&lt;100,(ABS(100/G301))+1,G301&gt;100,(G301/100)+1,G301=100, 2, G301=-100, 2),"")</f>
        <v/>
      </c>
      <c r="O301" s="305" t="str">
        <f ca="1">IFERROR(_xludf.IFS(H301&lt;100,(ABS(100/H301))+1,H301&gt;100,(H301/100)+1,H301=100, 2, H301=-100, 2),"")</f>
        <v/>
      </c>
      <c r="P301" s="305" t="str">
        <f t="shared" ca="1" si="20"/>
        <v/>
      </c>
      <c r="Q301" s="271"/>
      <c r="R301" s="297"/>
      <c r="S301" s="271"/>
      <c r="T301" s="271"/>
      <c r="U301" s="271"/>
      <c r="V301" s="263"/>
      <c r="W301" s="263"/>
      <c r="X301" s="263"/>
      <c r="Y301" s="71"/>
      <c r="Z301" s="71"/>
      <c r="AA301" s="71"/>
      <c r="AB301" s="71"/>
    </row>
    <row r="302" spans="1:28" ht="15.75" customHeight="1">
      <c r="A302" s="143"/>
      <c r="B302" s="298"/>
      <c r="C302" s="298"/>
      <c r="D302" s="298"/>
      <c r="E302" s="298"/>
      <c r="F302" s="298"/>
      <c r="G302" s="298"/>
      <c r="H302" s="312"/>
      <c r="I302" s="311"/>
      <c r="J302" s="309"/>
      <c r="K302" s="298">
        <f t="shared" si="17"/>
        <v>0</v>
      </c>
      <c r="L302" s="303" t="str">
        <f t="shared" ca="1" si="18"/>
        <v/>
      </c>
      <c r="M302" s="304" t="str">
        <f t="shared" ca="1" si="19"/>
        <v/>
      </c>
      <c r="N302" s="305" t="str">
        <f ca="1">IFERROR(_xludf.IFS(G302&lt;100,(ABS(100/G302))+1,G302&gt;100,(G302/100)+1,G302=100, 2, G302=-100, 2),"")</f>
        <v/>
      </c>
      <c r="O302" s="305" t="str">
        <f ca="1">IFERROR(_xludf.IFS(H302&lt;100,(ABS(100/H302))+1,H302&gt;100,(H302/100)+1,H302=100, 2, H302=-100, 2),"")</f>
        <v/>
      </c>
      <c r="P302" s="305" t="str">
        <f t="shared" ca="1" si="20"/>
        <v/>
      </c>
      <c r="Q302" s="271"/>
      <c r="R302" s="297"/>
      <c r="S302" s="271"/>
      <c r="T302" s="271"/>
      <c r="U302" s="271"/>
      <c r="V302" s="263"/>
      <c r="W302" s="263"/>
      <c r="X302" s="263"/>
      <c r="Y302" s="71"/>
      <c r="Z302" s="71"/>
      <c r="AA302" s="71"/>
      <c r="AB302" s="71"/>
    </row>
    <row r="303" spans="1:28" ht="15.75" customHeight="1">
      <c r="A303" s="143"/>
      <c r="B303" s="298"/>
      <c r="C303" s="298"/>
      <c r="D303" s="298"/>
      <c r="E303" s="298"/>
      <c r="F303" s="298"/>
      <c r="G303" s="298"/>
      <c r="H303" s="312"/>
      <c r="I303" s="311"/>
      <c r="J303" s="309"/>
      <c r="K303" s="298">
        <f t="shared" si="17"/>
        <v>0</v>
      </c>
      <c r="L303" s="303" t="str">
        <f t="shared" ca="1" si="18"/>
        <v/>
      </c>
      <c r="M303" s="304" t="str">
        <f t="shared" ca="1" si="19"/>
        <v/>
      </c>
      <c r="N303" s="305" t="str">
        <f ca="1">IFERROR(_xludf.IFS(G303&lt;100,(ABS(100/G303))+1,G303&gt;100,(G303/100)+1,G303=100, 2, G303=-100, 2),"")</f>
        <v/>
      </c>
      <c r="O303" s="305" t="str">
        <f ca="1">IFERROR(_xludf.IFS(H303&lt;100,(ABS(100/H303))+1,H303&gt;100,(H303/100)+1,H303=100, 2, H303=-100, 2),"")</f>
        <v/>
      </c>
      <c r="P303" s="305" t="str">
        <f t="shared" ca="1" si="20"/>
        <v/>
      </c>
      <c r="Q303" s="271"/>
      <c r="R303" s="297"/>
      <c r="S303" s="271"/>
      <c r="T303" s="271"/>
      <c r="U303" s="271"/>
      <c r="V303" s="263"/>
      <c r="W303" s="263"/>
      <c r="X303" s="263"/>
      <c r="Y303" s="71"/>
      <c r="Z303" s="71"/>
      <c r="AA303" s="71"/>
      <c r="AB303" s="71"/>
    </row>
    <row r="304" spans="1:28" ht="15.75" customHeight="1">
      <c r="A304" s="143"/>
      <c r="B304" s="298"/>
      <c r="C304" s="298"/>
      <c r="D304" s="298"/>
      <c r="E304" s="298"/>
      <c r="F304" s="298"/>
      <c r="G304" s="298"/>
      <c r="H304" s="312"/>
      <c r="I304" s="311"/>
      <c r="J304" s="309"/>
      <c r="K304" s="298">
        <f t="shared" si="17"/>
        <v>0</v>
      </c>
      <c r="L304" s="303" t="str">
        <f t="shared" ca="1" si="18"/>
        <v/>
      </c>
      <c r="M304" s="304" t="str">
        <f t="shared" ca="1" si="19"/>
        <v/>
      </c>
      <c r="N304" s="305" t="str">
        <f ca="1">IFERROR(_xludf.IFS(G304&lt;100,(ABS(100/G304))+1,G304&gt;100,(G304/100)+1,G304=100, 2, G304=-100, 2),"")</f>
        <v/>
      </c>
      <c r="O304" s="305" t="str">
        <f ca="1">IFERROR(_xludf.IFS(H304&lt;100,(ABS(100/H304))+1,H304&gt;100,(H304/100)+1,H304=100, 2, H304=-100, 2),"")</f>
        <v/>
      </c>
      <c r="P304" s="305" t="str">
        <f t="shared" ca="1" si="20"/>
        <v/>
      </c>
      <c r="Q304" s="271"/>
      <c r="R304" s="297"/>
      <c r="S304" s="271"/>
      <c r="T304" s="271"/>
      <c r="U304" s="271"/>
      <c r="V304" s="263"/>
      <c r="W304" s="263"/>
      <c r="X304" s="263"/>
      <c r="Y304" s="71"/>
      <c r="Z304" s="71"/>
      <c r="AA304" s="71"/>
      <c r="AB304" s="71"/>
    </row>
    <row r="305" spans="1:28" ht="15.75" customHeight="1">
      <c r="A305" s="143"/>
      <c r="B305" s="298"/>
      <c r="C305" s="298"/>
      <c r="D305" s="298"/>
      <c r="E305" s="298"/>
      <c r="F305" s="298"/>
      <c r="G305" s="298"/>
      <c r="H305" s="312"/>
      <c r="I305" s="311"/>
      <c r="J305" s="309"/>
      <c r="K305" s="298">
        <f t="shared" si="17"/>
        <v>0</v>
      </c>
      <c r="L305" s="303" t="str">
        <f t="shared" ca="1" si="18"/>
        <v/>
      </c>
      <c r="M305" s="304" t="str">
        <f t="shared" ca="1" si="19"/>
        <v/>
      </c>
      <c r="N305" s="305" t="str">
        <f ca="1">IFERROR(_xludf.IFS(G305&lt;100,(ABS(100/G305))+1,G305&gt;100,(G305/100)+1,G305=100, 2, G305=-100, 2),"")</f>
        <v/>
      </c>
      <c r="O305" s="305" t="str">
        <f ca="1">IFERROR(_xludf.IFS(H305&lt;100,(ABS(100/H305))+1,H305&gt;100,(H305/100)+1,H305=100, 2, H305=-100, 2),"")</f>
        <v/>
      </c>
      <c r="P305" s="305" t="str">
        <f t="shared" ca="1" si="20"/>
        <v/>
      </c>
      <c r="Q305" s="271"/>
      <c r="R305" s="297"/>
      <c r="S305" s="271"/>
      <c r="T305" s="271"/>
      <c r="U305" s="271"/>
      <c r="V305" s="263"/>
      <c r="W305" s="263"/>
      <c r="X305" s="263"/>
      <c r="Y305" s="71"/>
      <c r="Z305" s="71"/>
      <c r="AA305" s="71"/>
      <c r="AB305" s="71"/>
    </row>
    <row r="306" spans="1:28" ht="15.75" customHeight="1">
      <c r="A306" s="143"/>
      <c r="B306" s="298"/>
      <c r="C306" s="298"/>
      <c r="D306" s="298"/>
      <c r="E306" s="298"/>
      <c r="F306" s="298"/>
      <c r="G306" s="298"/>
      <c r="H306" s="312"/>
      <c r="I306" s="311"/>
      <c r="J306" s="309"/>
      <c r="K306" s="298">
        <f t="shared" si="17"/>
        <v>0</v>
      </c>
      <c r="L306" s="303" t="str">
        <f t="shared" ca="1" si="18"/>
        <v/>
      </c>
      <c r="M306" s="304" t="str">
        <f t="shared" ca="1" si="19"/>
        <v/>
      </c>
      <c r="N306" s="305" t="str">
        <f ca="1">IFERROR(_xludf.IFS(G306&lt;100,(ABS(100/G306))+1,G306&gt;100,(G306/100)+1,G306=100, 2, G306=-100, 2),"")</f>
        <v/>
      </c>
      <c r="O306" s="305" t="str">
        <f ca="1">IFERROR(_xludf.IFS(H306&lt;100,(ABS(100/H306))+1,H306&gt;100,(H306/100)+1,H306=100, 2, H306=-100, 2),"")</f>
        <v/>
      </c>
      <c r="P306" s="305" t="str">
        <f t="shared" ca="1" si="20"/>
        <v/>
      </c>
      <c r="Q306" s="271"/>
      <c r="R306" s="297"/>
      <c r="S306" s="271"/>
      <c r="T306" s="271"/>
      <c r="U306" s="271"/>
      <c r="V306" s="263"/>
      <c r="W306" s="263"/>
      <c r="X306" s="263"/>
      <c r="Y306" s="71"/>
      <c r="Z306" s="71"/>
      <c r="AA306" s="71"/>
      <c r="AB306" s="71"/>
    </row>
    <row r="307" spans="1:28" ht="15.75" customHeight="1">
      <c r="A307" s="143"/>
      <c r="B307" s="298"/>
      <c r="C307" s="298"/>
      <c r="D307" s="298"/>
      <c r="E307" s="298"/>
      <c r="F307" s="298"/>
      <c r="G307" s="298"/>
      <c r="H307" s="312"/>
      <c r="I307" s="311"/>
      <c r="J307" s="309"/>
      <c r="K307" s="298">
        <f t="shared" si="17"/>
        <v>0</v>
      </c>
      <c r="L307" s="303" t="str">
        <f t="shared" ca="1" si="18"/>
        <v/>
      </c>
      <c r="M307" s="304" t="str">
        <f t="shared" ca="1" si="19"/>
        <v/>
      </c>
      <c r="N307" s="305" t="str">
        <f ca="1">IFERROR(_xludf.IFS(G307&lt;100,(ABS(100/G307))+1,G307&gt;100,(G307/100)+1,G307=100, 2, G307=-100, 2),"")</f>
        <v/>
      </c>
      <c r="O307" s="305" t="str">
        <f ca="1">IFERROR(_xludf.IFS(H307&lt;100,(ABS(100/H307))+1,H307&gt;100,(H307/100)+1,H307=100, 2, H307=-100, 2),"")</f>
        <v/>
      </c>
      <c r="P307" s="305" t="str">
        <f t="shared" ca="1" si="20"/>
        <v/>
      </c>
      <c r="Q307" s="271"/>
      <c r="R307" s="297"/>
      <c r="S307" s="271"/>
      <c r="T307" s="271"/>
      <c r="U307" s="271"/>
      <c r="V307" s="263"/>
      <c r="W307" s="263"/>
      <c r="X307" s="263"/>
      <c r="Y307" s="71"/>
      <c r="Z307" s="71"/>
      <c r="AA307" s="71"/>
      <c r="AB307" s="71"/>
    </row>
    <row r="308" spans="1:28" ht="15.75" customHeight="1">
      <c r="A308" s="143"/>
      <c r="B308" s="298"/>
      <c r="C308" s="298"/>
      <c r="D308" s="298"/>
      <c r="E308" s="298"/>
      <c r="F308" s="298"/>
      <c r="G308" s="298"/>
      <c r="H308" s="312"/>
      <c r="I308" s="311"/>
      <c r="J308" s="309"/>
      <c r="K308" s="298">
        <f t="shared" si="17"/>
        <v>0</v>
      </c>
      <c r="L308" s="303" t="str">
        <f t="shared" ca="1" si="18"/>
        <v/>
      </c>
      <c r="M308" s="304" t="str">
        <f t="shared" ca="1" si="19"/>
        <v/>
      </c>
      <c r="N308" s="305" t="str">
        <f ca="1">IFERROR(_xludf.IFS(G308&lt;100,(ABS(100/G308))+1,G308&gt;100,(G308/100)+1,G308=100, 2, G308=-100, 2),"")</f>
        <v/>
      </c>
      <c r="O308" s="305" t="str">
        <f ca="1">IFERROR(_xludf.IFS(H308&lt;100,(ABS(100/H308))+1,H308&gt;100,(H308/100)+1,H308=100, 2, H308=-100, 2),"")</f>
        <v/>
      </c>
      <c r="P308" s="305" t="str">
        <f t="shared" ca="1" si="20"/>
        <v/>
      </c>
      <c r="Q308" s="271"/>
      <c r="R308" s="297"/>
      <c r="S308" s="271"/>
      <c r="T308" s="271"/>
      <c r="U308" s="271"/>
      <c r="V308" s="263"/>
      <c r="W308" s="263"/>
      <c r="X308" s="263"/>
      <c r="Y308" s="71"/>
      <c r="Z308" s="71"/>
      <c r="AA308" s="71"/>
      <c r="AB308" s="71"/>
    </row>
    <row r="309" spans="1:28" ht="15.75" customHeight="1">
      <c r="A309" s="143"/>
      <c r="B309" s="298"/>
      <c r="C309" s="298"/>
      <c r="D309" s="298"/>
      <c r="E309" s="298"/>
      <c r="F309" s="298"/>
      <c r="G309" s="298"/>
      <c r="H309" s="312"/>
      <c r="I309" s="311"/>
      <c r="J309" s="309"/>
      <c r="K309" s="298">
        <f t="shared" si="17"/>
        <v>0</v>
      </c>
      <c r="L309" s="303" t="str">
        <f t="shared" ca="1" si="18"/>
        <v/>
      </c>
      <c r="M309" s="304" t="str">
        <f t="shared" ca="1" si="19"/>
        <v/>
      </c>
      <c r="N309" s="305" t="str">
        <f ca="1">IFERROR(_xludf.IFS(G309&lt;100,(ABS(100/G309))+1,G309&gt;100,(G309/100)+1,G309=100, 2, G309=-100, 2),"")</f>
        <v/>
      </c>
      <c r="O309" s="305" t="str">
        <f ca="1">IFERROR(_xludf.IFS(H309&lt;100,(ABS(100/H309))+1,H309&gt;100,(H309/100)+1,H309=100, 2, H309=-100, 2),"")</f>
        <v/>
      </c>
      <c r="P309" s="305" t="str">
        <f t="shared" ca="1" si="20"/>
        <v/>
      </c>
      <c r="Q309" s="271"/>
      <c r="R309" s="297"/>
      <c r="S309" s="271"/>
      <c r="T309" s="271"/>
      <c r="U309" s="271"/>
      <c r="V309" s="263"/>
      <c r="W309" s="263"/>
      <c r="X309" s="263"/>
      <c r="Y309" s="71"/>
      <c r="Z309" s="71"/>
      <c r="AA309" s="71"/>
      <c r="AB309" s="71"/>
    </row>
    <row r="310" spans="1:28" ht="15.75" customHeight="1">
      <c r="A310" s="143"/>
      <c r="B310" s="298"/>
      <c r="C310" s="298"/>
      <c r="D310" s="298"/>
      <c r="E310" s="298"/>
      <c r="F310" s="298"/>
      <c r="G310" s="298"/>
      <c r="H310" s="312"/>
      <c r="I310" s="311"/>
      <c r="J310" s="309"/>
      <c r="K310" s="298">
        <f t="shared" si="17"/>
        <v>0</v>
      </c>
      <c r="L310" s="303" t="str">
        <f t="shared" ca="1" si="18"/>
        <v/>
      </c>
      <c r="M310" s="304" t="str">
        <f t="shared" ca="1" si="19"/>
        <v/>
      </c>
      <c r="N310" s="305" t="str">
        <f ca="1">IFERROR(_xludf.IFS(G310&lt;100,(ABS(100/G310))+1,G310&gt;100,(G310/100)+1,G310=100, 2, G310=-100, 2),"")</f>
        <v/>
      </c>
      <c r="O310" s="305" t="str">
        <f ca="1">IFERROR(_xludf.IFS(H310&lt;100,(ABS(100/H310))+1,H310&gt;100,(H310/100)+1,H310=100, 2, H310=-100, 2),"")</f>
        <v/>
      </c>
      <c r="P310" s="305" t="str">
        <f t="shared" ca="1" si="20"/>
        <v/>
      </c>
      <c r="Q310" s="271"/>
      <c r="R310" s="297"/>
      <c r="S310" s="271"/>
      <c r="T310" s="271"/>
      <c r="U310" s="271"/>
      <c r="V310" s="263"/>
      <c r="W310" s="263"/>
      <c r="X310" s="263"/>
      <c r="Y310" s="71"/>
      <c r="Z310" s="71"/>
      <c r="AA310" s="71"/>
      <c r="AB310" s="71"/>
    </row>
    <row r="311" spans="1:28" ht="15.75" customHeight="1">
      <c r="A311" s="143"/>
      <c r="B311" s="298"/>
      <c r="C311" s="298"/>
      <c r="D311" s="298"/>
      <c r="E311" s="298"/>
      <c r="F311" s="298"/>
      <c r="G311" s="298"/>
      <c r="H311" s="312"/>
      <c r="I311" s="311"/>
      <c r="J311" s="309"/>
      <c r="K311" s="298">
        <f t="shared" si="17"/>
        <v>0</v>
      </c>
      <c r="L311" s="303" t="str">
        <f t="shared" ca="1" si="18"/>
        <v/>
      </c>
      <c r="M311" s="304" t="str">
        <f t="shared" ca="1" si="19"/>
        <v/>
      </c>
      <c r="N311" s="305" t="str">
        <f ca="1">IFERROR(_xludf.IFS(G311&lt;100,(ABS(100/G311))+1,G311&gt;100,(G311/100)+1,G311=100, 2, G311=-100, 2),"")</f>
        <v/>
      </c>
      <c r="O311" s="305" t="str">
        <f ca="1">IFERROR(_xludf.IFS(H311&lt;100,(ABS(100/H311))+1,H311&gt;100,(H311/100)+1,H311=100, 2, H311=-100, 2),"")</f>
        <v/>
      </c>
      <c r="P311" s="305" t="str">
        <f t="shared" ca="1" si="20"/>
        <v/>
      </c>
      <c r="Q311" s="271"/>
      <c r="R311" s="297"/>
      <c r="S311" s="271"/>
      <c r="T311" s="271"/>
      <c r="U311" s="271"/>
      <c r="V311" s="263"/>
      <c r="W311" s="263"/>
      <c r="X311" s="263"/>
      <c r="Y311" s="71"/>
      <c r="Z311" s="71"/>
      <c r="AA311" s="71"/>
      <c r="AB311" s="71"/>
    </row>
    <row r="312" spans="1:28" ht="15.75" customHeight="1">
      <c r="A312" s="143"/>
      <c r="B312" s="298"/>
      <c r="C312" s="298"/>
      <c r="D312" s="298"/>
      <c r="E312" s="298"/>
      <c r="F312" s="298"/>
      <c r="G312" s="298"/>
      <c r="H312" s="312"/>
      <c r="I312" s="311"/>
      <c r="J312" s="309"/>
      <c r="K312" s="298">
        <f t="shared" si="17"/>
        <v>0</v>
      </c>
      <c r="L312" s="303" t="str">
        <f t="shared" ca="1" si="18"/>
        <v/>
      </c>
      <c r="M312" s="304" t="str">
        <f t="shared" ca="1" si="19"/>
        <v/>
      </c>
      <c r="N312" s="305" t="str">
        <f ca="1">IFERROR(_xludf.IFS(G312&lt;100,(ABS(100/G312))+1,G312&gt;100,(G312/100)+1,G312=100, 2, G312=-100, 2),"")</f>
        <v/>
      </c>
      <c r="O312" s="305" t="str">
        <f ca="1">IFERROR(_xludf.IFS(H312&lt;100,(ABS(100/H312))+1,H312&gt;100,(H312/100)+1,H312=100, 2, H312=-100, 2),"")</f>
        <v/>
      </c>
      <c r="P312" s="305" t="str">
        <f t="shared" ca="1" si="20"/>
        <v/>
      </c>
      <c r="Q312" s="271"/>
      <c r="R312" s="297"/>
      <c r="S312" s="271"/>
      <c r="T312" s="271"/>
      <c r="U312" s="271"/>
      <c r="V312" s="263"/>
      <c r="W312" s="263"/>
      <c r="X312" s="263"/>
      <c r="Y312" s="71"/>
      <c r="Z312" s="71"/>
      <c r="AA312" s="71"/>
      <c r="AB312" s="71"/>
    </row>
    <row r="313" spans="1:28" ht="15.75" customHeight="1">
      <c r="A313" s="143"/>
      <c r="B313" s="298"/>
      <c r="C313" s="298"/>
      <c r="D313" s="298"/>
      <c r="E313" s="298"/>
      <c r="F313" s="298"/>
      <c r="G313" s="298"/>
      <c r="H313" s="312"/>
      <c r="I313" s="311"/>
      <c r="J313" s="309"/>
      <c r="K313" s="298">
        <f t="shared" si="17"/>
        <v>0</v>
      </c>
      <c r="L313" s="303" t="str">
        <f t="shared" ca="1" si="18"/>
        <v/>
      </c>
      <c r="M313" s="304" t="str">
        <f t="shared" ca="1" si="19"/>
        <v/>
      </c>
      <c r="N313" s="305" t="str">
        <f ca="1">IFERROR(_xludf.IFS(G313&lt;100,(ABS(100/G313))+1,G313&gt;100,(G313/100)+1,G313=100, 2, G313=-100, 2),"")</f>
        <v/>
      </c>
      <c r="O313" s="305" t="str">
        <f ca="1">IFERROR(_xludf.IFS(H313&lt;100,(ABS(100/H313))+1,H313&gt;100,(H313/100)+1,H313=100, 2, H313=-100, 2),"")</f>
        <v/>
      </c>
      <c r="P313" s="305" t="str">
        <f t="shared" ca="1" si="20"/>
        <v/>
      </c>
      <c r="Q313" s="271"/>
      <c r="R313" s="297"/>
      <c r="S313" s="271"/>
      <c r="T313" s="271"/>
      <c r="U313" s="271"/>
      <c r="V313" s="263"/>
      <c r="W313" s="263"/>
      <c r="X313" s="263"/>
      <c r="Y313" s="71"/>
      <c r="Z313" s="71"/>
      <c r="AA313" s="71"/>
      <c r="AB313" s="71"/>
    </row>
    <row r="314" spans="1:28" ht="15.75" customHeight="1">
      <c r="A314" s="143"/>
      <c r="B314" s="298"/>
      <c r="C314" s="298"/>
      <c r="D314" s="298"/>
      <c r="E314" s="298"/>
      <c r="F314" s="298"/>
      <c r="G314" s="298"/>
      <c r="H314" s="312"/>
      <c r="I314" s="311"/>
      <c r="J314" s="309"/>
      <c r="K314" s="298">
        <f t="shared" si="17"/>
        <v>0</v>
      </c>
      <c r="L314" s="303" t="str">
        <f t="shared" ca="1" si="18"/>
        <v/>
      </c>
      <c r="M314" s="304" t="str">
        <f t="shared" ca="1" si="19"/>
        <v/>
      </c>
      <c r="N314" s="305" t="str">
        <f ca="1">IFERROR(_xludf.IFS(G314&lt;100,(ABS(100/G314))+1,G314&gt;100,(G314/100)+1,G314=100, 2, G314=-100, 2),"")</f>
        <v/>
      </c>
      <c r="O314" s="305" t="str">
        <f ca="1">IFERROR(_xludf.IFS(H314&lt;100,(ABS(100/H314))+1,H314&gt;100,(H314/100)+1,H314=100, 2, H314=-100, 2),"")</f>
        <v/>
      </c>
      <c r="P314" s="305" t="str">
        <f t="shared" ca="1" si="20"/>
        <v/>
      </c>
      <c r="Q314" s="271"/>
      <c r="R314" s="297"/>
      <c r="S314" s="271"/>
      <c r="T314" s="271"/>
      <c r="U314" s="271"/>
      <c r="V314" s="263"/>
      <c r="W314" s="263"/>
      <c r="X314" s="263"/>
      <c r="Y314" s="71"/>
      <c r="Z314" s="71"/>
      <c r="AA314" s="71"/>
      <c r="AB314" s="71"/>
    </row>
    <row r="315" spans="1:28" ht="15.75" customHeight="1">
      <c r="A315" s="143"/>
      <c r="B315" s="298"/>
      <c r="C315" s="298"/>
      <c r="D315" s="298"/>
      <c r="E315" s="298"/>
      <c r="F315" s="298"/>
      <c r="G315" s="298"/>
      <c r="H315" s="312"/>
      <c r="I315" s="311"/>
      <c r="J315" s="309"/>
      <c r="K315" s="298">
        <f t="shared" si="17"/>
        <v>0</v>
      </c>
      <c r="L315" s="303" t="str">
        <f t="shared" ca="1" si="18"/>
        <v/>
      </c>
      <c r="M315" s="304" t="str">
        <f t="shared" ca="1" si="19"/>
        <v/>
      </c>
      <c r="N315" s="305" t="str">
        <f ca="1">IFERROR(_xludf.IFS(G315&lt;100,(ABS(100/G315))+1,G315&gt;100,(G315/100)+1,G315=100, 2, G315=-100, 2),"")</f>
        <v/>
      </c>
      <c r="O315" s="305" t="str">
        <f ca="1">IFERROR(_xludf.IFS(H315&lt;100,(ABS(100/H315))+1,H315&gt;100,(H315/100)+1,H315=100, 2, H315=-100, 2),"")</f>
        <v/>
      </c>
      <c r="P315" s="305" t="str">
        <f t="shared" ca="1" si="20"/>
        <v/>
      </c>
      <c r="Q315" s="271"/>
      <c r="R315" s="297"/>
      <c r="S315" s="271"/>
      <c r="T315" s="271"/>
      <c r="U315" s="271"/>
      <c r="V315" s="263"/>
      <c r="W315" s="263"/>
      <c r="X315" s="263"/>
      <c r="Y315" s="71"/>
      <c r="Z315" s="71"/>
      <c r="AA315" s="71"/>
      <c r="AB315" s="71"/>
    </row>
    <row r="316" spans="1:28" ht="15.75" customHeight="1">
      <c r="A316" s="143"/>
      <c r="B316" s="298"/>
      <c r="C316" s="298"/>
      <c r="D316" s="298"/>
      <c r="E316" s="298"/>
      <c r="F316" s="298"/>
      <c r="G316" s="298"/>
      <c r="H316" s="312"/>
      <c r="I316" s="311"/>
      <c r="J316" s="309"/>
      <c r="K316" s="298">
        <f t="shared" si="17"/>
        <v>0</v>
      </c>
      <c r="L316" s="303" t="str">
        <f t="shared" ca="1" si="18"/>
        <v/>
      </c>
      <c r="M316" s="304" t="str">
        <f t="shared" ca="1" si="19"/>
        <v/>
      </c>
      <c r="N316" s="305" t="str">
        <f ca="1">IFERROR(_xludf.IFS(G316&lt;100,(ABS(100/G316))+1,G316&gt;100,(G316/100)+1,G316=100, 2, G316=-100, 2),"")</f>
        <v/>
      </c>
      <c r="O316" s="305" t="str">
        <f ca="1">IFERROR(_xludf.IFS(H316&lt;100,(ABS(100/H316))+1,H316&gt;100,(H316/100)+1,H316=100, 2, H316=-100, 2),"")</f>
        <v/>
      </c>
      <c r="P316" s="305" t="str">
        <f t="shared" ca="1" si="20"/>
        <v/>
      </c>
      <c r="Q316" s="271"/>
      <c r="R316" s="297"/>
      <c r="S316" s="271"/>
      <c r="T316" s="271"/>
      <c r="U316" s="271"/>
      <c r="V316" s="263"/>
      <c r="W316" s="263"/>
      <c r="X316" s="263"/>
      <c r="Y316" s="71"/>
      <c r="Z316" s="71"/>
      <c r="AA316" s="71"/>
      <c r="AB316" s="71"/>
    </row>
    <row r="317" spans="1:28" ht="15.75" customHeight="1">
      <c r="A317" s="143"/>
      <c r="B317" s="298"/>
      <c r="C317" s="298"/>
      <c r="D317" s="298"/>
      <c r="E317" s="298"/>
      <c r="F317" s="298"/>
      <c r="G317" s="298"/>
      <c r="H317" s="312"/>
      <c r="I317" s="311"/>
      <c r="J317" s="309"/>
      <c r="K317" s="298">
        <f t="shared" si="17"/>
        <v>0</v>
      </c>
      <c r="L317" s="303" t="str">
        <f t="shared" ca="1" si="18"/>
        <v/>
      </c>
      <c r="M317" s="304" t="str">
        <f t="shared" ca="1" si="19"/>
        <v/>
      </c>
      <c r="N317" s="305" t="str">
        <f ca="1">IFERROR(_xludf.IFS(G317&lt;100,(ABS(100/G317))+1,G317&gt;100,(G317/100)+1,G317=100, 2, G317=-100, 2),"")</f>
        <v/>
      </c>
      <c r="O317" s="305" t="str">
        <f ca="1">IFERROR(_xludf.IFS(H317&lt;100,(ABS(100/H317))+1,H317&gt;100,(H317/100)+1,H317=100, 2, H317=-100, 2),"")</f>
        <v/>
      </c>
      <c r="P317" s="305" t="str">
        <f t="shared" ca="1" si="20"/>
        <v/>
      </c>
      <c r="Q317" s="271"/>
      <c r="R317" s="297"/>
      <c r="S317" s="271"/>
      <c r="T317" s="271"/>
      <c r="U317" s="271"/>
      <c r="V317" s="263"/>
      <c r="W317" s="263"/>
      <c r="X317" s="263"/>
      <c r="Y317" s="71"/>
      <c r="Z317" s="71"/>
      <c r="AA317" s="71"/>
      <c r="AB317" s="71"/>
    </row>
    <row r="318" spans="1:28" ht="15.75" customHeight="1">
      <c r="A318" s="143"/>
      <c r="B318" s="298"/>
      <c r="C318" s="298"/>
      <c r="D318" s="298"/>
      <c r="E318" s="298"/>
      <c r="F318" s="298"/>
      <c r="G318" s="298"/>
      <c r="H318" s="312"/>
      <c r="I318" s="311"/>
      <c r="J318" s="309"/>
      <c r="K318" s="298">
        <f t="shared" si="17"/>
        <v>0</v>
      </c>
      <c r="L318" s="303" t="str">
        <f t="shared" ca="1" si="18"/>
        <v/>
      </c>
      <c r="M318" s="304" t="str">
        <f t="shared" ca="1" si="19"/>
        <v/>
      </c>
      <c r="N318" s="305" t="str">
        <f ca="1">IFERROR(_xludf.IFS(G318&lt;100,(ABS(100/G318))+1,G318&gt;100,(G318/100)+1,G318=100, 2, G318=-100, 2),"")</f>
        <v/>
      </c>
      <c r="O318" s="305" t="str">
        <f ca="1">IFERROR(_xludf.IFS(H318&lt;100,(ABS(100/H318))+1,H318&gt;100,(H318/100)+1,H318=100, 2, H318=-100, 2),"")</f>
        <v/>
      </c>
      <c r="P318" s="305" t="str">
        <f t="shared" ca="1" si="20"/>
        <v/>
      </c>
      <c r="Q318" s="271"/>
      <c r="R318" s="297"/>
      <c r="S318" s="271"/>
      <c r="T318" s="271"/>
      <c r="U318" s="271"/>
      <c r="V318" s="263"/>
      <c r="W318" s="263"/>
      <c r="X318" s="263"/>
      <c r="Y318" s="71"/>
      <c r="Z318" s="71"/>
      <c r="AA318" s="71"/>
      <c r="AB318" s="71"/>
    </row>
    <row r="319" spans="1:28" ht="15.75" customHeight="1">
      <c r="A319" s="143"/>
      <c r="B319" s="298"/>
      <c r="C319" s="298"/>
      <c r="D319" s="298"/>
      <c r="E319" s="298"/>
      <c r="F319" s="298"/>
      <c r="G319" s="298"/>
      <c r="H319" s="312"/>
      <c r="I319" s="311"/>
      <c r="J319" s="309"/>
      <c r="K319" s="298">
        <f t="shared" si="17"/>
        <v>0</v>
      </c>
      <c r="L319" s="303" t="str">
        <f t="shared" ca="1" si="18"/>
        <v/>
      </c>
      <c r="M319" s="304" t="str">
        <f t="shared" ca="1" si="19"/>
        <v/>
      </c>
      <c r="N319" s="305" t="str">
        <f ca="1">IFERROR(_xludf.IFS(G319&lt;100,(ABS(100/G319))+1,G319&gt;100,(G319/100)+1,G319=100, 2, G319=-100, 2),"")</f>
        <v/>
      </c>
      <c r="O319" s="305" t="str">
        <f ca="1">IFERROR(_xludf.IFS(H319&lt;100,(ABS(100/H319))+1,H319&gt;100,(H319/100)+1,H319=100, 2, H319=-100, 2),"")</f>
        <v/>
      </c>
      <c r="P319" s="305" t="str">
        <f t="shared" ca="1" si="20"/>
        <v/>
      </c>
      <c r="Q319" s="271"/>
      <c r="R319" s="297"/>
      <c r="S319" s="271"/>
      <c r="T319" s="271"/>
      <c r="U319" s="271"/>
      <c r="V319" s="263"/>
      <c r="W319" s="263"/>
      <c r="X319" s="263"/>
      <c r="Y319" s="71"/>
      <c r="Z319" s="71"/>
      <c r="AA319" s="71"/>
      <c r="AB319" s="71"/>
    </row>
    <row r="320" spans="1:28" ht="15.75" customHeight="1">
      <c r="A320" s="143"/>
      <c r="B320" s="298"/>
      <c r="C320" s="298"/>
      <c r="D320" s="298"/>
      <c r="E320" s="298"/>
      <c r="F320" s="298"/>
      <c r="G320" s="298"/>
      <c r="H320" s="312"/>
      <c r="I320" s="311"/>
      <c r="J320" s="309"/>
      <c r="K320" s="298">
        <f t="shared" si="17"/>
        <v>0</v>
      </c>
      <c r="L320" s="303" t="str">
        <f t="shared" ca="1" si="18"/>
        <v/>
      </c>
      <c r="M320" s="304" t="str">
        <f t="shared" ca="1" si="19"/>
        <v/>
      </c>
      <c r="N320" s="305" t="str">
        <f ca="1">IFERROR(_xludf.IFS(G320&lt;100,(ABS(100/G320))+1,G320&gt;100,(G320/100)+1,G320=100, 2, G320=-100, 2),"")</f>
        <v/>
      </c>
      <c r="O320" s="305" t="str">
        <f ca="1">IFERROR(_xludf.IFS(H320&lt;100,(ABS(100/H320))+1,H320&gt;100,(H320/100)+1,H320=100, 2, H320=-100, 2),"")</f>
        <v/>
      </c>
      <c r="P320" s="305" t="str">
        <f t="shared" ca="1" si="20"/>
        <v/>
      </c>
      <c r="Q320" s="271"/>
      <c r="R320" s="297"/>
      <c r="S320" s="271"/>
      <c r="T320" s="271"/>
      <c r="U320" s="271"/>
      <c r="V320" s="263"/>
      <c r="W320" s="263"/>
      <c r="X320" s="263"/>
      <c r="Y320" s="71"/>
      <c r="Z320" s="71"/>
      <c r="AA320" s="71"/>
      <c r="AB320" s="71"/>
    </row>
    <row r="321" spans="1:28" ht="15.75" customHeight="1">
      <c r="A321" s="143"/>
      <c r="B321" s="298"/>
      <c r="C321" s="298"/>
      <c r="D321" s="298"/>
      <c r="E321" s="298"/>
      <c r="F321" s="298"/>
      <c r="G321" s="298"/>
      <c r="H321" s="312"/>
      <c r="I321" s="311"/>
      <c r="J321" s="309"/>
      <c r="K321" s="298">
        <f t="shared" si="17"/>
        <v>0</v>
      </c>
      <c r="L321" s="303" t="str">
        <f t="shared" ca="1" si="18"/>
        <v/>
      </c>
      <c r="M321" s="304" t="str">
        <f t="shared" ca="1" si="19"/>
        <v/>
      </c>
      <c r="N321" s="305" t="str">
        <f ca="1">IFERROR(_xludf.IFS(G321&lt;100,(ABS(100/G321))+1,G321&gt;100,(G321/100)+1,G321=100, 2, G321=-100, 2),"")</f>
        <v/>
      </c>
      <c r="O321" s="305" t="str">
        <f ca="1">IFERROR(_xludf.IFS(H321&lt;100,(ABS(100/H321))+1,H321&gt;100,(H321/100)+1,H321=100, 2, H321=-100, 2),"")</f>
        <v/>
      </c>
      <c r="P321" s="305" t="str">
        <f t="shared" ca="1" si="20"/>
        <v/>
      </c>
      <c r="Q321" s="271"/>
      <c r="R321" s="297"/>
      <c r="S321" s="271"/>
      <c r="T321" s="271"/>
      <c r="U321" s="271"/>
      <c r="V321" s="263"/>
      <c r="W321" s="263"/>
      <c r="X321" s="263"/>
      <c r="Y321" s="71"/>
      <c r="Z321" s="71"/>
      <c r="AA321" s="71"/>
      <c r="AB321" s="71"/>
    </row>
    <row r="322" spans="1:28" ht="15.75" customHeight="1">
      <c r="A322" s="143"/>
      <c r="B322" s="298"/>
      <c r="C322" s="298"/>
      <c r="D322" s="298"/>
      <c r="E322" s="298"/>
      <c r="F322" s="298"/>
      <c r="G322" s="298"/>
      <c r="H322" s="312"/>
      <c r="I322" s="311"/>
      <c r="J322" s="309"/>
      <c r="K322" s="298">
        <f t="shared" si="17"/>
        <v>0</v>
      </c>
      <c r="L322" s="303" t="str">
        <f t="shared" ca="1" si="18"/>
        <v/>
      </c>
      <c r="M322" s="304" t="str">
        <f t="shared" ca="1" si="19"/>
        <v/>
      </c>
      <c r="N322" s="305" t="str">
        <f ca="1">IFERROR(_xludf.IFS(G322&lt;100,(ABS(100/G322))+1,G322&gt;100,(G322/100)+1,G322=100, 2, G322=-100, 2),"")</f>
        <v/>
      </c>
      <c r="O322" s="305" t="str">
        <f ca="1">IFERROR(_xludf.IFS(H322&lt;100,(ABS(100/H322))+1,H322&gt;100,(H322/100)+1,H322=100, 2, H322=-100, 2),"")</f>
        <v/>
      </c>
      <c r="P322" s="305" t="str">
        <f t="shared" ca="1" si="20"/>
        <v/>
      </c>
      <c r="Q322" s="271"/>
      <c r="R322" s="297"/>
      <c r="S322" s="271"/>
      <c r="T322" s="271"/>
      <c r="U322" s="271"/>
      <c r="V322" s="263"/>
      <c r="W322" s="263"/>
      <c r="X322" s="263"/>
      <c r="Y322" s="71"/>
      <c r="Z322" s="71"/>
      <c r="AA322" s="71"/>
      <c r="AB322" s="71"/>
    </row>
    <row r="323" spans="1:28" ht="15.75" customHeight="1">
      <c r="A323" s="143"/>
      <c r="B323" s="298"/>
      <c r="C323" s="298"/>
      <c r="D323" s="298"/>
      <c r="E323" s="298"/>
      <c r="F323" s="298"/>
      <c r="G323" s="298"/>
      <c r="H323" s="312"/>
      <c r="I323" s="311"/>
      <c r="J323" s="309"/>
      <c r="K323" s="298">
        <f t="shared" si="17"/>
        <v>0</v>
      </c>
      <c r="L323" s="303" t="str">
        <f t="shared" ca="1" si="18"/>
        <v/>
      </c>
      <c r="M323" s="304" t="str">
        <f t="shared" ca="1" si="19"/>
        <v/>
      </c>
      <c r="N323" s="305" t="str">
        <f ca="1">IFERROR(_xludf.IFS(G323&lt;100,(ABS(100/G323))+1,G323&gt;100,(G323/100)+1,G323=100, 2, G323=-100, 2),"")</f>
        <v/>
      </c>
      <c r="O323" s="305" t="str">
        <f ca="1">IFERROR(_xludf.IFS(H323&lt;100,(ABS(100/H323))+1,H323&gt;100,(H323/100)+1,H323=100, 2, H323=-100, 2),"")</f>
        <v/>
      </c>
      <c r="P323" s="305" t="str">
        <f t="shared" ca="1" si="20"/>
        <v/>
      </c>
      <c r="Q323" s="271"/>
      <c r="R323" s="297"/>
      <c r="S323" s="271"/>
      <c r="T323" s="271"/>
      <c r="U323" s="271"/>
      <c r="V323" s="263"/>
      <c r="W323" s="263"/>
      <c r="X323" s="263"/>
      <c r="Y323" s="71"/>
      <c r="Z323" s="71"/>
      <c r="AA323" s="71"/>
      <c r="AB323" s="71"/>
    </row>
    <row r="324" spans="1:28" ht="15.75" customHeight="1">
      <c r="A324" s="143"/>
      <c r="B324" s="298"/>
      <c r="C324" s="298"/>
      <c r="D324" s="298"/>
      <c r="E324" s="298"/>
      <c r="F324" s="298"/>
      <c r="G324" s="298"/>
      <c r="H324" s="312"/>
      <c r="I324" s="311"/>
      <c r="J324" s="309"/>
      <c r="K324" s="298">
        <f t="shared" si="17"/>
        <v>0</v>
      </c>
      <c r="L324" s="303" t="str">
        <f t="shared" ca="1" si="18"/>
        <v/>
      </c>
      <c r="M324" s="304" t="str">
        <f t="shared" ca="1" si="19"/>
        <v/>
      </c>
      <c r="N324" s="305" t="str">
        <f ca="1">IFERROR(_xludf.IFS(G324&lt;100,(ABS(100/G324))+1,G324&gt;100,(G324/100)+1,G324=100, 2, G324=-100, 2),"")</f>
        <v/>
      </c>
      <c r="O324" s="305" t="str">
        <f ca="1">IFERROR(_xludf.IFS(H324&lt;100,(ABS(100/H324))+1,H324&gt;100,(H324/100)+1,H324=100, 2, H324=-100, 2),"")</f>
        <v/>
      </c>
      <c r="P324" s="305" t="str">
        <f t="shared" ca="1" si="20"/>
        <v/>
      </c>
      <c r="Q324" s="271"/>
      <c r="R324" s="297"/>
      <c r="S324" s="271"/>
      <c r="T324" s="271"/>
      <c r="U324" s="271"/>
      <c r="V324" s="263"/>
      <c r="W324" s="263"/>
      <c r="X324" s="263"/>
      <c r="Y324" s="71"/>
      <c r="Z324" s="71"/>
      <c r="AA324" s="71"/>
      <c r="AB324" s="71"/>
    </row>
    <row r="325" spans="1:28" ht="15.75" customHeight="1">
      <c r="A325" s="143"/>
      <c r="B325" s="298"/>
      <c r="C325" s="298"/>
      <c r="D325" s="298"/>
      <c r="E325" s="298"/>
      <c r="F325" s="298"/>
      <c r="G325" s="298"/>
      <c r="H325" s="312"/>
      <c r="I325" s="311"/>
      <c r="J325" s="309"/>
      <c r="K325" s="298">
        <f t="shared" si="17"/>
        <v>0</v>
      </c>
      <c r="L325" s="303" t="str">
        <f t="shared" ca="1" si="18"/>
        <v/>
      </c>
      <c r="M325" s="304" t="str">
        <f t="shared" ca="1" si="19"/>
        <v/>
      </c>
      <c r="N325" s="305" t="str">
        <f ca="1">IFERROR(_xludf.IFS(G325&lt;100,(ABS(100/G325))+1,G325&gt;100,(G325/100)+1,G325=100, 2, G325=-100, 2),"")</f>
        <v/>
      </c>
      <c r="O325" s="305" t="str">
        <f ca="1">IFERROR(_xludf.IFS(H325&lt;100,(ABS(100/H325))+1,H325&gt;100,(H325/100)+1,H325=100, 2, H325=-100, 2),"")</f>
        <v/>
      </c>
      <c r="P325" s="305" t="str">
        <f t="shared" ca="1" si="20"/>
        <v/>
      </c>
      <c r="Q325" s="271"/>
      <c r="R325" s="297"/>
      <c r="S325" s="271"/>
      <c r="T325" s="271"/>
      <c r="U325" s="271"/>
      <c r="V325" s="263"/>
      <c r="W325" s="263"/>
      <c r="X325" s="263"/>
      <c r="Y325" s="71"/>
      <c r="Z325" s="71"/>
      <c r="AA325" s="71"/>
      <c r="AB325" s="71"/>
    </row>
    <row r="326" spans="1:28" ht="15.75" customHeight="1">
      <c r="A326" s="143"/>
      <c r="B326" s="298"/>
      <c r="C326" s="298"/>
      <c r="D326" s="298"/>
      <c r="E326" s="298"/>
      <c r="F326" s="298"/>
      <c r="G326" s="298"/>
      <c r="H326" s="312"/>
      <c r="I326" s="311"/>
      <c r="J326" s="309"/>
      <c r="K326" s="298">
        <f t="shared" si="17"/>
        <v>0</v>
      </c>
      <c r="L326" s="303" t="str">
        <f t="shared" ca="1" si="18"/>
        <v/>
      </c>
      <c r="M326" s="304" t="str">
        <f t="shared" ca="1" si="19"/>
        <v/>
      </c>
      <c r="N326" s="305" t="str">
        <f ca="1">IFERROR(_xludf.IFS(G326&lt;100,(ABS(100/G326))+1,G326&gt;100,(G326/100)+1,G326=100, 2, G326=-100, 2),"")</f>
        <v/>
      </c>
      <c r="O326" s="305" t="str">
        <f ca="1">IFERROR(_xludf.IFS(H326&lt;100,(ABS(100/H326))+1,H326&gt;100,(H326/100)+1,H326=100, 2, H326=-100, 2),"")</f>
        <v/>
      </c>
      <c r="P326" s="305" t="str">
        <f t="shared" ca="1" si="20"/>
        <v/>
      </c>
      <c r="Q326" s="271"/>
      <c r="R326" s="297"/>
      <c r="S326" s="271"/>
      <c r="T326" s="271"/>
      <c r="U326" s="271"/>
      <c r="V326" s="263"/>
      <c r="W326" s="263"/>
      <c r="X326" s="263"/>
      <c r="Y326" s="71"/>
      <c r="Z326" s="71"/>
      <c r="AA326" s="71"/>
      <c r="AB326" s="71"/>
    </row>
    <row r="327" spans="1:28" ht="15.75" customHeight="1">
      <c r="A327" s="143"/>
      <c r="B327" s="298"/>
      <c r="C327" s="298"/>
      <c r="D327" s="298"/>
      <c r="E327" s="298"/>
      <c r="F327" s="298"/>
      <c r="G327" s="298"/>
      <c r="H327" s="312"/>
      <c r="I327" s="311"/>
      <c r="J327" s="309"/>
      <c r="K327" s="298">
        <f t="shared" si="17"/>
        <v>0</v>
      </c>
      <c r="L327" s="303" t="str">
        <f t="shared" ca="1" si="18"/>
        <v/>
      </c>
      <c r="M327" s="304" t="str">
        <f t="shared" ca="1" si="19"/>
        <v/>
      </c>
      <c r="N327" s="305" t="str">
        <f ca="1">IFERROR(_xludf.IFS(G327&lt;100,(ABS(100/G327))+1,G327&gt;100,(G327/100)+1,G327=100, 2, G327=-100, 2),"")</f>
        <v/>
      </c>
      <c r="O327" s="305" t="str">
        <f ca="1">IFERROR(_xludf.IFS(H327&lt;100,(ABS(100/H327))+1,H327&gt;100,(H327/100)+1,H327=100, 2, H327=-100, 2),"")</f>
        <v/>
      </c>
      <c r="P327" s="305" t="str">
        <f t="shared" ca="1" si="20"/>
        <v/>
      </c>
      <c r="Q327" s="271"/>
      <c r="R327" s="297"/>
      <c r="S327" s="271"/>
      <c r="T327" s="271"/>
      <c r="U327" s="271"/>
      <c r="V327" s="263"/>
      <c r="W327" s="263"/>
      <c r="X327" s="263"/>
      <c r="Y327" s="71"/>
      <c r="Z327" s="71"/>
      <c r="AA327" s="71"/>
      <c r="AB327" s="71"/>
    </row>
    <row r="328" spans="1:28" ht="15.75" customHeight="1">
      <c r="A328" s="143"/>
      <c r="B328" s="298"/>
      <c r="C328" s="298"/>
      <c r="D328" s="298"/>
      <c r="E328" s="298"/>
      <c r="F328" s="298"/>
      <c r="G328" s="298"/>
      <c r="H328" s="312"/>
      <c r="I328" s="311"/>
      <c r="J328" s="309"/>
      <c r="K328" s="298">
        <f t="shared" si="17"/>
        <v>0</v>
      </c>
      <c r="L328" s="303" t="str">
        <f t="shared" ca="1" si="18"/>
        <v/>
      </c>
      <c r="M328" s="304" t="str">
        <f t="shared" ca="1" si="19"/>
        <v/>
      </c>
      <c r="N328" s="305" t="str">
        <f ca="1">IFERROR(_xludf.IFS(G328&lt;100,(ABS(100/G328))+1,G328&gt;100,(G328/100)+1,G328=100, 2, G328=-100, 2),"")</f>
        <v/>
      </c>
      <c r="O328" s="305" t="str">
        <f ca="1">IFERROR(_xludf.IFS(H328&lt;100,(ABS(100/H328))+1,H328&gt;100,(H328/100)+1,H328=100, 2, H328=-100, 2),"")</f>
        <v/>
      </c>
      <c r="P328" s="305" t="str">
        <f t="shared" ca="1" si="20"/>
        <v/>
      </c>
      <c r="Q328" s="271"/>
      <c r="R328" s="297"/>
      <c r="S328" s="271"/>
      <c r="T328" s="271"/>
      <c r="U328" s="271"/>
      <c r="V328" s="263"/>
      <c r="W328" s="263"/>
      <c r="X328" s="263"/>
      <c r="Y328" s="71"/>
      <c r="Z328" s="71"/>
      <c r="AA328" s="71"/>
      <c r="AB328" s="71"/>
    </row>
    <row r="329" spans="1:28" ht="15.75" customHeight="1">
      <c r="A329" s="143"/>
      <c r="B329" s="298"/>
      <c r="C329" s="298"/>
      <c r="D329" s="298"/>
      <c r="E329" s="298"/>
      <c r="F329" s="298"/>
      <c r="G329" s="298"/>
      <c r="H329" s="312"/>
      <c r="I329" s="311"/>
      <c r="J329" s="309"/>
      <c r="K329" s="298">
        <f t="shared" si="17"/>
        <v>0</v>
      </c>
      <c r="L329" s="303" t="str">
        <f t="shared" ca="1" si="18"/>
        <v/>
      </c>
      <c r="M329" s="304" t="str">
        <f t="shared" ca="1" si="19"/>
        <v/>
      </c>
      <c r="N329" s="305" t="str">
        <f ca="1">IFERROR(_xludf.IFS(G329&lt;100,(ABS(100/G329))+1,G329&gt;100,(G329/100)+1,G329=100, 2, G329=-100, 2),"")</f>
        <v/>
      </c>
      <c r="O329" s="305" t="str">
        <f ca="1">IFERROR(_xludf.IFS(H329&lt;100,(ABS(100/H329))+1,H329&gt;100,(H329/100)+1,H329=100, 2, H329=-100, 2),"")</f>
        <v/>
      </c>
      <c r="P329" s="305" t="str">
        <f t="shared" ca="1" si="20"/>
        <v/>
      </c>
      <c r="Q329" s="271"/>
      <c r="R329" s="297"/>
      <c r="S329" s="271"/>
      <c r="T329" s="271"/>
      <c r="U329" s="271"/>
      <c r="V329" s="263"/>
      <c r="W329" s="263"/>
      <c r="X329" s="263"/>
      <c r="Y329" s="71"/>
      <c r="Z329" s="71"/>
      <c r="AA329" s="71"/>
      <c r="AB329" s="71"/>
    </row>
    <row r="330" spans="1:28" ht="15.75" customHeight="1">
      <c r="A330" s="143"/>
      <c r="B330" s="298"/>
      <c r="C330" s="298"/>
      <c r="D330" s="298"/>
      <c r="E330" s="298"/>
      <c r="F330" s="298"/>
      <c r="G330" s="298"/>
      <c r="H330" s="312"/>
      <c r="I330" s="311"/>
      <c r="J330" s="309"/>
      <c r="K330" s="298">
        <f t="shared" ref="K330:K393" si="21">IF(J330="W",N330*I330-I330,IF(J330="L",-I330,0))</f>
        <v>0</v>
      </c>
      <c r="L330" s="303" t="str">
        <f t="shared" ref="L330:L393" ca="1" si="22">IFERROR((1/O330-1/N330)/(1/N330),"")</f>
        <v/>
      </c>
      <c r="M330" s="304" t="str">
        <f t="shared" ref="M330:M393" ca="1" si="23">IFERROR((1/P330-1/N330)/(1/N330),"")</f>
        <v/>
      </c>
      <c r="N330" s="305" t="str">
        <f ca="1">IFERROR(_xludf.IFS(G330&lt;100,(ABS(100/G330))+1,G330&gt;100,(G330/100)+1,G330=100, 2, G330=-100, 2),"")</f>
        <v/>
      </c>
      <c r="O330" s="305" t="str">
        <f ca="1">IFERROR(_xludf.IFS(H330&lt;100,(ABS(100/H330))+1,H330&gt;100,(H330/100)+1,H330=100, 2, H330=-100, 2),"")</f>
        <v/>
      </c>
      <c r="P330" s="305" t="str">
        <f t="shared" ca="1" si="20"/>
        <v/>
      </c>
      <c r="Q330" s="271"/>
      <c r="R330" s="297"/>
      <c r="S330" s="271"/>
      <c r="T330" s="271"/>
      <c r="U330" s="271"/>
      <c r="V330" s="263"/>
      <c r="W330" s="263"/>
      <c r="X330" s="263"/>
      <c r="Y330" s="71"/>
      <c r="Z330" s="71"/>
      <c r="AA330" s="71"/>
      <c r="AB330" s="71"/>
    </row>
    <row r="331" spans="1:28" ht="15.75" customHeight="1">
      <c r="A331" s="143"/>
      <c r="B331" s="298"/>
      <c r="C331" s="298"/>
      <c r="D331" s="298"/>
      <c r="E331" s="298"/>
      <c r="F331" s="298"/>
      <c r="G331" s="298"/>
      <c r="H331" s="312"/>
      <c r="I331" s="311"/>
      <c r="J331" s="309"/>
      <c r="K331" s="298">
        <f t="shared" si="21"/>
        <v>0</v>
      </c>
      <c r="L331" s="303" t="str">
        <f t="shared" ca="1" si="22"/>
        <v/>
      </c>
      <c r="M331" s="304" t="str">
        <f t="shared" ca="1" si="23"/>
        <v/>
      </c>
      <c r="N331" s="305" t="str">
        <f ca="1">IFERROR(_xludf.IFS(G331&lt;100,(ABS(100/G331))+1,G331&gt;100,(G331/100)+1,G331=100, 2, G331=-100, 2),"")</f>
        <v/>
      </c>
      <c r="O331" s="305" t="str">
        <f ca="1">IFERROR(_xludf.IFS(H331&lt;100,(ABS(100/H331))+1,H331&gt;100,(H331/100)+1,H331=100, 2, H331=-100, 2),"")</f>
        <v/>
      </c>
      <c r="P331" s="305" t="str">
        <f t="shared" ca="1" si="20"/>
        <v/>
      </c>
      <c r="Q331" s="271"/>
      <c r="R331" s="297"/>
      <c r="S331" s="271"/>
      <c r="T331" s="271"/>
      <c r="U331" s="271"/>
      <c r="V331" s="263"/>
      <c r="W331" s="263"/>
      <c r="X331" s="263"/>
      <c r="Y331" s="71"/>
      <c r="Z331" s="71"/>
      <c r="AA331" s="71"/>
      <c r="AB331" s="71"/>
    </row>
    <row r="332" spans="1:28" ht="15.75" customHeight="1">
      <c r="A332" s="143"/>
      <c r="B332" s="298"/>
      <c r="C332" s="298"/>
      <c r="D332" s="298"/>
      <c r="E332" s="298"/>
      <c r="F332" s="298"/>
      <c r="G332" s="298"/>
      <c r="H332" s="312"/>
      <c r="I332" s="311"/>
      <c r="J332" s="309"/>
      <c r="K332" s="298">
        <f t="shared" si="21"/>
        <v>0</v>
      </c>
      <c r="L332" s="303" t="str">
        <f t="shared" ca="1" si="22"/>
        <v/>
      </c>
      <c r="M332" s="304" t="str">
        <f t="shared" ca="1" si="23"/>
        <v/>
      </c>
      <c r="N332" s="305" t="str">
        <f ca="1">IFERROR(_xludf.IFS(G332&lt;100,(ABS(100/G332))+1,G332&gt;100,(G332/100)+1,G332=100, 2, G332=-100, 2),"")</f>
        <v/>
      </c>
      <c r="O332" s="305" t="str">
        <f ca="1">IFERROR(_xludf.IFS(H332&lt;100,(ABS(100/H332))+1,H332&gt;100,(H332/100)+1,H332=100, 2, H332=-100, 2),"")</f>
        <v/>
      </c>
      <c r="P332" s="305" t="str">
        <f t="shared" ca="1" si="20"/>
        <v/>
      </c>
      <c r="Q332" s="271"/>
      <c r="R332" s="297"/>
      <c r="S332" s="271"/>
      <c r="T332" s="271"/>
      <c r="U332" s="271"/>
      <c r="V332" s="263"/>
      <c r="W332" s="263"/>
      <c r="X332" s="263"/>
      <c r="Y332" s="71"/>
      <c r="Z332" s="71"/>
      <c r="AA332" s="71"/>
      <c r="AB332" s="71"/>
    </row>
    <row r="333" spans="1:28" ht="15.75" customHeight="1">
      <c r="A333" s="143"/>
      <c r="B333" s="298"/>
      <c r="C333" s="298"/>
      <c r="D333" s="298"/>
      <c r="E333" s="298"/>
      <c r="F333" s="298"/>
      <c r="G333" s="298"/>
      <c r="H333" s="312"/>
      <c r="I333" s="311"/>
      <c r="J333" s="309"/>
      <c r="K333" s="298">
        <f t="shared" si="21"/>
        <v>0</v>
      </c>
      <c r="L333" s="303" t="str">
        <f t="shared" ca="1" si="22"/>
        <v/>
      </c>
      <c r="M333" s="304" t="str">
        <f t="shared" ca="1" si="23"/>
        <v/>
      </c>
      <c r="N333" s="305" t="str">
        <f ca="1">IFERROR(_xludf.IFS(G333&lt;100,(ABS(100/G333))+1,G333&gt;100,(G333/100)+1,G333=100, 2, G333=-100, 2),"")</f>
        <v/>
      </c>
      <c r="O333" s="305" t="str">
        <f ca="1">IFERROR(_xludf.IFS(H333&lt;100,(ABS(100/H333))+1,H333&gt;100,(H333/100)+1,H333=100, 2, H333=-100, 2),"")</f>
        <v/>
      </c>
      <c r="P333" s="305" t="str">
        <f t="shared" ca="1" si="20"/>
        <v/>
      </c>
      <c r="Q333" s="271"/>
      <c r="R333" s="297"/>
      <c r="S333" s="271"/>
      <c r="T333" s="271"/>
      <c r="U333" s="271"/>
      <c r="V333" s="263"/>
      <c r="W333" s="263"/>
      <c r="X333" s="263"/>
      <c r="Y333" s="71"/>
      <c r="Z333" s="71"/>
      <c r="AA333" s="71"/>
      <c r="AB333" s="71"/>
    </row>
    <row r="334" spans="1:28" ht="15.75" customHeight="1">
      <c r="A334" s="143"/>
      <c r="B334" s="298"/>
      <c r="C334" s="298"/>
      <c r="D334" s="298"/>
      <c r="E334" s="298"/>
      <c r="F334" s="298"/>
      <c r="G334" s="298"/>
      <c r="H334" s="312"/>
      <c r="I334" s="311"/>
      <c r="J334" s="309"/>
      <c r="K334" s="298">
        <f t="shared" si="21"/>
        <v>0</v>
      </c>
      <c r="L334" s="303" t="str">
        <f t="shared" ca="1" si="22"/>
        <v/>
      </c>
      <c r="M334" s="304" t="str">
        <f t="shared" ca="1" si="23"/>
        <v/>
      </c>
      <c r="N334" s="305" t="str">
        <f ca="1">IFERROR(_xludf.IFS(G334&lt;100,(ABS(100/G334))+1,G334&gt;100,(G334/100)+1,G334=100, 2, G334=-100, 2),"")</f>
        <v/>
      </c>
      <c r="O334" s="305" t="str">
        <f ca="1">IFERROR(_xludf.IFS(H334&lt;100,(ABS(100/H334))+1,H334&gt;100,(H334/100)+1,H334=100, 2, H334=-100, 2),"")</f>
        <v/>
      </c>
      <c r="P334" s="305" t="str">
        <f t="shared" ca="1" si="20"/>
        <v/>
      </c>
      <c r="Q334" s="271"/>
      <c r="R334" s="297"/>
      <c r="S334" s="271"/>
      <c r="T334" s="271"/>
      <c r="U334" s="271"/>
      <c r="V334" s="263"/>
      <c r="W334" s="263"/>
      <c r="X334" s="263"/>
      <c r="Y334" s="71"/>
      <c r="Z334" s="71"/>
      <c r="AA334" s="71"/>
      <c r="AB334" s="71"/>
    </row>
    <row r="335" spans="1:28" ht="15.75" customHeight="1">
      <c r="A335" s="143"/>
      <c r="B335" s="298"/>
      <c r="C335" s="298"/>
      <c r="D335" s="298"/>
      <c r="E335" s="298"/>
      <c r="F335" s="298"/>
      <c r="G335" s="298"/>
      <c r="H335" s="312"/>
      <c r="I335" s="311"/>
      <c r="J335" s="309"/>
      <c r="K335" s="298">
        <f t="shared" si="21"/>
        <v>0</v>
      </c>
      <c r="L335" s="303" t="str">
        <f t="shared" ca="1" si="22"/>
        <v/>
      </c>
      <c r="M335" s="304" t="str">
        <f t="shared" ca="1" si="23"/>
        <v/>
      </c>
      <c r="N335" s="305" t="str">
        <f ca="1">IFERROR(_xludf.IFS(G335&lt;100,(ABS(100/G335))+1,G335&gt;100,(G335/100)+1,G335=100, 2, G335=-100, 2),"")</f>
        <v/>
      </c>
      <c r="O335" s="305" t="str">
        <f ca="1">IFERROR(_xludf.IFS(H335&lt;100,(ABS(100/H335))+1,H335&gt;100,(H335/100)+1,H335=100, 2, H335=-100, 2),"")</f>
        <v/>
      </c>
      <c r="P335" s="305" t="str">
        <f t="shared" ca="1" si="20"/>
        <v/>
      </c>
      <c r="Q335" s="271"/>
      <c r="R335" s="297"/>
      <c r="S335" s="271"/>
      <c r="T335" s="271"/>
      <c r="U335" s="271"/>
      <c r="V335" s="263"/>
      <c r="W335" s="263"/>
      <c r="X335" s="263"/>
      <c r="Y335" s="71"/>
      <c r="Z335" s="71"/>
      <c r="AA335" s="71"/>
      <c r="AB335" s="71"/>
    </row>
    <row r="336" spans="1:28" ht="15.75" customHeight="1">
      <c r="A336" s="143"/>
      <c r="B336" s="298"/>
      <c r="C336" s="298"/>
      <c r="D336" s="298"/>
      <c r="E336" s="298"/>
      <c r="F336" s="298"/>
      <c r="G336" s="298"/>
      <c r="H336" s="312"/>
      <c r="I336" s="311"/>
      <c r="J336" s="309"/>
      <c r="K336" s="298">
        <f t="shared" si="21"/>
        <v>0</v>
      </c>
      <c r="L336" s="303" t="str">
        <f t="shared" ca="1" si="22"/>
        <v/>
      </c>
      <c r="M336" s="304" t="str">
        <f t="shared" ca="1" si="23"/>
        <v/>
      </c>
      <c r="N336" s="305" t="str">
        <f ca="1">IFERROR(_xludf.IFS(G336&lt;100,(ABS(100/G336))+1,G336&gt;100,(G336/100)+1,G336=100, 2, G336=-100, 2),"")</f>
        <v/>
      </c>
      <c r="O336" s="305" t="str">
        <f ca="1">IFERROR(_xludf.IFS(H336&lt;100,(ABS(100/H336))+1,H336&gt;100,(H336/100)+1,H336=100, 2, H336=-100, 2),"")</f>
        <v/>
      </c>
      <c r="P336" s="305" t="str">
        <f t="shared" ca="1" si="20"/>
        <v/>
      </c>
      <c r="Q336" s="271"/>
      <c r="R336" s="297"/>
      <c r="S336" s="271"/>
      <c r="T336" s="271"/>
      <c r="U336" s="271"/>
      <c r="V336" s="263"/>
      <c r="W336" s="263"/>
      <c r="X336" s="263"/>
      <c r="Y336" s="71"/>
      <c r="Z336" s="71"/>
      <c r="AA336" s="71"/>
      <c r="AB336" s="71"/>
    </row>
    <row r="337" spans="1:28" ht="15.75" customHeight="1">
      <c r="A337" s="143"/>
      <c r="B337" s="298"/>
      <c r="C337" s="298"/>
      <c r="D337" s="298"/>
      <c r="E337" s="298"/>
      <c r="F337" s="298"/>
      <c r="G337" s="298"/>
      <c r="H337" s="312"/>
      <c r="I337" s="311"/>
      <c r="J337" s="309"/>
      <c r="K337" s="298">
        <f t="shared" si="21"/>
        <v>0</v>
      </c>
      <c r="L337" s="303" t="str">
        <f t="shared" ca="1" si="22"/>
        <v/>
      </c>
      <c r="M337" s="304" t="str">
        <f t="shared" ca="1" si="23"/>
        <v/>
      </c>
      <c r="N337" s="305" t="str">
        <f ca="1">IFERROR(_xludf.IFS(G337&lt;100,(ABS(100/G337))+1,G337&gt;100,(G337/100)+1,G337=100, 2, G337=-100, 2),"")</f>
        <v/>
      </c>
      <c r="O337" s="305" t="str">
        <f ca="1">IFERROR(_xludf.IFS(H337&lt;100,(ABS(100/H337))+1,H337&gt;100,(H337/100)+1,H337=100, 2, H337=-100, 2),"")</f>
        <v/>
      </c>
      <c r="P337" s="305" t="str">
        <f t="shared" ca="1" si="20"/>
        <v/>
      </c>
      <c r="Q337" s="271"/>
      <c r="R337" s="297"/>
      <c r="S337" s="271"/>
      <c r="T337" s="271"/>
      <c r="U337" s="271"/>
      <c r="V337" s="263"/>
      <c r="W337" s="263"/>
      <c r="X337" s="263"/>
      <c r="Y337" s="71"/>
      <c r="Z337" s="71"/>
      <c r="AA337" s="71"/>
      <c r="AB337" s="71"/>
    </row>
    <row r="338" spans="1:28" ht="15.75" customHeight="1">
      <c r="A338" s="143"/>
      <c r="B338" s="298"/>
      <c r="C338" s="298"/>
      <c r="D338" s="298"/>
      <c r="E338" s="298"/>
      <c r="F338" s="298"/>
      <c r="G338" s="298"/>
      <c r="H338" s="312"/>
      <c r="I338" s="311"/>
      <c r="J338" s="309"/>
      <c r="K338" s="298">
        <f t="shared" si="21"/>
        <v>0</v>
      </c>
      <c r="L338" s="303" t="str">
        <f t="shared" ca="1" si="22"/>
        <v/>
      </c>
      <c r="M338" s="304" t="str">
        <f t="shared" ca="1" si="23"/>
        <v/>
      </c>
      <c r="N338" s="305" t="str">
        <f ca="1">IFERROR(_xludf.IFS(G338&lt;100,(ABS(100/G338))+1,G338&gt;100,(G338/100)+1,G338=100, 2, G338=-100, 2),"")</f>
        <v/>
      </c>
      <c r="O338" s="305" t="str">
        <f ca="1">IFERROR(_xludf.IFS(H338&lt;100,(ABS(100/H338))+1,H338&gt;100,(H338/100)+1,H338=100, 2, H338=-100, 2),"")</f>
        <v/>
      </c>
      <c r="P338" s="305" t="str">
        <f t="shared" ca="1" si="20"/>
        <v/>
      </c>
      <c r="Q338" s="271"/>
      <c r="R338" s="297"/>
      <c r="S338" s="271"/>
      <c r="T338" s="271"/>
      <c r="U338" s="271"/>
      <c r="V338" s="263"/>
      <c r="W338" s="263"/>
      <c r="X338" s="263"/>
      <c r="Y338" s="71"/>
      <c r="Z338" s="71"/>
      <c r="AA338" s="71"/>
      <c r="AB338" s="71"/>
    </row>
    <row r="339" spans="1:28" ht="15.75" customHeight="1">
      <c r="A339" s="143"/>
      <c r="B339" s="298"/>
      <c r="C339" s="298"/>
      <c r="D339" s="298"/>
      <c r="E339" s="298"/>
      <c r="F339" s="298"/>
      <c r="G339" s="298"/>
      <c r="H339" s="312"/>
      <c r="I339" s="311"/>
      <c r="J339" s="309"/>
      <c r="K339" s="298">
        <f t="shared" si="21"/>
        <v>0</v>
      </c>
      <c r="L339" s="303" t="str">
        <f t="shared" ca="1" si="22"/>
        <v/>
      </c>
      <c r="M339" s="304" t="str">
        <f t="shared" ca="1" si="23"/>
        <v/>
      </c>
      <c r="N339" s="305" t="str">
        <f ca="1">IFERROR(_xludf.IFS(G339&lt;100,(ABS(100/G339))+1,G339&gt;100,(G339/100)+1,G339=100, 2, G339=-100, 2),"")</f>
        <v/>
      </c>
      <c r="O339" s="305" t="str">
        <f ca="1">IFERROR(_xludf.IFS(H339&lt;100,(ABS(100/H339))+1,H339&gt;100,(H339/100)+1,H339=100, 2, H339=-100, 2),"")</f>
        <v/>
      </c>
      <c r="P339" s="305" t="str">
        <f t="shared" ca="1" si="20"/>
        <v/>
      </c>
      <c r="Q339" s="271"/>
      <c r="R339" s="297"/>
      <c r="S339" s="271"/>
      <c r="T339" s="271"/>
      <c r="U339" s="271"/>
      <c r="V339" s="263"/>
      <c r="W339" s="263"/>
      <c r="X339" s="263"/>
      <c r="Y339" s="71"/>
      <c r="Z339" s="71"/>
      <c r="AA339" s="71"/>
      <c r="AB339" s="71"/>
    </row>
    <row r="340" spans="1:28" ht="15.75" customHeight="1">
      <c r="A340" s="143"/>
      <c r="B340" s="298"/>
      <c r="C340" s="298"/>
      <c r="D340" s="298"/>
      <c r="E340" s="298"/>
      <c r="F340" s="298"/>
      <c r="G340" s="298"/>
      <c r="H340" s="312"/>
      <c r="I340" s="311"/>
      <c r="J340" s="309"/>
      <c r="K340" s="298">
        <f t="shared" si="21"/>
        <v>0</v>
      </c>
      <c r="L340" s="303" t="str">
        <f t="shared" ca="1" si="22"/>
        <v/>
      </c>
      <c r="M340" s="304" t="str">
        <f t="shared" ca="1" si="23"/>
        <v/>
      </c>
      <c r="N340" s="305" t="str">
        <f ca="1">IFERROR(_xludf.IFS(G340&lt;100,(ABS(100/G340))+1,G340&gt;100,(G340/100)+1,G340=100, 2, G340=-100, 2),"")</f>
        <v/>
      </c>
      <c r="O340" s="305" t="str">
        <f ca="1">IFERROR(_xludf.IFS(H340&lt;100,(ABS(100/H340))+1,H340&gt;100,(H340/100)+1,H340=100, 2, H340=-100, 2),"")</f>
        <v/>
      </c>
      <c r="P340" s="305" t="str">
        <f t="shared" ca="1" si="20"/>
        <v/>
      </c>
      <c r="Q340" s="271"/>
      <c r="R340" s="297"/>
      <c r="S340" s="271"/>
      <c r="T340" s="271"/>
      <c r="U340" s="271"/>
      <c r="V340" s="263"/>
      <c r="W340" s="263"/>
      <c r="X340" s="263"/>
      <c r="Y340" s="71"/>
      <c r="Z340" s="71"/>
      <c r="AA340" s="71"/>
      <c r="AB340" s="71"/>
    </row>
    <row r="341" spans="1:28" ht="15.75" customHeight="1">
      <c r="A341" s="143"/>
      <c r="B341" s="298"/>
      <c r="C341" s="298"/>
      <c r="D341" s="298"/>
      <c r="E341" s="298"/>
      <c r="F341" s="298"/>
      <c r="G341" s="298"/>
      <c r="H341" s="312"/>
      <c r="I341" s="311"/>
      <c r="J341" s="309"/>
      <c r="K341" s="298">
        <f t="shared" si="21"/>
        <v>0</v>
      </c>
      <c r="L341" s="303" t="str">
        <f t="shared" ca="1" si="22"/>
        <v/>
      </c>
      <c r="M341" s="304" t="str">
        <f t="shared" ca="1" si="23"/>
        <v/>
      </c>
      <c r="N341" s="305" t="str">
        <f ca="1">IFERROR(_xludf.IFS(G341&lt;100,(ABS(100/G341))+1,G341&gt;100,(G341/100)+1,G341=100, 2, G341=-100, 2),"")</f>
        <v/>
      </c>
      <c r="O341" s="305" t="str">
        <f ca="1">IFERROR(_xludf.IFS(H341&lt;100,(ABS(100/H341))+1,H341&gt;100,(H341/100)+1,H341=100, 2, H341=-100, 2),"")</f>
        <v/>
      </c>
      <c r="P341" s="305" t="str">
        <f t="shared" ca="1" si="20"/>
        <v/>
      </c>
      <c r="Q341" s="271"/>
      <c r="R341" s="297"/>
      <c r="S341" s="271"/>
      <c r="T341" s="271"/>
      <c r="U341" s="271"/>
      <c r="V341" s="263"/>
      <c r="W341" s="263"/>
      <c r="X341" s="263"/>
      <c r="Y341" s="71"/>
      <c r="Z341" s="71"/>
      <c r="AA341" s="71"/>
      <c r="AB341" s="71"/>
    </row>
    <row r="342" spans="1:28" ht="15.75" customHeight="1">
      <c r="A342" s="143"/>
      <c r="B342" s="298"/>
      <c r="C342" s="298"/>
      <c r="D342" s="298"/>
      <c r="E342" s="298"/>
      <c r="F342" s="298"/>
      <c r="G342" s="298"/>
      <c r="H342" s="312"/>
      <c r="I342" s="311"/>
      <c r="J342" s="309"/>
      <c r="K342" s="298">
        <f t="shared" si="21"/>
        <v>0</v>
      </c>
      <c r="L342" s="303" t="str">
        <f t="shared" ca="1" si="22"/>
        <v/>
      </c>
      <c r="M342" s="304" t="str">
        <f t="shared" ca="1" si="23"/>
        <v/>
      </c>
      <c r="N342" s="305" t="str">
        <f ca="1">IFERROR(_xludf.IFS(G342&lt;100,(ABS(100/G342))+1,G342&gt;100,(G342/100)+1,G342=100, 2, G342=-100, 2),"")</f>
        <v/>
      </c>
      <c r="O342" s="305" t="str">
        <f ca="1">IFERROR(_xludf.IFS(H342&lt;100,(ABS(100/H342))+1,H342&gt;100,(H342/100)+1,H342=100, 2, H342=-100, 2),"")</f>
        <v/>
      </c>
      <c r="P342" s="305" t="str">
        <f t="shared" ca="1" si="20"/>
        <v/>
      </c>
      <c r="Q342" s="271"/>
      <c r="R342" s="297"/>
      <c r="S342" s="271"/>
      <c r="T342" s="271"/>
      <c r="U342" s="271"/>
      <c r="V342" s="263"/>
      <c r="W342" s="263"/>
      <c r="X342" s="263"/>
      <c r="Y342" s="71"/>
      <c r="Z342" s="71"/>
      <c r="AA342" s="71"/>
      <c r="AB342" s="71"/>
    </row>
    <row r="343" spans="1:28" ht="15.75" customHeight="1">
      <c r="A343" s="143"/>
      <c r="B343" s="298"/>
      <c r="C343" s="298"/>
      <c r="D343" s="298"/>
      <c r="E343" s="298"/>
      <c r="F343" s="298"/>
      <c r="G343" s="298"/>
      <c r="H343" s="312"/>
      <c r="I343" s="311"/>
      <c r="J343" s="309"/>
      <c r="K343" s="298">
        <f t="shared" si="21"/>
        <v>0</v>
      </c>
      <c r="L343" s="303" t="str">
        <f t="shared" ca="1" si="22"/>
        <v/>
      </c>
      <c r="M343" s="304" t="str">
        <f t="shared" ca="1" si="23"/>
        <v/>
      </c>
      <c r="N343" s="305" t="str">
        <f ca="1">IFERROR(_xludf.IFS(G343&lt;100,(ABS(100/G343))+1,G343&gt;100,(G343/100)+1,G343=100, 2, G343=-100, 2),"")</f>
        <v/>
      </c>
      <c r="O343" s="305" t="str">
        <f ca="1">IFERROR(_xludf.IFS(H343&lt;100,(ABS(100/H343))+1,H343&gt;100,(H343/100)+1,H343=100, 2, H343=-100, 2),"")</f>
        <v/>
      </c>
      <c r="P343" s="305" t="str">
        <f t="shared" ca="1" si="20"/>
        <v/>
      </c>
      <c r="Q343" s="271"/>
      <c r="R343" s="297"/>
      <c r="S343" s="271"/>
      <c r="T343" s="271"/>
      <c r="U343" s="271"/>
      <c r="V343" s="263"/>
      <c r="W343" s="263"/>
      <c r="X343" s="263"/>
      <c r="Y343" s="71"/>
      <c r="Z343" s="71"/>
      <c r="AA343" s="71"/>
      <c r="AB343" s="71"/>
    </row>
    <row r="344" spans="1:28" ht="15.75" customHeight="1">
      <c r="A344" s="143"/>
      <c r="B344" s="298"/>
      <c r="C344" s="298"/>
      <c r="D344" s="298"/>
      <c r="E344" s="298"/>
      <c r="F344" s="298"/>
      <c r="G344" s="298"/>
      <c r="H344" s="312"/>
      <c r="I344" s="311"/>
      <c r="J344" s="309"/>
      <c r="K344" s="298">
        <f t="shared" si="21"/>
        <v>0</v>
      </c>
      <c r="L344" s="303" t="str">
        <f t="shared" ca="1" si="22"/>
        <v/>
      </c>
      <c r="M344" s="304" t="str">
        <f t="shared" ca="1" si="23"/>
        <v/>
      </c>
      <c r="N344" s="305" t="str">
        <f ca="1">IFERROR(_xludf.IFS(G344&lt;100,(ABS(100/G344))+1,G344&gt;100,(G344/100)+1,G344=100, 2, G344=-100, 2),"")</f>
        <v/>
      </c>
      <c r="O344" s="305" t="str">
        <f ca="1">IFERROR(_xludf.IFS(H344&lt;100,(ABS(100/H344))+1,H344&gt;100,(H344/100)+1,H344=100, 2, H344=-100, 2),"")</f>
        <v/>
      </c>
      <c r="P344" s="305" t="str">
        <f t="shared" ca="1" si="20"/>
        <v/>
      </c>
      <c r="Q344" s="271"/>
      <c r="R344" s="297"/>
      <c r="S344" s="271"/>
      <c r="T344" s="271"/>
      <c r="U344" s="271"/>
      <c r="V344" s="263"/>
      <c r="W344" s="263"/>
      <c r="X344" s="263"/>
      <c r="Y344" s="71"/>
      <c r="Z344" s="71"/>
      <c r="AA344" s="71"/>
      <c r="AB344" s="71"/>
    </row>
    <row r="345" spans="1:28" ht="15.75" customHeight="1">
      <c r="A345" s="143"/>
      <c r="B345" s="298"/>
      <c r="C345" s="298"/>
      <c r="D345" s="298"/>
      <c r="E345" s="298"/>
      <c r="F345" s="298"/>
      <c r="G345" s="298"/>
      <c r="H345" s="312"/>
      <c r="I345" s="311"/>
      <c r="J345" s="309"/>
      <c r="K345" s="298">
        <f t="shared" si="21"/>
        <v>0</v>
      </c>
      <c r="L345" s="303" t="str">
        <f t="shared" ca="1" si="22"/>
        <v/>
      </c>
      <c r="M345" s="304" t="str">
        <f t="shared" ca="1" si="23"/>
        <v/>
      </c>
      <c r="N345" s="305" t="str">
        <f ca="1">IFERROR(_xludf.IFS(G345&lt;100,(ABS(100/G345))+1,G345&gt;100,(G345/100)+1,G345=100, 2, G345=-100, 2),"")</f>
        <v/>
      </c>
      <c r="O345" s="305" t="str">
        <f ca="1">IFERROR(_xludf.IFS(H345&lt;100,(ABS(100/H345))+1,H345&gt;100,(H345/100)+1,H345=100, 2, H345=-100, 2),"")</f>
        <v/>
      </c>
      <c r="P345" s="305" t="str">
        <f t="shared" ca="1" si="20"/>
        <v/>
      </c>
      <c r="Q345" s="271"/>
      <c r="R345" s="297"/>
      <c r="S345" s="271"/>
      <c r="T345" s="271"/>
      <c r="U345" s="271"/>
      <c r="V345" s="263"/>
      <c r="W345" s="263"/>
      <c r="X345" s="263"/>
      <c r="Y345" s="71"/>
      <c r="Z345" s="71"/>
      <c r="AA345" s="71"/>
      <c r="AB345" s="71"/>
    </row>
    <row r="346" spans="1:28" ht="15.75" customHeight="1">
      <c r="A346" s="143"/>
      <c r="B346" s="298"/>
      <c r="C346" s="298"/>
      <c r="D346" s="298"/>
      <c r="E346" s="298"/>
      <c r="F346" s="298"/>
      <c r="G346" s="298"/>
      <c r="H346" s="312"/>
      <c r="I346" s="311"/>
      <c r="J346" s="309"/>
      <c r="K346" s="298">
        <f t="shared" si="21"/>
        <v>0</v>
      </c>
      <c r="L346" s="303" t="str">
        <f t="shared" ca="1" si="22"/>
        <v/>
      </c>
      <c r="M346" s="304" t="str">
        <f t="shared" ca="1" si="23"/>
        <v/>
      </c>
      <c r="N346" s="305" t="str">
        <f ca="1">IFERROR(_xludf.IFS(G346&lt;100,(ABS(100/G346))+1,G346&gt;100,(G346/100)+1,G346=100, 2, G346=-100, 2),"")</f>
        <v/>
      </c>
      <c r="O346" s="305" t="str">
        <f ca="1">IFERROR(_xludf.IFS(H346&lt;100,(ABS(100/H346))+1,H346&gt;100,(H346/100)+1,H346=100, 2, H346=-100, 2),"")</f>
        <v/>
      </c>
      <c r="P346" s="305" t="str">
        <f t="shared" ca="1" si="20"/>
        <v/>
      </c>
      <c r="Q346" s="271"/>
      <c r="R346" s="297"/>
      <c r="S346" s="271"/>
      <c r="T346" s="271"/>
      <c r="U346" s="271"/>
      <c r="V346" s="263"/>
      <c r="W346" s="263"/>
      <c r="X346" s="263"/>
      <c r="Y346" s="71"/>
      <c r="Z346" s="71"/>
      <c r="AA346" s="71"/>
      <c r="AB346" s="71"/>
    </row>
    <row r="347" spans="1:28" ht="15.75" customHeight="1">
      <c r="A347" s="143"/>
      <c r="B347" s="298"/>
      <c r="C347" s="298"/>
      <c r="D347" s="298"/>
      <c r="E347" s="298"/>
      <c r="F347" s="298"/>
      <c r="G347" s="298"/>
      <c r="H347" s="312"/>
      <c r="I347" s="311"/>
      <c r="J347" s="309"/>
      <c r="K347" s="298">
        <f t="shared" si="21"/>
        <v>0</v>
      </c>
      <c r="L347" s="303" t="str">
        <f t="shared" ca="1" si="22"/>
        <v/>
      </c>
      <c r="M347" s="304" t="str">
        <f t="shared" ca="1" si="23"/>
        <v/>
      </c>
      <c r="N347" s="305" t="str">
        <f ca="1">IFERROR(_xludf.IFS(G347&lt;100,(ABS(100/G347))+1,G347&gt;100,(G347/100)+1,G347=100, 2, G347=-100, 2),"")</f>
        <v/>
      </c>
      <c r="O347" s="305" t="str">
        <f ca="1">IFERROR(_xludf.IFS(H347&lt;100,(ABS(100/H347))+1,H347&gt;100,(H347/100)+1,H347=100, 2, H347=-100, 2),"")</f>
        <v/>
      </c>
      <c r="P347" s="305" t="str">
        <f t="shared" ca="1" si="20"/>
        <v/>
      </c>
      <c r="Q347" s="271"/>
      <c r="R347" s="297"/>
      <c r="S347" s="271"/>
      <c r="T347" s="271"/>
      <c r="U347" s="271"/>
      <c r="V347" s="263"/>
      <c r="W347" s="263"/>
      <c r="X347" s="263"/>
      <c r="Y347" s="71"/>
      <c r="Z347" s="71"/>
      <c r="AA347" s="71"/>
      <c r="AB347" s="71"/>
    </row>
    <row r="348" spans="1:28" ht="15.75" customHeight="1">
      <c r="A348" s="143"/>
      <c r="B348" s="298"/>
      <c r="C348" s="298"/>
      <c r="D348" s="298"/>
      <c r="E348" s="298"/>
      <c r="F348" s="298"/>
      <c r="G348" s="298"/>
      <c r="H348" s="312"/>
      <c r="I348" s="311"/>
      <c r="J348" s="309"/>
      <c r="K348" s="298">
        <f t="shared" si="21"/>
        <v>0</v>
      </c>
      <c r="L348" s="303" t="str">
        <f t="shared" ca="1" si="22"/>
        <v/>
      </c>
      <c r="M348" s="304" t="str">
        <f t="shared" ca="1" si="23"/>
        <v/>
      </c>
      <c r="N348" s="305" t="str">
        <f ca="1">IFERROR(_xludf.IFS(G348&lt;100,(ABS(100/G348))+1,G348&gt;100,(G348/100)+1,G348=100, 2, G348=-100, 2),"")</f>
        <v/>
      </c>
      <c r="O348" s="305" t="str">
        <f ca="1">IFERROR(_xludf.IFS(H348&lt;100,(ABS(100/H348))+1,H348&gt;100,(H348/100)+1,H348=100, 2, H348=-100, 2),"")</f>
        <v/>
      </c>
      <c r="P348" s="305" t="str">
        <f t="shared" ca="1" si="20"/>
        <v/>
      </c>
      <c r="Q348" s="271"/>
      <c r="R348" s="297"/>
      <c r="S348" s="271"/>
      <c r="T348" s="271"/>
      <c r="U348" s="271"/>
      <c r="V348" s="263"/>
      <c r="W348" s="263"/>
      <c r="X348" s="263"/>
      <c r="Y348" s="71"/>
      <c r="Z348" s="71"/>
      <c r="AA348" s="71"/>
      <c r="AB348" s="71"/>
    </row>
    <row r="349" spans="1:28" ht="15.75" customHeight="1">
      <c r="A349" s="143"/>
      <c r="B349" s="298"/>
      <c r="C349" s="298"/>
      <c r="D349" s="298"/>
      <c r="E349" s="298"/>
      <c r="F349" s="298"/>
      <c r="G349" s="298"/>
      <c r="H349" s="298"/>
      <c r="I349" s="313"/>
      <c r="J349" s="309"/>
      <c r="K349" s="298">
        <f t="shared" si="21"/>
        <v>0</v>
      </c>
      <c r="L349" s="303" t="str">
        <f t="shared" ca="1" si="22"/>
        <v/>
      </c>
      <c r="M349" s="304" t="str">
        <f t="shared" ca="1" si="23"/>
        <v/>
      </c>
      <c r="N349" s="305" t="str">
        <f ca="1">IFERROR(_xludf.IFS(G349&lt;100,(ABS(100/G349))+1,G349&gt;100,(G349/100)+1,G349=100, 2, G349=-100, 2),"")</f>
        <v/>
      </c>
      <c r="O349" s="305" t="str">
        <f ca="1">IFERROR(_xludf.IFS(H349&lt;100,(ABS(100/H349))+1,H349&gt;100,(H349/100)+1,H349=100, 2, H349=-100, 2),"")</f>
        <v/>
      </c>
      <c r="P349" s="305" t="str">
        <f t="shared" ca="1" si="20"/>
        <v/>
      </c>
      <c r="Q349" s="263"/>
      <c r="R349" s="263"/>
      <c r="S349" s="263"/>
      <c r="T349" s="263"/>
      <c r="U349" s="263"/>
      <c r="V349" s="263"/>
      <c r="W349" s="263"/>
      <c r="X349" s="71"/>
      <c r="Y349" s="71"/>
      <c r="Z349" s="71"/>
      <c r="AA349" s="71"/>
      <c r="AB349" s="71"/>
    </row>
    <row r="350" spans="1:28" ht="15.75" customHeight="1">
      <c r="A350" s="143"/>
      <c r="B350" s="298"/>
      <c r="C350" s="298"/>
      <c r="D350" s="298"/>
      <c r="E350" s="298"/>
      <c r="F350" s="298"/>
      <c r="G350" s="298"/>
      <c r="H350" s="298"/>
      <c r="I350" s="313"/>
      <c r="J350" s="309"/>
      <c r="K350" s="298">
        <f t="shared" si="21"/>
        <v>0</v>
      </c>
      <c r="L350" s="303" t="str">
        <f t="shared" ca="1" si="22"/>
        <v/>
      </c>
      <c r="M350" s="304" t="str">
        <f t="shared" ca="1" si="23"/>
        <v/>
      </c>
      <c r="N350" s="305" t="str">
        <f ca="1">IFERROR(_xludf.IFS(G350&lt;100,(ABS(100/G350))+1,G350&gt;100,(G350/100)+1,G350=100, 2, G350=-100, 2),"")</f>
        <v/>
      </c>
      <c r="O350" s="305" t="str">
        <f ca="1">IFERROR(_xludf.IFS(H350&lt;100,(ABS(100/H350))+1,H350&gt;100,(H350/100)+1,H350=100, 2, H350=-100, 2),"")</f>
        <v/>
      </c>
      <c r="P350" s="305" t="str">
        <f t="shared" ca="1" si="20"/>
        <v/>
      </c>
      <c r="Q350" s="263"/>
      <c r="R350" s="263"/>
      <c r="S350" s="263"/>
      <c r="T350" s="263"/>
      <c r="U350" s="263"/>
      <c r="V350" s="263"/>
      <c r="W350" s="263"/>
      <c r="X350" s="71"/>
      <c r="Y350" s="71"/>
      <c r="Z350" s="71"/>
      <c r="AA350" s="71"/>
      <c r="AB350" s="71"/>
    </row>
    <row r="351" spans="1:28" ht="15.75" customHeight="1">
      <c r="A351" s="143"/>
      <c r="B351" s="298"/>
      <c r="C351" s="298"/>
      <c r="D351" s="298"/>
      <c r="E351" s="298"/>
      <c r="F351" s="298"/>
      <c r="G351" s="298"/>
      <c r="H351" s="298"/>
      <c r="I351" s="313"/>
      <c r="J351" s="309"/>
      <c r="K351" s="298">
        <f t="shared" si="21"/>
        <v>0</v>
      </c>
      <c r="L351" s="303" t="str">
        <f t="shared" ca="1" si="22"/>
        <v/>
      </c>
      <c r="M351" s="304" t="str">
        <f t="shared" ca="1" si="23"/>
        <v/>
      </c>
      <c r="N351" s="305" t="str">
        <f ca="1">IFERROR(_xludf.IFS(G351&lt;100,(ABS(100/G351))+1,G351&gt;100,(G351/100)+1,G351=100, 2, G351=-100, 2),"")</f>
        <v/>
      </c>
      <c r="O351" s="305" t="str">
        <f ca="1">IFERROR(_xludf.IFS(H351&lt;100,(ABS(100/H351))+1,H351&gt;100,(H351/100)+1,H351=100, 2, H351=-100, 2),"")</f>
        <v/>
      </c>
      <c r="P351" s="305" t="str">
        <f t="shared" ca="1" si="20"/>
        <v/>
      </c>
      <c r="Q351" s="263"/>
      <c r="R351" s="263"/>
      <c r="S351" s="263"/>
      <c r="T351" s="263"/>
      <c r="U351" s="263"/>
      <c r="V351" s="263"/>
      <c r="W351" s="263"/>
      <c r="X351" s="71"/>
      <c r="Y351" s="71"/>
      <c r="Z351" s="71"/>
      <c r="AA351" s="71"/>
      <c r="AB351" s="71"/>
    </row>
    <row r="352" spans="1:28" ht="15.75" customHeight="1">
      <c r="A352" s="143"/>
      <c r="B352" s="298"/>
      <c r="C352" s="298"/>
      <c r="D352" s="298"/>
      <c r="E352" s="298"/>
      <c r="F352" s="298"/>
      <c r="G352" s="298"/>
      <c r="H352" s="298"/>
      <c r="I352" s="313"/>
      <c r="J352" s="309"/>
      <c r="K352" s="298">
        <f t="shared" si="21"/>
        <v>0</v>
      </c>
      <c r="L352" s="303" t="str">
        <f t="shared" ca="1" si="22"/>
        <v/>
      </c>
      <c r="M352" s="304" t="str">
        <f t="shared" ca="1" si="23"/>
        <v/>
      </c>
      <c r="N352" s="305" t="str">
        <f ca="1">IFERROR(_xludf.IFS(G352&lt;100,(ABS(100/G352))+1,G352&gt;100,(G352/100)+1,G352=100, 2, G352=-100, 2),"")</f>
        <v/>
      </c>
      <c r="O352" s="305" t="str">
        <f ca="1">IFERROR(_xludf.IFS(H352&lt;100,(ABS(100/H352))+1,H352&gt;100,(H352/100)+1,H352=100, 2, H352=-100, 2),"")</f>
        <v/>
      </c>
      <c r="P352" s="305" t="str">
        <f t="shared" ca="1" si="20"/>
        <v/>
      </c>
      <c r="Q352" s="263"/>
      <c r="R352" s="263"/>
      <c r="S352" s="263"/>
      <c r="T352" s="263"/>
      <c r="U352" s="263"/>
      <c r="V352" s="263"/>
      <c r="W352" s="263"/>
      <c r="X352" s="71"/>
      <c r="Y352" s="71"/>
      <c r="Z352" s="71"/>
      <c r="AA352" s="71"/>
      <c r="AB352" s="71"/>
    </row>
    <row r="353" spans="1:28" ht="15.75" customHeight="1">
      <c r="A353" s="143"/>
      <c r="B353" s="298"/>
      <c r="C353" s="298"/>
      <c r="D353" s="298"/>
      <c r="E353" s="298"/>
      <c r="F353" s="298"/>
      <c r="G353" s="298"/>
      <c r="H353" s="298"/>
      <c r="I353" s="313"/>
      <c r="J353" s="309"/>
      <c r="K353" s="298">
        <f t="shared" si="21"/>
        <v>0</v>
      </c>
      <c r="L353" s="303" t="str">
        <f t="shared" ca="1" si="22"/>
        <v/>
      </c>
      <c r="M353" s="304" t="str">
        <f t="shared" ca="1" si="23"/>
        <v/>
      </c>
      <c r="N353" s="305" t="str">
        <f ca="1">IFERROR(_xludf.IFS(G353&lt;100,(ABS(100/G353))+1,G353&gt;100,(G353/100)+1,G353=100, 2, G353=-100, 2),"")</f>
        <v/>
      </c>
      <c r="O353" s="305" t="str">
        <f ca="1">IFERROR(_xludf.IFS(H353&lt;100,(ABS(100/H353))+1,H353&gt;100,(H353/100)+1,H353=100, 2, H353=-100, 2),"")</f>
        <v/>
      </c>
      <c r="P353" s="305" t="str">
        <f t="shared" ca="1" si="20"/>
        <v/>
      </c>
      <c r="Q353" s="263"/>
      <c r="R353" s="263"/>
      <c r="S353" s="263"/>
      <c r="T353" s="263"/>
      <c r="U353" s="263"/>
      <c r="V353" s="263"/>
      <c r="W353" s="263"/>
      <c r="X353" s="71"/>
      <c r="Y353" s="71"/>
      <c r="Z353" s="71"/>
      <c r="AA353" s="71"/>
      <c r="AB353" s="71"/>
    </row>
    <row r="354" spans="1:28" ht="15.75" customHeight="1">
      <c r="A354" s="143"/>
      <c r="B354" s="298"/>
      <c r="C354" s="298"/>
      <c r="D354" s="298"/>
      <c r="E354" s="298"/>
      <c r="F354" s="298"/>
      <c r="G354" s="298"/>
      <c r="H354" s="298"/>
      <c r="I354" s="313"/>
      <c r="J354" s="309"/>
      <c r="K354" s="298">
        <f t="shared" si="21"/>
        <v>0</v>
      </c>
      <c r="L354" s="303" t="str">
        <f t="shared" ca="1" si="22"/>
        <v/>
      </c>
      <c r="M354" s="304" t="str">
        <f t="shared" ca="1" si="23"/>
        <v/>
      </c>
      <c r="N354" s="305" t="str">
        <f ca="1">IFERROR(_xludf.IFS(G354&lt;100,(ABS(100/G354))+1,G354&gt;100,(G354/100)+1,G354=100, 2, G354=-100, 2),"")</f>
        <v/>
      </c>
      <c r="O354" s="305" t="str">
        <f ca="1">IFERROR(_xludf.IFS(H354&lt;100,(ABS(100/H354))+1,H354&gt;100,(H354/100)+1,H354=100, 2, H354=-100, 2),"")</f>
        <v/>
      </c>
      <c r="P354" s="305" t="str">
        <f t="shared" ca="1" si="20"/>
        <v/>
      </c>
      <c r="Q354" s="263"/>
      <c r="R354" s="263"/>
      <c r="S354" s="263"/>
      <c r="T354" s="263"/>
      <c r="U354" s="263"/>
      <c r="V354" s="263"/>
      <c r="W354" s="263"/>
      <c r="X354" s="71"/>
      <c r="Y354" s="71"/>
      <c r="Z354" s="71"/>
      <c r="AA354" s="71"/>
      <c r="AB354" s="71"/>
    </row>
    <row r="355" spans="1:28" ht="15.75" customHeight="1">
      <c r="A355" s="143"/>
      <c r="B355" s="298"/>
      <c r="C355" s="298"/>
      <c r="D355" s="298"/>
      <c r="E355" s="298"/>
      <c r="F355" s="298"/>
      <c r="G355" s="298"/>
      <c r="H355" s="298"/>
      <c r="I355" s="313"/>
      <c r="J355" s="309"/>
      <c r="K355" s="298">
        <f t="shared" si="21"/>
        <v>0</v>
      </c>
      <c r="L355" s="303" t="str">
        <f t="shared" ca="1" si="22"/>
        <v/>
      </c>
      <c r="M355" s="304" t="str">
        <f t="shared" ca="1" si="23"/>
        <v/>
      </c>
      <c r="N355" s="305" t="str">
        <f ca="1">IFERROR(_xludf.IFS(G355&lt;100,(ABS(100/G355))+1,G355&gt;100,(G355/100)+1,G355=100, 2, G355=-100, 2),"")</f>
        <v/>
      </c>
      <c r="O355" s="305" t="str">
        <f ca="1">IFERROR(_xludf.IFS(H355&lt;100,(ABS(100/H355))+1,H355&gt;100,(H355/100)+1,H355=100, 2, H355=-100, 2),"")</f>
        <v/>
      </c>
      <c r="P355" s="305" t="str">
        <f t="shared" ca="1" si="20"/>
        <v/>
      </c>
      <c r="Q355" s="263"/>
      <c r="R355" s="263"/>
      <c r="S355" s="263"/>
      <c r="T355" s="263"/>
      <c r="U355" s="263"/>
      <c r="V355" s="263"/>
      <c r="W355" s="263"/>
      <c r="X355" s="71"/>
      <c r="Y355" s="71"/>
      <c r="Z355" s="71"/>
      <c r="AA355" s="71"/>
      <c r="AB355" s="71"/>
    </row>
    <row r="356" spans="1:28" ht="15.75" customHeight="1">
      <c r="A356" s="143"/>
      <c r="B356" s="298"/>
      <c r="C356" s="298"/>
      <c r="D356" s="298"/>
      <c r="E356" s="298"/>
      <c r="F356" s="298"/>
      <c r="G356" s="298"/>
      <c r="H356" s="298"/>
      <c r="I356" s="313"/>
      <c r="J356" s="309"/>
      <c r="K356" s="298">
        <f t="shared" si="21"/>
        <v>0</v>
      </c>
      <c r="L356" s="303" t="str">
        <f t="shared" ca="1" si="22"/>
        <v/>
      </c>
      <c r="M356" s="304" t="str">
        <f t="shared" ca="1" si="23"/>
        <v/>
      </c>
      <c r="N356" s="305" t="str">
        <f ca="1">IFERROR(_xludf.IFS(G356&lt;100,(ABS(100/G356))+1,G356&gt;100,(G356/100)+1,G356=100, 2, G356=-100, 2),"")</f>
        <v/>
      </c>
      <c r="O356" s="305" t="str">
        <f ca="1">IFERROR(_xludf.IFS(H356&lt;100,(ABS(100/H356))+1,H356&gt;100,(H356/100)+1,H356=100, 2, H356=-100, 2),"")</f>
        <v/>
      </c>
      <c r="P356" s="305" t="str">
        <f t="shared" ref="P356:P419" ca="1" si="24">IFERROR(O356*1.035,"")</f>
        <v/>
      </c>
      <c r="Q356" s="263"/>
      <c r="R356" s="263"/>
      <c r="S356" s="263"/>
      <c r="T356" s="263"/>
      <c r="U356" s="263"/>
      <c r="V356" s="263"/>
      <c r="W356" s="263"/>
      <c r="X356" s="71"/>
      <c r="Y356" s="71"/>
      <c r="Z356" s="71"/>
      <c r="AA356" s="71"/>
      <c r="AB356" s="71"/>
    </row>
    <row r="357" spans="1:28" ht="15.75" customHeight="1">
      <c r="A357" s="143"/>
      <c r="B357" s="298"/>
      <c r="C357" s="298"/>
      <c r="D357" s="298"/>
      <c r="E357" s="298"/>
      <c r="F357" s="298"/>
      <c r="G357" s="298"/>
      <c r="H357" s="298"/>
      <c r="I357" s="313"/>
      <c r="J357" s="309"/>
      <c r="K357" s="298">
        <f t="shared" si="21"/>
        <v>0</v>
      </c>
      <c r="L357" s="303" t="str">
        <f t="shared" ca="1" si="22"/>
        <v/>
      </c>
      <c r="M357" s="304" t="str">
        <f t="shared" ca="1" si="23"/>
        <v/>
      </c>
      <c r="N357" s="305" t="str">
        <f ca="1">IFERROR(_xludf.IFS(G357&lt;100,(ABS(100/G357))+1,G357&gt;100,(G357/100)+1,G357=100, 2, G357=-100, 2),"")</f>
        <v/>
      </c>
      <c r="O357" s="305" t="str">
        <f ca="1">IFERROR(_xludf.IFS(H357&lt;100,(ABS(100/H357))+1,H357&gt;100,(H357/100)+1,H357=100, 2, H357=-100, 2),"")</f>
        <v/>
      </c>
      <c r="P357" s="305" t="str">
        <f t="shared" ca="1" si="24"/>
        <v/>
      </c>
      <c r="Q357" s="263"/>
      <c r="R357" s="263"/>
      <c r="S357" s="263"/>
      <c r="T357" s="263"/>
      <c r="U357" s="263"/>
      <c r="V357" s="263"/>
      <c r="W357" s="263"/>
      <c r="X357" s="71"/>
      <c r="Y357" s="71"/>
      <c r="Z357" s="71"/>
      <c r="AA357" s="71"/>
      <c r="AB357" s="71"/>
    </row>
    <row r="358" spans="1:28" ht="15.75" customHeight="1">
      <c r="A358" s="143"/>
      <c r="B358" s="298"/>
      <c r="C358" s="298"/>
      <c r="D358" s="298"/>
      <c r="E358" s="298"/>
      <c r="F358" s="298"/>
      <c r="G358" s="298"/>
      <c r="H358" s="298"/>
      <c r="I358" s="313"/>
      <c r="J358" s="309"/>
      <c r="K358" s="298">
        <f t="shared" si="21"/>
        <v>0</v>
      </c>
      <c r="L358" s="303" t="str">
        <f t="shared" ca="1" si="22"/>
        <v/>
      </c>
      <c r="M358" s="304" t="str">
        <f t="shared" ca="1" si="23"/>
        <v/>
      </c>
      <c r="N358" s="305" t="str">
        <f ca="1">IFERROR(_xludf.IFS(G358&lt;100,(ABS(100/G358))+1,G358&gt;100,(G358/100)+1,G358=100, 2, G358=-100, 2),"")</f>
        <v/>
      </c>
      <c r="O358" s="305" t="str">
        <f ca="1">IFERROR(_xludf.IFS(H358&lt;100,(ABS(100/H358))+1,H358&gt;100,(H358/100)+1,H358=100, 2, H358=-100, 2),"")</f>
        <v/>
      </c>
      <c r="P358" s="305" t="str">
        <f t="shared" ca="1" si="24"/>
        <v/>
      </c>
      <c r="Q358" s="263"/>
      <c r="R358" s="263"/>
      <c r="S358" s="263"/>
      <c r="T358" s="263"/>
      <c r="U358" s="263"/>
      <c r="V358" s="263"/>
      <c r="W358" s="263"/>
      <c r="X358" s="71"/>
      <c r="Y358" s="71"/>
      <c r="Z358" s="71"/>
      <c r="AA358" s="71"/>
      <c r="AB358" s="71"/>
    </row>
    <row r="359" spans="1:28" ht="15.75" customHeight="1">
      <c r="A359" s="143"/>
      <c r="B359" s="298"/>
      <c r="C359" s="298"/>
      <c r="D359" s="298"/>
      <c r="E359" s="298"/>
      <c r="F359" s="298"/>
      <c r="G359" s="298"/>
      <c r="H359" s="298"/>
      <c r="I359" s="313"/>
      <c r="J359" s="309"/>
      <c r="K359" s="298">
        <f t="shared" si="21"/>
        <v>0</v>
      </c>
      <c r="L359" s="303" t="str">
        <f t="shared" ca="1" si="22"/>
        <v/>
      </c>
      <c r="M359" s="304" t="str">
        <f t="shared" ca="1" si="23"/>
        <v/>
      </c>
      <c r="N359" s="305" t="str">
        <f ca="1">IFERROR(_xludf.IFS(G359&lt;100,(ABS(100/G359))+1,G359&gt;100,(G359/100)+1,G359=100, 2, G359=-100, 2),"")</f>
        <v/>
      </c>
      <c r="O359" s="305" t="str">
        <f ca="1">IFERROR(_xludf.IFS(H359&lt;100,(ABS(100/H359))+1,H359&gt;100,(H359/100)+1,H359=100, 2, H359=-100, 2),"")</f>
        <v/>
      </c>
      <c r="P359" s="305" t="str">
        <f t="shared" ca="1" si="24"/>
        <v/>
      </c>
      <c r="Q359" s="263"/>
      <c r="R359" s="263"/>
      <c r="S359" s="263"/>
      <c r="T359" s="263"/>
      <c r="U359" s="263"/>
      <c r="V359" s="263"/>
      <c r="W359" s="263"/>
      <c r="X359" s="71"/>
      <c r="Y359" s="71"/>
      <c r="Z359" s="71"/>
      <c r="AA359" s="71"/>
      <c r="AB359" s="71"/>
    </row>
    <row r="360" spans="1:28" ht="15.75" customHeight="1">
      <c r="A360" s="143"/>
      <c r="B360" s="298"/>
      <c r="C360" s="298"/>
      <c r="D360" s="298"/>
      <c r="E360" s="298"/>
      <c r="F360" s="298"/>
      <c r="G360" s="298"/>
      <c r="H360" s="298"/>
      <c r="I360" s="313"/>
      <c r="J360" s="309"/>
      <c r="K360" s="298">
        <f t="shared" si="21"/>
        <v>0</v>
      </c>
      <c r="L360" s="303" t="str">
        <f t="shared" ca="1" si="22"/>
        <v/>
      </c>
      <c r="M360" s="304" t="str">
        <f t="shared" ca="1" si="23"/>
        <v/>
      </c>
      <c r="N360" s="305" t="str">
        <f ca="1">IFERROR(_xludf.IFS(G360&lt;100,(ABS(100/G360))+1,G360&gt;100,(G360/100)+1,G360=100, 2, G360=-100, 2),"")</f>
        <v/>
      </c>
      <c r="O360" s="305" t="str">
        <f ca="1">IFERROR(_xludf.IFS(H360&lt;100,(ABS(100/H360))+1,H360&gt;100,(H360/100)+1,H360=100, 2, H360=-100, 2),"")</f>
        <v/>
      </c>
      <c r="P360" s="305" t="str">
        <f t="shared" ca="1" si="24"/>
        <v/>
      </c>
      <c r="Q360" s="263"/>
      <c r="R360" s="263"/>
      <c r="S360" s="263"/>
      <c r="T360" s="263"/>
      <c r="U360" s="263"/>
      <c r="V360" s="263"/>
      <c r="W360" s="263"/>
      <c r="X360" s="71"/>
      <c r="Y360" s="71"/>
      <c r="Z360" s="71"/>
      <c r="AA360" s="71"/>
      <c r="AB360" s="71"/>
    </row>
    <row r="361" spans="1:28" ht="15.75" customHeight="1">
      <c r="A361" s="143"/>
      <c r="B361" s="298"/>
      <c r="C361" s="298"/>
      <c r="D361" s="298"/>
      <c r="E361" s="298"/>
      <c r="F361" s="298"/>
      <c r="G361" s="298"/>
      <c r="H361" s="298"/>
      <c r="I361" s="313"/>
      <c r="J361" s="309"/>
      <c r="K361" s="298">
        <f t="shared" si="21"/>
        <v>0</v>
      </c>
      <c r="L361" s="303" t="str">
        <f t="shared" ca="1" si="22"/>
        <v/>
      </c>
      <c r="M361" s="304" t="str">
        <f t="shared" ca="1" si="23"/>
        <v/>
      </c>
      <c r="N361" s="305" t="str">
        <f ca="1">IFERROR(_xludf.IFS(G361&lt;100,(ABS(100/G361))+1,G361&gt;100,(G361/100)+1,G361=100, 2, G361=-100, 2),"")</f>
        <v/>
      </c>
      <c r="O361" s="305" t="str">
        <f ca="1">IFERROR(_xludf.IFS(H361&lt;100,(ABS(100/H361))+1,H361&gt;100,(H361/100)+1,H361=100, 2, H361=-100, 2),"")</f>
        <v/>
      </c>
      <c r="P361" s="305" t="str">
        <f t="shared" ca="1" si="24"/>
        <v/>
      </c>
      <c r="Q361" s="263"/>
      <c r="R361" s="263"/>
      <c r="S361" s="263"/>
      <c r="T361" s="263"/>
      <c r="U361" s="263"/>
      <c r="V361" s="263"/>
      <c r="W361" s="263"/>
      <c r="X361" s="71"/>
      <c r="Y361" s="71"/>
      <c r="Z361" s="71"/>
      <c r="AA361" s="71"/>
      <c r="AB361" s="71"/>
    </row>
    <row r="362" spans="1:28" ht="15.75" customHeight="1">
      <c r="A362" s="143"/>
      <c r="B362" s="298"/>
      <c r="C362" s="298"/>
      <c r="D362" s="298"/>
      <c r="E362" s="298"/>
      <c r="F362" s="298"/>
      <c r="G362" s="298"/>
      <c r="H362" s="298"/>
      <c r="I362" s="313"/>
      <c r="J362" s="309"/>
      <c r="K362" s="298">
        <f t="shared" si="21"/>
        <v>0</v>
      </c>
      <c r="L362" s="303" t="str">
        <f t="shared" ca="1" si="22"/>
        <v/>
      </c>
      <c r="M362" s="304" t="str">
        <f t="shared" ca="1" si="23"/>
        <v/>
      </c>
      <c r="N362" s="305" t="str">
        <f ca="1">IFERROR(_xludf.IFS(G362&lt;100,(ABS(100/G362))+1,G362&gt;100,(G362/100)+1,G362=100, 2, G362=-100, 2),"")</f>
        <v/>
      </c>
      <c r="O362" s="305" t="str">
        <f ca="1">IFERROR(_xludf.IFS(H362&lt;100,(ABS(100/H362))+1,H362&gt;100,(H362/100)+1,H362=100, 2, H362=-100, 2),"")</f>
        <v/>
      </c>
      <c r="P362" s="305" t="str">
        <f t="shared" ca="1" si="24"/>
        <v/>
      </c>
      <c r="Q362" s="263"/>
      <c r="R362" s="263"/>
      <c r="S362" s="263"/>
      <c r="T362" s="263"/>
      <c r="U362" s="263"/>
      <c r="V362" s="263"/>
      <c r="W362" s="263"/>
      <c r="X362" s="71"/>
      <c r="Y362" s="71"/>
      <c r="Z362" s="71"/>
      <c r="AA362" s="71"/>
      <c r="AB362" s="71"/>
    </row>
    <row r="363" spans="1:28" ht="15.75" customHeight="1">
      <c r="A363" s="143"/>
      <c r="B363" s="298"/>
      <c r="C363" s="298"/>
      <c r="D363" s="298"/>
      <c r="E363" s="298"/>
      <c r="F363" s="298"/>
      <c r="G363" s="298"/>
      <c r="H363" s="298"/>
      <c r="I363" s="313"/>
      <c r="J363" s="309"/>
      <c r="K363" s="298">
        <f t="shared" si="21"/>
        <v>0</v>
      </c>
      <c r="L363" s="303" t="str">
        <f t="shared" ca="1" si="22"/>
        <v/>
      </c>
      <c r="M363" s="304" t="str">
        <f t="shared" ca="1" si="23"/>
        <v/>
      </c>
      <c r="N363" s="305" t="str">
        <f ca="1">IFERROR(_xludf.IFS(G363&lt;100,(ABS(100/G363))+1,G363&gt;100,(G363/100)+1,G363=100, 2, G363=-100, 2),"")</f>
        <v/>
      </c>
      <c r="O363" s="305" t="str">
        <f ca="1">IFERROR(_xludf.IFS(H363&lt;100,(ABS(100/H363))+1,H363&gt;100,(H363/100)+1,H363=100, 2, H363=-100, 2),"")</f>
        <v/>
      </c>
      <c r="P363" s="305" t="str">
        <f t="shared" ca="1" si="24"/>
        <v/>
      </c>
      <c r="Q363" s="263"/>
      <c r="R363" s="263"/>
      <c r="S363" s="263"/>
      <c r="T363" s="263"/>
      <c r="U363" s="263"/>
      <c r="V363" s="263"/>
      <c r="W363" s="263"/>
      <c r="X363" s="71"/>
      <c r="Y363" s="71"/>
      <c r="Z363" s="71"/>
      <c r="AA363" s="71"/>
      <c r="AB363" s="71"/>
    </row>
    <row r="364" spans="1:28" ht="15.75" customHeight="1">
      <c r="A364" s="143"/>
      <c r="B364" s="298"/>
      <c r="C364" s="298"/>
      <c r="D364" s="298"/>
      <c r="E364" s="298"/>
      <c r="F364" s="298"/>
      <c r="G364" s="298"/>
      <c r="H364" s="298"/>
      <c r="I364" s="313"/>
      <c r="J364" s="309"/>
      <c r="K364" s="298">
        <f t="shared" si="21"/>
        <v>0</v>
      </c>
      <c r="L364" s="303" t="str">
        <f t="shared" ca="1" si="22"/>
        <v/>
      </c>
      <c r="M364" s="304" t="str">
        <f t="shared" ca="1" si="23"/>
        <v/>
      </c>
      <c r="N364" s="305" t="str">
        <f ca="1">IFERROR(_xludf.IFS(G364&lt;100,(ABS(100/G364))+1,G364&gt;100,(G364/100)+1,G364=100, 2, G364=-100, 2),"")</f>
        <v/>
      </c>
      <c r="O364" s="305" t="str">
        <f ca="1">IFERROR(_xludf.IFS(H364&lt;100,(ABS(100/H364))+1,H364&gt;100,(H364/100)+1,H364=100, 2, H364=-100, 2),"")</f>
        <v/>
      </c>
      <c r="P364" s="305" t="str">
        <f t="shared" ca="1" si="24"/>
        <v/>
      </c>
      <c r="Q364" s="263"/>
      <c r="R364" s="263"/>
      <c r="S364" s="263"/>
      <c r="T364" s="263"/>
      <c r="U364" s="263"/>
      <c r="V364" s="263"/>
      <c r="W364" s="263"/>
      <c r="X364" s="71"/>
      <c r="Y364" s="71"/>
      <c r="Z364" s="71"/>
      <c r="AA364" s="71"/>
      <c r="AB364" s="71"/>
    </row>
    <row r="365" spans="1:28" ht="15.75" customHeight="1">
      <c r="A365" s="143"/>
      <c r="B365" s="298"/>
      <c r="C365" s="298"/>
      <c r="D365" s="298"/>
      <c r="E365" s="298"/>
      <c r="F365" s="298"/>
      <c r="G365" s="298"/>
      <c r="H365" s="298"/>
      <c r="I365" s="313"/>
      <c r="J365" s="309"/>
      <c r="K365" s="298">
        <f t="shared" si="21"/>
        <v>0</v>
      </c>
      <c r="L365" s="303" t="str">
        <f t="shared" ca="1" si="22"/>
        <v/>
      </c>
      <c r="M365" s="304" t="str">
        <f t="shared" ca="1" si="23"/>
        <v/>
      </c>
      <c r="N365" s="305" t="str">
        <f ca="1">IFERROR(_xludf.IFS(G365&lt;100,(ABS(100/G365))+1,G365&gt;100,(G365/100)+1,G365=100, 2, G365=-100, 2),"")</f>
        <v/>
      </c>
      <c r="O365" s="305" t="str">
        <f ca="1">IFERROR(_xludf.IFS(H365&lt;100,(ABS(100/H365))+1,H365&gt;100,(H365/100)+1,H365=100, 2, H365=-100, 2),"")</f>
        <v/>
      </c>
      <c r="P365" s="305" t="str">
        <f t="shared" ca="1" si="24"/>
        <v/>
      </c>
      <c r="Q365" s="263"/>
      <c r="R365" s="263"/>
      <c r="S365" s="263"/>
      <c r="T365" s="263"/>
      <c r="U365" s="263"/>
      <c r="V365" s="263"/>
      <c r="W365" s="263"/>
      <c r="X365" s="71"/>
      <c r="Y365" s="71"/>
      <c r="Z365" s="71"/>
      <c r="AA365" s="71"/>
      <c r="AB365" s="71"/>
    </row>
    <row r="366" spans="1:28" ht="15.75" customHeight="1">
      <c r="A366" s="143"/>
      <c r="B366" s="298"/>
      <c r="C366" s="298"/>
      <c r="D366" s="298"/>
      <c r="E366" s="298"/>
      <c r="F366" s="298"/>
      <c r="G366" s="298"/>
      <c r="H366" s="298"/>
      <c r="I366" s="313"/>
      <c r="J366" s="309"/>
      <c r="K366" s="298">
        <f t="shared" si="21"/>
        <v>0</v>
      </c>
      <c r="L366" s="303" t="str">
        <f t="shared" ca="1" si="22"/>
        <v/>
      </c>
      <c r="M366" s="304" t="str">
        <f t="shared" ca="1" si="23"/>
        <v/>
      </c>
      <c r="N366" s="305" t="str">
        <f ca="1">IFERROR(_xludf.IFS(G366&lt;100,(ABS(100/G366))+1,G366&gt;100,(G366/100)+1,G366=100, 2, G366=-100, 2),"")</f>
        <v/>
      </c>
      <c r="O366" s="305" t="str">
        <f ca="1">IFERROR(_xludf.IFS(H366&lt;100,(ABS(100/H366))+1,H366&gt;100,(H366/100)+1,H366=100, 2, H366=-100, 2),"")</f>
        <v/>
      </c>
      <c r="P366" s="305" t="str">
        <f t="shared" ca="1" si="24"/>
        <v/>
      </c>
      <c r="Q366" s="263"/>
      <c r="R366" s="263"/>
      <c r="S366" s="263"/>
      <c r="T366" s="263"/>
      <c r="U366" s="263"/>
      <c r="V366" s="263"/>
      <c r="W366" s="263"/>
      <c r="X366" s="71"/>
      <c r="Y366" s="71"/>
      <c r="Z366" s="71"/>
      <c r="AA366" s="71"/>
      <c r="AB366" s="71"/>
    </row>
    <row r="367" spans="1:28" ht="15.75" customHeight="1">
      <c r="A367" s="143"/>
      <c r="B367" s="298"/>
      <c r="C367" s="298"/>
      <c r="D367" s="298"/>
      <c r="E367" s="298"/>
      <c r="F367" s="298"/>
      <c r="G367" s="298"/>
      <c r="H367" s="298"/>
      <c r="I367" s="313"/>
      <c r="J367" s="309"/>
      <c r="K367" s="298">
        <f t="shared" si="21"/>
        <v>0</v>
      </c>
      <c r="L367" s="303" t="str">
        <f t="shared" ca="1" si="22"/>
        <v/>
      </c>
      <c r="M367" s="304" t="str">
        <f t="shared" ca="1" si="23"/>
        <v/>
      </c>
      <c r="N367" s="305" t="str">
        <f ca="1">IFERROR(_xludf.IFS(G367&lt;100,(ABS(100/G367))+1,G367&gt;100,(G367/100)+1,G367=100, 2, G367=-100, 2),"")</f>
        <v/>
      </c>
      <c r="O367" s="305" t="str">
        <f ca="1">IFERROR(_xludf.IFS(H367&lt;100,(ABS(100/H367))+1,H367&gt;100,(H367/100)+1,H367=100, 2, H367=-100, 2),"")</f>
        <v/>
      </c>
      <c r="P367" s="305" t="str">
        <f t="shared" ca="1" si="24"/>
        <v/>
      </c>
      <c r="Q367" s="263"/>
      <c r="R367" s="263"/>
      <c r="S367" s="263"/>
      <c r="T367" s="263"/>
      <c r="U367" s="263"/>
      <c r="V367" s="263"/>
      <c r="W367" s="263"/>
      <c r="X367" s="71"/>
      <c r="Y367" s="71"/>
      <c r="Z367" s="71"/>
      <c r="AA367" s="71"/>
      <c r="AB367" s="71"/>
    </row>
    <row r="368" spans="1:28" ht="15.75" customHeight="1">
      <c r="A368" s="143"/>
      <c r="B368" s="298"/>
      <c r="C368" s="298"/>
      <c r="D368" s="298"/>
      <c r="E368" s="298"/>
      <c r="F368" s="298"/>
      <c r="G368" s="298"/>
      <c r="H368" s="298"/>
      <c r="I368" s="313"/>
      <c r="J368" s="309"/>
      <c r="K368" s="298">
        <f t="shared" si="21"/>
        <v>0</v>
      </c>
      <c r="L368" s="303" t="str">
        <f t="shared" ca="1" si="22"/>
        <v/>
      </c>
      <c r="M368" s="304" t="str">
        <f t="shared" ca="1" si="23"/>
        <v/>
      </c>
      <c r="N368" s="305" t="str">
        <f ca="1">IFERROR(_xludf.IFS(G368&lt;100,(ABS(100/G368))+1,G368&gt;100,(G368/100)+1,G368=100, 2, G368=-100, 2),"")</f>
        <v/>
      </c>
      <c r="O368" s="305" t="str">
        <f ca="1">IFERROR(_xludf.IFS(H368&lt;100,(ABS(100/H368))+1,H368&gt;100,(H368/100)+1,H368=100, 2, H368=-100, 2),"")</f>
        <v/>
      </c>
      <c r="P368" s="305" t="str">
        <f t="shared" ca="1" si="24"/>
        <v/>
      </c>
      <c r="Q368" s="263"/>
      <c r="R368" s="263"/>
      <c r="S368" s="263"/>
      <c r="T368" s="263"/>
      <c r="U368" s="263"/>
      <c r="V368" s="263"/>
      <c r="W368" s="263"/>
      <c r="X368" s="71"/>
      <c r="Y368" s="71"/>
      <c r="Z368" s="71"/>
      <c r="AA368" s="71"/>
      <c r="AB368" s="71"/>
    </row>
    <row r="369" spans="1:28" ht="15.75" customHeight="1">
      <c r="A369" s="143"/>
      <c r="B369" s="298"/>
      <c r="C369" s="298"/>
      <c r="D369" s="298"/>
      <c r="E369" s="298"/>
      <c r="F369" s="298"/>
      <c r="G369" s="298"/>
      <c r="H369" s="298"/>
      <c r="I369" s="313"/>
      <c r="J369" s="309"/>
      <c r="K369" s="298">
        <f t="shared" si="21"/>
        <v>0</v>
      </c>
      <c r="L369" s="303" t="str">
        <f t="shared" ca="1" si="22"/>
        <v/>
      </c>
      <c r="M369" s="304" t="str">
        <f t="shared" ca="1" si="23"/>
        <v/>
      </c>
      <c r="N369" s="305" t="str">
        <f ca="1">IFERROR(_xludf.IFS(G369&lt;100,(ABS(100/G369))+1,G369&gt;100,(G369/100)+1,G369=100, 2, G369=-100, 2),"")</f>
        <v/>
      </c>
      <c r="O369" s="305" t="str">
        <f ca="1">IFERROR(_xludf.IFS(H369&lt;100,(ABS(100/H369))+1,H369&gt;100,(H369/100)+1,H369=100, 2, H369=-100, 2),"")</f>
        <v/>
      </c>
      <c r="P369" s="305" t="str">
        <f t="shared" ca="1" si="24"/>
        <v/>
      </c>
      <c r="Q369" s="263"/>
      <c r="R369" s="263"/>
      <c r="S369" s="263"/>
      <c r="T369" s="263"/>
      <c r="U369" s="263"/>
      <c r="V369" s="263"/>
      <c r="W369" s="263"/>
      <c r="X369" s="71"/>
      <c r="Y369" s="71"/>
      <c r="Z369" s="71"/>
      <c r="AA369" s="71"/>
      <c r="AB369" s="71"/>
    </row>
    <row r="370" spans="1:28" ht="15.75" customHeight="1">
      <c r="A370" s="143"/>
      <c r="B370" s="298"/>
      <c r="C370" s="298"/>
      <c r="D370" s="298"/>
      <c r="E370" s="298"/>
      <c r="F370" s="298"/>
      <c r="G370" s="298"/>
      <c r="H370" s="298"/>
      <c r="I370" s="313"/>
      <c r="J370" s="309"/>
      <c r="K370" s="298">
        <f t="shared" si="21"/>
        <v>0</v>
      </c>
      <c r="L370" s="303" t="str">
        <f t="shared" ca="1" si="22"/>
        <v/>
      </c>
      <c r="M370" s="304" t="str">
        <f t="shared" ca="1" si="23"/>
        <v/>
      </c>
      <c r="N370" s="305" t="str">
        <f ca="1">IFERROR(_xludf.IFS(G370&lt;100,(ABS(100/G370))+1,G370&gt;100,(G370/100)+1,G370=100, 2, G370=-100, 2),"")</f>
        <v/>
      </c>
      <c r="O370" s="305" t="str">
        <f ca="1">IFERROR(_xludf.IFS(H370&lt;100,(ABS(100/H370))+1,H370&gt;100,(H370/100)+1,H370=100, 2, H370=-100, 2),"")</f>
        <v/>
      </c>
      <c r="P370" s="305" t="str">
        <f t="shared" ca="1" si="24"/>
        <v/>
      </c>
      <c r="Q370" s="263"/>
      <c r="R370" s="263"/>
      <c r="S370" s="263"/>
      <c r="T370" s="263"/>
      <c r="U370" s="263"/>
      <c r="V370" s="263"/>
      <c r="W370" s="263"/>
      <c r="X370" s="71"/>
      <c r="Y370" s="71"/>
      <c r="Z370" s="71"/>
      <c r="AA370" s="71"/>
      <c r="AB370" s="71"/>
    </row>
    <row r="371" spans="1:28" ht="15.75" customHeight="1">
      <c r="A371" s="143"/>
      <c r="B371" s="298"/>
      <c r="C371" s="298"/>
      <c r="D371" s="298"/>
      <c r="E371" s="298"/>
      <c r="F371" s="298"/>
      <c r="G371" s="298"/>
      <c r="H371" s="298"/>
      <c r="I371" s="313"/>
      <c r="J371" s="309"/>
      <c r="K371" s="298">
        <f t="shared" si="21"/>
        <v>0</v>
      </c>
      <c r="L371" s="303" t="str">
        <f t="shared" ca="1" si="22"/>
        <v/>
      </c>
      <c r="M371" s="304" t="str">
        <f t="shared" ca="1" si="23"/>
        <v/>
      </c>
      <c r="N371" s="305" t="str">
        <f ca="1">IFERROR(_xludf.IFS(G371&lt;100,(ABS(100/G371))+1,G371&gt;100,(G371/100)+1,G371=100, 2, G371=-100, 2),"")</f>
        <v/>
      </c>
      <c r="O371" s="305" t="str">
        <f ca="1">IFERROR(_xludf.IFS(H371&lt;100,(ABS(100/H371))+1,H371&gt;100,(H371/100)+1,H371=100, 2, H371=-100, 2),"")</f>
        <v/>
      </c>
      <c r="P371" s="305" t="str">
        <f t="shared" ca="1" si="24"/>
        <v/>
      </c>
      <c r="Q371" s="263"/>
      <c r="R371" s="263"/>
      <c r="S371" s="263"/>
      <c r="T371" s="263"/>
      <c r="U371" s="263"/>
      <c r="V371" s="263"/>
      <c r="W371" s="263"/>
      <c r="X371" s="71"/>
      <c r="Y371" s="71"/>
      <c r="Z371" s="71"/>
      <c r="AA371" s="71"/>
      <c r="AB371" s="71"/>
    </row>
    <row r="372" spans="1:28" ht="15.75" customHeight="1">
      <c r="A372" s="143"/>
      <c r="B372" s="298"/>
      <c r="C372" s="298"/>
      <c r="D372" s="298"/>
      <c r="E372" s="298"/>
      <c r="F372" s="298"/>
      <c r="G372" s="298"/>
      <c r="H372" s="298"/>
      <c r="I372" s="313"/>
      <c r="J372" s="309"/>
      <c r="K372" s="298">
        <f t="shared" si="21"/>
        <v>0</v>
      </c>
      <c r="L372" s="303" t="str">
        <f t="shared" ca="1" si="22"/>
        <v/>
      </c>
      <c r="M372" s="304" t="str">
        <f t="shared" ca="1" si="23"/>
        <v/>
      </c>
      <c r="N372" s="305" t="str">
        <f ca="1">IFERROR(_xludf.IFS(G372&lt;100,(ABS(100/G372))+1,G372&gt;100,(G372/100)+1,G372=100, 2, G372=-100, 2),"")</f>
        <v/>
      </c>
      <c r="O372" s="305" t="str">
        <f ca="1">IFERROR(_xludf.IFS(H372&lt;100,(ABS(100/H372))+1,H372&gt;100,(H372/100)+1,H372=100, 2, H372=-100, 2),"")</f>
        <v/>
      </c>
      <c r="P372" s="305" t="str">
        <f t="shared" ca="1" si="24"/>
        <v/>
      </c>
      <c r="Q372" s="263"/>
      <c r="R372" s="263"/>
      <c r="S372" s="263"/>
      <c r="T372" s="263"/>
      <c r="U372" s="263"/>
      <c r="V372" s="263"/>
      <c r="W372" s="263"/>
      <c r="X372" s="71"/>
      <c r="Y372" s="71"/>
      <c r="Z372" s="71"/>
      <c r="AA372" s="71"/>
      <c r="AB372" s="71"/>
    </row>
    <row r="373" spans="1:28" ht="15.75" customHeight="1">
      <c r="A373" s="143"/>
      <c r="B373" s="298"/>
      <c r="C373" s="298"/>
      <c r="D373" s="298"/>
      <c r="E373" s="298"/>
      <c r="F373" s="298"/>
      <c r="G373" s="298"/>
      <c r="H373" s="298"/>
      <c r="I373" s="313"/>
      <c r="J373" s="309"/>
      <c r="K373" s="298">
        <f t="shared" si="21"/>
        <v>0</v>
      </c>
      <c r="L373" s="303" t="str">
        <f t="shared" ca="1" si="22"/>
        <v/>
      </c>
      <c r="M373" s="304" t="str">
        <f t="shared" ca="1" si="23"/>
        <v/>
      </c>
      <c r="N373" s="305" t="str">
        <f ca="1">IFERROR(_xludf.IFS(G373&lt;100,(ABS(100/G373))+1,G373&gt;100,(G373/100)+1,G373=100, 2, G373=-100, 2),"")</f>
        <v/>
      </c>
      <c r="O373" s="305" t="str">
        <f ca="1">IFERROR(_xludf.IFS(H373&lt;100,(ABS(100/H373))+1,H373&gt;100,(H373/100)+1,H373=100, 2, H373=-100, 2),"")</f>
        <v/>
      </c>
      <c r="P373" s="305" t="str">
        <f t="shared" ca="1" si="24"/>
        <v/>
      </c>
      <c r="Q373" s="263"/>
      <c r="R373" s="263"/>
      <c r="S373" s="263"/>
      <c r="T373" s="263"/>
      <c r="U373" s="263"/>
      <c r="V373" s="263"/>
      <c r="W373" s="263"/>
      <c r="X373" s="71"/>
      <c r="Y373" s="71"/>
      <c r="Z373" s="71"/>
      <c r="AA373" s="71"/>
      <c r="AB373" s="71"/>
    </row>
    <row r="374" spans="1:28" ht="15.75" customHeight="1">
      <c r="A374" s="143"/>
      <c r="B374" s="298"/>
      <c r="C374" s="298"/>
      <c r="D374" s="298"/>
      <c r="E374" s="298"/>
      <c r="F374" s="298"/>
      <c r="G374" s="298"/>
      <c r="H374" s="298"/>
      <c r="I374" s="313"/>
      <c r="J374" s="309"/>
      <c r="K374" s="298">
        <f t="shared" si="21"/>
        <v>0</v>
      </c>
      <c r="L374" s="303" t="str">
        <f t="shared" ca="1" si="22"/>
        <v/>
      </c>
      <c r="M374" s="304" t="str">
        <f t="shared" ca="1" si="23"/>
        <v/>
      </c>
      <c r="N374" s="305" t="str">
        <f ca="1">IFERROR(_xludf.IFS(G374&lt;100,(ABS(100/G374))+1,G374&gt;100,(G374/100)+1,G374=100, 2, G374=-100, 2),"")</f>
        <v/>
      </c>
      <c r="O374" s="305" t="str">
        <f ca="1">IFERROR(_xludf.IFS(H374&lt;100,(ABS(100/H374))+1,H374&gt;100,(H374/100)+1,H374=100, 2, H374=-100, 2),"")</f>
        <v/>
      </c>
      <c r="P374" s="305" t="str">
        <f t="shared" ca="1" si="24"/>
        <v/>
      </c>
      <c r="Q374" s="263"/>
      <c r="R374" s="263"/>
      <c r="S374" s="263"/>
      <c r="T374" s="263"/>
      <c r="U374" s="263"/>
      <c r="V374" s="263"/>
      <c r="W374" s="263"/>
      <c r="X374" s="71"/>
      <c r="Y374" s="71"/>
      <c r="Z374" s="71"/>
      <c r="AA374" s="71"/>
      <c r="AB374" s="71"/>
    </row>
    <row r="375" spans="1:28" ht="15.75" customHeight="1">
      <c r="A375" s="143"/>
      <c r="B375" s="298"/>
      <c r="C375" s="298"/>
      <c r="D375" s="298"/>
      <c r="E375" s="298"/>
      <c r="F375" s="298"/>
      <c r="G375" s="298"/>
      <c r="H375" s="298"/>
      <c r="I375" s="313"/>
      <c r="J375" s="309"/>
      <c r="K375" s="298">
        <f t="shared" si="21"/>
        <v>0</v>
      </c>
      <c r="L375" s="303" t="str">
        <f t="shared" ca="1" si="22"/>
        <v/>
      </c>
      <c r="M375" s="304" t="str">
        <f t="shared" ca="1" si="23"/>
        <v/>
      </c>
      <c r="N375" s="305" t="str">
        <f ca="1">IFERROR(_xludf.IFS(G375&lt;100,(ABS(100/G375))+1,G375&gt;100,(G375/100)+1,G375=100, 2, G375=-100, 2),"")</f>
        <v/>
      </c>
      <c r="O375" s="305" t="str">
        <f ca="1">IFERROR(_xludf.IFS(H375&lt;100,(ABS(100/H375))+1,H375&gt;100,(H375/100)+1,H375=100, 2, H375=-100, 2),"")</f>
        <v/>
      </c>
      <c r="P375" s="305" t="str">
        <f t="shared" ca="1" si="24"/>
        <v/>
      </c>
      <c r="Q375" s="263"/>
      <c r="R375" s="263"/>
      <c r="S375" s="263"/>
      <c r="T375" s="263"/>
      <c r="U375" s="263"/>
      <c r="V375" s="263"/>
      <c r="W375" s="263"/>
      <c r="X375" s="71"/>
      <c r="Y375" s="71"/>
      <c r="Z375" s="71"/>
      <c r="AA375" s="71"/>
      <c r="AB375" s="71"/>
    </row>
    <row r="376" spans="1:28" ht="15.75" customHeight="1">
      <c r="A376" s="143"/>
      <c r="B376" s="298"/>
      <c r="C376" s="298"/>
      <c r="D376" s="298"/>
      <c r="E376" s="298"/>
      <c r="F376" s="298"/>
      <c r="G376" s="298"/>
      <c r="H376" s="298"/>
      <c r="I376" s="313"/>
      <c r="J376" s="309"/>
      <c r="K376" s="298">
        <f t="shared" si="21"/>
        <v>0</v>
      </c>
      <c r="L376" s="303" t="str">
        <f t="shared" ca="1" si="22"/>
        <v/>
      </c>
      <c r="M376" s="304" t="str">
        <f t="shared" ca="1" si="23"/>
        <v/>
      </c>
      <c r="N376" s="305" t="str">
        <f ca="1">IFERROR(_xludf.IFS(G376&lt;100,(ABS(100/G376))+1,G376&gt;100,(G376/100)+1,G376=100, 2, G376=-100, 2),"")</f>
        <v/>
      </c>
      <c r="O376" s="305" t="str">
        <f ca="1">IFERROR(_xludf.IFS(H376&lt;100,(ABS(100/H376))+1,H376&gt;100,(H376/100)+1,H376=100, 2, H376=-100, 2),"")</f>
        <v/>
      </c>
      <c r="P376" s="305" t="str">
        <f t="shared" ca="1" si="24"/>
        <v/>
      </c>
      <c r="Q376" s="263"/>
      <c r="R376" s="263"/>
      <c r="S376" s="263"/>
      <c r="T376" s="263"/>
      <c r="U376" s="263"/>
      <c r="V376" s="263"/>
      <c r="W376" s="263"/>
      <c r="X376" s="71"/>
      <c r="Y376" s="71"/>
      <c r="Z376" s="71"/>
      <c r="AA376" s="71"/>
      <c r="AB376" s="71"/>
    </row>
    <row r="377" spans="1:28" ht="15.75" customHeight="1">
      <c r="A377" s="143"/>
      <c r="B377" s="298"/>
      <c r="C377" s="298"/>
      <c r="D377" s="298"/>
      <c r="E377" s="298"/>
      <c r="F377" s="298"/>
      <c r="G377" s="298"/>
      <c r="H377" s="298"/>
      <c r="I377" s="313"/>
      <c r="J377" s="309"/>
      <c r="K377" s="298">
        <f t="shared" si="21"/>
        <v>0</v>
      </c>
      <c r="L377" s="303" t="str">
        <f t="shared" ca="1" si="22"/>
        <v/>
      </c>
      <c r="M377" s="304" t="str">
        <f t="shared" ca="1" si="23"/>
        <v/>
      </c>
      <c r="N377" s="305" t="str">
        <f ca="1">IFERROR(_xludf.IFS(G377&lt;100,(ABS(100/G377))+1,G377&gt;100,(G377/100)+1,G377=100, 2, G377=-100, 2),"")</f>
        <v/>
      </c>
      <c r="O377" s="305" t="str">
        <f ca="1">IFERROR(_xludf.IFS(H377&lt;100,(ABS(100/H377))+1,H377&gt;100,(H377/100)+1,H377=100, 2, H377=-100, 2),"")</f>
        <v/>
      </c>
      <c r="P377" s="305" t="str">
        <f t="shared" ca="1" si="24"/>
        <v/>
      </c>
      <c r="Q377" s="263"/>
      <c r="R377" s="263"/>
      <c r="S377" s="263"/>
      <c r="T377" s="263"/>
      <c r="U377" s="263"/>
      <c r="V377" s="263"/>
      <c r="W377" s="263"/>
      <c r="X377" s="71"/>
      <c r="Y377" s="71"/>
      <c r="Z377" s="71"/>
      <c r="AA377" s="71"/>
      <c r="AB377" s="71"/>
    </row>
    <row r="378" spans="1:28" ht="15.75" customHeight="1">
      <c r="A378" s="143"/>
      <c r="B378" s="298"/>
      <c r="C378" s="298"/>
      <c r="D378" s="298"/>
      <c r="E378" s="298"/>
      <c r="F378" s="298"/>
      <c r="G378" s="298"/>
      <c r="H378" s="298"/>
      <c r="I378" s="313"/>
      <c r="J378" s="309"/>
      <c r="K378" s="298">
        <f t="shared" si="21"/>
        <v>0</v>
      </c>
      <c r="L378" s="303" t="str">
        <f t="shared" ca="1" si="22"/>
        <v/>
      </c>
      <c r="M378" s="304" t="str">
        <f t="shared" ca="1" si="23"/>
        <v/>
      </c>
      <c r="N378" s="305" t="str">
        <f ca="1">IFERROR(_xludf.IFS(G378&lt;100,(ABS(100/G378))+1,G378&gt;100,(G378/100)+1,G378=100, 2, G378=-100, 2),"")</f>
        <v/>
      </c>
      <c r="O378" s="305" t="str">
        <f ca="1">IFERROR(_xludf.IFS(H378&lt;100,(ABS(100/H378))+1,H378&gt;100,(H378/100)+1,H378=100, 2, H378=-100, 2),"")</f>
        <v/>
      </c>
      <c r="P378" s="305" t="str">
        <f t="shared" ca="1" si="24"/>
        <v/>
      </c>
      <c r="Q378" s="263"/>
      <c r="R378" s="263"/>
      <c r="S378" s="263"/>
      <c r="T378" s="263"/>
      <c r="U378" s="263"/>
      <c r="V378" s="263"/>
      <c r="W378" s="263"/>
      <c r="X378" s="71"/>
      <c r="Y378" s="71"/>
      <c r="Z378" s="71"/>
      <c r="AA378" s="71"/>
      <c r="AB378" s="71"/>
    </row>
    <row r="379" spans="1:28" ht="15.75" customHeight="1">
      <c r="A379" s="143"/>
      <c r="B379" s="298"/>
      <c r="C379" s="298"/>
      <c r="D379" s="298"/>
      <c r="E379" s="298"/>
      <c r="F379" s="298"/>
      <c r="G379" s="298"/>
      <c r="H379" s="298"/>
      <c r="I379" s="313"/>
      <c r="J379" s="309"/>
      <c r="K379" s="298">
        <f t="shared" si="21"/>
        <v>0</v>
      </c>
      <c r="L379" s="303" t="str">
        <f t="shared" ca="1" si="22"/>
        <v/>
      </c>
      <c r="M379" s="304" t="str">
        <f t="shared" ca="1" si="23"/>
        <v/>
      </c>
      <c r="N379" s="305" t="str">
        <f ca="1">IFERROR(_xludf.IFS(G379&lt;100,(ABS(100/G379))+1,G379&gt;100,(G379/100)+1,G379=100, 2, G379=-100, 2),"")</f>
        <v/>
      </c>
      <c r="O379" s="305" t="str">
        <f ca="1">IFERROR(_xludf.IFS(H379&lt;100,(ABS(100/H379))+1,H379&gt;100,(H379/100)+1,H379=100, 2, H379=-100, 2),"")</f>
        <v/>
      </c>
      <c r="P379" s="305" t="str">
        <f t="shared" ca="1" si="24"/>
        <v/>
      </c>
      <c r="Q379" s="263"/>
      <c r="R379" s="263"/>
      <c r="S379" s="263"/>
      <c r="T379" s="263"/>
      <c r="U379" s="263"/>
      <c r="V379" s="263"/>
      <c r="W379" s="263"/>
      <c r="X379" s="71"/>
      <c r="Y379" s="71"/>
      <c r="Z379" s="71"/>
      <c r="AA379" s="71"/>
      <c r="AB379" s="71"/>
    </row>
    <row r="380" spans="1:28" ht="15.75" customHeight="1">
      <c r="A380" s="143"/>
      <c r="B380" s="298"/>
      <c r="C380" s="298"/>
      <c r="D380" s="298"/>
      <c r="E380" s="298"/>
      <c r="F380" s="298"/>
      <c r="G380" s="298"/>
      <c r="H380" s="298"/>
      <c r="I380" s="313"/>
      <c r="J380" s="309"/>
      <c r="K380" s="298">
        <f t="shared" si="21"/>
        <v>0</v>
      </c>
      <c r="L380" s="303" t="str">
        <f t="shared" ca="1" si="22"/>
        <v/>
      </c>
      <c r="M380" s="304" t="str">
        <f t="shared" ca="1" si="23"/>
        <v/>
      </c>
      <c r="N380" s="305" t="str">
        <f ca="1">IFERROR(_xludf.IFS(G380&lt;100,(ABS(100/G380))+1,G380&gt;100,(G380/100)+1,G380=100, 2, G380=-100, 2),"")</f>
        <v/>
      </c>
      <c r="O380" s="305" t="str">
        <f ca="1">IFERROR(_xludf.IFS(H380&lt;100,(ABS(100/H380))+1,H380&gt;100,(H380/100)+1,H380=100, 2, H380=-100, 2),"")</f>
        <v/>
      </c>
      <c r="P380" s="305" t="str">
        <f t="shared" ca="1" si="24"/>
        <v/>
      </c>
      <c r="Q380" s="263"/>
      <c r="R380" s="263"/>
      <c r="S380" s="263"/>
      <c r="T380" s="263"/>
      <c r="U380" s="263"/>
      <c r="V380" s="263"/>
      <c r="W380" s="263"/>
      <c r="X380" s="71"/>
      <c r="Y380" s="71"/>
      <c r="Z380" s="71"/>
      <c r="AA380" s="71"/>
      <c r="AB380" s="71"/>
    </row>
    <row r="381" spans="1:28" ht="15.75" customHeight="1">
      <c r="A381" s="143"/>
      <c r="B381" s="298"/>
      <c r="C381" s="298"/>
      <c r="D381" s="298"/>
      <c r="E381" s="298"/>
      <c r="F381" s="298"/>
      <c r="G381" s="298"/>
      <c r="H381" s="298"/>
      <c r="I381" s="313"/>
      <c r="J381" s="309"/>
      <c r="K381" s="298">
        <f t="shared" si="21"/>
        <v>0</v>
      </c>
      <c r="L381" s="303" t="str">
        <f t="shared" ca="1" si="22"/>
        <v/>
      </c>
      <c r="M381" s="304" t="str">
        <f t="shared" ca="1" si="23"/>
        <v/>
      </c>
      <c r="N381" s="305" t="str">
        <f ca="1">IFERROR(_xludf.IFS(G381&lt;100,(ABS(100/G381))+1,G381&gt;100,(G381/100)+1,G381=100, 2, G381=-100, 2),"")</f>
        <v/>
      </c>
      <c r="O381" s="305" t="str">
        <f ca="1">IFERROR(_xludf.IFS(H381&lt;100,(ABS(100/H381))+1,H381&gt;100,(H381/100)+1,H381=100, 2, H381=-100, 2),"")</f>
        <v/>
      </c>
      <c r="P381" s="305" t="str">
        <f t="shared" ca="1" si="24"/>
        <v/>
      </c>
      <c r="Q381" s="263"/>
      <c r="R381" s="263"/>
      <c r="S381" s="263"/>
      <c r="T381" s="263"/>
      <c r="U381" s="263"/>
      <c r="V381" s="263"/>
      <c r="W381" s="263"/>
      <c r="X381" s="71"/>
      <c r="Y381" s="71"/>
      <c r="Z381" s="71"/>
      <c r="AA381" s="71"/>
      <c r="AB381" s="71"/>
    </row>
    <row r="382" spans="1:28" ht="15.75" customHeight="1">
      <c r="A382" s="143"/>
      <c r="B382" s="298"/>
      <c r="C382" s="298"/>
      <c r="D382" s="298"/>
      <c r="E382" s="298"/>
      <c r="F382" s="298"/>
      <c r="G382" s="298"/>
      <c r="H382" s="298"/>
      <c r="I382" s="313"/>
      <c r="J382" s="309"/>
      <c r="K382" s="298">
        <f t="shared" si="21"/>
        <v>0</v>
      </c>
      <c r="L382" s="303" t="str">
        <f t="shared" ca="1" si="22"/>
        <v/>
      </c>
      <c r="M382" s="304" t="str">
        <f t="shared" ca="1" si="23"/>
        <v/>
      </c>
      <c r="N382" s="305" t="str">
        <f ca="1">IFERROR(_xludf.IFS(G382&lt;100,(ABS(100/G382))+1,G382&gt;100,(G382/100)+1,G382=100, 2, G382=-100, 2),"")</f>
        <v/>
      </c>
      <c r="O382" s="305" t="str">
        <f ca="1">IFERROR(_xludf.IFS(H382&lt;100,(ABS(100/H382))+1,H382&gt;100,(H382/100)+1,H382=100, 2, H382=-100, 2),"")</f>
        <v/>
      </c>
      <c r="P382" s="305" t="str">
        <f t="shared" ca="1" si="24"/>
        <v/>
      </c>
      <c r="Q382" s="263"/>
      <c r="R382" s="263"/>
      <c r="S382" s="263"/>
      <c r="T382" s="263"/>
      <c r="U382" s="263"/>
      <c r="V382" s="263"/>
      <c r="W382" s="263"/>
      <c r="X382" s="71"/>
      <c r="Y382" s="71"/>
      <c r="Z382" s="71"/>
      <c r="AA382" s="71"/>
      <c r="AB382" s="71"/>
    </row>
    <row r="383" spans="1:28" ht="15.75" customHeight="1">
      <c r="A383" s="143"/>
      <c r="B383" s="298"/>
      <c r="C383" s="298"/>
      <c r="D383" s="298"/>
      <c r="E383" s="298"/>
      <c r="F383" s="298"/>
      <c r="G383" s="298"/>
      <c r="H383" s="298"/>
      <c r="I383" s="313"/>
      <c r="J383" s="309"/>
      <c r="K383" s="298">
        <f t="shared" si="21"/>
        <v>0</v>
      </c>
      <c r="L383" s="303" t="str">
        <f t="shared" ca="1" si="22"/>
        <v/>
      </c>
      <c r="M383" s="304" t="str">
        <f t="shared" ca="1" si="23"/>
        <v/>
      </c>
      <c r="N383" s="305" t="str">
        <f ca="1">IFERROR(_xludf.IFS(G383&lt;100,(ABS(100/G383))+1,G383&gt;100,(G383/100)+1,G383=100, 2, G383=-100, 2),"")</f>
        <v/>
      </c>
      <c r="O383" s="305" t="str">
        <f ca="1">IFERROR(_xludf.IFS(H383&lt;100,(ABS(100/H383))+1,H383&gt;100,(H383/100)+1,H383=100, 2, H383=-100, 2),"")</f>
        <v/>
      </c>
      <c r="P383" s="305" t="str">
        <f t="shared" ca="1" si="24"/>
        <v/>
      </c>
      <c r="Q383" s="263"/>
      <c r="R383" s="263"/>
      <c r="S383" s="263"/>
      <c r="T383" s="263"/>
      <c r="U383" s="263"/>
      <c r="V383" s="263"/>
      <c r="W383" s="263"/>
      <c r="X383" s="71"/>
      <c r="Y383" s="71"/>
      <c r="Z383" s="71"/>
      <c r="AA383" s="71"/>
      <c r="AB383" s="71"/>
    </row>
    <row r="384" spans="1:28" ht="15.75" customHeight="1">
      <c r="A384" s="143"/>
      <c r="B384" s="298"/>
      <c r="C384" s="298"/>
      <c r="D384" s="298"/>
      <c r="E384" s="298"/>
      <c r="F384" s="298"/>
      <c r="G384" s="298"/>
      <c r="H384" s="298"/>
      <c r="I384" s="313"/>
      <c r="J384" s="309"/>
      <c r="K384" s="298">
        <f t="shared" si="21"/>
        <v>0</v>
      </c>
      <c r="L384" s="303" t="str">
        <f t="shared" ca="1" si="22"/>
        <v/>
      </c>
      <c r="M384" s="304" t="str">
        <f t="shared" ca="1" si="23"/>
        <v/>
      </c>
      <c r="N384" s="305" t="str">
        <f ca="1">IFERROR(_xludf.IFS(G384&lt;100,(ABS(100/G384))+1,G384&gt;100,(G384/100)+1,G384=100, 2, G384=-100, 2),"")</f>
        <v/>
      </c>
      <c r="O384" s="305" t="str">
        <f ca="1">IFERROR(_xludf.IFS(H384&lt;100,(ABS(100/H384))+1,H384&gt;100,(H384/100)+1,H384=100, 2, H384=-100, 2),"")</f>
        <v/>
      </c>
      <c r="P384" s="305" t="str">
        <f t="shared" ca="1" si="24"/>
        <v/>
      </c>
      <c r="Q384" s="263"/>
      <c r="R384" s="263"/>
      <c r="S384" s="263"/>
      <c r="T384" s="263"/>
      <c r="U384" s="263"/>
      <c r="V384" s="263"/>
      <c r="W384" s="263"/>
      <c r="X384" s="71"/>
      <c r="Y384" s="71"/>
      <c r="Z384" s="71"/>
      <c r="AA384" s="71"/>
      <c r="AB384" s="71"/>
    </row>
    <row r="385" spans="1:28" ht="15.75" customHeight="1">
      <c r="A385" s="143"/>
      <c r="B385" s="298"/>
      <c r="C385" s="298"/>
      <c r="D385" s="298"/>
      <c r="E385" s="298"/>
      <c r="F385" s="298"/>
      <c r="G385" s="298"/>
      <c r="H385" s="298"/>
      <c r="I385" s="313"/>
      <c r="J385" s="309"/>
      <c r="K385" s="298">
        <f t="shared" si="21"/>
        <v>0</v>
      </c>
      <c r="L385" s="303" t="str">
        <f t="shared" ca="1" si="22"/>
        <v/>
      </c>
      <c r="M385" s="304" t="str">
        <f t="shared" ca="1" si="23"/>
        <v/>
      </c>
      <c r="N385" s="305" t="str">
        <f ca="1">IFERROR(_xludf.IFS(G385&lt;100,(ABS(100/G385))+1,G385&gt;100,(G385/100)+1,G385=100, 2, G385=-100, 2),"")</f>
        <v/>
      </c>
      <c r="O385" s="305" t="str">
        <f ca="1">IFERROR(_xludf.IFS(H385&lt;100,(ABS(100/H385))+1,H385&gt;100,(H385/100)+1,H385=100, 2, H385=-100, 2),"")</f>
        <v/>
      </c>
      <c r="P385" s="305" t="str">
        <f t="shared" ca="1" si="24"/>
        <v/>
      </c>
      <c r="Q385" s="263"/>
      <c r="R385" s="263"/>
      <c r="S385" s="263"/>
      <c r="T385" s="263"/>
      <c r="U385" s="263"/>
      <c r="V385" s="263"/>
      <c r="W385" s="263"/>
      <c r="X385" s="71"/>
      <c r="Y385" s="71"/>
      <c r="Z385" s="71"/>
      <c r="AA385" s="71"/>
      <c r="AB385" s="71"/>
    </row>
    <row r="386" spans="1:28" ht="15.75" customHeight="1">
      <c r="A386" s="143"/>
      <c r="B386" s="298"/>
      <c r="C386" s="298"/>
      <c r="D386" s="298"/>
      <c r="E386" s="298"/>
      <c r="F386" s="298"/>
      <c r="G386" s="298"/>
      <c r="H386" s="298"/>
      <c r="I386" s="313"/>
      <c r="J386" s="309"/>
      <c r="K386" s="298">
        <f t="shared" si="21"/>
        <v>0</v>
      </c>
      <c r="L386" s="303" t="str">
        <f t="shared" ca="1" si="22"/>
        <v/>
      </c>
      <c r="M386" s="304" t="str">
        <f t="shared" ca="1" si="23"/>
        <v/>
      </c>
      <c r="N386" s="305" t="str">
        <f ca="1">IFERROR(_xludf.IFS(G386&lt;100,(ABS(100/G386))+1,G386&gt;100,(G386/100)+1,G386=100, 2, G386=-100, 2),"")</f>
        <v/>
      </c>
      <c r="O386" s="305" t="str">
        <f ca="1">IFERROR(_xludf.IFS(H386&lt;100,(ABS(100/H386))+1,H386&gt;100,(H386/100)+1,H386=100, 2, H386=-100, 2),"")</f>
        <v/>
      </c>
      <c r="P386" s="305" t="str">
        <f t="shared" ca="1" si="24"/>
        <v/>
      </c>
      <c r="Q386" s="263"/>
      <c r="R386" s="263"/>
      <c r="S386" s="263"/>
      <c r="T386" s="263"/>
      <c r="U386" s="263"/>
      <c r="V386" s="263"/>
      <c r="W386" s="263"/>
      <c r="X386" s="71"/>
      <c r="Y386" s="71"/>
      <c r="Z386" s="71"/>
      <c r="AA386" s="71"/>
      <c r="AB386" s="71"/>
    </row>
    <row r="387" spans="1:28" ht="15.75" customHeight="1">
      <c r="A387" s="143"/>
      <c r="B387" s="298"/>
      <c r="C387" s="298"/>
      <c r="D387" s="298"/>
      <c r="E387" s="298"/>
      <c r="F387" s="298"/>
      <c r="G387" s="298"/>
      <c r="H387" s="298"/>
      <c r="I387" s="313"/>
      <c r="J387" s="309"/>
      <c r="K387" s="298">
        <f t="shared" si="21"/>
        <v>0</v>
      </c>
      <c r="L387" s="303" t="str">
        <f t="shared" ca="1" si="22"/>
        <v/>
      </c>
      <c r="M387" s="304" t="str">
        <f t="shared" ca="1" si="23"/>
        <v/>
      </c>
      <c r="N387" s="305" t="str">
        <f ca="1">IFERROR(_xludf.IFS(G387&lt;100,(ABS(100/G387))+1,G387&gt;100,(G387/100)+1,G387=100, 2, G387=-100, 2),"")</f>
        <v/>
      </c>
      <c r="O387" s="305" t="str">
        <f ca="1">IFERROR(_xludf.IFS(H387&lt;100,(ABS(100/H387))+1,H387&gt;100,(H387/100)+1,H387=100, 2, H387=-100, 2),"")</f>
        <v/>
      </c>
      <c r="P387" s="305" t="str">
        <f t="shared" ca="1" si="24"/>
        <v/>
      </c>
      <c r="Q387" s="263"/>
      <c r="R387" s="263"/>
      <c r="S387" s="263"/>
      <c r="T387" s="263"/>
      <c r="U387" s="263"/>
      <c r="V387" s="263"/>
      <c r="W387" s="263"/>
      <c r="X387" s="71"/>
      <c r="Y387" s="71"/>
      <c r="Z387" s="71"/>
      <c r="AA387" s="71"/>
      <c r="AB387" s="71"/>
    </row>
    <row r="388" spans="1:28" ht="15.75" customHeight="1">
      <c r="A388" s="143"/>
      <c r="B388" s="298"/>
      <c r="C388" s="298"/>
      <c r="D388" s="298"/>
      <c r="E388" s="298"/>
      <c r="F388" s="298"/>
      <c r="G388" s="298"/>
      <c r="H388" s="298"/>
      <c r="I388" s="313"/>
      <c r="J388" s="309"/>
      <c r="K388" s="298">
        <f t="shared" si="21"/>
        <v>0</v>
      </c>
      <c r="L388" s="303" t="str">
        <f t="shared" ca="1" si="22"/>
        <v/>
      </c>
      <c r="M388" s="304" t="str">
        <f t="shared" ca="1" si="23"/>
        <v/>
      </c>
      <c r="N388" s="305" t="str">
        <f ca="1">IFERROR(_xludf.IFS(G388&lt;100,(ABS(100/G388))+1,G388&gt;100,(G388/100)+1,G388=100, 2, G388=-100, 2),"")</f>
        <v/>
      </c>
      <c r="O388" s="305" t="str">
        <f ca="1">IFERROR(_xludf.IFS(H388&lt;100,(ABS(100/H388))+1,H388&gt;100,(H388/100)+1,H388=100, 2, H388=-100, 2),"")</f>
        <v/>
      </c>
      <c r="P388" s="305" t="str">
        <f t="shared" ca="1" si="24"/>
        <v/>
      </c>
      <c r="Q388" s="263"/>
      <c r="R388" s="263"/>
      <c r="S388" s="263"/>
      <c r="T388" s="263"/>
      <c r="U388" s="263"/>
      <c r="V388" s="263"/>
      <c r="W388" s="263"/>
      <c r="X388" s="71"/>
      <c r="Y388" s="71"/>
      <c r="Z388" s="71"/>
      <c r="AA388" s="71"/>
      <c r="AB388" s="71"/>
    </row>
    <row r="389" spans="1:28" ht="15.75" customHeight="1">
      <c r="A389" s="143"/>
      <c r="B389" s="298"/>
      <c r="C389" s="298"/>
      <c r="D389" s="298"/>
      <c r="E389" s="298"/>
      <c r="F389" s="298"/>
      <c r="G389" s="298"/>
      <c r="H389" s="298"/>
      <c r="I389" s="313"/>
      <c r="J389" s="309"/>
      <c r="K389" s="298">
        <f t="shared" si="21"/>
        <v>0</v>
      </c>
      <c r="L389" s="303" t="str">
        <f t="shared" ca="1" si="22"/>
        <v/>
      </c>
      <c r="M389" s="304" t="str">
        <f t="shared" ca="1" si="23"/>
        <v/>
      </c>
      <c r="N389" s="305" t="str">
        <f ca="1">IFERROR(_xludf.IFS(G389&lt;100,(ABS(100/G389))+1,G389&gt;100,(G389/100)+1,G389=100, 2, G389=-100, 2),"")</f>
        <v/>
      </c>
      <c r="O389" s="305" t="str">
        <f ca="1">IFERROR(_xludf.IFS(H389&lt;100,(ABS(100/H389))+1,H389&gt;100,(H389/100)+1,H389=100, 2, H389=-100, 2),"")</f>
        <v/>
      </c>
      <c r="P389" s="305" t="str">
        <f t="shared" ca="1" si="24"/>
        <v/>
      </c>
      <c r="Q389" s="263"/>
      <c r="R389" s="263"/>
      <c r="S389" s="263"/>
      <c r="T389" s="263"/>
      <c r="U389" s="263"/>
      <c r="V389" s="263"/>
      <c r="W389" s="263"/>
      <c r="X389" s="71"/>
      <c r="Y389" s="71"/>
      <c r="Z389" s="71"/>
      <c r="AA389" s="71"/>
      <c r="AB389" s="71"/>
    </row>
    <row r="390" spans="1:28" ht="15.75" customHeight="1">
      <c r="A390" s="143"/>
      <c r="B390" s="298"/>
      <c r="C390" s="298"/>
      <c r="D390" s="298"/>
      <c r="E390" s="298"/>
      <c r="F390" s="298"/>
      <c r="G390" s="298"/>
      <c r="H390" s="298"/>
      <c r="I390" s="313"/>
      <c r="J390" s="309"/>
      <c r="K390" s="298">
        <f t="shared" si="21"/>
        <v>0</v>
      </c>
      <c r="L390" s="303" t="str">
        <f t="shared" ca="1" si="22"/>
        <v/>
      </c>
      <c r="M390" s="304" t="str">
        <f t="shared" ca="1" si="23"/>
        <v/>
      </c>
      <c r="N390" s="305" t="str">
        <f ca="1">IFERROR(_xludf.IFS(G390&lt;100,(ABS(100/G390))+1,G390&gt;100,(G390/100)+1,G390=100, 2, G390=-100, 2),"")</f>
        <v/>
      </c>
      <c r="O390" s="305" t="str">
        <f ca="1">IFERROR(_xludf.IFS(H390&lt;100,(ABS(100/H390))+1,H390&gt;100,(H390/100)+1,H390=100, 2, H390=-100, 2),"")</f>
        <v/>
      </c>
      <c r="P390" s="305" t="str">
        <f t="shared" ca="1" si="24"/>
        <v/>
      </c>
      <c r="Q390" s="263"/>
      <c r="R390" s="263"/>
      <c r="S390" s="263"/>
      <c r="T390" s="263"/>
      <c r="U390" s="263"/>
      <c r="V390" s="263"/>
      <c r="W390" s="263"/>
      <c r="X390" s="71"/>
      <c r="Y390" s="71"/>
      <c r="Z390" s="71"/>
      <c r="AA390" s="71"/>
      <c r="AB390" s="71"/>
    </row>
    <row r="391" spans="1:28" ht="15.75" customHeight="1">
      <c r="A391" s="143"/>
      <c r="B391" s="298"/>
      <c r="C391" s="298"/>
      <c r="D391" s="298"/>
      <c r="E391" s="298"/>
      <c r="F391" s="298"/>
      <c r="G391" s="298"/>
      <c r="H391" s="298"/>
      <c r="I391" s="313"/>
      <c r="J391" s="309"/>
      <c r="K391" s="298">
        <f t="shared" si="21"/>
        <v>0</v>
      </c>
      <c r="L391" s="303" t="str">
        <f t="shared" ca="1" si="22"/>
        <v/>
      </c>
      <c r="M391" s="304" t="str">
        <f t="shared" ca="1" si="23"/>
        <v/>
      </c>
      <c r="N391" s="305" t="str">
        <f ca="1">IFERROR(_xludf.IFS(G391&lt;100,(ABS(100/G391))+1,G391&gt;100,(G391/100)+1,G391=100, 2, G391=-100, 2),"")</f>
        <v/>
      </c>
      <c r="O391" s="305" t="str">
        <f ca="1">IFERROR(_xludf.IFS(H391&lt;100,(ABS(100/H391))+1,H391&gt;100,(H391/100)+1,H391=100, 2, H391=-100, 2),"")</f>
        <v/>
      </c>
      <c r="P391" s="305" t="str">
        <f t="shared" ca="1" si="24"/>
        <v/>
      </c>
      <c r="Q391" s="263"/>
      <c r="R391" s="263"/>
      <c r="S391" s="263"/>
      <c r="T391" s="263"/>
      <c r="U391" s="263"/>
      <c r="V391" s="263"/>
      <c r="W391" s="263"/>
      <c r="X391" s="71"/>
      <c r="Y391" s="71"/>
      <c r="Z391" s="71"/>
      <c r="AA391" s="71"/>
      <c r="AB391" s="71"/>
    </row>
    <row r="392" spans="1:28" ht="15.75" customHeight="1">
      <c r="A392" s="143"/>
      <c r="B392" s="298"/>
      <c r="C392" s="298"/>
      <c r="D392" s="298"/>
      <c r="E392" s="298"/>
      <c r="F392" s="298"/>
      <c r="G392" s="298"/>
      <c r="H392" s="298"/>
      <c r="I392" s="313"/>
      <c r="J392" s="309"/>
      <c r="K392" s="298">
        <f t="shared" si="21"/>
        <v>0</v>
      </c>
      <c r="L392" s="303" t="str">
        <f t="shared" ca="1" si="22"/>
        <v/>
      </c>
      <c r="M392" s="304" t="str">
        <f t="shared" ca="1" si="23"/>
        <v/>
      </c>
      <c r="N392" s="305" t="str">
        <f ca="1">IFERROR(_xludf.IFS(G392&lt;100,(ABS(100/G392))+1,G392&gt;100,(G392/100)+1,G392=100, 2, G392=-100, 2),"")</f>
        <v/>
      </c>
      <c r="O392" s="305" t="str">
        <f ca="1">IFERROR(_xludf.IFS(H392&lt;100,(ABS(100/H392))+1,H392&gt;100,(H392/100)+1,H392=100, 2, H392=-100, 2),"")</f>
        <v/>
      </c>
      <c r="P392" s="305" t="str">
        <f t="shared" ca="1" si="24"/>
        <v/>
      </c>
      <c r="Q392" s="263"/>
      <c r="R392" s="263"/>
      <c r="S392" s="263"/>
      <c r="T392" s="263"/>
      <c r="U392" s="263"/>
      <c r="V392" s="263"/>
      <c r="W392" s="263"/>
      <c r="X392" s="71"/>
      <c r="Y392" s="71"/>
      <c r="Z392" s="71"/>
      <c r="AA392" s="71"/>
      <c r="AB392" s="71"/>
    </row>
    <row r="393" spans="1:28" ht="15.75" customHeight="1">
      <c r="A393" s="143"/>
      <c r="B393" s="298"/>
      <c r="C393" s="298"/>
      <c r="D393" s="298"/>
      <c r="E393" s="298"/>
      <c r="F393" s="298"/>
      <c r="G393" s="298"/>
      <c r="H393" s="298"/>
      <c r="I393" s="313"/>
      <c r="J393" s="309"/>
      <c r="K393" s="298">
        <f t="shared" si="21"/>
        <v>0</v>
      </c>
      <c r="L393" s="303" t="str">
        <f t="shared" ca="1" si="22"/>
        <v/>
      </c>
      <c r="M393" s="304" t="str">
        <f t="shared" ca="1" si="23"/>
        <v/>
      </c>
      <c r="N393" s="305" t="str">
        <f ca="1">IFERROR(_xludf.IFS(G393&lt;100,(ABS(100/G393))+1,G393&gt;100,(G393/100)+1,G393=100, 2, G393=-100, 2),"")</f>
        <v/>
      </c>
      <c r="O393" s="305" t="str">
        <f ca="1">IFERROR(_xludf.IFS(H393&lt;100,(ABS(100/H393))+1,H393&gt;100,(H393/100)+1,H393=100, 2, H393=-100, 2),"")</f>
        <v/>
      </c>
      <c r="P393" s="305" t="str">
        <f t="shared" ca="1" si="24"/>
        <v/>
      </c>
      <c r="Q393" s="263"/>
      <c r="R393" s="263"/>
      <c r="S393" s="263"/>
      <c r="T393" s="263"/>
      <c r="U393" s="263"/>
      <c r="V393" s="263"/>
      <c r="W393" s="263"/>
      <c r="X393" s="71"/>
      <c r="Y393" s="71"/>
      <c r="Z393" s="71"/>
      <c r="AA393" s="71"/>
      <c r="AB393" s="71"/>
    </row>
    <row r="394" spans="1:28" ht="15.75" customHeight="1">
      <c r="A394" s="143"/>
      <c r="B394" s="298"/>
      <c r="C394" s="298"/>
      <c r="D394" s="298"/>
      <c r="E394" s="298"/>
      <c r="F394" s="298"/>
      <c r="G394" s="298"/>
      <c r="H394" s="298"/>
      <c r="I394" s="313"/>
      <c r="J394" s="309"/>
      <c r="K394" s="298">
        <f t="shared" ref="K394:K457" si="25">IF(J394="W",N394*I394-I394,IF(J394="L",-I394,0))</f>
        <v>0</v>
      </c>
      <c r="L394" s="303" t="str">
        <f t="shared" ref="L394:L457" ca="1" si="26">IFERROR((1/O394-1/N394)/(1/N394),"")</f>
        <v/>
      </c>
      <c r="M394" s="304" t="str">
        <f t="shared" ref="M394:M457" ca="1" si="27">IFERROR((1/P394-1/N394)/(1/N394),"")</f>
        <v/>
      </c>
      <c r="N394" s="305" t="str">
        <f ca="1">IFERROR(_xludf.IFS(G394&lt;100,(ABS(100/G394))+1,G394&gt;100,(G394/100)+1,G394=100, 2, G394=-100, 2),"")</f>
        <v/>
      </c>
      <c r="O394" s="305" t="str">
        <f ca="1">IFERROR(_xludf.IFS(H394&lt;100,(ABS(100/H394))+1,H394&gt;100,(H394/100)+1,H394=100, 2, H394=-100, 2),"")</f>
        <v/>
      </c>
      <c r="P394" s="305" t="str">
        <f t="shared" ca="1" si="24"/>
        <v/>
      </c>
      <c r="Q394" s="263"/>
      <c r="R394" s="263"/>
      <c r="S394" s="263"/>
      <c r="T394" s="263"/>
      <c r="U394" s="263"/>
      <c r="V394" s="263"/>
      <c r="W394" s="263"/>
      <c r="X394" s="71"/>
      <c r="Y394" s="71"/>
      <c r="Z394" s="71"/>
      <c r="AA394" s="71"/>
      <c r="AB394" s="71"/>
    </row>
    <row r="395" spans="1:28" ht="15.75" customHeight="1">
      <c r="A395" s="143"/>
      <c r="B395" s="298"/>
      <c r="C395" s="298"/>
      <c r="D395" s="298"/>
      <c r="E395" s="298"/>
      <c r="F395" s="298"/>
      <c r="G395" s="298"/>
      <c r="H395" s="298"/>
      <c r="I395" s="313"/>
      <c r="J395" s="309"/>
      <c r="K395" s="298">
        <f t="shared" si="25"/>
        <v>0</v>
      </c>
      <c r="L395" s="303" t="str">
        <f t="shared" ca="1" si="26"/>
        <v/>
      </c>
      <c r="M395" s="304" t="str">
        <f t="shared" ca="1" si="27"/>
        <v/>
      </c>
      <c r="N395" s="305" t="str">
        <f ca="1">IFERROR(_xludf.IFS(G395&lt;100,(ABS(100/G395))+1,G395&gt;100,(G395/100)+1,G395=100, 2, G395=-100, 2),"")</f>
        <v/>
      </c>
      <c r="O395" s="305" t="str">
        <f ca="1">IFERROR(_xludf.IFS(H395&lt;100,(ABS(100/H395))+1,H395&gt;100,(H395/100)+1,H395=100, 2, H395=-100, 2),"")</f>
        <v/>
      </c>
      <c r="P395" s="305" t="str">
        <f t="shared" ca="1" si="24"/>
        <v/>
      </c>
      <c r="Q395" s="263"/>
      <c r="R395" s="263"/>
      <c r="S395" s="263"/>
      <c r="T395" s="263"/>
      <c r="U395" s="263"/>
      <c r="V395" s="263"/>
      <c r="W395" s="263"/>
      <c r="X395" s="71"/>
      <c r="Y395" s="71"/>
      <c r="Z395" s="71"/>
      <c r="AA395" s="71"/>
      <c r="AB395" s="71"/>
    </row>
    <row r="396" spans="1:28" ht="15.75" customHeight="1">
      <c r="A396" s="143"/>
      <c r="B396" s="298"/>
      <c r="C396" s="298"/>
      <c r="D396" s="298"/>
      <c r="E396" s="298"/>
      <c r="F396" s="298"/>
      <c r="G396" s="298"/>
      <c r="H396" s="298"/>
      <c r="I396" s="313"/>
      <c r="J396" s="309"/>
      <c r="K396" s="298">
        <f t="shared" si="25"/>
        <v>0</v>
      </c>
      <c r="L396" s="303" t="str">
        <f t="shared" ca="1" si="26"/>
        <v/>
      </c>
      <c r="M396" s="304" t="str">
        <f t="shared" ca="1" si="27"/>
        <v/>
      </c>
      <c r="N396" s="305" t="str">
        <f ca="1">IFERROR(_xludf.IFS(G396&lt;100,(ABS(100/G396))+1,G396&gt;100,(G396/100)+1,G396=100, 2, G396=-100, 2),"")</f>
        <v/>
      </c>
      <c r="O396" s="305" t="str">
        <f ca="1">IFERROR(_xludf.IFS(H396&lt;100,(ABS(100/H396))+1,H396&gt;100,(H396/100)+1,H396=100, 2, H396=-100, 2),"")</f>
        <v/>
      </c>
      <c r="P396" s="305" t="str">
        <f t="shared" ca="1" si="24"/>
        <v/>
      </c>
      <c r="Q396" s="263"/>
      <c r="R396" s="263"/>
      <c r="S396" s="263"/>
      <c r="T396" s="263"/>
      <c r="U396" s="263"/>
      <c r="V396" s="263"/>
      <c r="W396" s="263"/>
      <c r="X396" s="71"/>
      <c r="Y396" s="71"/>
      <c r="Z396" s="71"/>
      <c r="AA396" s="71"/>
      <c r="AB396" s="71"/>
    </row>
    <row r="397" spans="1:28" ht="15.75" customHeight="1">
      <c r="A397" s="143"/>
      <c r="B397" s="298"/>
      <c r="C397" s="298"/>
      <c r="D397" s="298"/>
      <c r="E397" s="298"/>
      <c r="F397" s="298"/>
      <c r="G397" s="298"/>
      <c r="H397" s="298"/>
      <c r="I397" s="313"/>
      <c r="J397" s="309"/>
      <c r="K397" s="298">
        <f t="shared" si="25"/>
        <v>0</v>
      </c>
      <c r="L397" s="303" t="str">
        <f t="shared" ca="1" si="26"/>
        <v/>
      </c>
      <c r="M397" s="304" t="str">
        <f t="shared" ca="1" si="27"/>
        <v/>
      </c>
      <c r="N397" s="305" t="str">
        <f ca="1">IFERROR(_xludf.IFS(G397&lt;100,(ABS(100/G397))+1,G397&gt;100,(G397/100)+1,G397=100, 2, G397=-100, 2),"")</f>
        <v/>
      </c>
      <c r="O397" s="305" t="str">
        <f ca="1">IFERROR(_xludf.IFS(H397&lt;100,(ABS(100/H397))+1,H397&gt;100,(H397/100)+1,H397=100, 2, H397=-100, 2),"")</f>
        <v/>
      </c>
      <c r="P397" s="305" t="str">
        <f t="shared" ca="1" si="24"/>
        <v/>
      </c>
      <c r="Q397" s="263"/>
      <c r="R397" s="263"/>
      <c r="S397" s="263"/>
      <c r="T397" s="263"/>
      <c r="U397" s="263"/>
      <c r="V397" s="263"/>
      <c r="W397" s="263"/>
      <c r="X397" s="71"/>
      <c r="Y397" s="71"/>
      <c r="Z397" s="71"/>
      <c r="AA397" s="71"/>
      <c r="AB397" s="71"/>
    </row>
    <row r="398" spans="1:28" ht="15.75" customHeight="1">
      <c r="A398" s="143"/>
      <c r="B398" s="298"/>
      <c r="C398" s="298"/>
      <c r="D398" s="298"/>
      <c r="E398" s="298"/>
      <c r="F398" s="298"/>
      <c r="G398" s="298"/>
      <c r="H398" s="298"/>
      <c r="I398" s="313"/>
      <c r="J398" s="309"/>
      <c r="K398" s="298">
        <f t="shared" si="25"/>
        <v>0</v>
      </c>
      <c r="L398" s="303" t="str">
        <f t="shared" ca="1" si="26"/>
        <v/>
      </c>
      <c r="M398" s="304" t="str">
        <f t="shared" ca="1" si="27"/>
        <v/>
      </c>
      <c r="N398" s="305" t="str">
        <f ca="1">IFERROR(_xludf.IFS(G398&lt;100,(ABS(100/G398))+1,G398&gt;100,(G398/100)+1,G398=100, 2, G398=-100, 2),"")</f>
        <v/>
      </c>
      <c r="O398" s="305" t="str">
        <f ca="1">IFERROR(_xludf.IFS(H398&lt;100,(ABS(100/H398))+1,H398&gt;100,(H398/100)+1,H398=100, 2, H398=-100, 2),"")</f>
        <v/>
      </c>
      <c r="P398" s="305" t="str">
        <f t="shared" ca="1" si="24"/>
        <v/>
      </c>
      <c r="Q398" s="263"/>
      <c r="R398" s="263"/>
      <c r="S398" s="263"/>
      <c r="T398" s="263"/>
      <c r="U398" s="263"/>
      <c r="V398" s="263"/>
      <c r="W398" s="263"/>
      <c r="X398" s="71"/>
      <c r="Y398" s="71"/>
      <c r="Z398" s="71"/>
      <c r="AA398" s="71"/>
      <c r="AB398" s="71"/>
    </row>
    <row r="399" spans="1:28" ht="15.75" customHeight="1">
      <c r="A399" s="143"/>
      <c r="B399" s="298"/>
      <c r="C399" s="298"/>
      <c r="D399" s="298"/>
      <c r="E399" s="298"/>
      <c r="F399" s="298"/>
      <c r="G399" s="298"/>
      <c r="H399" s="298"/>
      <c r="I399" s="313"/>
      <c r="J399" s="309"/>
      <c r="K399" s="298">
        <f t="shared" si="25"/>
        <v>0</v>
      </c>
      <c r="L399" s="303" t="str">
        <f t="shared" ca="1" si="26"/>
        <v/>
      </c>
      <c r="M399" s="304" t="str">
        <f t="shared" ca="1" si="27"/>
        <v/>
      </c>
      <c r="N399" s="305" t="str">
        <f ca="1">IFERROR(_xludf.IFS(G399&lt;100,(ABS(100/G399))+1,G399&gt;100,(G399/100)+1,G399=100, 2, G399=-100, 2),"")</f>
        <v/>
      </c>
      <c r="O399" s="305" t="str">
        <f ca="1">IFERROR(_xludf.IFS(H399&lt;100,(ABS(100/H399))+1,H399&gt;100,(H399/100)+1,H399=100, 2, H399=-100, 2),"")</f>
        <v/>
      </c>
      <c r="P399" s="305" t="str">
        <f t="shared" ca="1" si="24"/>
        <v/>
      </c>
      <c r="Q399" s="263"/>
      <c r="R399" s="263"/>
      <c r="S399" s="263"/>
      <c r="T399" s="263"/>
      <c r="U399" s="263"/>
      <c r="V399" s="263"/>
      <c r="W399" s="263"/>
      <c r="X399" s="71"/>
      <c r="Y399" s="71"/>
      <c r="Z399" s="71"/>
      <c r="AA399" s="71"/>
      <c r="AB399" s="71"/>
    </row>
    <row r="400" spans="1:28" ht="15.75" customHeight="1">
      <c r="A400" s="143"/>
      <c r="B400" s="298"/>
      <c r="C400" s="298"/>
      <c r="D400" s="298"/>
      <c r="E400" s="298"/>
      <c r="F400" s="298"/>
      <c r="G400" s="298"/>
      <c r="H400" s="298"/>
      <c r="I400" s="313"/>
      <c r="J400" s="309"/>
      <c r="K400" s="298">
        <f t="shared" si="25"/>
        <v>0</v>
      </c>
      <c r="L400" s="303" t="str">
        <f t="shared" ca="1" si="26"/>
        <v/>
      </c>
      <c r="M400" s="304" t="str">
        <f t="shared" ca="1" si="27"/>
        <v/>
      </c>
      <c r="N400" s="305" t="str">
        <f ca="1">IFERROR(_xludf.IFS(G400&lt;100,(ABS(100/G400))+1,G400&gt;100,(G400/100)+1,G400=100, 2, G400=-100, 2),"")</f>
        <v/>
      </c>
      <c r="O400" s="305" t="str">
        <f ca="1">IFERROR(_xludf.IFS(H400&lt;100,(ABS(100/H400))+1,H400&gt;100,(H400/100)+1,H400=100, 2, H400=-100, 2),"")</f>
        <v/>
      </c>
      <c r="P400" s="305" t="str">
        <f t="shared" ca="1" si="24"/>
        <v/>
      </c>
      <c r="Q400" s="263"/>
      <c r="R400" s="263"/>
      <c r="S400" s="263"/>
      <c r="T400" s="263"/>
      <c r="U400" s="263"/>
      <c r="V400" s="263"/>
      <c r="W400" s="263"/>
      <c r="X400" s="71"/>
      <c r="Y400" s="71"/>
      <c r="Z400" s="71"/>
      <c r="AA400" s="71"/>
      <c r="AB400" s="71"/>
    </row>
    <row r="401" spans="1:28" ht="15.75" customHeight="1">
      <c r="A401" s="143"/>
      <c r="B401" s="298"/>
      <c r="C401" s="298"/>
      <c r="D401" s="298"/>
      <c r="E401" s="298"/>
      <c r="F401" s="298"/>
      <c r="G401" s="298"/>
      <c r="H401" s="298"/>
      <c r="I401" s="313"/>
      <c r="J401" s="309"/>
      <c r="K401" s="298">
        <f t="shared" si="25"/>
        <v>0</v>
      </c>
      <c r="L401" s="303" t="str">
        <f t="shared" ca="1" si="26"/>
        <v/>
      </c>
      <c r="M401" s="304" t="str">
        <f t="shared" ca="1" si="27"/>
        <v/>
      </c>
      <c r="N401" s="305" t="str">
        <f ca="1">IFERROR(_xludf.IFS(G401&lt;100,(ABS(100/G401))+1,G401&gt;100,(G401/100)+1,G401=100, 2, G401=-100, 2),"")</f>
        <v/>
      </c>
      <c r="O401" s="305" t="str">
        <f ca="1">IFERROR(_xludf.IFS(H401&lt;100,(ABS(100/H401))+1,H401&gt;100,(H401/100)+1,H401=100, 2, H401=-100, 2),"")</f>
        <v/>
      </c>
      <c r="P401" s="305" t="str">
        <f t="shared" ca="1" si="24"/>
        <v/>
      </c>
      <c r="Q401" s="263"/>
      <c r="R401" s="263"/>
      <c r="S401" s="263"/>
      <c r="T401" s="263"/>
      <c r="U401" s="263"/>
      <c r="V401" s="263"/>
      <c r="W401" s="263"/>
      <c r="X401" s="71"/>
      <c r="Y401" s="71"/>
      <c r="Z401" s="71"/>
      <c r="AA401" s="71"/>
      <c r="AB401" s="71"/>
    </row>
    <row r="402" spans="1:28" ht="15.75" customHeight="1">
      <c r="A402" s="143"/>
      <c r="B402" s="298"/>
      <c r="C402" s="298"/>
      <c r="D402" s="298"/>
      <c r="E402" s="298"/>
      <c r="F402" s="298"/>
      <c r="G402" s="298"/>
      <c r="H402" s="298"/>
      <c r="I402" s="313"/>
      <c r="J402" s="309"/>
      <c r="K402" s="298">
        <f t="shared" si="25"/>
        <v>0</v>
      </c>
      <c r="L402" s="303" t="str">
        <f t="shared" ca="1" si="26"/>
        <v/>
      </c>
      <c r="M402" s="304" t="str">
        <f t="shared" ca="1" si="27"/>
        <v/>
      </c>
      <c r="N402" s="305" t="str">
        <f ca="1">IFERROR(_xludf.IFS(G402&lt;100,(ABS(100/G402))+1,G402&gt;100,(G402/100)+1,G402=100, 2, G402=-100, 2),"")</f>
        <v/>
      </c>
      <c r="O402" s="305" t="str">
        <f ca="1">IFERROR(_xludf.IFS(H402&lt;100,(ABS(100/H402))+1,H402&gt;100,(H402/100)+1,H402=100, 2, H402=-100, 2),"")</f>
        <v/>
      </c>
      <c r="P402" s="305" t="str">
        <f t="shared" ca="1" si="24"/>
        <v/>
      </c>
      <c r="Q402" s="263"/>
      <c r="R402" s="263"/>
      <c r="S402" s="263"/>
      <c r="T402" s="263"/>
      <c r="U402" s="263"/>
      <c r="V402" s="263"/>
      <c r="W402" s="263"/>
      <c r="X402" s="71"/>
      <c r="Y402" s="71"/>
      <c r="Z402" s="71"/>
      <c r="AA402" s="71"/>
      <c r="AB402" s="71"/>
    </row>
    <row r="403" spans="1:28" ht="15.75" customHeight="1">
      <c r="A403" s="143"/>
      <c r="B403" s="298"/>
      <c r="C403" s="298"/>
      <c r="D403" s="298"/>
      <c r="E403" s="298"/>
      <c r="F403" s="298"/>
      <c r="G403" s="298"/>
      <c r="H403" s="298"/>
      <c r="I403" s="313"/>
      <c r="J403" s="309"/>
      <c r="K403" s="298">
        <f t="shared" si="25"/>
        <v>0</v>
      </c>
      <c r="L403" s="303" t="str">
        <f t="shared" ca="1" si="26"/>
        <v/>
      </c>
      <c r="M403" s="304" t="str">
        <f t="shared" ca="1" si="27"/>
        <v/>
      </c>
      <c r="N403" s="305" t="str">
        <f ca="1">IFERROR(_xludf.IFS(G403&lt;100,(ABS(100/G403))+1,G403&gt;100,(G403/100)+1,G403=100, 2, G403=-100, 2),"")</f>
        <v/>
      </c>
      <c r="O403" s="305" t="str">
        <f ca="1">IFERROR(_xludf.IFS(H403&lt;100,(ABS(100/H403))+1,H403&gt;100,(H403/100)+1,H403=100, 2, H403=-100, 2),"")</f>
        <v/>
      </c>
      <c r="P403" s="305" t="str">
        <f t="shared" ca="1" si="24"/>
        <v/>
      </c>
      <c r="Q403" s="263"/>
      <c r="R403" s="263"/>
      <c r="S403" s="263"/>
      <c r="T403" s="263"/>
      <c r="U403" s="263"/>
      <c r="V403" s="263"/>
      <c r="W403" s="263"/>
      <c r="X403" s="71"/>
      <c r="Y403" s="71"/>
      <c r="Z403" s="71"/>
      <c r="AA403" s="71"/>
      <c r="AB403" s="71"/>
    </row>
    <row r="404" spans="1:28" ht="15.75" customHeight="1">
      <c r="A404" s="143"/>
      <c r="B404" s="298"/>
      <c r="C404" s="298"/>
      <c r="D404" s="298"/>
      <c r="E404" s="298"/>
      <c r="F404" s="298"/>
      <c r="G404" s="298"/>
      <c r="H404" s="298"/>
      <c r="I404" s="313"/>
      <c r="J404" s="309"/>
      <c r="K404" s="298">
        <f t="shared" si="25"/>
        <v>0</v>
      </c>
      <c r="L404" s="303" t="str">
        <f t="shared" ca="1" si="26"/>
        <v/>
      </c>
      <c r="M404" s="304" t="str">
        <f t="shared" ca="1" si="27"/>
        <v/>
      </c>
      <c r="N404" s="305" t="str">
        <f ca="1">IFERROR(_xludf.IFS(G404&lt;100,(ABS(100/G404))+1,G404&gt;100,(G404/100)+1,G404=100, 2, G404=-100, 2),"")</f>
        <v/>
      </c>
      <c r="O404" s="305" t="str">
        <f ca="1">IFERROR(_xludf.IFS(H404&lt;100,(ABS(100/H404))+1,H404&gt;100,(H404/100)+1,H404=100, 2, H404=-100, 2),"")</f>
        <v/>
      </c>
      <c r="P404" s="305" t="str">
        <f t="shared" ca="1" si="24"/>
        <v/>
      </c>
      <c r="Q404" s="263"/>
      <c r="R404" s="263"/>
      <c r="S404" s="263"/>
      <c r="T404" s="263"/>
      <c r="U404" s="263"/>
      <c r="V404" s="263"/>
      <c r="W404" s="263"/>
      <c r="X404" s="71"/>
      <c r="Y404" s="71"/>
      <c r="Z404" s="71"/>
      <c r="AA404" s="71"/>
      <c r="AB404" s="71"/>
    </row>
    <row r="405" spans="1:28" ht="15.75" customHeight="1">
      <c r="A405" s="143"/>
      <c r="B405" s="298"/>
      <c r="C405" s="298"/>
      <c r="D405" s="298"/>
      <c r="E405" s="298"/>
      <c r="F405" s="298"/>
      <c r="G405" s="298"/>
      <c r="H405" s="298"/>
      <c r="I405" s="313"/>
      <c r="J405" s="309"/>
      <c r="K405" s="298">
        <f t="shared" si="25"/>
        <v>0</v>
      </c>
      <c r="L405" s="303" t="str">
        <f t="shared" ca="1" si="26"/>
        <v/>
      </c>
      <c r="M405" s="304" t="str">
        <f t="shared" ca="1" si="27"/>
        <v/>
      </c>
      <c r="N405" s="305" t="str">
        <f ca="1">IFERROR(_xludf.IFS(G405&lt;100,(ABS(100/G405))+1,G405&gt;100,(G405/100)+1,G405=100, 2, G405=-100, 2),"")</f>
        <v/>
      </c>
      <c r="O405" s="305" t="str">
        <f ca="1">IFERROR(_xludf.IFS(H405&lt;100,(ABS(100/H405))+1,H405&gt;100,(H405/100)+1,H405=100, 2, H405=-100, 2),"")</f>
        <v/>
      </c>
      <c r="P405" s="305" t="str">
        <f t="shared" ca="1" si="24"/>
        <v/>
      </c>
      <c r="Q405" s="263"/>
      <c r="R405" s="263"/>
      <c r="S405" s="263"/>
      <c r="T405" s="263"/>
      <c r="U405" s="263"/>
      <c r="V405" s="263"/>
      <c r="W405" s="263"/>
      <c r="X405" s="71"/>
      <c r="Y405" s="71"/>
      <c r="Z405" s="71"/>
      <c r="AA405" s="71"/>
      <c r="AB405" s="71"/>
    </row>
    <row r="406" spans="1:28" ht="15.75" customHeight="1">
      <c r="A406" s="143"/>
      <c r="B406" s="298"/>
      <c r="C406" s="298"/>
      <c r="D406" s="298"/>
      <c r="E406" s="298"/>
      <c r="F406" s="298"/>
      <c r="G406" s="298"/>
      <c r="H406" s="298"/>
      <c r="I406" s="313"/>
      <c r="J406" s="309"/>
      <c r="K406" s="298">
        <f t="shared" si="25"/>
        <v>0</v>
      </c>
      <c r="L406" s="303" t="str">
        <f t="shared" ca="1" si="26"/>
        <v/>
      </c>
      <c r="M406" s="304" t="str">
        <f t="shared" ca="1" si="27"/>
        <v/>
      </c>
      <c r="N406" s="305" t="str">
        <f ca="1">IFERROR(_xludf.IFS(G406&lt;100,(ABS(100/G406))+1,G406&gt;100,(G406/100)+1,G406=100, 2, G406=-100, 2),"")</f>
        <v/>
      </c>
      <c r="O406" s="305" t="str">
        <f ca="1">IFERROR(_xludf.IFS(H406&lt;100,(ABS(100/H406))+1,H406&gt;100,(H406/100)+1,H406=100, 2, H406=-100, 2),"")</f>
        <v/>
      </c>
      <c r="P406" s="305" t="str">
        <f t="shared" ca="1" si="24"/>
        <v/>
      </c>
      <c r="Q406" s="263"/>
      <c r="R406" s="263"/>
      <c r="S406" s="263"/>
      <c r="T406" s="263"/>
      <c r="U406" s="263"/>
      <c r="V406" s="263"/>
      <c r="W406" s="263"/>
      <c r="X406" s="71"/>
      <c r="Y406" s="71"/>
      <c r="Z406" s="71"/>
      <c r="AA406" s="71"/>
      <c r="AB406" s="71"/>
    </row>
    <row r="407" spans="1:28" ht="15.75" customHeight="1">
      <c r="A407" s="143"/>
      <c r="B407" s="298"/>
      <c r="C407" s="298"/>
      <c r="D407" s="298"/>
      <c r="E407" s="298"/>
      <c r="F407" s="298"/>
      <c r="G407" s="298"/>
      <c r="H407" s="298"/>
      <c r="I407" s="313"/>
      <c r="J407" s="309"/>
      <c r="K407" s="298">
        <f t="shared" si="25"/>
        <v>0</v>
      </c>
      <c r="L407" s="303" t="str">
        <f t="shared" ca="1" si="26"/>
        <v/>
      </c>
      <c r="M407" s="304" t="str">
        <f t="shared" ca="1" si="27"/>
        <v/>
      </c>
      <c r="N407" s="305" t="str">
        <f ca="1">IFERROR(_xludf.IFS(G407&lt;100,(ABS(100/G407))+1,G407&gt;100,(G407/100)+1,G407=100, 2, G407=-100, 2),"")</f>
        <v/>
      </c>
      <c r="O407" s="305" t="str">
        <f ca="1">IFERROR(_xludf.IFS(H407&lt;100,(ABS(100/H407))+1,H407&gt;100,(H407/100)+1,H407=100, 2, H407=-100, 2),"")</f>
        <v/>
      </c>
      <c r="P407" s="305" t="str">
        <f t="shared" ca="1" si="24"/>
        <v/>
      </c>
      <c r="Q407" s="263"/>
      <c r="R407" s="263"/>
      <c r="S407" s="263"/>
      <c r="T407" s="263"/>
      <c r="U407" s="263"/>
      <c r="V407" s="263"/>
      <c r="W407" s="263"/>
      <c r="X407" s="71"/>
      <c r="Y407" s="71"/>
      <c r="Z407" s="71"/>
      <c r="AA407" s="71"/>
      <c r="AB407" s="71"/>
    </row>
    <row r="408" spans="1:28" ht="15.75" customHeight="1">
      <c r="A408" s="143"/>
      <c r="B408" s="298"/>
      <c r="C408" s="298"/>
      <c r="D408" s="298"/>
      <c r="E408" s="298"/>
      <c r="F408" s="298"/>
      <c r="G408" s="298"/>
      <c r="H408" s="298"/>
      <c r="I408" s="313"/>
      <c r="J408" s="309"/>
      <c r="K408" s="298">
        <f t="shared" si="25"/>
        <v>0</v>
      </c>
      <c r="L408" s="303" t="str">
        <f t="shared" ca="1" si="26"/>
        <v/>
      </c>
      <c r="M408" s="304" t="str">
        <f t="shared" ca="1" si="27"/>
        <v/>
      </c>
      <c r="N408" s="305" t="str">
        <f ca="1">IFERROR(_xludf.IFS(G408&lt;100,(ABS(100/G408))+1,G408&gt;100,(G408/100)+1,G408=100, 2, G408=-100, 2),"")</f>
        <v/>
      </c>
      <c r="O408" s="305" t="str">
        <f ca="1">IFERROR(_xludf.IFS(H408&lt;100,(ABS(100/H408))+1,H408&gt;100,(H408/100)+1,H408=100, 2, H408=-100, 2),"")</f>
        <v/>
      </c>
      <c r="P408" s="305" t="str">
        <f t="shared" ca="1" si="24"/>
        <v/>
      </c>
      <c r="Q408" s="263"/>
      <c r="R408" s="263"/>
      <c r="S408" s="263"/>
      <c r="T408" s="263"/>
      <c r="U408" s="263"/>
      <c r="V408" s="263"/>
      <c r="W408" s="263"/>
      <c r="X408" s="71"/>
      <c r="Y408" s="71"/>
      <c r="Z408" s="71"/>
      <c r="AA408" s="71"/>
      <c r="AB408" s="71"/>
    </row>
    <row r="409" spans="1:28" ht="15.75" customHeight="1">
      <c r="A409" s="143"/>
      <c r="B409" s="298"/>
      <c r="C409" s="298"/>
      <c r="D409" s="298"/>
      <c r="E409" s="298"/>
      <c r="F409" s="298"/>
      <c r="G409" s="298"/>
      <c r="H409" s="298"/>
      <c r="I409" s="313"/>
      <c r="J409" s="309"/>
      <c r="K409" s="298">
        <f t="shared" si="25"/>
        <v>0</v>
      </c>
      <c r="L409" s="303" t="str">
        <f t="shared" ca="1" si="26"/>
        <v/>
      </c>
      <c r="M409" s="304" t="str">
        <f t="shared" ca="1" si="27"/>
        <v/>
      </c>
      <c r="N409" s="305" t="str">
        <f ca="1">IFERROR(_xludf.IFS(G409&lt;100,(ABS(100/G409))+1,G409&gt;100,(G409/100)+1,G409=100, 2, G409=-100, 2),"")</f>
        <v/>
      </c>
      <c r="O409" s="305" t="str">
        <f ca="1">IFERROR(_xludf.IFS(H409&lt;100,(ABS(100/H409))+1,H409&gt;100,(H409/100)+1,H409=100, 2, H409=-100, 2),"")</f>
        <v/>
      </c>
      <c r="P409" s="305" t="str">
        <f t="shared" ca="1" si="24"/>
        <v/>
      </c>
      <c r="Q409" s="263"/>
      <c r="R409" s="263"/>
      <c r="S409" s="263"/>
      <c r="T409" s="263"/>
      <c r="U409" s="263"/>
      <c r="V409" s="263"/>
      <c r="W409" s="263"/>
      <c r="X409" s="71"/>
      <c r="Y409" s="71"/>
      <c r="Z409" s="71"/>
      <c r="AA409" s="71"/>
      <c r="AB409" s="71"/>
    </row>
    <row r="410" spans="1:28" ht="15.75" customHeight="1">
      <c r="A410" s="143"/>
      <c r="B410" s="298"/>
      <c r="C410" s="298"/>
      <c r="D410" s="298"/>
      <c r="E410" s="298"/>
      <c r="F410" s="298"/>
      <c r="G410" s="298"/>
      <c r="H410" s="298"/>
      <c r="I410" s="313"/>
      <c r="J410" s="309"/>
      <c r="K410" s="298">
        <f t="shared" si="25"/>
        <v>0</v>
      </c>
      <c r="L410" s="303" t="str">
        <f t="shared" ca="1" si="26"/>
        <v/>
      </c>
      <c r="M410" s="304" t="str">
        <f t="shared" ca="1" si="27"/>
        <v/>
      </c>
      <c r="N410" s="305" t="str">
        <f ca="1">IFERROR(_xludf.IFS(G410&lt;100,(ABS(100/G410))+1,G410&gt;100,(G410/100)+1,G410=100, 2, G410=-100, 2),"")</f>
        <v/>
      </c>
      <c r="O410" s="305" t="str">
        <f ca="1">IFERROR(_xludf.IFS(H410&lt;100,(ABS(100/H410))+1,H410&gt;100,(H410/100)+1,H410=100, 2, H410=-100, 2),"")</f>
        <v/>
      </c>
      <c r="P410" s="305" t="str">
        <f t="shared" ca="1" si="24"/>
        <v/>
      </c>
      <c r="Q410" s="263"/>
      <c r="R410" s="263"/>
      <c r="S410" s="263"/>
      <c r="T410" s="263"/>
      <c r="U410" s="263"/>
      <c r="V410" s="263"/>
      <c r="W410" s="263"/>
      <c r="X410" s="71"/>
      <c r="Y410" s="71"/>
      <c r="Z410" s="71"/>
      <c r="AA410" s="71"/>
      <c r="AB410" s="71"/>
    </row>
    <row r="411" spans="1:28" ht="15.75" customHeight="1">
      <c r="A411" s="143"/>
      <c r="B411" s="298"/>
      <c r="C411" s="298"/>
      <c r="D411" s="298"/>
      <c r="E411" s="298"/>
      <c r="F411" s="298"/>
      <c r="G411" s="298"/>
      <c r="H411" s="298"/>
      <c r="I411" s="313"/>
      <c r="J411" s="309"/>
      <c r="K411" s="298">
        <f t="shared" si="25"/>
        <v>0</v>
      </c>
      <c r="L411" s="303" t="str">
        <f t="shared" ca="1" si="26"/>
        <v/>
      </c>
      <c r="M411" s="304" t="str">
        <f t="shared" ca="1" si="27"/>
        <v/>
      </c>
      <c r="N411" s="305" t="str">
        <f ca="1">IFERROR(_xludf.IFS(G411&lt;100,(ABS(100/G411))+1,G411&gt;100,(G411/100)+1,G411=100, 2, G411=-100, 2),"")</f>
        <v/>
      </c>
      <c r="O411" s="305" t="str">
        <f ca="1">IFERROR(_xludf.IFS(H411&lt;100,(ABS(100/H411))+1,H411&gt;100,(H411/100)+1,H411=100, 2, H411=-100, 2),"")</f>
        <v/>
      </c>
      <c r="P411" s="305" t="str">
        <f t="shared" ca="1" si="24"/>
        <v/>
      </c>
      <c r="Q411" s="263"/>
      <c r="R411" s="263"/>
      <c r="S411" s="263"/>
      <c r="T411" s="263"/>
      <c r="U411" s="263"/>
      <c r="V411" s="263"/>
      <c r="W411" s="263"/>
      <c r="X411" s="71"/>
      <c r="Y411" s="71"/>
      <c r="Z411" s="71"/>
      <c r="AA411" s="71"/>
      <c r="AB411" s="71"/>
    </row>
    <row r="412" spans="1:28" ht="15.75" customHeight="1">
      <c r="A412" s="143"/>
      <c r="B412" s="298"/>
      <c r="C412" s="298"/>
      <c r="D412" s="298"/>
      <c r="E412" s="298"/>
      <c r="F412" s="298"/>
      <c r="G412" s="298"/>
      <c r="H412" s="298"/>
      <c r="I412" s="313"/>
      <c r="J412" s="309"/>
      <c r="K412" s="298">
        <f t="shared" si="25"/>
        <v>0</v>
      </c>
      <c r="L412" s="303" t="str">
        <f t="shared" ca="1" si="26"/>
        <v/>
      </c>
      <c r="M412" s="304" t="str">
        <f t="shared" ca="1" si="27"/>
        <v/>
      </c>
      <c r="N412" s="305" t="str">
        <f ca="1">IFERROR(_xludf.IFS(G412&lt;100,(ABS(100/G412))+1,G412&gt;100,(G412/100)+1,G412=100, 2, G412=-100, 2),"")</f>
        <v/>
      </c>
      <c r="O412" s="305" t="str">
        <f ca="1">IFERROR(_xludf.IFS(H412&lt;100,(ABS(100/H412))+1,H412&gt;100,(H412/100)+1,H412=100, 2, H412=-100, 2),"")</f>
        <v/>
      </c>
      <c r="P412" s="305" t="str">
        <f t="shared" ca="1" si="24"/>
        <v/>
      </c>
      <c r="Q412" s="263"/>
      <c r="R412" s="263"/>
      <c r="S412" s="263"/>
      <c r="T412" s="263"/>
      <c r="U412" s="263"/>
      <c r="V412" s="263"/>
      <c r="W412" s="263"/>
      <c r="X412" s="71"/>
      <c r="Y412" s="71"/>
      <c r="Z412" s="71"/>
      <c r="AA412" s="71"/>
      <c r="AB412" s="71"/>
    </row>
    <row r="413" spans="1:28" ht="15.75" customHeight="1">
      <c r="A413" s="143"/>
      <c r="B413" s="298"/>
      <c r="C413" s="298"/>
      <c r="D413" s="298"/>
      <c r="E413" s="298"/>
      <c r="F413" s="298"/>
      <c r="G413" s="298"/>
      <c r="H413" s="298"/>
      <c r="I413" s="313"/>
      <c r="J413" s="309"/>
      <c r="K413" s="298">
        <f t="shared" si="25"/>
        <v>0</v>
      </c>
      <c r="L413" s="303" t="str">
        <f t="shared" ca="1" si="26"/>
        <v/>
      </c>
      <c r="M413" s="304" t="str">
        <f t="shared" ca="1" si="27"/>
        <v/>
      </c>
      <c r="N413" s="305" t="str">
        <f ca="1">IFERROR(_xludf.IFS(G413&lt;100,(ABS(100/G413))+1,G413&gt;100,(G413/100)+1,G413=100, 2, G413=-100, 2),"")</f>
        <v/>
      </c>
      <c r="O413" s="305" t="str">
        <f ca="1">IFERROR(_xludf.IFS(H413&lt;100,(ABS(100/H413))+1,H413&gt;100,(H413/100)+1,H413=100, 2, H413=-100, 2),"")</f>
        <v/>
      </c>
      <c r="P413" s="305" t="str">
        <f t="shared" ca="1" si="24"/>
        <v/>
      </c>
      <c r="Q413" s="263"/>
      <c r="R413" s="263"/>
      <c r="S413" s="263"/>
      <c r="T413" s="263"/>
      <c r="U413" s="263"/>
      <c r="V413" s="263"/>
      <c r="W413" s="263"/>
      <c r="X413" s="71"/>
      <c r="Y413" s="71"/>
      <c r="Z413" s="71"/>
      <c r="AA413" s="71"/>
      <c r="AB413" s="71"/>
    </row>
    <row r="414" spans="1:28" ht="15.75" customHeight="1">
      <c r="A414" s="143"/>
      <c r="B414" s="298"/>
      <c r="C414" s="298"/>
      <c r="D414" s="298"/>
      <c r="E414" s="298"/>
      <c r="F414" s="298"/>
      <c r="G414" s="298"/>
      <c r="H414" s="298"/>
      <c r="I414" s="313"/>
      <c r="J414" s="309"/>
      <c r="K414" s="298">
        <f t="shared" si="25"/>
        <v>0</v>
      </c>
      <c r="L414" s="303" t="str">
        <f t="shared" ca="1" si="26"/>
        <v/>
      </c>
      <c r="M414" s="304" t="str">
        <f t="shared" ca="1" si="27"/>
        <v/>
      </c>
      <c r="N414" s="305" t="str">
        <f ca="1">IFERROR(_xludf.IFS(G414&lt;100,(ABS(100/G414))+1,G414&gt;100,(G414/100)+1,G414=100, 2, G414=-100, 2),"")</f>
        <v/>
      </c>
      <c r="O414" s="305" t="str">
        <f ca="1">IFERROR(_xludf.IFS(H414&lt;100,(ABS(100/H414))+1,H414&gt;100,(H414/100)+1,H414=100, 2, H414=-100, 2),"")</f>
        <v/>
      </c>
      <c r="P414" s="305" t="str">
        <f t="shared" ca="1" si="24"/>
        <v/>
      </c>
      <c r="Q414" s="263"/>
      <c r="R414" s="263"/>
      <c r="S414" s="263"/>
      <c r="T414" s="263"/>
      <c r="U414" s="263"/>
      <c r="V414" s="263"/>
      <c r="W414" s="263"/>
      <c r="X414" s="71"/>
      <c r="Y414" s="71"/>
      <c r="Z414" s="71"/>
      <c r="AA414" s="71"/>
      <c r="AB414" s="71"/>
    </row>
    <row r="415" spans="1:28" ht="15.75" customHeight="1">
      <c r="A415" s="143"/>
      <c r="B415" s="298"/>
      <c r="C415" s="298"/>
      <c r="D415" s="298"/>
      <c r="E415" s="298"/>
      <c r="F415" s="298"/>
      <c r="G415" s="298"/>
      <c r="H415" s="298"/>
      <c r="I415" s="313"/>
      <c r="J415" s="309"/>
      <c r="K415" s="298">
        <f t="shared" si="25"/>
        <v>0</v>
      </c>
      <c r="L415" s="303" t="str">
        <f t="shared" ca="1" si="26"/>
        <v/>
      </c>
      <c r="M415" s="304" t="str">
        <f t="shared" ca="1" si="27"/>
        <v/>
      </c>
      <c r="N415" s="305" t="str">
        <f ca="1">IFERROR(_xludf.IFS(G415&lt;100,(ABS(100/G415))+1,G415&gt;100,(G415/100)+1,G415=100, 2, G415=-100, 2),"")</f>
        <v/>
      </c>
      <c r="O415" s="305" t="str">
        <f ca="1">IFERROR(_xludf.IFS(H415&lt;100,(ABS(100/H415))+1,H415&gt;100,(H415/100)+1,H415=100, 2, H415=-100, 2),"")</f>
        <v/>
      </c>
      <c r="P415" s="305" t="str">
        <f t="shared" ca="1" si="24"/>
        <v/>
      </c>
      <c r="Q415" s="263"/>
      <c r="R415" s="263"/>
      <c r="S415" s="263"/>
      <c r="T415" s="263"/>
      <c r="U415" s="263"/>
      <c r="V415" s="263"/>
      <c r="W415" s="263"/>
      <c r="X415" s="71"/>
      <c r="Y415" s="71"/>
      <c r="Z415" s="71"/>
      <c r="AA415" s="71"/>
      <c r="AB415" s="71"/>
    </row>
    <row r="416" spans="1:28" ht="15.75" customHeight="1">
      <c r="A416" s="143"/>
      <c r="B416" s="298"/>
      <c r="C416" s="298"/>
      <c r="D416" s="298"/>
      <c r="E416" s="298"/>
      <c r="F416" s="298"/>
      <c r="G416" s="298"/>
      <c r="H416" s="298"/>
      <c r="I416" s="313"/>
      <c r="J416" s="309"/>
      <c r="K416" s="298">
        <f t="shared" si="25"/>
        <v>0</v>
      </c>
      <c r="L416" s="303" t="str">
        <f t="shared" ca="1" si="26"/>
        <v/>
      </c>
      <c r="M416" s="304" t="str">
        <f t="shared" ca="1" si="27"/>
        <v/>
      </c>
      <c r="N416" s="305" t="str">
        <f ca="1">IFERROR(_xludf.IFS(G416&lt;100,(ABS(100/G416))+1,G416&gt;100,(G416/100)+1,G416=100, 2, G416=-100, 2),"")</f>
        <v/>
      </c>
      <c r="O416" s="305" t="str">
        <f ca="1">IFERROR(_xludf.IFS(H416&lt;100,(ABS(100/H416))+1,H416&gt;100,(H416/100)+1,H416=100, 2, H416=-100, 2),"")</f>
        <v/>
      </c>
      <c r="P416" s="305" t="str">
        <f t="shared" ca="1" si="24"/>
        <v/>
      </c>
      <c r="Q416" s="263"/>
      <c r="R416" s="263"/>
      <c r="S416" s="263"/>
      <c r="T416" s="263"/>
      <c r="U416" s="263"/>
      <c r="V416" s="263"/>
      <c r="W416" s="263"/>
      <c r="X416" s="71"/>
      <c r="Y416" s="71"/>
      <c r="Z416" s="71"/>
      <c r="AA416" s="71"/>
      <c r="AB416" s="71"/>
    </row>
    <row r="417" spans="1:28" ht="15.75" customHeight="1">
      <c r="A417" s="143"/>
      <c r="B417" s="298"/>
      <c r="C417" s="298"/>
      <c r="D417" s="298"/>
      <c r="E417" s="298"/>
      <c r="F417" s="298"/>
      <c r="G417" s="298"/>
      <c r="H417" s="298"/>
      <c r="I417" s="313"/>
      <c r="J417" s="309"/>
      <c r="K417" s="298">
        <f t="shared" si="25"/>
        <v>0</v>
      </c>
      <c r="L417" s="303" t="str">
        <f t="shared" ca="1" si="26"/>
        <v/>
      </c>
      <c r="M417" s="304" t="str">
        <f t="shared" ca="1" si="27"/>
        <v/>
      </c>
      <c r="N417" s="305" t="str">
        <f ca="1">IFERROR(_xludf.IFS(G417&lt;100,(ABS(100/G417))+1,G417&gt;100,(G417/100)+1,G417=100, 2, G417=-100, 2),"")</f>
        <v/>
      </c>
      <c r="O417" s="305" t="str">
        <f ca="1">IFERROR(_xludf.IFS(H417&lt;100,(ABS(100/H417))+1,H417&gt;100,(H417/100)+1,H417=100, 2, H417=-100, 2),"")</f>
        <v/>
      </c>
      <c r="P417" s="305" t="str">
        <f t="shared" ca="1" si="24"/>
        <v/>
      </c>
      <c r="Q417" s="263"/>
      <c r="R417" s="263"/>
      <c r="S417" s="263"/>
      <c r="T417" s="263"/>
      <c r="U417" s="263"/>
      <c r="V417" s="263"/>
      <c r="W417" s="263"/>
      <c r="X417" s="71"/>
      <c r="Y417" s="71"/>
      <c r="Z417" s="71"/>
      <c r="AA417" s="71"/>
      <c r="AB417" s="71"/>
    </row>
    <row r="418" spans="1:28" ht="15.75" customHeight="1">
      <c r="A418" s="143"/>
      <c r="B418" s="298"/>
      <c r="C418" s="298"/>
      <c r="D418" s="298"/>
      <c r="E418" s="298"/>
      <c r="F418" s="298"/>
      <c r="G418" s="298"/>
      <c r="H418" s="298"/>
      <c r="I418" s="313"/>
      <c r="J418" s="309"/>
      <c r="K418" s="298">
        <f t="shared" si="25"/>
        <v>0</v>
      </c>
      <c r="L418" s="303" t="str">
        <f t="shared" ca="1" si="26"/>
        <v/>
      </c>
      <c r="M418" s="304" t="str">
        <f t="shared" ca="1" si="27"/>
        <v/>
      </c>
      <c r="N418" s="305" t="str">
        <f ca="1">IFERROR(_xludf.IFS(G418&lt;100,(ABS(100/G418))+1,G418&gt;100,(G418/100)+1,G418=100, 2, G418=-100, 2),"")</f>
        <v/>
      </c>
      <c r="O418" s="305" t="str">
        <f ca="1">IFERROR(_xludf.IFS(H418&lt;100,(ABS(100/H418))+1,H418&gt;100,(H418/100)+1,H418=100, 2, H418=-100, 2),"")</f>
        <v/>
      </c>
      <c r="P418" s="305" t="str">
        <f t="shared" ca="1" si="24"/>
        <v/>
      </c>
      <c r="Q418" s="263"/>
      <c r="R418" s="263"/>
      <c r="S418" s="263"/>
      <c r="T418" s="263"/>
      <c r="U418" s="263"/>
      <c r="V418" s="263"/>
      <c r="W418" s="263"/>
      <c r="X418" s="71"/>
      <c r="Y418" s="71"/>
      <c r="Z418" s="71"/>
      <c r="AA418" s="71"/>
      <c r="AB418" s="71"/>
    </row>
    <row r="419" spans="1:28" ht="15.75" customHeight="1">
      <c r="A419" s="143"/>
      <c r="B419" s="298"/>
      <c r="C419" s="298"/>
      <c r="D419" s="298"/>
      <c r="E419" s="298"/>
      <c r="F419" s="298"/>
      <c r="G419" s="298"/>
      <c r="H419" s="298"/>
      <c r="I419" s="313"/>
      <c r="J419" s="309"/>
      <c r="K419" s="298">
        <f t="shared" si="25"/>
        <v>0</v>
      </c>
      <c r="L419" s="303" t="str">
        <f t="shared" ca="1" si="26"/>
        <v/>
      </c>
      <c r="M419" s="304" t="str">
        <f t="shared" ca="1" si="27"/>
        <v/>
      </c>
      <c r="N419" s="305" t="str">
        <f ca="1">IFERROR(_xludf.IFS(G419&lt;100,(ABS(100/G419))+1,G419&gt;100,(G419/100)+1,G419=100, 2, G419=-100, 2),"")</f>
        <v/>
      </c>
      <c r="O419" s="305" t="str">
        <f ca="1">IFERROR(_xludf.IFS(H419&lt;100,(ABS(100/H419))+1,H419&gt;100,(H419/100)+1,H419=100, 2, H419=-100, 2),"")</f>
        <v/>
      </c>
      <c r="P419" s="305" t="str">
        <f t="shared" ca="1" si="24"/>
        <v/>
      </c>
      <c r="Q419" s="263"/>
      <c r="R419" s="263"/>
      <c r="S419" s="263"/>
      <c r="T419" s="263"/>
      <c r="U419" s="263"/>
      <c r="V419" s="263"/>
      <c r="W419" s="263"/>
      <c r="X419" s="71"/>
      <c r="Y419" s="71"/>
      <c r="Z419" s="71"/>
      <c r="AA419" s="71"/>
      <c r="AB419" s="71"/>
    </row>
    <row r="420" spans="1:28" ht="15.75" customHeight="1">
      <c r="A420" s="143"/>
      <c r="B420" s="298"/>
      <c r="C420" s="298"/>
      <c r="D420" s="298"/>
      <c r="E420" s="298"/>
      <c r="F420" s="298"/>
      <c r="G420" s="298"/>
      <c r="H420" s="298"/>
      <c r="I420" s="313"/>
      <c r="J420" s="309"/>
      <c r="K420" s="298">
        <f t="shared" si="25"/>
        <v>0</v>
      </c>
      <c r="L420" s="303" t="str">
        <f t="shared" ca="1" si="26"/>
        <v/>
      </c>
      <c r="M420" s="304" t="str">
        <f t="shared" ca="1" si="27"/>
        <v/>
      </c>
      <c r="N420" s="305" t="str">
        <f ca="1">IFERROR(_xludf.IFS(G420&lt;100,(ABS(100/G420))+1,G420&gt;100,(G420/100)+1,G420=100, 2, G420=-100, 2),"")</f>
        <v/>
      </c>
      <c r="O420" s="305" t="str">
        <f ca="1">IFERROR(_xludf.IFS(H420&lt;100,(ABS(100/H420))+1,H420&gt;100,(H420/100)+1,H420=100, 2, H420=-100, 2),"")</f>
        <v/>
      </c>
      <c r="P420" s="305" t="str">
        <f t="shared" ref="P420:P478" ca="1" si="28">IFERROR(O420*1.035,"")</f>
        <v/>
      </c>
      <c r="Q420" s="263"/>
      <c r="R420" s="263"/>
      <c r="S420" s="263"/>
      <c r="T420" s="263"/>
      <c r="U420" s="263"/>
      <c r="V420" s="263"/>
      <c r="W420" s="263"/>
      <c r="X420" s="71"/>
      <c r="Y420" s="71"/>
      <c r="Z420" s="71"/>
      <c r="AA420" s="71"/>
      <c r="AB420" s="71"/>
    </row>
    <row r="421" spans="1:28" ht="15.75" customHeight="1">
      <c r="A421" s="143"/>
      <c r="B421" s="298"/>
      <c r="C421" s="298"/>
      <c r="D421" s="298"/>
      <c r="E421" s="298"/>
      <c r="F421" s="298"/>
      <c r="G421" s="298"/>
      <c r="H421" s="298"/>
      <c r="I421" s="313"/>
      <c r="J421" s="309"/>
      <c r="K421" s="298">
        <f t="shared" si="25"/>
        <v>0</v>
      </c>
      <c r="L421" s="303" t="str">
        <f t="shared" ca="1" si="26"/>
        <v/>
      </c>
      <c r="M421" s="304" t="str">
        <f t="shared" ca="1" si="27"/>
        <v/>
      </c>
      <c r="N421" s="305" t="str">
        <f ca="1">IFERROR(_xludf.IFS(G421&lt;100,(ABS(100/G421))+1,G421&gt;100,(G421/100)+1,G421=100, 2, G421=-100, 2),"")</f>
        <v/>
      </c>
      <c r="O421" s="305" t="str">
        <f ca="1">IFERROR(_xludf.IFS(H421&lt;100,(ABS(100/H421))+1,H421&gt;100,(H421/100)+1,H421=100, 2, H421=-100, 2),"")</f>
        <v/>
      </c>
      <c r="P421" s="305" t="str">
        <f t="shared" ca="1" si="28"/>
        <v/>
      </c>
      <c r="Q421" s="263"/>
      <c r="R421" s="263"/>
      <c r="S421" s="263"/>
      <c r="T421" s="263"/>
      <c r="U421" s="263"/>
      <c r="V421" s="263"/>
      <c r="W421" s="263"/>
      <c r="X421" s="71"/>
      <c r="Y421" s="71"/>
      <c r="Z421" s="71"/>
      <c r="AA421" s="71"/>
      <c r="AB421" s="71"/>
    </row>
    <row r="422" spans="1:28" ht="15.75" customHeight="1">
      <c r="A422" s="143"/>
      <c r="B422" s="298"/>
      <c r="C422" s="298"/>
      <c r="D422" s="298"/>
      <c r="E422" s="298"/>
      <c r="F422" s="298"/>
      <c r="G422" s="298"/>
      <c r="H422" s="298"/>
      <c r="I422" s="313"/>
      <c r="J422" s="309"/>
      <c r="K422" s="298">
        <f t="shared" si="25"/>
        <v>0</v>
      </c>
      <c r="L422" s="303" t="str">
        <f t="shared" ca="1" si="26"/>
        <v/>
      </c>
      <c r="M422" s="304" t="str">
        <f t="shared" ca="1" si="27"/>
        <v/>
      </c>
      <c r="N422" s="305" t="str">
        <f ca="1">IFERROR(_xludf.IFS(G422&lt;100,(ABS(100/G422))+1,G422&gt;100,(G422/100)+1,G422=100, 2, G422=-100, 2),"")</f>
        <v/>
      </c>
      <c r="O422" s="305" t="str">
        <f ca="1">IFERROR(_xludf.IFS(H422&lt;100,(ABS(100/H422))+1,H422&gt;100,(H422/100)+1,H422=100, 2, H422=-100, 2),"")</f>
        <v/>
      </c>
      <c r="P422" s="305" t="str">
        <f t="shared" ca="1" si="28"/>
        <v/>
      </c>
      <c r="Q422" s="263"/>
      <c r="R422" s="263"/>
      <c r="S422" s="263"/>
      <c r="T422" s="263"/>
      <c r="U422" s="263"/>
      <c r="V422" s="263"/>
      <c r="W422" s="263"/>
      <c r="X422" s="71"/>
      <c r="Y422" s="71"/>
      <c r="Z422" s="71"/>
      <c r="AA422" s="71"/>
      <c r="AB422" s="71"/>
    </row>
    <row r="423" spans="1:28" ht="15.75" customHeight="1">
      <c r="A423" s="143"/>
      <c r="B423" s="298"/>
      <c r="C423" s="298"/>
      <c r="D423" s="298"/>
      <c r="E423" s="298"/>
      <c r="F423" s="298"/>
      <c r="G423" s="298"/>
      <c r="H423" s="298"/>
      <c r="I423" s="313"/>
      <c r="J423" s="309"/>
      <c r="K423" s="298">
        <f t="shared" si="25"/>
        <v>0</v>
      </c>
      <c r="L423" s="303" t="str">
        <f t="shared" ca="1" si="26"/>
        <v/>
      </c>
      <c r="M423" s="304" t="str">
        <f t="shared" ca="1" si="27"/>
        <v/>
      </c>
      <c r="N423" s="305" t="str">
        <f ca="1">IFERROR(_xludf.IFS(G423&lt;100,(ABS(100/G423))+1,G423&gt;100,(G423/100)+1,G423=100, 2, G423=-100, 2),"")</f>
        <v/>
      </c>
      <c r="O423" s="305" t="str">
        <f ca="1">IFERROR(_xludf.IFS(H423&lt;100,(ABS(100/H423))+1,H423&gt;100,(H423/100)+1,H423=100, 2, H423=-100, 2),"")</f>
        <v/>
      </c>
      <c r="P423" s="305" t="str">
        <f t="shared" ca="1" si="28"/>
        <v/>
      </c>
      <c r="Q423" s="263"/>
      <c r="R423" s="263"/>
      <c r="S423" s="263"/>
      <c r="T423" s="263"/>
      <c r="U423" s="263"/>
      <c r="V423" s="263"/>
      <c r="W423" s="263"/>
      <c r="X423" s="71"/>
      <c r="Y423" s="71"/>
      <c r="Z423" s="71"/>
      <c r="AA423" s="71"/>
      <c r="AB423" s="71"/>
    </row>
    <row r="424" spans="1:28" ht="15.75" customHeight="1">
      <c r="A424" s="143"/>
      <c r="B424" s="298"/>
      <c r="C424" s="298"/>
      <c r="D424" s="298"/>
      <c r="E424" s="298"/>
      <c r="F424" s="298"/>
      <c r="G424" s="298"/>
      <c r="H424" s="298"/>
      <c r="I424" s="313"/>
      <c r="J424" s="309"/>
      <c r="K424" s="298">
        <f t="shared" si="25"/>
        <v>0</v>
      </c>
      <c r="L424" s="303" t="str">
        <f t="shared" ca="1" si="26"/>
        <v/>
      </c>
      <c r="M424" s="304" t="str">
        <f t="shared" ca="1" si="27"/>
        <v/>
      </c>
      <c r="N424" s="305" t="str">
        <f ca="1">IFERROR(_xludf.IFS(G424&lt;100,(ABS(100/G424))+1,G424&gt;100,(G424/100)+1,G424=100, 2, G424=-100, 2),"")</f>
        <v/>
      </c>
      <c r="O424" s="305" t="str">
        <f ca="1">IFERROR(_xludf.IFS(H424&lt;100,(ABS(100/H424))+1,H424&gt;100,(H424/100)+1,H424=100, 2, H424=-100, 2),"")</f>
        <v/>
      </c>
      <c r="P424" s="305" t="str">
        <f t="shared" ca="1" si="28"/>
        <v/>
      </c>
      <c r="Q424" s="263"/>
      <c r="R424" s="263"/>
      <c r="S424" s="263"/>
      <c r="T424" s="263"/>
      <c r="U424" s="263"/>
      <c r="V424" s="263"/>
      <c r="W424" s="263"/>
      <c r="X424" s="71"/>
      <c r="Y424" s="71"/>
      <c r="Z424" s="71"/>
      <c r="AA424" s="71"/>
      <c r="AB424" s="71"/>
    </row>
    <row r="425" spans="1:28" ht="15.75" customHeight="1">
      <c r="A425" s="143"/>
      <c r="B425" s="298"/>
      <c r="C425" s="298"/>
      <c r="D425" s="298"/>
      <c r="E425" s="298"/>
      <c r="F425" s="298"/>
      <c r="G425" s="298"/>
      <c r="H425" s="298"/>
      <c r="I425" s="313"/>
      <c r="J425" s="309"/>
      <c r="K425" s="298">
        <f t="shared" si="25"/>
        <v>0</v>
      </c>
      <c r="L425" s="303" t="str">
        <f t="shared" ca="1" si="26"/>
        <v/>
      </c>
      <c r="M425" s="304" t="str">
        <f t="shared" ca="1" si="27"/>
        <v/>
      </c>
      <c r="N425" s="305" t="str">
        <f ca="1">IFERROR(_xludf.IFS(G425&lt;100,(ABS(100/G425))+1,G425&gt;100,(G425/100)+1,G425=100, 2, G425=-100, 2),"")</f>
        <v/>
      </c>
      <c r="O425" s="305" t="str">
        <f ca="1">IFERROR(_xludf.IFS(H425&lt;100,(ABS(100/H425))+1,H425&gt;100,(H425/100)+1,H425=100, 2, H425=-100, 2),"")</f>
        <v/>
      </c>
      <c r="P425" s="305" t="str">
        <f t="shared" ca="1" si="28"/>
        <v/>
      </c>
      <c r="Q425" s="263"/>
      <c r="R425" s="263"/>
      <c r="S425" s="263"/>
      <c r="T425" s="263"/>
      <c r="U425" s="263"/>
      <c r="V425" s="263"/>
      <c r="W425" s="263"/>
      <c r="X425" s="71"/>
      <c r="Y425" s="71"/>
      <c r="Z425" s="71"/>
      <c r="AA425" s="71"/>
      <c r="AB425" s="71"/>
    </row>
    <row r="426" spans="1:28" ht="15.75" customHeight="1">
      <c r="A426" s="143"/>
      <c r="B426" s="298"/>
      <c r="C426" s="298"/>
      <c r="D426" s="298"/>
      <c r="E426" s="298"/>
      <c r="F426" s="298"/>
      <c r="G426" s="298"/>
      <c r="H426" s="298"/>
      <c r="I426" s="313"/>
      <c r="J426" s="309"/>
      <c r="K426" s="298">
        <f t="shared" si="25"/>
        <v>0</v>
      </c>
      <c r="L426" s="303" t="str">
        <f t="shared" ca="1" si="26"/>
        <v/>
      </c>
      <c r="M426" s="304" t="str">
        <f t="shared" ca="1" si="27"/>
        <v/>
      </c>
      <c r="N426" s="305" t="str">
        <f ca="1">IFERROR(_xludf.IFS(G426&lt;100,(ABS(100/G426))+1,G426&gt;100,(G426/100)+1,G426=100, 2, G426=-100, 2),"")</f>
        <v/>
      </c>
      <c r="O426" s="305" t="str">
        <f ca="1">IFERROR(_xludf.IFS(H426&lt;100,(ABS(100/H426))+1,H426&gt;100,(H426/100)+1,H426=100, 2, H426=-100, 2),"")</f>
        <v/>
      </c>
      <c r="P426" s="305" t="str">
        <f t="shared" ca="1" si="28"/>
        <v/>
      </c>
      <c r="Q426" s="263"/>
      <c r="R426" s="263"/>
      <c r="S426" s="263"/>
      <c r="T426" s="263"/>
      <c r="U426" s="263"/>
      <c r="V426" s="263"/>
      <c r="W426" s="263"/>
      <c r="X426" s="71"/>
      <c r="Y426" s="71"/>
      <c r="Z426" s="71"/>
      <c r="AA426" s="71"/>
      <c r="AB426" s="71"/>
    </row>
    <row r="427" spans="1:28" ht="15.75" customHeight="1">
      <c r="A427" s="143"/>
      <c r="B427" s="298"/>
      <c r="C427" s="298"/>
      <c r="D427" s="298"/>
      <c r="E427" s="298"/>
      <c r="F427" s="298"/>
      <c r="G427" s="298"/>
      <c r="H427" s="298"/>
      <c r="I427" s="313"/>
      <c r="J427" s="309"/>
      <c r="K427" s="298">
        <f t="shared" si="25"/>
        <v>0</v>
      </c>
      <c r="L427" s="303" t="str">
        <f t="shared" ca="1" si="26"/>
        <v/>
      </c>
      <c r="M427" s="304" t="str">
        <f t="shared" ca="1" si="27"/>
        <v/>
      </c>
      <c r="N427" s="305" t="str">
        <f ca="1">IFERROR(_xludf.IFS(G427&lt;100,(ABS(100/G427))+1,G427&gt;100,(G427/100)+1,G427=100, 2, G427=-100, 2),"")</f>
        <v/>
      </c>
      <c r="O427" s="305" t="str">
        <f ca="1">IFERROR(_xludf.IFS(H427&lt;100,(ABS(100/H427))+1,H427&gt;100,(H427/100)+1,H427=100, 2, H427=-100, 2),"")</f>
        <v/>
      </c>
      <c r="P427" s="305" t="str">
        <f t="shared" ca="1" si="28"/>
        <v/>
      </c>
      <c r="Q427" s="263"/>
      <c r="R427" s="263"/>
      <c r="S427" s="263"/>
      <c r="T427" s="263"/>
      <c r="U427" s="263"/>
      <c r="V427" s="263"/>
      <c r="W427" s="263"/>
      <c r="X427" s="71"/>
      <c r="Y427" s="71"/>
      <c r="Z427" s="71"/>
      <c r="AA427" s="71"/>
      <c r="AB427" s="71"/>
    </row>
    <row r="428" spans="1:28" ht="15.75" customHeight="1">
      <c r="A428" s="143"/>
      <c r="B428" s="298"/>
      <c r="C428" s="298"/>
      <c r="D428" s="298"/>
      <c r="E428" s="298"/>
      <c r="F428" s="298"/>
      <c r="G428" s="298"/>
      <c r="H428" s="298"/>
      <c r="I428" s="313"/>
      <c r="J428" s="309"/>
      <c r="K428" s="298">
        <f t="shared" si="25"/>
        <v>0</v>
      </c>
      <c r="L428" s="303" t="str">
        <f t="shared" ca="1" si="26"/>
        <v/>
      </c>
      <c r="M428" s="304" t="str">
        <f t="shared" ca="1" si="27"/>
        <v/>
      </c>
      <c r="N428" s="305" t="str">
        <f ca="1">IFERROR(_xludf.IFS(G428&lt;100,(ABS(100/G428))+1,G428&gt;100,(G428/100)+1,G428=100, 2, G428=-100, 2),"")</f>
        <v/>
      </c>
      <c r="O428" s="305" t="str">
        <f ca="1">IFERROR(_xludf.IFS(H428&lt;100,(ABS(100/H428))+1,H428&gt;100,(H428/100)+1,H428=100, 2, H428=-100, 2),"")</f>
        <v/>
      </c>
      <c r="P428" s="305" t="str">
        <f t="shared" ca="1" si="28"/>
        <v/>
      </c>
      <c r="Q428" s="263"/>
      <c r="R428" s="263"/>
      <c r="S428" s="263"/>
      <c r="T428" s="263"/>
      <c r="U428" s="263"/>
      <c r="V428" s="263"/>
      <c r="W428" s="263"/>
      <c r="X428" s="71"/>
      <c r="Y428" s="71"/>
      <c r="Z428" s="71"/>
      <c r="AA428" s="71"/>
      <c r="AB428" s="71"/>
    </row>
    <row r="429" spans="1:28" ht="15.75" customHeight="1">
      <c r="A429" s="143"/>
      <c r="B429" s="298"/>
      <c r="C429" s="298"/>
      <c r="D429" s="298"/>
      <c r="E429" s="298"/>
      <c r="F429" s="298"/>
      <c r="G429" s="298"/>
      <c r="H429" s="298"/>
      <c r="I429" s="313"/>
      <c r="J429" s="309"/>
      <c r="K429" s="298">
        <f t="shared" si="25"/>
        <v>0</v>
      </c>
      <c r="L429" s="303" t="str">
        <f t="shared" ca="1" si="26"/>
        <v/>
      </c>
      <c r="M429" s="304" t="str">
        <f t="shared" ca="1" si="27"/>
        <v/>
      </c>
      <c r="N429" s="305" t="str">
        <f ca="1">IFERROR(_xludf.IFS(G429&lt;100,(ABS(100/G429))+1,G429&gt;100,(G429/100)+1,G429=100, 2, G429=-100, 2),"")</f>
        <v/>
      </c>
      <c r="O429" s="305" t="str">
        <f ca="1">IFERROR(_xludf.IFS(H429&lt;100,(ABS(100/H429))+1,H429&gt;100,(H429/100)+1,H429=100, 2, H429=-100, 2),"")</f>
        <v/>
      </c>
      <c r="P429" s="305" t="str">
        <f t="shared" ca="1" si="28"/>
        <v/>
      </c>
      <c r="Q429" s="263"/>
      <c r="R429" s="263"/>
      <c r="S429" s="263"/>
      <c r="T429" s="263"/>
      <c r="U429" s="263"/>
      <c r="V429" s="263"/>
      <c r="W429" s="263"/>
      <c r="X429" s="71"/>
      <c r="Y429" s="71"/>
      <c r="Z429" s="71"/>
      <c r="AA429" s="71"/>
      <c r="AB429" s="71"/>
    </row>
    <row r="430" spans="1:28" ht="15.75" customHeight="1">
      <c r="A430" s="143"/>
      <c r="B430" s="298"/>
      <c r="C430" s="298"/>
      <c r="D430" s="298"/>
      <c r="E430" s="298"/>
      <c r="F430" s="298"/>
      <c r="G430" s="298"/>
      <c r="H430" s="298"/>
      <c r="I430" s="313"/>
      <c r="J430" s="309"/>
      <c r="K430" s="298">
        <f t="shared" si="25"/>
        <v>0</v>
      </c>
      <c r="L430" s="303" t="str">
        <f t="shared" ca="1" si="26"/>
        <v/>
      </c>
      <c r="M430" s="304" t="str">
        <f t="shared" ca="1" si="27"/>
        <v/>
      </c>
      <c r="N430" s="305" t="str">
        <f ca="1">IFERROR(_xludf.IFS(G430&lt;100,(ABS(100/G430))+1,G430&gt;100,(G430/100)+1,G430=100, 2, G430=-100, 2),"")</f>
        <v/>
      </c>
      <c r="O430" s="305" t="str">
        <f ca="1">IFERROR(_xludf.IFS(H430&lt;100,(ABS(100/H430))+1,H430&gt;100,(H430/100)+1,H430=100, 2, H430=-100, 2),"")</f>
        <v/>
      </c>
      <c r="P430" s="305" t="str">
        <f t="shared" ca="1" si="28"/>
        <v/>
      </c>
      <c r="Q430" s="263"/>
      <c r="R430" s="263"/>
      <c r="S430" s="263"/>
      <c r="T430" s="263"/>
      <c r="U430" s="263"/>
      <c r="V430" s="263"/>
      <c r="W430" s="263"/>
      <c r="X430" s="71"/>
      <c r="Y430" s="71"/>
      <c r="Z430" s="71"/>
      <c r="AA430" s="71"/>
      <c r="AB430" s="71"/>
    </row>
    <row r="431" spans="1:28" ht="15.75" customHeight="1">
      <c r="A431" s="143"/>
      <c r="B431" s="298"/>
      <c r="C431" s="298"/>
      <c r="D431" s="298"/>
      <c r="E431" s="298"/>
      <c r="F431" s="298"/>
      <c r="G431" s="298"/>
      <c r="H431" s="298"/>
      <c r="I431" s="313"/>
      <c r="J431" s="309"/>
      <c r="K431" s="298">
        <f t="shared" si="25"/>
        <v>0</v>
      </c>
      <c r="L431" s="303" t="str">
        <f t="shared" ca="1" si="26"/>
        <v/>
      </c>
      <c r="M431" s="304" t="str">
        <f t="shared" ca="1" si="27"/>
        <v/>
      </c>
      <c r="N431" s="305" t="str">
        <f ca="1">IFERROR(_xludf.IFS(G431&lt;100,(ABS(100/G431))+1,G431&gt;100,(G431/100)+1,G431=100, 2, G431=-100, 2),"")</f>
        <v/>
      </c>
      <c r="O431" s="305" t="str">
        <f ca="1">IFERROR(_xludf.IFS(H431&lt;100,(ABS(100/H431))+1,H431&gt;100,(H431/100)+1,H431=100, 2, H431=-100, 2),"")</f>
        <v/>
      </c>
      <c r="P431" s="305" t="str">
        <f t="shared" ca="1" si="28"/>
        <v/>
      </c>
      <c r="Q431" s="263"/>
      <c r="R431" s="263"/>
      <c r="S431" s="263"/>
      <c r="T431" s="263"/>
      <c r="U431" s="263"/>
      <c r="V431" s="263"/>
      <c r="W431" s="263"/>
      <c r="X431" s="71"/>
      <c r="Y431" s="71"/>
      <c r="Z431" s="71"/>
      <c r="AA431" s="71"/>
      <c r="AB431" s="71"/>
    </row>
    <row r="432" spans="1:28" ht="15.75" customHeight="1">
      <c r="A432" s="143"/>
      <c r="B432" s="298"/>
      <c r="C432" s="298"/>
      <c r="D432" s="298"/>
      <c r="E432" s="298"/>
      <c r="F432" s="298"/>
      <c r="G432" s="298"/>
      <c r="H432" s="298"/>
      <c r="I432" s="313"/>
      <c r="J432" s="309"/>
      <c r="K432" s="298">
        <f t="shared" si="25"/>
        <v>0</v>
      </c>
      <c r="L432" s="303" t="str">
        <f t="shared" ca="1" si="26"/>
        <v/>
      </c>
      <c r="M432" s="304" t="str">
        <f t="shared" ca="1" si="27"/>
        <v/>
      </c>
      <c r="N432" s="305" t="str">
        <f ca="1">IFERROR(_xludf.IFS(G432&lt;100,(ABS(100/G432))+1,G432&gt;100,(G432/100)+1,G432=100, 2, G432=-100, 2),"")</f>
        <v/>
      </c>
      <c r="O432" s="305" t="str">
        <f ca="1">IFERROR(_xludf.IFS(H432&lt;100,(ABS(100/H432))+1,H432&gt;100,(H432/100)+1,H432=100, 2, H432=-100, 2),"")</f>
        <v/>
      </c>
      <c r="P432" s="305" t="str">
        <f t="shared" ca="1" si="28"/>
        <v/>
      </c>
      <c r="Q432" s="263"/>
      <c r="R432" s="263"/>
      <c r="S432" s="263"/>
      <c r="T432" s="263"/>
      <c r="U432" s="263"/>
      <c r="V432" s="263"/>
      <c r="W432" s="263"/>
      <c r="X432" s="71"/>
      <c r="Y432" s="71"/>
      <c r="Z432" s="71"/>
      <c r="AA432" s="71"/>
      <c r="AB432" s="71"/>
    </row>
    <row r="433" spans="1:28" ht="15.75" customHeight="1">
      <c r="A433" s="143"/>
      <c r="B433" s="298"/>
      <c r="C433" s="298"/>
      <c r="D433" s="298"/>
      <c r="E433" s="298"/>
      <c r="F433" s="298"/>
      <c r="G433" s="298"/>
      <c r="H433" s="298"/>
      <c r="I433" s="313"/>
      <c r="J433" s="309"/>
      <c r="K433" s="298">
        <f t="shared" si="25"/>
        <v>0</v>
      </c>
      <c r="L433" s="303" t="str">
        <f t="shared" ca="1" si="26"/>
        <v/>
      </c>
      <c r="M433" s="304" t="str">
        <f t="shared" ca="1" si="27"/>
        <v/>
      </c>
      <c r="N433" s="305" t="str">
        <f ca="1">IFERROR(_xludf.IFS(G433&lt;100,(ABS(100/G433))+1,G433&gt;100,(G433/100)+1,G433=100, 2, G433=-100, 2),"")</f>
        <v/>
      </c>
      <c r="O433" s="305" t="str">
        <f ca="1">IFERROR(_xludf.IFS(H433&lt;100,(ABS(100/H433))+1,H433&gt;100,(H433/100)+1,H433=100, 2, H433=-100, 2),"")</f>
        <v/>
      </c>
      <c r="P433" s="305" t="str">
        <f t="shared" ca="1" si="28"/>
        <v/>
      </c>
      <c r="Q433" s="263"/>
      <c r="R433" s="263"/>
      <c r="S433" s="263"/>
      <c r="T433" s="263"/>
      <c r="U433" s="263"/>
      <c r="V433" s="263"/>
      <c r="W433" s="263"/>
      <c r="X433" s="71"/>
      <c r="Y433" s="71"/>
      <c r="Z433" s="71"/>
      <c r="AA433" s="71"/>
      <c r="AB433" s="71"/>
    </row>
    <row r="434" spans="1:28" ht="15.75" customHeight="1">
      <c r="A434" s="143"/>
      <c r="B434" s="298"/>
      <c r="C434" s="298"/>
      <c r="D434" s="298"/>
      <c r="E434" s="298"/>
      <c r="F434" s="298"/>
      <c r="G434" s="298"/>
      <c r="H434" s="298"/>
      <c r="I434" s="313"/>
      <c r="J434" s="309"/>
      <c r="K434" s="298">
        <f t="shared" si="25"/>
        <v>0</v>
      </c>
      <c r="L434" s="303" t="str">
        <f t="shared" ca="1" si="26"/>
        <v/>
      </c>
      <c r="M434" s="304" t="str">
        <f t="shared" ca="1" si="27"/>
        <v/>
      </c>
      <c r="N434" s="305" t="str">
        <f ca="1">IFERROR(_xludf.IFS(G434&lt;100,(ABS(100/G434))+1,G434&gt;100,(G434/100)+1,G434=100, 2, G434=-100, 2),"")</f>
        <v/>
      </c>
      <c r="O434" s="305" t="str">
        <f ca="1">IFERROR(_xludf.IFS(H434&lt;100,(ABS(100/H434))+1,H434&gt;100,(H434/100)+1,H434=100, 2, H434=-100, 2),"")</f>
        <v/>
      </c>
      <c r="P434" s="305" t="str">
        <f t="shared" ca="1" si="28"/>
        <v/>
      </c>
      <c r="Q434" s="263"/>
      <c r="R434" s="263"/>
      <c r="S434" s="263"/>
      <c r="T434" s="263"/>
      <c r="U434" s="263"/>
      <c r="V434" s="263"/>
      <c r="W434" s="263"/>
      <c r="X434" s="71"/>
      <c r="Y434" s="71"/>
      <c r="Z434" s="71"/>
      <c r="AA434" s="71"/>
      <c r="AB434" s="71"/>
    </row>
    <row r="435" spans="1:28" ht="15.75" customHeight="1">
      <c r="A435" s="143"/>
      <c r="B435" s="298"/>
      <c r="C435" s="298"/>
      <c r="D435" s="298"/>
      <c r="E435" s="298"/>
      <c r="F435" s="298"/>
      <c r="G435" s="298"/>
      <c r="H435" s="298"/>
      <c r="I435" s="313"/>
      <c r="J435" s="309"/>
      <c r="K435" s="298">
        <f t="shared" si="25"/>
        <v>0</v>
      </c>
      <c r="L435" s="303" t="str">
        <f t="shared" ca="1" si="26"/>
        <v/>
      </c>
      <c r="M435" s="304" t="str">
        <f t="shared" ca="1" si="27"/>
        <v/>
      </c>
      <c r="N435" s="305" t="str">
        <f ca="1">IFERROR(_xludf.IFS(G435&lt;100,(ABS(100/G435))+1,G435&gt;100,(G435/100)+1,G435=100, 2, G435=-100, 2),"")</f>
        <v/>
      </c>
      <c r="O435" s="305" t="str">
        <f ca="1">IFERROR(_xludf.IFS(H435&lt;100,(ABS(100/H435))+1,H435&gt;100,(H435/100)+1,H435=100, 2, H435=-100, 2),"")</f>
        <v/>
      </c>
      <c r="P435" s="305" t="str">
        <f t="shared" ca="1" si="28"/>
        <v/>
      </c>
      <c r="Q435" s="263"/>
      <c r="R435" s="263"/>
      <c r="S435" s="263"/>
      <c r="T435" s="263"/>
      <c r="U435" s="263"/>
      <c r="V435" s="263"/>
      <c r="W435" s="263"/>
      <c r="X435" s="71"/>
      <c r="Y435" s="71"/>
      <c r="Z435" s="71"/>
      <c r="AA435" s="71"/>
      <c r="AB435" s="71"/>
    </row>
    <row r="436" spans="1:28" ht="15.75" customHeight="1">
      <c r="A436" s="143"/>
      <c r="B436" s="298"/>
      <c r="C436" s="298"/>
      <c r="D436" s="298"/>
      <c r="E436" s="298"/>
      <c r="F436" s="298"/>
      <c r="G436" s="298"/>
      <c r="H436" s="298"/>
      <c r="I436" s="313"/>
      <c r="J436" s="309"/>
      <c r="K436" s="298">
        <f t="shared" si="25"/>
        <v>0</v>
      </c>
      <c r="L436" s="303" t="str">
        <f t="shared" ca="1" si="26"/>
        <v/>
      </c>
      <c r="M436" s="304" t="str">
        <f t="shared" ca="1" si="27"/>
        <v/>
      </c>
      <c r="N436" s="305" t="str">
        <f ca="1">IFERROR(_xludf.IFS(G436&lt;100,(ABS(100/G436))+1,G436&gt;100,(G436/100)+1,G436=100, 2, G436=-100, 2),"")</f>
        <v/>
      </c>
      <c r="O436" s="305" t="str">
        <f ca="1">IFERROR(_xludf.IFS(H436&lt;100,(ABS(100/H436))+1,H436&gt;100,(H436/100)+1,H436=100, 2, H436=-100, 2),"")</f>
        <v/>
      </c>
      <c r="P436" s="305" t="str">
        <f t="shared" ca="1" si="28"/>
        <v/>
      </c>
      <c r="Q436" s="263"/>
      <c r="R436" s="263"/>
      <c r="S436" s="263"/>
      <c r="T436" s="263"/>
      <c r="U436" s="263"/>
      <c r="V436" s="263"/>
      <c r="W436" s="263"/>
      <c r="X436" s="71"/>
      <c r="Y436" s="71"/>
      <c r="Z436" s="71"/>
      <c r="AA436" s="71"/>
      <c r="AB436" s="71"/>
    </row>
    <row r="437" spans="1:28" ht="15.75" customHeight="1">
      <c r="A437" s="143"/>
      <c r="B437" s="298"/>
      <c r="C437" s="298"/>
      <c r="D437" s="298"/>
      <c r="E437" s="298"/>
      <c r="F437" s="298"/>
      <c r="G437" s="298"/>
      <c r="H437" s="298"/>
      <c r="I437" s="313"/>
      <c r="J437" s="309"/>
      <c r="K437" s="298">
        <f t="shared" si="25"/>
        <v>0</v>
      </c>
      <c r="L437" s="303" t="str">
        <f t="shared" ca="1" si="26"/>
        <v/>
      </c>
      <c r="M437" s="304" t="str">
        <f t="shared" ca="1" si="27"/>
        <v/>
      </c>
      <c r="N437" s="305" t="str">
        <f ca="1">IFERROR(_xludf.IFS(G437&lt;100,(ABS(100/G437))+1,G437&gt;100,(G437/100)+1,G437=100, 2, G437=-100, 2),"")</f>
        <v/>
      </c>
      <c r="O437" s="305" t="str">
        <f ca="1">IFERROR(_xludf.IFS(H437&lt;100,(ABS(100/H437))+1,H437&gt;100,(H437/100)+1,H437=100, 2, H437=-100, 2),"")</f>
        <v/>
      </c>
      <c r="P437" s="305" t="str">
        <f t="shared" ca="1" si="28"/>
        <v/>
      </c>
      <c r="Q437" s="263"/>
      <c r="R437" s="263"/>
      <c r="S437" s="263"/>
      <c r="T437" s="263"/>
      <c r="U437" s="263"/>
      <c r="V437" s="263"/>
      <c r="W437" s="263"/>
      <c r="X437" s="71"/>
      <c r="Y437" s="71"/>
      <c r="Z437" s="71"/>
      <c r="AA437" s="71"/>
      <c r="AB437" s="71"/>
    </row>
    <row r="438" spans="1:28" ht="15.75" customHeight="1">
      <c r="A438" s="143"/>
      <c r="B438" s="298"/>
      <c r="C438" s="298"/>
      <c r="D438" s="298"/>
      <c r="E438" s="298"/>
      <c r="F438" s="298"/>
      <c r="G438" s="298"/>
      <c r="H438" s="298"/>
      <c r="I438" s="313"/>
      <c r="J438" s="309"/>
      <c r="K438" s="298">
        <f t="shared" si="25"/>
        <v>0</v>
      </c>
      <c r="L438" s="303" t="str">
        <f t="shared" ca="1" si="26"/>
        <v/>
      </c>
      <c r="M438" s="304" t="str">
        <f t="shared" ca="1" si="27"/>
        <v/>
      </c>
      <c r="N438" s="305" t="str">
        <f ca="1">IFERROR(_xludf.IFS(G438&lt;100,(ABS(100/G438))+1,G438&gt;100,(G438/100)+1,G438=100, 2, G438=-100, 2),"")</f>
        <v/>
      </c>
      <c r="O438" s="305" t="str">
        <f ca="1">IFERROR(_xludf.IFS(H438&lt;100,(ABS(100/H438))+1,H438&gt;100,(H438/100)+1,H438=100, 2, H438=-100, 2),"")</f>
        <v/>
      </c>
      <c r="P438" s="305" t="str">
        <f t="shared" ca="1" si="28"/>
        <v/>
      </c>
      <c r="Q438" s="263"/>
      <c r="R438" s="263"/>
      <c r="S438" s="263"/>
      <c r="T438" s="263"/>
      <c r="U438" s="263"/>
      <c r="V438" s="263"/>
      <c r="W438" s="263"/>
      <c r="X438" s="71"/>
      <c r="Y438" s="71"/>
      <c r="Z438" s="71"/>
      <c r="AA438" s="71"/>
      <c r="AB438" s="71"/>
    </row>
    <row r="439" spans="1:28" ht="15.75" customHeight="1">
      <c r="A439" s="143"/>
      <c r="B439" s="298"/>
      <c r="C439" s="298"/>
      <c r="D439" s="298"/>
      <c r="E439" s="298"/>
      <c r="F439" s="298"/>
      <c r="G439" s="298"/>
      <c r="H439" s="298"/>
      <c r="I439" s="313"/>
      <c r="J439" s="309"/>
      <c r="K439" s="298">
        <f t="shared" si="25"/>
        <v>0</v>
      </c>
      <c r="L439" s="303" t="str">
        <f t="shared" ca="1" si="26"/>
        <v/>
      </c>
      <c r="M439" s="304" t="str">
        <f t="shared" ca="1" si="27"/>
        <v/>
      </c>
      <c r="N439" s="305" t="str">
        <f ca="1">IFERROR(_xludf.IFS(G439&lt;100,(ABS(100/G439))+1,G439&gt;100,(G439/100)+1,G439=100, 2, G439=-100, 2),"")</f>
        <v/>
      </c>
      <c r="O439" s="305" t="str">
        <f ca="1">IFERROR(_xludf.IFS(H439&lt;100,(ABS(100/H439))+1,H439&gt;100,(H439/100)+1,H439=100, 2, H439=-100, 2),"")</f>
        <v/>
      </c>
      <c r="P439" s="305" t="str">
        <f t="shared" ca="1" si="28"/>
        <v/>
      </c>
      <c r="Q439" s="263"/>
      <c r="R439" s="263"/>
      <c r="S439" s="263"/>
      <c r="T439" s="263"/>
      <c r="U439" s="263"/>
      <c r="V439" s="263"/>
      <c r="W439" s="263"/>
      <c r="X439" s="71"/>
      <c r="Y439" s="71"/>
      <c r="Z439" s="71"/>
      <c r="AA439" s="71"/>
      <c r="AB439" s="71"/>
    </row>
    <row r="440" spans="1:28" ht="15.75" customHeight="1">
      <c r="A440" s="143"/>
      <c r="B440" s="298"/>
      <c r="C440" s="298"/>
      <c r="D440" s="298"/>
      <c r="E440" s="298"/>
      <c r="F440" s="298"/>
      <c r="G440" s="298"/>
      <c r="H440" s="298"/>
      <c r="I440" s="313"/>
      <c r="J440" s="309"/>
      <c r="K440" s="298">
        <f t="shared" si="25"/>
        <v>0</v>
      </c>
      <c r="L440" s="303" t="str">
        <f t="shared" ca="1" si="26"/>
        <v/>
      </c>
      <c r="M440" s="304" t="str">
        <f t="shared" ca="1" si="27"/>
        <v/>
      </c>
      <c r="N440" s="305" t="str">
        <f ca="1">IFERROR(_xludf.IFS(G440&lt;100,(ABS(100/G440))+1,G440&gt;100,(G440/100)+1,G440=100, 2, G440=-100, 2),"")</f>
        <v/>
      </c>
      <c r="O440" s="305" t="str">
        <f ca="1">IFERROR(_xludf.IFS(H440&lt;100,(ABS(100/H440))+1,H440&gt;100,(H440/100)+1,H440=100, 2, H440=-100, 2),"")</f>
        <v/>
      </c>
      <c r="P440" s="305" t="str">
        <f t="shared" ca="1" si="28"/>
        <v/>
      </c>
      <c r="Q440" s="263"/>
      <c r="R440" s="263"/>
      <c r="S440" s="263"/>
      <c r="T440" s="263"/>
      <c r="U440" s="263"/>
      <c r="V440" s="263"/>
      <c r="W440" s="263"/>
      <c r="X440" s="71"/>
      <c r="Y440" s="71"/>
      <c r="Z440" s="71"/>
      <c r="AA440" s="71"/>
      <c r="AB440" s="71"/>
    </row>
    <row r="441" spans="1:28" ht="15.75" customHeight="1">
      <c r="A441" s="143"/>
      <c r="B441" s="298"/>
      <c r="C441" s="298"/>
      <c r="D441" s="298"/>
      <c r="E441" s="298"/>
      <c r="F441" s="298"/>
      <c r="G441" s="298"/>
      <c r="H441" s="298"/>
      <c r="I441" s="313"/>
      <c r="J441" s="309"/>
      <c r="K441" s="298">
        <f t="shared" si="25"/>
        <v>0</v>
      </c>
      <c r="L441" s="303" t="str">
        <f t="shared" ca="1" si="26"/>
        <v/>
      </c>
      <c r="M441" s="304" t="str">
        <f t="shared" ca="1" si="27"/>
        <v/>
      </c>
      <c r="N441" s="305" t="str">
        <f ca="1">IFERROR(_xludf.IFS(G441&lt;100,(ABS(100/G441))+1,G441&gt;100,(G441/100)+1,G441=100, 2, G441=-100, 2),"")</f>
        <v/>
      </c>
      <c r="O441" s="305" t="str">
        <f ca="1">IFERROR(_xludf.IFS(H441&lt;100,(ABS(100/H441))+1,H441&gt;100,(H441/100)+1,H441=100, 2, H441=-100, 2),"")</f>
        <v/>
      </c>
      <c r="P441" s="305" t="str">
        <f t="shared" ca="1" si="28"/>
        <v/>
      </c>
      <c r="Q441" s="263"/>
      <c r="R441" s="263"/>
      <c r="S441" s="263"/>
      <c r="T441" s="263"/>
      <c r="U441" s="263"/>
      <c r="V441" s="263"/>
      <c r="W441" s="263"/>
      <c r="X441" s="71"/>
      <c r="Y441" s="71"/>
      <c r="Z441" s="71"/>
      <c r="AA441" s="71"/>
      <c r="AB441" s="71"/>
    </row>
    <row r="442" spans="1:28" ht="15.75" customHeight="1">
      <c r="A442" s="143"/>
      <c r="B442" s="298"/>
      <c r="C442" s="298"/>
      <c r="D442" s="298"/>
      <c r="E442" s="298"/>
      <c r="F442" s="298"/>
      <c r="G442" s="298"/>
      <c r="H442" s="298"/>
      <c r="I442" s="313"/>
      <c r="J442" s="309"/>
      <c r="K442" s="298">
        <f t="shared" si="25"/>
        <v>0</v>
      </c>
      <c r="L442" s="303" t="str">
        <f t="shared" ca="1" si="26"/>
        <v/>
      </c>
      <c r="M442" s="304" t="str">
        <f t="shared" ca="1" si="27"/>
        <v/>
      </c>
      <c r="N442" s="305" t="str">
        <f ca="1">IFERROR(_xludf.IFS(G442&lt;100,(ABS(100/G442))+1,G442&gt;100,(G442/100)+1,G442=100, 2, G442=-100, 2),"")</f>
        <v/>
      </c>
      <c r="O442" s="305" t="str">
        <f ca="1">IFERROR(_xludf.IFS(H442&lt;100,(ABS(100/H442))+1,H442&gt;100,(H442/100)+1,H442=100, 2, H442=-100, 2),"")</f>
        <v/>
      </c>
      <c r="P442" s="305" t="str">
        <f t="shared" ca="1" si="28"/>
        <v/>
      </c>
      <c r="Q442" s="263"/>
      <c r="R442" s="263"/>
      <c r="S442" s="263"/>
      <c r="T442" s="263"/>
      <c r="U442" s="263"/>
      <c r="V442" s="263"/>
      <c r="W442" s="263"/>
      <c r="X442" s="71"/>
      <c r="Y442" s="71"/>
      <c r="Z442" s="71"/>
      <c r="AA442" s="71"/>
      <c r="AB442" s="71"/>
    </row>
    <row r="443" spans="1:28" ht="15.75" customHeight="1">
      <c r="A443" s="143"/>
      <c r="B443" s="298"/>
      <c r="C443" s="298"/>
      <c r="D443" s="298"/>
      <c r="E443" s="298"/>
      <c r="F443" s="298"/>
      <c r="G443" s="298"/>
      <c r="H443" s="298"/>
      <c r="I443" s="313"/>
      <c r="J443" s="309"/>
      <c r="K443" s="298">
        <f t="shared" si="25"/>
        <v>0</v>
      </c>
      <c r="L443" s="303" t="str">
        <f t="shared" ca="1" si="26"/>
        <v/>
      </c>
      <c r="M443" s="304" t="str">
        <f t="shared" ca="1" si="27"/>
        <v/>
      </c>
      <c r="N443" s="305" t="str">
        <f ca="1">IFERROR(_xludf.IFS(G443&lt;100,(ABS(100/G443))+1,G443&gt;100,(G443/100)+1,G443=100, 2, G443=-100, 2),"")</f>
        <v/>
      </c>
      <c r="O443" s="305" t="str">
        <f ca="1">IFERROR(_xludf.IFS(H443&lt;100,(ABS(100/H443))+1,H443&gt;100,(H443/100)+1,H443=100, 2, H443=-100, 2),"")</f>
        <v/>
      </c>
      <c r="P443" s="305" t="str">
        <f t="shared" ca="1" si="28"/>
        <v/>
      </c>
      <c r="Q443" s="263"/>
      <c r="R443" s="263"/>
      <c r="S443" s="263"/>
      <c r="T443" s="263"/>
      <c r="U443" s="263"/>
      <c r="V443" s="263"/>
      <c r="W443" s="263"/>
      <c r="X443" s="71"/>
      <c r="Y443" s="71"/>
      <c r="Z443" s="71"/>
      <c r="AA443" s="71"/>
      <c r="AB443" s="71"/>
    </row>
    <row r="444" spans="1:28" ht="15.75" customHeight="1">
      <c r="A444" s="143"/>
      <c r="B444" s="298"/>
      <c r="C444" s="298"/>
      <c r="D444" s="298"/>
      <c r="E444" s="298"/>
      <c r="F444" s="298"/>
      <c r="G444" s="298"/>
      <c r="H444" s="298"/>
      <c r="I444" s="313"/>
      <c r="J444" s="309"/>
      <c r="K444" s="298">
        <f t="shared" si="25"/>
        <v>0</v>
      </c>
      <c r="L444" s="303" t="str">
        <f t="shared" ca="1" si="26"/>
        <v/>
      </c>
      <c r="M444" s="304" t="str">
        <f t="shared" ca="1" si="27"/>
        <v/>
      </c>
      <c r="N444" s="305" t="str">
        <f ca="1">IFERROR(_xludf.IFS(G444&lt;100,(ABS(100/G444))+1,G444&gt;100,(G444/100)+1,G444=100, 2, G444=-100, 2),"")</f>
        <v/>
      </c>
      <c r="O444" s="305" t="str">
        <f ca="1">IFERROR(_xludf.IFS(H444&lt;100,(ABS(100/H444))+1,H444&gt;100,(H444/100)+1,H444=100, 2, H444=-100, 2),"")</f>
        <v/>
      </c>
      <c r="P444" s="305" t="str">
        <f t="shared" ca="1" si="28"/>
        <v/>
      </c>
      <c r="Q444" s="263"/>
      <c r="R444" s="263"/>
      <c r="S444" s="263"/>
      <c r="T444" s="263"/>
      <c r="U444" s="263"/>
      <c r="V444" s="263"/>
      <c r="W444" s="263"/>
      <c r="X444" s="71"/>
      <c r="Y444" s="71"/>
      <c r="Z444" s="71"/>
      <c r="AA444" s="71"/>
      <c r="AB444" s="71"/>
    </row>
    <row r="445" spans="1:28" ht="15.75" customHeight="1">
      <c r="A445" s="143"/>
      <c r="B445" s="298"/>
      <c r="C445" s="298"/>
      <c r="D445" s="298"/>
      <c r="E445" s="298"/>
      <c r="F445" s="298"/>
      <c r="G445" s="298"/>
      <c r="H445" s="298"/>
      <c r="I445" s="313"/>
      <c r="J445" s="309"/>
      <c r="K445" s="298">
        <f t="shared" si="25"/>
        <v>0</v>
      </c>
      <c r="L445" s="303" t="str">
        <f t="shared" ca="1" si="26"/>
        <v/>
      </c>
      <c r="M445" s="304" t="str">
        <f t="shared" ca="1" si="27"/>
        <v/>
      </c>
      <c r="N445" s="305" t="str">
        <f ca="1">IFERROR(_xludf.IFS(G445&lt;100,(ABS(100/G445))+1,G445&gt;100,(G445/100)+1,G445=100, 2, G445=-100, 2),"")</f>
        <v/>
      </c>
      <c r="O445" s="305" t="str">
        <f ca="1">IFERROR(_xludf.IFS(H445&lt;100,(ABS(100/H445))+1,H445&gt;100,(H445/100)+1,H445=100, 2, H445=-100, 2),"")</f>
        <v/>
      </c>
      <c r="P445" s="305" t="str">
        <f t="shared" ca="1" si="28"/>
        <v/>
      </c>
      <c r="Q445" s="263"/>
      <c r="R445" s="263"/>
      <c r="S445" s="263"/>
      <c r="T445" s="263"/>
      <c r="U445" s="263"/>
      <c r="V445" s="263"/>
      <c r="W445" s="263"/>
      <c r="X445" s="71"/>
      <c r="Y445" s="71"/>
      <c r="Z445" s="71"/>
      <c r="AA445" s="71"/>
      <c r="AB445" s="71"/>
    </row>
    <row r="446" spans="1:28" ht="15.75" customHeight="1">
      <c r="A446" s="143"/>
      <c r="B446" s="298"/>
      <c r="C446" s="298"/>
      <c r="D446" s="298"/>
      <c r="E446" s="298"/>
      <c r="F446" s="298"/>
      <c r="G446" s="298"/>
      <c r="H446" s="298"/>
      <c r="I446" s="313"/>
      <c r="J446" s="309"/>
      <c r="K446" s="298">
        <f t="shared" si="25"/>
        <v>0</v>
      </c>
      <c r="L446" s="303" t="str">
        <f t="shared" ca="1" si="26"/>
        <v/>
      </c>
      <c r="M446" s="304" t="str">
        <f t="shared" ca="1" si="27"/>
        <v/>
      </c>
      <c r="N446" s="305" t="str">
        <f ca="1">IFERROR(_xludf.IFS(G446&lt;100,(ABS(100/G446))+1,G446&gt;100,(G446/100)+1,G446=100, 2, G446=-100, 2),"")</f>
        <v/>
      </c>
      <c r="O446" s="305" t="str">
        <f ca="1">IFERROR(_xludf.IFS(H446&lt;100,(ABS(100/H446))+1,H446&gt;100,(H446/100)+1,H446=100, 2, H446=-100, 2),"")</f>
        <v/>
      </c>
      <c r="P446" s="305" t="str">
        <f t="shared" ca="1" si="28"/>
        <v/>
      </c>
      <c r="Q446" s="263"/>
      <c r="R446" s="263"/>
      <c r="S446" s="263"/>
      <c r="T446" s="263"/>
      <c r="U446" s="263"/>
      <c r="V446" s="263"/>
      <c r="W446" s="263"/>
      <c r="X446" s="71"/>
      <c r="Y446" s="71"/>
      <c r="Z446" s="71"/>
      <c r="AA446" s="71"/>
      <c r="AB446" s="71"/>
    </row>
    <row r="447" spans="1:28" ht="15.75" customHeight="1">
      <c r="A447" s="143"/>
      <c r="B447" s="298"/>
      <c r="C447" s="298"/>
      <c r="D447" s="298"/>
      <c r="E447" s="298"/>
      <c r="F447" s="298"/>
      <c r="G447" s="298"/>
      <c r="H447" s="298"/>
      <c r="I447" s="313"/>
      <c r="J447" s="309"/>
      <c r="K447" s="298">
        <f t="shared" si="25"/>
        <v>0</v>
      </c>
      <c r="L447" s="303" t="str">
        <f t="shared" ca="1" si="26"/>
        <v/>
      </c>
      <c r="M447" s="304" t="str">
        <f t="shared" ca="1" si="27"/>
        <v/>
      </c>
      <c r="N447" s="305" t="str">
        <f ca="1">IFERROR(_xludf.IFS(G447&lt;100,(ABS(100/G447))+1,G447&gt;100,(G447/100)+1,G447=100, 2, G447=-100, 2),"")</f>
        <v/>
      </c>
      <c r="O447" s="305" t="str">
        <f ca="1">IFERROR(_xludf.IFS(H447&lt;100,(ABS(100/H447))+1,H447&gt;100,(H447/100)+1,H447=100, 2, H447=-100, 2),"")</f>
        <v/>
      </c>
      <c r="P447" s="305" t="str">
        <f t="shared" ca="1" si="28"/>
        <v/>
      </c>
      <c r="Q447" s="263"/>
      <c r="R447" s="263"/>
      <c r="S447" s="263"/>
      <c r="T447" s="263"/>
      <c r="U447" s="263"/>
      <c r="V447" s="263"/>
      <c r="W447" s="263"/>
      <c r="X447" s="71"/>
      <c r="Y447" s="71"/>
      <c r="Z447" s="71"/>
      <c r="AA447" s="71"/>
      <c r="AB447" s="71"/>
    </row>
    <row r="448" spans="1:28" ht="15.75" customHeight="1">
      <c r="A448" s="143"/>
      <c r="B448" s="298"/>
      <c r="C448" s="298"/>
      <c r="D448" s="298"/>
      <c r="E448" s="298"/>
      <c r="F448" s="298"/>
      <c r="G448" s="298"/>
      <c r="H448" s="298"/>
      <c r="I448" s="313"/>
      <c r="J448" s="309"/>
      <c r="K448" s="298">
        <f t="shared" si="25"/>
        <v>0</v>
      </c>
      <c r="L448" s="303" t="str">
        <f t="shared" ca="1" si="26"/>
        <v/>
      </c>
      <c r="M448" s="304" t="str">
        <f t="shared" ca="1" si="27"/>
        <v/>
      </c>
      <c r="N448" s="305" t="str">
        <f ca="1">IFERROR(_xludf.IFS(G448&lt;100,(ABS(100/G448))+1,G448&gt;100,(G448/100)+1,G448=100, 2, G448=-100, 2),"")</f>
        <v/>
      </c>
      <c r="O448" s="305" t="str">
        <f ca="1">IFERROR(_xludf.IFS(H448&lt;100,(ABS(100/H448))+1,H448&gt;100,(H448/100)+1,H448=100, 2, H448=-100, 2),"")</f>
        <v/>
      </c>
      <c r="P448" s="305" t="str">
        <f t="shared" ca="1" si="28"/>
        <v/>
      </c>
      <c r="Q448" s="263"/>
      <c r="R448" s="263"/>
      <c r="S448" s="263"/>
      <c r="T448" s="263"/>
      <c r="U448" s="263"/>
      <c r="V448" s="263"/>
      <c r="W448" s="263"/>
      <c r="X448" s="71"/>
      <c r="Y448" s="71"/>
      <c r="Z448" s="71"/>
      <c r="AA448" s="71"/>
      <c r="AB448" s="71"/>
    </row>
    <row r="449" spans="1:28" ht="15.75" customHeight="1">
      <c r="A449" s="143"/>
      <c r="B449" s="298"/>
      <c r="C449" s="298"/>
      <c r="D449" s="298"/>
      <c r="E449" s="298"/>
      <c r="F449" s="298"/>
      <c r="G449" s="298"/>
      <c r="H449" s="298"/>
      <c r="I449" s="313"/>
      <c r="J449" s="309"/>
      <c r="K449" s="298">
        <f t="shared" si="25"/>
        <v>0</v>
      </c>
      <c r="L449" s="303" t="str">
        <f t="shared" ca="1" si="26"/>
        <v/>
      </c>
      <c r="M449" s="304" t="str">
        <f t="shared" ca="1" si="27"/>
        <v/>
      </c>
      <c r="N449" s="305" t="str">
        <f ca="1">IFERROR(_xludf.IFS(G449&lt;100,(ABS(100/G449))+1,G449&gt;100,(G449/100)+1,G449=100, 2, G449=-100, 2),"")</f>
        <v/>
      </c>
      <c r="O449" s="305" t="str">
        <f ca="1">IFERROR(_xludf.IFS(H449&lt;100,(ABS(100/H449))+1,H449&gt;100,(H449/100)+1,H449=100, 2, H449=-100, 2),"")</f>
        <v/>
      </c>
      <c r="P449" s="305" t="str">
        <f t="shared" ca="1" si="28"/>
        <v/>
      </c>
      <c r="Q449" s="263"/>
      <c r="R449" s="263"/>
      <c r="S449" s="263"/>
      <c r="T449" s="263"/>
      <c r="U449" s="263"/>
      <c r="V449" s="263"/>
      <c r="W449" s="263"/>
      <c r="X449" s="71"/>
      <c r="Y449" s="71"/>
      <c r="Z449" s="71"/>
      <c r="AA449" s="71"/>
      <c r="AB449" s="71"/>
    </row>
    <row r="450" spans="1:28" ht="15.75" customHeight="1">
      <c r="A450" s="143"/>
      <c r="B450" s="298"/>
      <c r="C450" s="298"/>
      <c r="D450" s="298"/>
      <c r="E450" s="298"/>
      <c r="F450" s="298"/>
      <c r="G450" s="298"/>
      <c r="H450" s="298"/>
      <c r="I450" s="313"/>
      <c r="J450" s="309"/>
      <c r="K450" s="298">
        <f t="shared" si="25"/>
        <v>0</v>
      </c>
      <c r="L450" s="303" t="str">
        <f t="shared" ca="1" si="26"/>
        <v/>
      </c>
      <c r="M450" s="304" t="str">
        <f t="shared" ca="1" si="27"/>
        <v/>
      </c>
      <c r="N450" s="305" t="str">
        <f ca="1">IFERROR(_xludf.IFS(G450&lt;100,(ABS(100/G450))+1,G450&gt;100,(G450/100)+1,G450=100, 2, G450=-100, 2),"")</f>
        <v/>
      </c>
      <c r="O450" s="305" t="str">
        <f ca="1">IFERROR(_xludf.IFS(H450&lt;100,(ABS(100/H450))+1,H450&gt;100,(H450/100)+1,H450=100, 2, H450=-100, 2),"")</f>
        <v/>
      </c>
      <c r="P450" s="305" t="str">
        <f t="shared" ca="1" si="28"/>
        <v/>
      </c>
      <c r="Q450" s="263"/>
      <c r="R450" s="263"/>
      <c r="S450" s="263"/>
      <c r="T450" s="263"/>
      <c r="U450" s="263"/>
      <c r="V450" s="263"/>
      <c r="W450" s="263"/>
      <c r="X450" s="71"/>
      <c r="Y450" s="71"/>
      <c r="Z450" s="71"/>
      <c r="AA450" s="71"/>
      <c r="AB450" s="71"/>
    </row>
    <row r="451" spans="1:28" ht="15.75" customHeight="1">
      <c r="A451" s="143"/>
      <c r="B451" s="298"/>
      <c r="C451" s="298"/>
      <c r="D451" s="298"/>
      <c r="E451" s="298"/>
      <c r="F451" s="298"/>
      <c r="G451" s="298"/>
      <c r="H451" s="298"/>
      <c r="I451" s="313"/>
      <c r="J451" s="309"/>
      <c r="K451" s="298">
        <f t="shared" si="25"/>
        <v>0</v>
      </c>
      <c r="L451" s="303" t="str">
        <f t="shared" ca="1" si="26"/>
        <v/>
      </c>
      <c r="M451" s="304" t="str">
        <f t="shared" ca="1" si="27"/>
        <v/>
      </c>
      <c r="N451" s="305" t="str">
        <f ca="1">IFERROR(_xludf.IFS(G451&lt;100,(ABS(100/G451))+1,G451&gt;100,(G451/100)+1,G451=100, 2, G451=-100, 2),"")</f>
        <v/>
      </c>
      <c r="O451" s="305" t="str">
        <f ca="1">IFERROR(_xludf.IFS(H451&lt;100,(ABS(100/H451))+1,H451&gt;100,(H451/100)+1,H451=100, 2, H451=-100, 2),"")</f>
        <v/>
      </c>
      <c r="P451" s="305" t="str">
        <f t="shared" ca="1" si="28"/>
        <v/>
      </c>
      <c r="Q451" s="263"/>
      <c r="R451" s="263"/>
      <c r="S451" s="263"/>
      <c r="T451" s="263"/>
      <c r="U451" s="263"/>
      <c r="V451" s="263"/>
      <c r="W451" s="263"/>
      <c r="X451" s="71"/>
      <c r="Y451" s="71"/>
      <c r="Z451" s="71"/>
      <c r="AA451" s="71"/>
      <c r="AB451" s="71"/>
    </row>
    <row r="452" spans="1:28" ht="15.75" customHeight="1">
      <c r="A452" s="143"/>
      <c r="B452" s="298"/>
      <c r="C452" s="298"/>
      <c r="D452" s="298"/>
      <c r="E452" s="298"/>
      <c r="F452" s="298"/>
      <c r="G452" s="298"/>
      <c r="H452" s="298"/>
      <c r="I452" s="313"/>
      <c r="J452" s="309"/>
      <c r="K452" s="298">
        <f t="shared" si="25"/>
        <v>0</v>
      </c>
      <c r="L452" s="303" t="str">
        <f t="shared" ca="1" si="26"/>
        <v/>
      </c>
      <c r="M452" s="304" t="str">
        <f t="shared" ca="1" si="27"/>
        <v/>
      </c>
      <c r="N452" s="305" t="str">
        <f ca="1">IFERROR(_xludf.IFS(G452&lt;100,(ABS(100/G452))+1,G452&gt;100,(G452/100)+1,G452=100, 2, G452=-100, 2),"")</f>
        <v/>
      </c>
      <c r="O452" s="305" t="str">
        <f ca="1">IFERROR(_xludf.IFS(H452&lt;100,(ABS(100/H452))+1,H452&gt;100,(H452/100)+1,H452=100, 2, H452=-100, 2),"")</f>
        <v/>
      </c>
      <c r="P452" s="305" t="str">
        <f t="shared" ca="1" si="28"/>
        <v/>
      </c>
      <c r="Q452" s="263"/>
      <c r="R452" s="263"/>
      <c r="S452" s="263"/>
      <c r="T452" s="263"/>
      <c r="U452" s="263"/>
      <c r="V452" s="263"/>
      <c r="W452" s="263"/>
      <c r="X452" s="71"/>
      <c r="Y452" s="71"/>
      <c r="Z452" s="71"/>
      <c r="AA452" s="71"/>
      <c r="AB452" s="71"/>
    </row>
    <row r="453" spans="1:28" ht="15.75" customHeight="1">
      <c r="A453" s="143"/>
      <c r="B453" s="298"/>
      <c r="C453" s="298"/>
      <c r="D453" s="298"/>
      <c r="E453" s="298"/>
      <c r="F453" s="298"/>
      <c r="G453" s="298"/>
      <c r="H453" s="298"/>
      <c r="I453" s="313"/>
      <c r="J453" s="309"/>
      <c r="K453" s="298">
        <f t="shared" si="25"/>
        <v>0</v>
      </c>
      <c r="L453" s="303" t="str">
        <f t="shared" ca="1" si="26"/>
        <v/>
      </c>
      <c r="M453" s="304" t="str">
        <f t="shared" ca="1" si="27"/>
        <v/>
      </c>
      <c r="N453" s="305" t="str">
        <f ca="1">IFERROR(_xludf.IFS(G453&lt;100,(ABS(100/G453))+1,G453&gt;100,(G453/100)+1,G453=100, 2, G453=-100, 2),"")</f>
        <v/>
      </c>
      <c r="O453" s="305" t="str">
        <f ca="1">IFERROR(_xludf.IFS(H453&lt;100,(ABS(100/H453))+1,H453&gt;100,(H453/100)+1,H453=100, 2, H453=-100, 2),"")</f>
        <v/>
      </c>
      <c r="P453" s="305" t="str">
        <f t="shared" ca="1" si="28"/>
        <v/>
      </c>
      <c r="Q453" s="263"/>
      <c r="R453" s="263"/>
      <c r="S453" s="263"/>
      <c r="T453" s="263"/>
      <c r="U453" s="263"/>
      <c r="V453" s="263"/>
      <c r="W453" s="263"/>
      <c r="X453" s="71"/>
      <c r="Y453" s="71"/>
      <c r="Z453" s="71"/>
      <c r="AA453" s="71"/>
      <c r="AB453" s="71"/>
    </row>
    <row r="454" spans="1:28" ht="15.75" customHeight="1">
      <c r="A454" s="143"/>
      <c r="B454" s="298"/>
      <c r="C454" s="298"/>
      <c r="D454" s="298"/>
      <c r="E454" s="298"/>
      <c r="F454" s="298"/>
      <c r="G454" s="298"/>
      <c r="H454" s="298"/>
      <c r="I454" s="313"/>
      <c r="J454" s="309"/>
      <c r="K454" s="298">
        <f t="shared" si="25"/>
        <v>0</v>
      </c>
      <c r="L454" s="303" t="str">
        <f t="shared" ca="1" si="26"/>
        <v/>
      </c>
      <c r="M454" s="304" t="str">
        <f t="shared" ca="1" si="27"/>
        <v/>
      </c>
      <c r="N454" s="305" t="str">
        <f ca="1">IFERROR(_xludf.IFS(G454&lt;100,(ABS(100/G454))+1,G454&gt;100,(G454/100)+1,G454=100, 2, G454=-100, 2),"")</f>
        <v/>
      </c>
      <c r="O454" s="305" t="str">
        <f ca="1">IFERROR(_xludf.IFS(H454&lt;100,(ABS(100/H454))+1,H454&gt;100,(H454/100)+1,H454=100, 2, H454=-100, 2),"")</f>
        <v/>
      </c>
      <c r="P454" s="305" t="str">
        <f t="shared" ca="1" si="28"/>
        <v/>
      </c>
      <c r="Q454" s="263"/>
      <c r="R454" s="263"/>
      <c r="S454" s="263"/>
      <c r="T454" s="263"/>
      <c r="U454" s="263"/>
      <c r="V454" s="263"/>
      <c r="W454" s="263"/>
      <c r="X454" s="71"/>
      <c r="Y454" s="71"/>
      <c r="Z454" s="71"/>
      <c r="AA454" s="71"/>
      <c r="AB454" s="71"/>
    </row>
    <row r="455" spans="1:28" ht="15.75" customHeight="1">
      <c r="A455" s="143"/>
      <c r="B455" s="298"/>
      <c r="C455" s="298"/>
      <c r="D455" s="298"/>
      <c r="E455" s="298"/>
      <c r="F455" s="298"/>
      <c r="G455" s="298"/>
      <c r="H455" s="298"/>
      <c r="I455" s="313"/>
      <c r="J455" s="309"/>
      <c r="K455" s="298">
        <f t="shared" si="25"/>
        <v>0</v>
      </c>
      <c r="L455" s="303" t="str">
        <f t="shared" ca="1" si="26"/>
        <v/>
      </c>
      <c r="M455" s="304" t="str">
        <f t="shared" ca="1" si="27"/>
        <v/>
      </c>
      <c r="N455" s="305" t="str">
        <f ca="1">IFERROR(_xludf.IFS(G455&lt;100,(ABS(100/G455))+1,G455&gt;100,(G455/100)+1,G455=100, 2, G455=-100, 2),"")</f>
        <v/>
      </c>
      <c r="O455" s="305" t="str">
        <f ca="1">IFERROR(_xludf.IFS(H455&lt;100,(ABS(100/H455))+1,H455&gt;100,(H455/100)+1,H455=100, 2, H455=-100, 2),"")</f>
        <v/>
      </c>
      <c r="P455" s="305" t="str">
        <f t="shared" ca="1" si="28"/>
        <v/>
      </c>
      <c r="Q455" s="263"/>
      <c r="R455" s="263"/>
      <c r="S455" s="263"/>
      <c r="T455" s="263"/>
      <c r="U455" s="263"/>
      <c r="V455" s="263"/>
      <c r="W455" s="263"/>
      <c r="X455" s="71"/>
      <c r="Y455" s="71"/>
      <c r="Z455" s="71"/>
      <c r="AA455" s="71"/>
      <c r="AB455" s="71"/>
    </row>
    <row r="456" spans="1:28" ht="15.75" customHeight="1">
      <c r="A456" s="143"/>
      <c r="B456" s="298"/>
      <c r="C456" s="298"/>
      <c r="D456" s="298"/>
      <c r="E456" s="298"/>
      <c r="F456" s="298"/>
      <c r="G456" s="298"/>
      <c r="H456" s="298"/>
      <c r="I456" s="313"/>
      <c r="J456" s="309"/>
      <c r="K456" s="298">
        <f t="shared" si="25"/>
        <v>0</v>
      </c>
      <c r="L456" s="303" t="str">
        <f t="shared" ca="1" si="26"/>
        <v/>
      </c>
      <c r="M456" s="304" t="str">
        <f t="shared" ca="1" si="27"/>
        <v/>
      </c>
      <c r="N456" s="305" t="str">
        <f ca="1">IFERROR(_xludf.IFS(G456&lt;100,(ABS(100/G456))+1,G456&gt;100,(G456/100)+1,G456=100, 2, G456=-100, 2),"")</f>
        <v/>
      </c>
      <c r="O456" s="305" t="str">
        <f ca="1">IFERROR(_xludf.IFS(H456&lt;100,(ABS(100/H456))+1,H456&gt;100,(H456/100)+1,H456=100, 2, H456=-100, 2),"")</f>
        <v/>
      </c>
      <c r="P456" s="305" t="str">
        <f t="shared" ca="1" si="28"/>
        <v/>
      </c>
      <c r="Q456" s="263"/>
      <c r="R456" s="263"/>
      <c r="S456" s="263"/>
      <c r="T456" s="263"/>
      <c r="U456" s="263"/>
      <c r="V456" s="263"/>
      <c r="W456" s="263"/>
      <c r="X456" s="71"/>
      <c r="Y456" s="71"/>
      <c r="Z456" s="71"/>
      <c r="AA456" s="71"/>
      <c r="AB456" s="71"/>
    </row>
    <row r="457" spans="1:28" ht="15.75" customHeight="1">
      <c r="A457" s="143"/>
      <c r="B457" s="298"/>
      <c r="C457" s="298"/>
      <c r="D457" s="298"/>
      <c r="E457" s="298"/>
      <c r="F457" s="298"/>
      <c r="G457" s="298"/>
      <c r="H457" s="298"/>
      <c r="I457" s="313"/>
      <c r="J457" s="309"/>
      <c r="K457" s="298">
        <f t="shared" si="25"/>
        <v>0</v>
      </c>
      <c r="L457" s="303" t="str">
        <f t="shared" ca="1" si="26"/>
        <v/>
      </c>
      <c r="M457" s="304" t="str">
        <f t="shared" ca="1" si="27"/>
        <v/>
      </c>
      <c r="N457" s="305" t="str">
        <f ca="1">IFERROR(_xludf.IFS(G457&lt;100,(ABS(100/G457))+1,G457&gt;100,(G457/100)+1,G457=100, 2, G457=-100, 2),"")</f>
        <v/>
      </c>
      <c r="O457" s="305" t="str">
        <f ca="1">IFERROR(_xludf.IFS(H457&lt;100,(ABS(100/H457))+1,H457&gt;100,(H457/100)+1,H457=100, 2, H457=-100, 2),"")</f>
        <v/>
      </c>
      <c r="P457" s="305" t="str">
        <f t="shared" ca="1" si="28"/>
        <v/>
      </c>
      <c r="Q457" s="263"/>
      <c r="R457" s="263"/>
      <c r="S457" s="263"/>
      <c r="T457" s="263"/>
      <c r="U457" s="263"/>
      <c r="V457" s="263"/>
      <c r="W457" s="263"/>
      <c r="X457" s="71"/>
      <c r="Y457" s="71"/>
      <c r="Z457" s="71"/>
      <c r="AA457" s="71"/>
      <c r="AB457" s="71"/>
    </row>
    <row r="458" spans="1:28" ht="15.75" customHeight="1">
      <c r="A458" s="143"/>
      <c r="B458" s="298"/>
      <c r="C458" s="298"/>
      <c r="D458" s="298"/>
      <c r="E458" s="298"/>
      <c r="F458" s="298"/>
      <c r="G458" s="298"/>
      <c r="H458" s="298"/>
      <c r="I458" s="313"/>
      <c r="J458" s="309"/>
      <c r="K458" s="298">
        <f t="shared" ref="K458:K478" si="29">IF(J458="W",N458*I458-I458,IF(J458="L",-I458,0))</f>
        <v>0</v>
      </c>
      <c r="L458" s="303" t="str">
        <f t="shared" ref="L458:L478" ca="1" si="30">IFERROR((1/O458-1/N458)/(1/N458),"")</f>
        <v/>
      </c>
      <c r="M458" s="304" t="str">
        <f t="shared" ref="M458:M478" ca="1" si="31">IFERROR((1/P458-1/N458)/(1/N458),"")</f>
        <v/>
      </c>
      <c r="N458" s="305" t="str">
        <f ca="1">IFERROR(_xludf.IFS(G458&lt;100,(ABS(100/G458))+1,G458&gt;100,(G458/100)+1,G458=100, 2, G458=-100, 2),"")</f>
        <v/>
      </c>
      <c r="O458" s="305" t="str">
        <f ca="1">IFERROR(_xludf.IFS(H458&lt;100,(ABS(100/H458))+1,H458&gt;100,(H458/100)+1,H458=100, 2, H458=-100, 2),"")</f>
        <v/>
      </c>
      <c r="P458" s="305" t="str">
        <f t="shared" ca="1" si="28"/>
        <v/>
      </c>
      <c r="Q458" s="263"/>
      <c r="R458" s="263"/>
      <c r="S458" s="263"/>
      <c r="T458" s="263"/>
      <c r="U458" s="263"/>
      <c r="V458" s="263"/>
      <c r="W458" s="263"/>
      <c r="X458" s="71"/>
      <c r="Y458" s="71"/>
      <c r="Z458" s="71"/>
      <c r="AA458" s="71"/>
      <c r="AB458" s="71"/>
    </row>
    <row r="459" spans="1:28" ht="15.75" customHeight="1">
      <c r="A459" s="143"/>
      <c r="B459" s="298"/>
      <c r="C459" s="298"/>
      <c r="D459" s="298"/>
      <c r="E459" s="298"/>
      <c r="F459" s="298"/>
      <c r="G459" s="298"/>
      <c r="H459" s="298"/>
      <c r="I459" s="313"/>
      <c r="J459" s="309"/>
      <c r="K459" s="298">
        <f t="shared" si="29"/>
        <v>0</v>
      </c>
      <c r="L459" s="303" t="str">
        <f t="shared" ca="1" si="30"/>
        <v/>
      </c>
      <c r="M459" s="304" t="str">
        <f t="shared" ca="1" si="31"/>
        <v/>
      </c>
      <c r="N459" s="305" t="str">
        <f ca="1">IFERROR(_xludf.IFS(G459&lt;100,(ABS(100/G459))+1,G459&gt;100,(G459/100)+1,G459=100, 2, G459=-100, 2),"")</f>
        <v/>
      </c>
      <c r="O459" s="305" t="str">
        <f ca="1">IFERROR(_xludf.IFS(H459&lt;100,(ABS(100/H459))+1,H459&gt;100,(H459/100)+1,H459=100, 2, H459=-100, 2),"")</f>
        <v/>
      </c>
      <c r="P459" s="305" t="str">
        <f t="shared" ca="1" si="28"/>
        <v/>
      </c>
      <c r="Q459" s="263"/>
      <c r="R459" s="263"/>
      <c r="S459" s="263"/>
      <c r="T459" s="263"/>
      <c r="U459" s="263"/>
      <c r="V459" s="263"/>
      <c r="W459" s="263"/>
      <c r="X459" s="71"/>
      <c r="Y459" s="71"/>
      <c r="Z459" s="71"/>
      <c r="AA459" s="71"/>
      <c r="AB459" s="71"/>
    </row>
    <row r="460" spans="1:28" ht="15.75" customHeight="1">
      <c r="A460" s="143"/>
      <c r="B460" s="298"/>
      <c r="C460" s="298"/>
      <c r="D460" s="298"/>
      <c r="E460" s="298"/>
      <c r="F460" s="298"/>
      <c r="G460" s="298"/>
      <c r="H460" s="298"/>
      <c r="I460" s="313"/>
      <c r="J460" s="309"/>
      <c r="K460" s="298">
        <f t="shared" si="29"/>
        <v>0</v>
      </c>
      <c r="L460" s="303" t="str">
        <f t="shared" ca="1" si="30"/>
        <v/>
      </c>
      <c r="M460" s="304" t="str">
        <f t="shared" ca="1" si="31"/>
        <v/>
      </c>
      <c r="N460" s="305" t="str">
        <f ca="1">IFERROR(_xludf.IFS(G460&lt;100,(ABS(100/G460))+1,G460&gt;100,(G460/100)+1,G460=100, 2, G460=-100, 2),"")</f>
        <v/>
      </c>
      <c r="O460" s="305" t="str">
        <f ca="1">IFERROR(_xludf.IFS(H460&lt;100,(ABS(100/H460))+1,H460&gt;100,(H460/100)+1,H460=100, 2, H460=-100, 2),"")</f>
        <v/>
      </c>
      <c r="P460" s="305" t="str">
        <f t="shared" ca="1" si="28"/>
        <v/>
      </c>
      <c r="Q460" s="263"/>
      <c r="R460" s="263"/>
      <c r="S460" s="263"/>
      <c r="T460" s="263"/>
      <c r="U460" s="263"/>
      <c r="V460" s="263"/>
      <c r="W460" s="263"/>
      <c r="X460" s="71"/>
      <c r="Y460" s="71"/>
      <c r="Z460" s="71"/>
      <c r="AA460" s="71"/>
      <c r="AB460" s="71"/>
    </row>
    <row r="461" spans="1:28" ht="15.75" customHeight="1">
      <c r="A461" s="143"/>
      <c r="B461" s="298"/>
      <c r="C461" s="298"/>
      <c r="D461" s="298"/>
      <c r="E461" s="298"/>
      <c r="F461" s="298"/>
      <c r="G461" s="298"/>
      <c r="H461" s="298"/>
      <c r="I461" s="313"/>
      <c r="J461" s="309"/>
      <c r="K461" s="298">
        <f t="shared" si="29"/>
        <v>0</v>
      </c>
      <c r="L461" s="303" t="str">
        <f t="shared" ca="1" si="30"/>
        <v/>
      </c>
      <c r="M461" s="304" t="str">
        <f t="shared" ca="1" si="31"/>
        <v/>
      </c>
      <c r="N461" s="305" t="str">
        <f ca="1">IFERROR(_xludf.IFS(G461&lt;100,(ABS(100/G461))+1,G461&gt;100,(G461/100)+1,G461=100, 2, G461=-100, 2),"")</f>
        <v/>
      </c>
      <c r="O461" s="305" t="str">
        <f ca="1">IFERROR(_xludf.IFS(H461&lt;100,(ABS(100/H461))+1,H461&gt;100,(H461/100)+1,H461=100, 2, H461=-100, 2),"")</f>
        <v/>
      </c>
      <c r="P461" s="305" t="str">
        <f t="shared" ca="1" si="28"/>
        <v/>
      </c>
      <c r="Q461" s="263"/>
      <c r="R461" s="263"/>
      <c r="S461" s="263"/>
      <c r="T461" s="263"/>
      <c r="U461" s="263"/>
      <c r="V461" s="263"/>
      <c r="W461" s="263"/>
      <c r="X461" s="71"/>
      <c r="Y461" s="71"/>
      <c r="Z461" s="71"/>
      <c r="AA461" s="71"/>
      <c r="AB461" s="71"/>
    </row>
    <row r="462" spans="1:28" ht="15.75" customHeight="1">
      <c r="A462" s="143"/>
      <c r="B462" s="298"/>
      <c r="C462" s="298"/>
      <c r="D462" s="298"/>
      <c r="E462" s="298"/>
      <c r="F462" s="298"/>
      <c r="G462" s="298"/>
      <c r="H462" s="298"/>
      <c r="I462" s="313"/>
      <c r="J462" s="309"/>
      <c r="K462" s="298">
        <f t="shared" si="29"/>
        <v>0</v>
      </c>
      <c r="L462" s="303" t="str">
        <f t="shared" ca="1" si="30"/>
        <v/>
      </c>
      <c r="M462" s="304" t="str">
        <f t="shared" ca="1" si="31"/>
        <v/>
      </c>
      <c r="N462" s="305" t="str">
        <f ca="1">IFERROR(_xludf.IFS(G462&lt;100,(ABS(100/G462))+1,G462&gt;100,(G462/100)+1,G462=100, 2, G462=-100, 2),"")</f>
        <v/>
      </c>
      <c r="O462" s="305" t="str">
        <f ca="1">IFERROR(_xludf.IFS(H462&lt;100,(ABS(100/H462))+1,H462&gt;100,(H462/100)+1,H462=100, 2, H462=-100, 2),"")</f>
        <v/>
      </c>
      <c r="P462" s="305" t="str">
        <f t="shared" ca="1" si="28"/>
        <v/>
      </c>
      <c r="Q462" s="263"/>
      <c r="R462" s="263"/>
      <c r="S462" s="263"/>
      <c r="T462" s="263"/>
      <c r="U462" s="263"/>
      <c r="V462" s="263"/>
      <c r="W462" s="263"/>
      <c r="X462" s="71"/>
      <c r="Y462" s="71"/>
      <c r="Z462" s="71"/>
      <c r="AA462" s="71"/>
      <c r="AB462" s="71"/>
    </row>
    <row r="463" spans="1:28" ht="15.75" customHeight="1">
      <c r="A463" s="143"/>
      <c r="B463" s="298"/>
      <c r="C463" s="298"/>
      <c r="D463" s="298"/>
      <c r="E463" s="298"/>
      <c r="F463" s="298"/>
      <c r="G463" s="298"/>
      <c r="H463" s="298"/>
      <c r="I463" s="313"/>
      <c r="J463" s="309"/>
      <c r="K463" s="298">
        <f t="shared" si="29"/>
        <v>0</v>
      </c>
      <c r="L463" s="303" t="str">
        <f t="shared" ca="1" si="30"/>
        <v/>
      </c>
      <c r="M463" s="304" t="str">
        <f t="shared" ca="1" si="31"/>
        <v/>
      </c>
      <c r="N463" s="305" t="str">
        <f ca="1">IFERROR(_xludf.IFS(G463&lt;100,(ABS(100/G463))+1,G463&gt;100,(G463/100)+1,G463=100, 2, G463=-100, 2),"")</f>
        <v/>
      </c>
      <c r="O463" s="305" t="str">
        <f ca="1">IFERROR(_xludf.IFS(H463&lt;100,(ABS(100/H463))+1,H463&gt;100,(H463/100)+1,H463=100, 2, H463=-100, 2),"")</f>
        <v/>
      </c>
      <c r="P463" s="305" t="str">
        <f t="shared" ca="1" si="28"/>
        <v/>
      </c>
      <c r="Q463" s="263"/>
      <c r="R463" s="263"/>
      <c r="S463" s="263"/>
      <c r="T463" s="263"/>
      <c r="U463" s="263"/>
      <c r="V463" s="263"/>
      <c r="W463" s="263"/>
      <c r="X463" s="71"/>
      <c r="Y463" s="71"/>
      <c r="Z463" s="71"/>
      <c r="AA463" s="71"/>
      <c r="AB463" s="71"/>
    </row>
    <row r="464" spans="1:28" ht="15.75" customHeight="1">
      <c r="A464" s="143"/>
      <c r="B464" s="298"/>
      <c r="C464" s="298"/>
      <c r="D464" s="298"/>
      <c r="E464" s="298"/>
      <c r="F464" s="298"/>
      <c r="G464" s="298"/>
      <c r="H464" s="298"/>
      <c r="I464" s="313"/>
      <c r="J464" s="309"/>
      <c r="K464" s="298">
        <f t="shared" si="29"/>
        <v>0</v>
      </c>
      <c r="L464" s="303" t="str">
        <f t="shared" ca="1" si="30"/>
        <v/>
      </c>
      <c r="M464" s="304" t="str">
        <f t="shared" ca="1" si="31"/>
        <v/>
      </c>
      <c r="N464" s="305" t="str">
        <f ca="1">IFERROR(_xludf.IFS(G464&lt;100,(ABS(100/G464))+1,G464&gt;100,(G464/100)+1,G464=100, 2, G464=-100, 2),"")</f>
        <v/>
      </c>
      <c r="O464" s="305" t="str">
        <f ca="1">IFERROR(_xludf.IFS(H464&lt;100,(ABS(100/H464))+1,H464&gt;100,(H464/100)+1,H464=100, 2, H464=-100, 2),"")</f>
        <v/>
      </c>
      <c r="P464" s="305" t="str">
        <f t="shared" ca="1" si="28"/>
        <v/>
      </c>
      <c r="Q464" s="263"/>
      <c r="R464" s="263"/>
      <c r="S464" s="263"/>
      <c r="T464" s="263"/>
      <c r="U464" s="263"/>
      <c r="V464" s="263"/>
      <c r="W464" s="263"/>
      <c r="X464" s="71"/>
      <c r="Y464" s="71"/>
      <c r="Z464" s="71"/>
      <c r="AA464" s="71"/>
      <c r="AB464" s="71"/>
    </row>
    <row r="465" spans="1:28" ht="15.75" customHeight="1">
      <c r="A465" s="143"/>
      <c r="B465" s="298"/>
      <c r="C465" s="298"/>
      <c r="D465" s="298"/>
      <c r="E465" s="298"/>
      <c r="F465" s="298"/>
      <c r="G465" s="298"/>
      <c r="H465" s="298"/>
      <c r="I465" s="313"/>
      <c r="J465" s="309"/>
      <c r="K465" s="298">
        <f t="shared" si="29"/>
        <v>0</v>
      </c>
      <c r="L465" s="303" t="str">
        <f t="shared" ca="1" si="30"/>
        <v/>
      </c>
      <c r="M465" s="304" t="str">
        <f t="shared" ca="1" si="31"/>
        <v/>
      </c>
      <c r="N465" s="305" t="str">
        <f ca="1">IFERROR(_xludf.IFS(G465&lt;100,(ABS(100/G465))+1,G465&gt;100,(G465/100)+1,G465=100, 2, G465=-100, 2),"")</f>
        <v/>
      </c>
      <c r="O465" s="305" t="str">
        <f ca="1">IFERROR(_xludf.IFS(H465&lt;100,(ABS(100/H465))+1,H465&gt;100,(H465/100)+1,H465=100, 2, H465=-100, 2),"")</f>
        <v/>
      </c>
      <c r="P465" s="305" t="str">
        <f t="shared" ca="1" si="28"/>
        <v/>
      </c>
      <c r="Q465" s="263"/>
      <c r="R465" s="263"/>
      <c r="S465" s="263"/>
      <c r="T465" s="263"/>
      <c r="U465" s="263"/>
      <c r="V465" s="263"/>
      <c r="W465" s="263"/>
      <c r="X465" s="71"/>
      <c r="Y465" s="71"/>
      <c r="Z465" s="71"/>
      <c r="AA465" s="71"/>
      <c r="AB465" s="71"/>
    </row>
    <row r="466" spans="1:28" ht="15.75" customHeight="1">
      <c r="A466" s="143"/>
      <c r="B466" s="298"/>
      <c r="C466" s="298"/>
      <c r="D466" s="298"/>
      <c r="E466" s="298"/>
      <c r="F466" s="298"/>
      <c r="G466" s="298"/>
      <c r="H466" s="298"/>
      <c r="I466" s="313"/>
      <c r="J466" s="309"/>
      <c r="K466" s="298">
        <f t="shared" si="29"/>
        <v>0</v>
      </c>
      <c r="L466" s="303" t="str">
        <f t="shared" ca="1" si="30"/>
        <v/>
      </c>
      <c r="M466" s="304" t="str">
        <f t="shared" ca="1" si="31"/>
        <v/>
      </c>
      <c r="N466" s="305" t="str">
        <f ca="1">IFERROR(_xludf.IFS(G466&lt;100,(ABS(100/G466))+1,G466&gt;100,(G466/100)+1,G466=100, 2, G466=-100, 2),"")</f>
        <v/>
      </c>
      <c r="O466" s="305" t="str">
        <f ca="1">IFERROR(_xludf.IFS(H466&lt;100,(ABS(100/H466))+1,H466&gt;100,(H466/100)+1,H466=100, 2, H466=-100, 2),"")</f>
        <v/>
      </c>
      <c r="P466" s="305" t="str">
        <f t="shared" ca="1" si="28"/>
        <v/>
      </c>
      <c r="Q466" s="263"/>
      <c r="R466" s="263"/>
      <c r="S466" s="263"/>
      <c r="T466" s="263"/>
      <c r="U466" s="263"/>
      <c r="V466" s="263"/>
      <c r="W466" s="263"/>
      <c r="X466" s="71"/>
      <c r="Y466" s="71"/>
      <c r="Z466" s="71"/>
      <c r="AA466" s="71"/>
      <c r="AB466" s="71"/>
    </row>
    <row r="467" spans="1:28" ht="15.75" customHeight="1">
      <c r="A467" s="143"/>
      <c r="B467" s="298"/>
      <c r="C467" s="298"/>
      <c r="D467" s="298"/>
      <c r="E467" s="298"/>
      <c r="F467" s="298"/>
      <c r="G467" s="298"/>
      <c r="H467" s="298"/>
      <c r="I467" s="313"/>
      <c r="J467" s="309"/>
      <c r="K467" s="298">
        <f t="shared" si="29"/>
        <v>0</v>
      </c>
      <c r="L467" s="303" t="str">
        <f t="shared" ca="1" si="30"/>
        <v/>
      </c>
      <c r="M467" s="304" t="str">
        <f t="shared" ca="1" si="31"/>
        <v/>
      </c>
      <c r="N467" s="305" t="str">
        <f ca="1">IFERROR(_xludf.IFS(G467&lt;100,(ABS(100/G467))+1,G467&gt;100,(G467/100)+1,G467=100, 2, G467=-100, 2),"")</f>
        <v/>
      </c>
      <c r="O467" s="305" t="str">
        <f ca="1">IFERROR(_xludf.IFS(H467&lt;100,(ABS(100/H467))+1,H467&gt;100,(H467/100)+1,H467=100, 2, H467=-100, 2),"")</f>
        <v/>
      </c>
      <c r="P467" s="305" t="str">
        <f t="shared" ca="1" si="28"/>
        <v/>
      </c>
      <c r="Q467" s="263"/>
      <c r="R467" s="263"/>
      <c r="S467" s="263"/>
      <c r="T467" s="263"/>
      <c r="U467" s="263"/>
      <c r="V467" s="263"/>
      <c r="W467" s="263"/>
      <c r="X467" s="71"/>
      <c r="Y467" s="71"/>
      <c r="Z467" s="71"/>
      <c r="AA467" s="71"/>
      <c r="AB467" s="71"/>
    </row>
    <row r="468" spans="1:28" ht="15.75" customHeight="1">
      <c r="A468" s="143"/>
      <c r="B468" s="298"/>
      <c r="C468" s="298"/>
      <c r="D468" s="298"/>
      <c r="E468" s="298"/>
      <c r="F468" s="298"/>
      <c r="G468" s="298"/>
      <c r="H468" s="298"/>
      <c r="I468" s="313"/>
      <c r="J468" s="309"/>
      <c r="K468" s="298">
        <f t="shared" si="29"/>
        <v>0</v>
      </c>
      <c r="L468" s="303" t="str">
        <f t="shared" ca="1" si="30"/>
        <v/>
      </c>
      <c r="M468" s="304" t="str">
        <f t="shared" ca="1" si="31"/>
        <v/>
      </c>
      <c r="N468" s="305" t="str">
        <f ca="1">IFERROR(_xludf.IFS(G468&lt;100,(ABS(100/G468))+1,G468&gt;100,(G468/100)+1,G468=100, 2, G468=-100, 2),"")</f>
        <v/>
      </c>
      <c r="O468" s="305" t="str">
        <f ca="1">IFERROR(_xludf.IFS(H468&lt;100,(ABS(100/H468))+1,H468&gt;100,(H468/100)+1,H468=100, 2, H468=-100, 2),"")</f>
        <v/>
      </c>
      <c r="P468" s="305" t="str">
        <f t="shared" ca="1" si="28"/>
        <v/>
      </c>
      <c r="Q468" s="263"/>
      <c r="R468" s="263"/>
      <c r="S468" s="263"/>
      <c r="T468" s="263"/>
      <c r="U468" s="263"/>
      <c r="V468" s="263"/>
      <c r="W468" s="263"/>
      <c r="X468" s="71"/>
      <c r="Y468" s="71"/>
      <c r="Z468" s="71"/>
      <c r="AA468" s="71"/>
      <c r="AB468" s="71"/>
    </row>
    <row r="469" spans="1:28" ht="15.75" customHeight="1">
      <c r="A469" s="143"/>
      <c r="B469" s="298"/>
      <c r="C469" s="298"/>
      <c r="D469" s="298"/>
      <c r="E469" s="298"/>
      <c r="F469" s="298"/>
      <c r="G469" s="298"/>
      <c r="H469" s="298"/>
      <c r="I469" s="313"/>
      <c r="J469" s="309"/>
      <c r="K469" s="298">
        <f t="shared" si="29"/>
        <v>0</v>
      </c>
      <c r="L469" s="303" t="str">
        <f t="shared" ca="1" si="30"/>
        <v/>
      </c>
      <c r="M469" s="304" t="str">
        <f t="shared" ca="1" si="31"/>
        <v/>
      </c>
      <c r="N469" s="305" t="str">
        <f ca="1">IFERROR(_xludf.IFS(G469&lt;100,(ABS(100/G469))+1,G469&gt;100,(G469/100)+1,G469=100, 2, G469=-100, 2),"")</f>
        <v/>
      </c>
      <c r="O469" s="305" t="str">
        <f ca="1">IFERROR(_xludf.IFS(H469&lt;100,(ABS(100/H469))+1,H469&gt;100,(H469/100)+1,H469=100, 2, H469=-100, 2),"")</f>
        <v/>
      </c>
      <c r="P469" s="305" t="str">
        <f t="shared" ca="1" si="28"/>
        <v/>
      </c>
      <c r="Q469" s="263"/>
      <c r="R469" s="263"/>
      <c r="S469" s="263"/>
      <c r="T469" s="263"/>
      <c r="U469" s="263"/>
      <c r="V469" s="263"/>
      <c r="W469" s="263"/>
      <c r="X469" s="71"/>
      <c r="Y469" s="71"/>
      <c r="Z469" s="71"/>
      <c r="AA469" s="71"/>
      <c r="AB469" s="71"/>
    </row>
    <row r="470" spans="1:28" ht="15.75" customHeight="1">
      <c r="A470" s="143"/>
      <c r="B470" s="298"/>
      <c r="C470" s="298"/>
      <c r="D470" s="298"/>
      <c r="E470" s="298"/>
      <c r="F470" s="298"/>
      <c r="G470" s="298"/>
      <c r="H470" s="298"/>
      <c r="I470" s="313"/>
      <c r="J470" s="309"/>
      <c r="K470" s="298">
        <f t="shared" si="29"/>
        <v>0</v>
      </c>
      <c r="L470" s="303" t="str">
        <f t="shared" ca="1" si="30"/>
        <v/>
      </c>
      <c r="M470" s="304" t="str">
        <f t="shared" ca="1" si="31"/>
        <v/>
      </c>
      <c r="N470" s="305" t="str">
        <f ca="1">IFERROR(_xludf.IFS(G470&lt;100,(ABS(100/G470))+1,G470&gt;100,(G470/100)+1,G470=100, 2, G470=-100, 2),"")</f>
        <v/>
      </c>
      <c r="O470" s="305" t="str">
        <f ca="1">IFERROR(_xludf.IFS(H470&lt;100,(ABS(100/H470))+1,H470&gt;100,(H470/100)+1,H470=100, 2, H470=-100, 2),"")</f>
        <v/>
      </c>
      <c r="P470" s="305" t="str">
        <f t="shared" ca="1" si="28"/>
        <v/>
      </c>
      <c r="Q470" s="263"/>
      <c r="R470" s="263"/>
      <c r="S470" s="263"/>
      <c r="T470" s="263"/>
      <c r="U470" s="263"/>
      <c r="V470" s="263"/>
      <c r="W470" s="263"/>
      <c r="X470" s="71"/>
      <c r="Y470" s="71"/>
      <c r="Z470" s="71"/>
      <c r="AA470" s="71"/>
      <c r="AB470" s="71"/>
    </row>
    <row r="471" spans="1:28" ht="15.75" customHeight="1">
      <c r="A471" s="143"/>
      <c r="B471" s="298"/>
      <c r="C471" s="298"/>
      <c r="D471" s="298"/>
      <c r="E471" s="298"/>
      <c r="F471" s="298"/>
      <c r="G471" s="298"/>
      <c r="H471" s="298"/>
      <c r="I471" s="313"/>
      <c r="J471" s="309"/>
      <c r="K471" s="298">
        <f t="shared" si="29"/>
        <v>0</v>
      </c>
      <c r="L471" s="303" t="str">
        <f t="shared" ca="1" si="30"/>
        <v/>
      </c>
      <c r="M471" s="304" t="str">
        <f t="shared" ca="1" si="31"/>
        <v/>
      </c>
      <c r="N471" s="305" t="str">
        <f ca="1">IFERROR(_xludf.IFS(G471&lt;100,(ABS(100/G471))+1,G471&gt;100,(G471/100)+1,G471=100, 2, G471=-100, 2),"")</f>
        <v/>
      </c>
      <c r="O471" s="305" t="str">
        <f ca="1">IFERROR(_xludf.IFS(H471&lt;100,(ABS(100/H471))+1,H471&gt;100,(H471/100)+1,H471=100, 2, H471=-100, 2),"")</f>
        <v/>
      </c>
      <c r="P471" s="305" t="str">
        <f t="shared" ca="1" si="28"/>
        <v/>
      </c>
      <c r="Q471" s="263"/>
      <c r="R471" s="263"/>
      <c r="S471" s="263"/>
      <c r="T471" s="263"/>
      <c r="U471" s="263"/>
      <c r="V471" s="263"/>
      <c r="W471" s="263"/>
      <c r="X471" s="71"/>
      <c r="Y471" s="71"/>
      <c r="Z471" s="71"/>
      <c r="AA471" s="71"/>
      <c r="AB471" s="71"/>
    </row>
    <row r="472" spans="1:28" ht="15.75" customHeight="1">
      <c r="A472" s="143"/>
      <c r="B472" s="298"/>
      <c r="C472" s="298"/>
      <c r="D472" s="298"/>
      <c r="E472" s="298"/>
      <c r="F472" s="298"/>
      <c r="G472" s="298"/>
      <c r="H472" s="298"/>
      <c r="I472" s="313"/>
      <c r="J472" s="309"/>
      <c r="K472" s="298">
        <f t="shared" si="29"/>
        <v>0</v>
      </c>
      <c r="L472" s="303" t="str">
        <f t="shared" ca="1" si="30"/>
        <v/>
      </c>
      <c r="M472" s="304" t="str">
        <f t="shared" ca="1" si="31"/>
        <v/>
      </c>
      <c r="N472" s="305" t="str">
        <f ca="1">IFERROR(_xludf.IFS(G472&lt;100,(ABS(100/G472))+1,G472&gt;100,(G472/100)+1,G472=100, 2, G472=-100, 2),"")</f>
        <v/>
      </c>
      <c r="O472" s="305" t="str">
        <f ca="1">IFERROR(_xludf.IFS(H472&lt;100,(ABS(100/H472))+1,H472&gt;100,(H472/100)+1,H472=100, 2, H472=-100, 2),"")</f>
        <v/>
      </c>
      <c r="P472" s="305" t="str">
        <f t="shared" ca="1" si="28"/>
        <v/>
      </c>
      <c r="Q472" s="263"/>
      <c r="R472" s="263"/>
      <c r="S472" s="263"/>
      <c r="T472" s="263"/>
      <c r="U472" s="263"/>
      <c r="V472" s="263"/>
      <c r="W472" s="263"/>
      <c r="X472" s="71"/>
      <c r="Y472" s="71"/>
      <c r="Z472" s="71"/>
      <c r="AA472" s="71"/>
      <c r="AB472" s="71"/>
    </row>
    <row r="473" spans="1:28" ht="15.75" customHeight="1">
      <c r="A473" s="143"/>
      <c r="B473" s="298"/>
      <c r="C473" s="298"/>
      <c r="D473" s="298"/>
      <c r="E473" s="298"/>
      <c r="F473" s="298"/>
      <c r="G473" s="298"/>
      <c r="H473" s="298"/>
      <c r="I473" s="313"/>
      <c r="J473" s="309"/>
      <c r="K473" s="298">
        <f t="shared" si="29"/>
        <v>0</v>
      </c>
      <c r="L473" s="303" t="str">
        <f t="shared" ca="1" si="30"/>
        <v/>
      </c>
      <c r="M473" s="304" t="str">
        <f t="shared" ca="1" si="31"/>
        <v/>
      </c>
      <c r="N473" s="305" t="str">
        <f ca="1">IFERROR(_xludf.IFS(G473&lt;100,(ABS(100/G473))+1,G473&gt;100,(G473/100)+1,G473=100, 2, G473=-100, 2),"")</f>
        <v/>
      </c>
      <c r="O473" s="305" t="str">
        <f ca="1">IFERROR(_xludf.IFS(H473&lt;100,(ABS(100/H473))+1,H473&gt;100,(H473/100)+1,H473=100, 2, H473=-100, 2),"")</f>
        <v/>
      </c>
      <c r="P473" s="305" t="str">
        <f t="shared" ca="1" si="28"/>
        <v/>
      </c>
      <c r="Q473" s="263"/>
      <c r="R473" s="263"/>
      <c r="S473" s="263"/>
      <c r="T473" s="263"/>
      <c r="U473" s="263"/>
      <c r="V473" s="263"/>
      <c r="W473" s="263"/>
      <c r="X473" s="71"/>
      <c r="Y473" s="71"/>
      <c r="Z473" s="71"/>
      <c r="AA473" s="71"/>
      <c r="AB473" s="71"/>
    </row>
    <row r="474" spans="1:28" ht="15.75" customHeight="1">
      <c r="A474" s="143"/>
      <c r="B474" s="298"/>
      <c r="C474" s="298"/>
      <c r="D474" s="298"/>
      <c r="E474" s="298"/>
      <c r="F474" s="298"/>
      <c r="G474" s="298"/>
      <c r="H474" s="298"/>
      <c r="I474" s="313"/>
      <c r="J474" s="309"/>
      <c r="K474" s="298">
        <f t="shared" si="29"/>
        <v>0</v>
      </c>
      <c r="L474" s="303" t="str">
        <f t="shared" ca="1" si="30"/>
        <v/>
      </c>
      <c r="M474" s="304" t="str">
        <f t="shared" ca="1" si="31"/>
        <v/>
      </c>
      <c r="N474" s="305" t="str">
        <f ca="1">IFERROR(_xludf.IFS(G474&lt;100,(ABS(100/G474))+1,G474&gt;100,(G474/100)+1,G474=100, 2, G474=-100, 2),"")</f>
        <v/>
      </c>
      <c r="O474" s="305" t="str">
        <f ca="1">IFERROR(_xludf.IFS(H474&lt;100,(ABS(100/H474))+1,H474&gt;100,(H474/100)+1,H474=100, 2, H474=-100, 2),"")</f>
        <v/>
      </c>
      <c r="P474" s="305" t="str">
        <f t="shared" ca="1" si="28"/>
        <v/>
      </c>
      <c r="Q474" s="263"/>
      <c r="R474" s="263"/>
      <c r="S474" s="263"/>
      <c r="T474" s="263"/>
      <c r="U474" s="263"/>
      <c r="V474" s="263"/>
      <c r="W474" s="263"/>
      <c r="X474" s="71"/>
      <c r="Y474" s="71"/>
      <c r="Z474" s="71"/>
      <c r="AA474" s="71"/>
      <c r="AB474" s="71"/>
    </row>
    <row r="475" spans="1:28" ht="15.75" customHeight="1">
      <c r="A475" s="143"/>
      <c r="B475" s="298"/>
      <c r="C475" s="298"/>
      <c r="D475" s="298"/>
      <c r="E475" s="298"/>
      <c r="F475" s="298"/>
      <c r="G475" s="298"/>
      <c r="H475" s="298"/>
      <c r="I475" s="313"/>
      <c r="J475" s="309"/>
      <c r="K475" s="298">
        <f t="shared" si="29"/>
        <v>0</v>
      </c>
      <c r="L475" s="303" t="str">
        <f t="shared" ca="1" si="30"/>
        <v/>
      </c>
      <c r="M475" s="304" t="str">
        <f t="shared" ca="1" si="31"/>
        <v/>
      </c>
      <c r="N475" s="305" t="str">
        <f ca="1">IFERROR(_xludf.IFS(G475&lt;100,(ABS(100/G475))+1,G475&gt;100,(G475/100)+1,G475=100, 2, G475=-100, 2),"")</f>
        <v/>
      </c>
      <c r="O475" s="305" t="str">
        <f ca="1">IFERROR(_xludf.IFS(H475&lt;100,(ABS(100/H475))+1,H475&gt;100,(H475/100)+1,H475=100, 2, H475=-100, 2),"")</f>
        <v/>
      </c>
      <c r="P475" s="305" t="str">
        <f t="shared" ca="1" si="28"/>
        <v/>
      </c>
      <c r="Q475" s="263"/>
      <c r="R475" s="263"/>
      <c r="S475" s="263"/>
      <c r="T475" s="263"/>
      <c r="U475" s="263"/>
      <c r="V475" s="263"/>
      <c r="W475" s="263"/>
      <c r="X475" s="71"/>
      <c r="Y475" s="71"/>
      <c r="Z475" s="71"/>
      <c r="AA475" s="71"/>
      <c r="AB475" s="71"/>
    </row>
    <row r="476" spans="1:28" ht="15.75" customHeight="1">
      <c r="A476" s="143"/>
      <c r="B476" s="298"/>
      <c r="C476" s="298"/>
      <c r="D476" s="298"/>
      <c r="E476" s="298"/>
      <c r="F476" s="298"/>
      <c r="G476" s="298"/>
      <c r="H476" s="298"/>
      <c r="I476" s="313"/>
      <c r="J476" s="309"/>
      <c r="K476" s="298">
        <f t="shared" si="29"/>
        <v>0</v>
      </c>
      <c r="L476" s="303" t="str">
        <f t="shared" ca="1" si="30"/>
        <v/>
      </c>
      <c r="M476" s="304" t="str">
        <f t="shared" ca="1" si="31"/>
        <v/>
      </c>
      <c r="N476" s="305" t="str">
        <f ca="1">IFERROR(_xludf.IFS(G476&lt;100,(ABS(100/G476))+1,G476&gt;100,(G476/100)+1,G476=100, 2, G476=-100, 2),"")</f>
        <v/>
      </c>
      <c r="O476" s="305" t="str">
        <f ca="1">IFERROR(_xludf.IFS(H476&lt;100,(ABS(100/H476))+1,H476&gt;100,(H476/100)+1,H476=100, 2, H476=-100, 2),"")</f>
        <v/>
      </c>
      <c r="P476" s="305" t="str">
        <f t="shared" ca="1" si="28"/>
        <v/>
      </c>
      <c r="Q476" s="263"/>
      <c r="R476" s="263"/>
      <c r="S476" s="263"/>
      <c r="T476" s="263"/>
      <c r="U476" s="263"/>
      <c r="V476" s="263"/>
      <c r="W476" s="263"/>
      <c r="X476" s="71"/>
      <c r="Y476" s="71"/>
      <c r="Z476" s="71"/>
      <c r="AA476" s="71"/>
      <c r="AB476" s="71"/>
    </row>
    <row r="477" spans="1:28" ht="15.75" customHeight="1">
      <c r="A477" s="143"/>
      <c r="B477" s="298"/>
      <c r="C477" s="298"/>
      <c r="D477" s="298"/>
      <c r="E477" s="298"/>
      <c r="F477" s="298"/>
      <c r="G477" s="298"/>
      <c r="H477" s="298"/>
      <c r="I477" s="313"/>
      <c r="J477" s="309"/>
      <c r="K477" s="298">
        <f t="shared" si="29"/>
        <v>0</v>
      </c>
      <c r="L477" s="303" t="str">
        <f t="shared" ca="1" si="30"/>
        <v/>
      </c>
      <c r="M477" s="304" t="str">
        <f t="shared" ca="1" si="31"/>
        <v/>
      </c>
      <c r="N477" s="305" t="str">
        <f ca="1">IFERROR(_xludf.IFS(G477&lt;100,(ABS(100/G477))+1,G477&gt;100,(G477/100)+1,G477=100, 2, G477=-100, 2),"")</f>
        <v/>
      </c>
      <c r="O477" s="305" t="str">
        <f ca="1">IFERROR(_xludf.IFS(H477&lt;100,(ABS(100/H477))+1,H477&gt;100,(H477/100)+1,H477=100, 2, H477=-100, 2),"")</f>
        <v/>
      </c>
      <c r="P477" s="305" t="str">
        <f t="shared" ca="1" si="28"/>
        <v/>
      </c>
      <c r="Q477" s="263"/>
      <c r="R477" s="263"/>
      <c r="S477" s="263"/>
      <c r="T477" s="263"/>
      <c r="U477" s="263"/>
      <c r="V477" s="263"/>
      <c r="W477" s="263"/>
      <c r="X477" s="71"/>
      <c r="Y477" s="71"/>
      <c r="Z477" s="71"/>
      <c r="AA477" s="71"/>
      <c r="AB477" s="71"/>
    </row>
    <row r="478" spans="1:28" ht="15.75" customHeight="1">
      <c r="A478" s="143"/>
      <c r="B478" s="298"/>
      <c r="C478" s="298"/>
      <c r="D478" s="298"/>
      <c r="E478" s="298"/>
      <c r="F478" s="298"/>
      <c r="G478" s="298"/>
      <c r="H478" s="298"/>
      <c r="I478" s="313"/>
      <c r="J478" s="309"/>
      <c r="K478" s="298">
        <f t="shared" si="29"/>
        <v>0</v>
      </c>
      <c r="L478" s="303" t="str">
        <f t="shared" ca="1" si="30"/>
        <v/>
      </c>
      <c r="M478" s="304" t="str">
        <f t="shared" ca="1" si="31"/>
        <v/>
      </c>
      <c r="N478" s="305" t="str">
        <f ca="1">IFERROR(_xludf.IFS(G478&lt;100,(ABS(100/G478))+1,G478&gt;100,(G478/100)+1,G478=100, 2, G478=-100, 2),"")</f>
        <v/>
      </c>
      <c r="O478" s="305" t="str">
        <f ca="1">IFERROR(_xludf.IFS(H478&lt;100,(ABS(100/H478))+1,H478&gt;100,(H478/100)+1,H478=100, 2, H478=-100, 2),"")</f>
        <v/>
      </c>
      <c r="P478" s="305" t="str">
        <f t="shared" ca="1" si="28"/>
        <v/>
      </c>
      <c r="Q478" s="263"/>
      <c r="R478" s="263"/>
      <c r="S478" s="263"/>
      <c r="T478" s="263"/>
      <c r="U478" s="263"/>
      <c r="V478" s="263"/>
      <c r="W478" s="263"/>
      <c r="X478" s="71"/>
      <c r="Y478" s="71"/>
      <c r="Z478" s="71"/>
      <c r="AA478" s="71"/>
      <c r="AB478" s="71"/>
    </row>
    <row r="479" spans="1:28" ht="15.75" customHeight="1">
      <c r="A479" s="263"/>
      <c r="B479" s="313"/>
      <c r="C479" s="263"/>
      <c r="D479" s="263"/>
      <c r="E479" s="263"/>
      <c r="F479" s="263"/>
      <c r="G479" s="263"/>
      <c r="H479" s="263"/>
      <c r="I479" s="263"/>
      <c r="J479" s="263"/>
      <c r="K479" s="263"/>
      <c r="L479" s="271"/>
      <c r="M479" s="271"/>
      <c r="N479" s="314"/>
      <c r="O479" s="314"/>
      <c r="P479" s="314"/>
      <c r="Q479" s="263"/>
      <c r="R479" s="263"/>
      <c r="S479" s="263"/>
      <c r="T479" s="263"/>
      <c r="U479" s="263"/>
      <c r="V479" s="263"/>
      <c r="W479" s="263"/>
      <c r="X479" s="71"/>
      <c r="Y479" s="71"/>
      <c r="Z479" s="71"/>
      <c r="AA479" s="71"/>
      <c r="AB479" s="71"/>
    </row>
    <row r="480" spans="1:28" ht="15.75" customHeight="1">
      <c r="A480" s="263"/>
      <c r="B480" s="313"/>
      <c r="C480" s="263"/>
      <c r="D480" s="263"/>
      <c r="E480" s="263"/>
      <c r="F480" s="263"/>
      <c r="G480" s="263"/>
      <c r="H480" s="263"/>
      <c r="I480" s="263"/>
      <c r="J480" s="263"/>
      <c r="K480" s="263"/>
      <c r="L480" s="271"/>
      <c r="M480" s="271"/>
      <c r="N480" s="314"/>
      <c r="O480" s="314"/>
      <c r="P480" s="314"/>
      <c r="Q480" s="263"/>
      <c r="R480" s="263"/>
      <c r="S480" s="263"/>
      <c r="T480" s="263"/>
      <c r="U480" s="263"/>
      <c r="V480" s="263"/>
      <c r="W480" s="263"/>
      <c r="X480" s="71"/>
      <c r="Y480" s="71"/>
      <c r="Z480" s="71"/>
      <c r="AA480" s="71"/>
      <c r="AB480" s="71"/>
    </row>
    <row r="481" spans="1:28" ht="15.75" customHeight="1">
      <c r="A481" s="263"/>
      <c r="B481" s="313"/>
      <c r="C481" s="263"/>
      <c r="D481" s="263"/>
      <c r="E481" s="263"/>
      <c r="F481" s="263"/>
      <c r="G481" s="263"/>
      <c r="H481" s="263"/>
      <c r="I481" s="263"/>
      <c r="J481" s="263"/>
      <c r="K481" s="263"/>
      <c r="L481" s="271"/>
      <c r="M481" s="271"/>
      <c r="N481" s="314"/>
      <c r="O481" s="314"/>
      <c r="P481" s="314"/>
      <c r="Q481" s="263"/>
      <c r="R481" s="263"/>
      <c r="S481" s="263"/>
      <c r="T481" s="263"/>
      <c r="U481" s="263"/>
      <c r="V481" s="263"/>
      <c r="W481" s="263"/>
      <c r="X481" s="71"/>
      <c r="Y481" s="71"/>
      <c r="Z481" s="71"/>
      <c r="AA481" s="71"/>
      <c r="AB481" s="71"/>
    </row>
    <row r="482" spans="1:28" ht="15.75" customHeight="1">
      <c r="A482" s="263"/>
      <c r="B482" s="313"/>
      <c r="C482" s="263"/>
      <c r="D482" s="263"/>
      <c r="E482" s="263"/>
      <c r="F482" s="263"/>
      <c r="G482" s="263"/>
      <c r="H482" s="263"/>
      <c r="I482" s="263"/>
      <c r="J482" s="263"/>
      <c r="K482" s="263"/>
      <c r="L482" s="271"/>
      <c r="M482" s="271"/>
      <c r="N482" s="314"/>
      <c r="O482" s="314"/>
      <c r="P482" s="314"/>
      <c r="Q482" s="263"/>
      <c r="R482" s="263"/>
      <c r="S482" s="263"/>
      <c r="T482" s="263"/>
      <c r="U482" s="263"/>
      <c r="V482" s="263"/>
      <c r="W482" s="263"/>
      <c r="X482" s="71"/>
      <c r="Y482" s="71"/>
      <c r="Z482" s="71"/>
      <c r="AA482" s="71"/>
      <c r="AB482" s="71"/>
    </row>
    <row r="483" spans="1:28" ht="15.75" customHeight="1">
      <c r="A483" s="263"/>
      <c r="B483" s="313"/>
      <c r="C483" s="263"/>
      <c r="D483" s="263"/>
      <c r="E483" s="263"/>
      <c r="F483" s="263"/>
      <c r="G483" s="263"/>
      <c r="H483" s="263"/>
      <c r="I483" s="263"/>
      <c r="J483" s="263"/>
      <c r="K483" s="263"/>
      <c r="L483" s="271"/>
      <c r="M483" s="271"/>
      <c r="N483" s="314"/>
      <c r="O483" s="314"/>
      <c r="P483" s="314"/>
      <c r="Q483" s="263"/>
      <c r="R483" s="263"/>
      <c r="S483" s="263"/>
      <c r="T483" s="263"/>
      <c r="U483" s="263"/>
      <c r="V483" s="263"/>
      <c r="W483" s="263"/>
      <c r="X483" s="71"/>
      <c r="Y483" s="71"/>
      <c r="Z483" s="71"/>
      <c r="AA483" s="71"/>
      <c r="AB483" s="71"/>
    </row>
    <row r="484" spans="1:28" ht="15.75" customHeight="1">
      <c r="A484" s="263"/>
      <c r="B484" s="313"/>
      <c r="C484" s="263"/>
      <c r="D484" s="263"/>
      <c r="E484" s="263"/>
      <c r="F484" s="263"/>
      <c r="G484" s="263"/>
      <c r="H484" s="263"/>
      <c r="I484" s="263"/>
      <c r="J484" s="263"/>
      <c r="K484" s="263"/>
      <c r="L484" s="271"/>
      <c r="M484" s="271"/>
      <c r="N484" s="314"/>
      <c r="O484" s="314"/>
      <c r="P484" s="314"/>
      <c r="Q484" s="263"/>
      <c r="R484" s="263"/>
      <c r="S484" s="263"/>
      <c r="T484" s="263"/>
      <c r="U484" s="263"/>
      <c r="V484" s="263"/>
      <c r="W484" s="263"/>
      <c r="X484" s="71"/>
      <c r="Y484" s="71"/>
      <c r="Z484" s="71"/>
      <c r="AA484" s="71"/>
      <c r="AB484" s="71"/>
    </row>
    <row r="485" spans="1:28" ht="15.75" customHeight="1">
      <c r="A485" s="263"/>
      <c r="B485" s="313"/>
      <c r="C485" s="263"/>
      <c r="D485" s="263"/>
      <c r="E485" s="263"/>
      <c r="F485" s="263"/>
      <c r="G485" s="263"/>
      <c r="H485" s="263"/>
      <c r="I485" s="263"/>
      <c r="J485" s="263"/>
      <c r="K485" s="263"/>
      <c r="L485" s="271"/>
      <c r="M485" s="271"/>
      <c r="N485" s="314"/>
      <c r="O485" s="314"/>
      <c r="P485" s="314"/>
      <c r="Q485" s="263"/>
      <c r="R485" s="263"/>
      <c r="S485" s="263"/>
      <c r="T485" s="263"/>
      <c r="U485" s="263"/>
      <c r="V485" s="263"/>
      <c r="W485" s="263"/>
      <c r="X485" s="71"/>
      <c r="Y485" s="71"/>
      <c r="Z485" s="71"/>
      <c r="AA485" s="71"/>
      <c r="AB485" s="71"/>
    </row>
    <row r="486" spans="1:28" ht="15.75" customHeight="1">
      <c r="A486" s="263"/>
      <c r="B486" s="313"/>
      <c r="C486" s="263"/>
      <c r="D486" s="263"/>
      <c r="E486" s="263"/>
      <c r="F486" s="263"/>
      <c r="G486" s="263"/>
      <c r="H486" s="263"/>
      <c r="I486" s="263"/>
      <c r="J486" s="263"/>
      <c r="K486" s="263"/>
      <c r="L486" s="271"/>
      <c r="M486" s="271"/>
      <c r="N486" s="314"/>
      <c r="O486" s="314"/>
      <c r="P486" s="314"/>
      <c r="Q486" s="263"/>
      <c r="R486" s="263"/>
      <c r="S486" s="263"/>
      <c r="T486" s="263"/>
      <c r="U486" s="263"/>
      <c r="V486" s="263"/>
      <c r="W486" s="263"/>
      <c r="X486" s="71"/>
      <c r="Y486" s="71"/>
      <c r="Z486" s="71"/>
      <c r="AA486" s="71"/>
      <c r="AB486" s="71"/>
    </row>
    <row r="487" spans="1:28" ht="15.75" customHeight="1">
      <c r="A487" s="263"/>
      <c r="B487" s="313"/>
      <c r="C487" s="263"/>
      <c r="D487" s="263"/>
      <c r="E487" s="263"/>
      <c r="F487" s="263"/>
      <c r="G487" s="263"/>
      <c r="H487" s="263"/>
      <c r="I487" s="263"/>
      <c r="J487" s="263"/>
      <c r="K487" s="263"/>
      <c r="L487" s="271"/>
      <c r="M487" s="271"/>
      <c r="N487" s="314"/>
      <c r="O487" s="314"/>
      <c r="P487" s="314"/>
      <c r="Q487" s="263"/>
      <c r="R487" s="263"/>
      <c r="S487" s="263"/>
      <c r="T487" s="263"/>
      <c r="U487" s="263"/>
      <c r="V487" s="263"/>
      <c r="W487" s="263"/>
      <c r="X487" s="71"/>
      <c r="Y487" s="71"/>
      <c r="Z487" s="71"/>
      <c r="AA487" s="71"/>
      <c r="AB487" s="71"/>
    </row>
    <row r="488" spans="1:28" ht="15.75" customHeight="1">
      <c r="A488" s="263"/>
      <c r="B488" s="313"/>
      <c r="C488" s="263"/>
      <c r="D488" s="263"/>
      <c r="E488" s="263"/>
      <c r="F488" s="263"/>
      <c r="G488" s="263"/>
      <c r="H488" s="263"/>
      <c r="I488" s="263"/>
      <c r="J488" s="263"/>
      <c r="K488" s="263"/>
      <c r="L488" s="271"/>
      <c r="M488" s="271"/>
      <c r="N488" s="314"/>
      <c r="O488" s="314"/>
      <c r="P488" s="314"/>
      <c r="Q488" s="263"/>
      <c r="R488" s="263"/>
      <c r="S488" s="263"/>
      <c r="T488" s="263"/>
      <c r="U488" s="263"/>
      <c r="V488" s="263"/>
      <c r="W488" s="263"/>
      <c r="X488" s="71"/>
      <c r="Y488" s="71"/>
      <c r="Z488" s="71"/>
      <c r="AA488" s="71"/>
      <c r="AB488" s="71"/>
    </row>
    <row r="489" spans="1:28" ht="15.75" customHeight="1">
      <c r="A489" s="263"/>
      <c r="B489" s="313"/>
      <c r="C489" s="263"/>
      <c r="D489" s="263"/>
      <c r="E489" s="263"/>
      <c r="F489" s="263"/>
      <c r="G489" s="263"/>
      <c r="H489" s="263"/>
      <c r="I489" s="263"/>
      <c r="J489" s="263"/>
      <c r="K489" s="263"/>
      <c r="L489" s="271"/>
      <c r="M489" s="271"/>
      <c r="N489" s="314"/>
      <c r="O489" s="314"/>
      <c r="P489" s="314"/>
      <c r="Q489" s="263"/>
      <c r="R489" s="263"/>
      <c r="S489" s="263"/>
      <c r="T489" s="263"/>
      <c r="U489" s="263"/>
      <c r="V489" s="263"/>
      <c r="W489" s="263"/>
      <c r="X489" s="71"/>
      <c r="Y489" s="71"/>
      <c r="Z489" s="71"/>
      <c r="AA489" s="71"/>
      <c r="AB489" s="71"/>
    </row>
    <row r="490" spans="1:28" ht="15.75" customHeight="1">
      <c r="A490" s="263"/>
      <c r="B490" s="313"/>
      <c r="C490" s="263"/>
      <c r="D490" s="263"/>
      <c r="E490" s="263"/>
      <c r="F490" s="263"/>
      <c r="G490" s="263"/>
      <c r="H490" s="263"/>
      <c r="I490" s="263"/>
      <c r="J490" s="263"/>
      <c r="K490" s="263"/>
      <c r="L490" s="271"/>
      <c r="M490" s="271"/>
      <c r="N490" s="314"/>
      <c r="O490" s="314"/>
      <c r="P490" s="314"/>
      <c r="Q490" s="263"/>
      <c r="R490" s="263"/>
      <c r="S490" s="263"/>
      <c r="T490" s="263"/>
      <c r="U490" s="263"/>
      <c r="V490" s="263"/>
      <c r="W490" s="263"/>
      <c r="X490" s="71"/>
      <c r="Y490" s="71"/>
      <c r="Z490" s="71"/>
      <c r="AA490" s="71"/>
      <c r="AB490" s="71"/>
    </row>
    <row r="491" spans="1:28" ht="15.75" customHeight="1">
      <c r="A491" s="263"/>
      <c r="B491" s="313"/>
      <c r="C491" s="263"/>
      <c r="D491" s="263"/>
      <c r="E491" s="263"/>
      <c r="F491" s="263"/>
      <c r="G491" s="263"/>
      <c r="H491" s="263"/>
      <c r="I491" s="263"/>
      <c r="J491" s="263"/>
      <c r="K491" s="263"/>
      <c r="L491" s="271"/>
      <c r="M491" s="271"/>
      <c r="N491" s="314"/>
      <c r="O491" s="314"/>
      <c r="P491" s="314"/>
      <c r="Q491" s="263"/>
      <c r="R491" s="263"/>
      <c r="S491" s="263"/>
      <c r="T491" s="263"/>
      <c r="U491" s="263"/>
      <c r="V491" s="263"/>
      <c r="W491" s="263"/>
      <c r="X491" s="71"/>
      <c r="Y491" s="71"/>
      <c r="Z491" s="71"/>
      <c r="AA491" s="71"/>
      <c r="AB491" s="71"/>
    </row>
    <row r="492" spans="1:28" ht="15.75" customHeight="1">
      <c r="A492" s="263"/>
      <c r="B492" s="313"/>
      <c r="C492" s="263"/>
      <c r="D492" s="263"/>
      <c r="E492" s="263"/>
      <c r="F492" s="263"/>
      <c r="G492" s="263"/>
      <c r="H492" s="263"/>
      <c r="I492" s="263"/>
      <c r="J492" s="263"/>
      <c r="K492" s="263"/>
      <c r="L492" s="271"/>
      <c r="M492" s="271"/>
      <c r="N492" s="314"/>
      <c r="O492" s="314"/>
      <c r="P492" s="314"/>
      <c r="Q492" s="263"/>
      <c r="R492" s="263"/>
      <c r="S492" s="263"/>
      <c r="T492" s="263"/>
      <c r="U492" s="263"/>
      <c r="V492" s="263"/>
      <c r="W492" s="263"/>
      <c r="X492" s="71"/>
      <c r="Y492" s="71"/>
      <c r="Z492" s="71"/>
      <c r="AA492" s="71"/>
      <c r="AB492" s="71"/>
    </row>
    <row r="493" spans="1:28" ht="15.75" customHeight="1">
      <c r="A493" s="263"/>
      <c r="B493" s="313"/>
      <c r="C493" s="263"/>
      <c r="D493" s="263"/>
      <c r="E493" s="263"/>
      <c r="F493" s="263"/>
      <c r="G493" s="263"/>
      <c r="H493" s="263"/>
      <c r="I493" s="263"/>
      <c r="J493" s="263"/>
      <c r="K493" s="263"/>
      <c r="L493" s="271"/>
      <c r="M493" s="271"/>
      <c r="N493" s="314"/>
      <c r="O493" s="314"/>
      <c r="P493" s="314"/>
      <c r="Q493" s="263"/>
      <c r="R493" s="263"/>
      <c r="S493" s="263"/>
      <c r="T493" s="263"/>
      <c r="U493" s="263"/>
      <c r="V493" s="263"/>
      <c r="W493" s="263"/>
      <c r="X493" s="71"/>
      <c r="Y493" s="71"/>
      <c r="Z493" s="71"/>
      <c r="AA493" s="71"/>
      <c r="AB493" s="71"/>
    </row>
    <row r="494" spans="1:28" ht="15.75" customHeight="1">
      <c r="A494" s="263"/>
      <c r="B494" s="313"/>
      <c r="C494" s="263"/>
      <c r="D494" s="263"/>
      <c r="E494" s="263"/>
      <c r="F494" s="263"/>
      <c r="G494" s="263"/>
      <c r="H494" s="263"/>
      <c r="I494" s="263"/>
      <c r="J494" s="263"/>
      <c r="K494" s="263"/>
      <c r="L494" s="271"/>
      <c r="M494" s="271"/>
      <c r="N494" s="314"/>
      <c r="O494" s="314"/>
      <c r="P494" s="314"/>
      <c r="Q494" s="263"/>
      <c r="R494" s="263"/>
      <c r="S494" s="263"/>
      <c r="T494" s="263"/>
      <c r="U494" s="263"/>
      <c r="V494" s="263"/>
      <c r="W494" s="263"/>
      <c r="X494" s="71"/>
      <c r="Y494" s="71"/>
      <c r="Z494" s="71"/>
      <c r="AA494" s="71"/>
      <c r="AB494" s="71"/>
    </row>
    <row r="495" spans="1:28" ht="15.75" customHeight="1">
      <c r="A495" s="263"/>
      <c r="B495" s="313"/>
      <c r="C495" s="263"/>
      <c r="D495" s="263"/>
      <c r="E495" s="263"/>
      <c r="F495" s="263"/>
      <c r="G495" s="263"/>
      <c r="H495" s="263"/>
      <c r="I495" s="263"/>
      <c r="J495" s="263"/>
      <c r="K495" s="263"/>
      <c r="L495" s="271"/>
      <c r="M495" s="271"/>
      <c r="N495" s="314"/>
      <c r="O495" s="314"/>
      <c r="P495" s="314"/>
      <c r="Q495" s="263"/>
      <c r="R495" s="263"/>
      <c r="S495" s="263"/>
      <c r="T495" s="263"/>
      <c r="U495" s="263"/>
      <c r="V495" s="263"/>
      <c r="W495" s="263"/>
      <c r="X495" s="71"/>
      <c r="Y495" s="71"/>
      <c r="Z495" s="71"/>
      <c r="AA495" s="71"/>
      <c r="AB495" s="71"/>
    </row>
    <row r="496" spans="1:28" ht="15.75" customHeight="1">
      <c r="A496" s="263"/>
      <c r="B496" s="313"/>
      <c r="C496" s="263"/>
      <c r="D496" s="263"/>
      <c r="E496" s="263"/>
      <c r="F496" s="263"/>
      <c r="G496" s="263"/>
      <c r="H496" s="263"/>
      <c r="I496" s="263"/>
      <c r="J496" s="263"/>
      <c r="K496" s="263"/>
      <c r="L496" s="271"/>
      <c r="M496" s="271"/>
      <c r="N496" s="314"/>
      <c r="O496" s="314"/>
      <c r="P496" s="314"/>
      <c r="Q496" s="263"/>
      <c r="R496" s="263"/>
      <c r="S496" s="263"/>
      <c r="T496" s="263"/>
      <c r="U496" s="263"/>
      <c r="V496" s="263"/>
      <c r="W496" s="263"/>
      <c r="X496" s="71"/>
      <c r="Y496" s="71"/>
      <c r="Z496" s="71"/>
      <c r="AA496" s="71"/>
      <c r="AB496" s="71"/>
    </row>
    <row r="497" spans="1:28" ht="15.75" customHeight="1">
      <c r="A497" s="263"/>
      <c r="B497" s="313"/>
      <c r="C497" s="263"/>
      <c r="D497" s="263"/>
      <c r="E497" s="263"/>
      <c r="F497" s="263"/>
      <c r="G497" s="263"/>
      <c r="H497" s="263"/>
      <c r="I497" s="263"/>
      <c r="J497" s="263"/>
      <c r="K497" s="263"/>
      <c r="L497" s="271"/>
      <c r="M497" s="271"/>
      <c r="N497" s="314"/>
      <c r="O497" s="314"/>
      <c r="P497" s="314"/>
      <c r="Q497" s="263"/>
      <c r="R497" s="263"/>
      <c r="S497" s="263"/>
      <c r="T497" s="263"/>
      <c r="U497" s="263"/>
      <c r="V497" s="263"/>
      <c r="W497" s="263"/>
      <c r="X497" s="71"/>
      <c r="Y497" s="71"/>
      <c r="Z497" s="71"/>
      <c r="AA497" s="71"/>
      <c r="AB497" s="71"/>
    </row>
    <row r="498" spans="1:28" ht="15.75" customHeight="1">
      <c r="A498" s="263"/>
      <c r="B498" s="313"/>
      <c r="C498" s="263"/>
      <c r="D498" s="263"/>
      <c r="E498" s="263"/>
      <c r="F498" s="263"/>
      <c r="G498" s="263"/>
      <c r="H498" s="263"/>
      <c r="I498" s="263"/>
      <c r="J498" s="263"/>
      <c r="K498" s="263"/>
      <c r="L498" s="271"/>
      <c r="M498" s="271"/>
      <c r="N498" s="314"/>
      <c r="O498" s="314"/>
      <c r="P498" s="314"/>
      <c r="Q498" s="263"/>
      <c r="R498" s="263"/>
      <c r="S498" s="263"/>
      <c r="T498" s="263"/>
      <c r="U498" s="263"/>
      <c r="V498" s="263"/>
      <c r="W498" s="263"/>
      <c r="X498" s="71"/>
      <c r="Y498" s="71"/>
      <c r="Z498" s="71"/>
      <c r="AA498" s="71"/>
      <c r="AB498" s="71"/>
    </row>
    <row r="499" spans="1:28" ht="15.75" customHeight="1">
      <c r="A499" s="263"/>
      <c r="B499" s="313"/>
      <c r="C499" s="263"/>
      <c r="D499" s="263"/>
      <c r="E499" s="263"/>
      <c r="F499" s="263"/>
      <c r="G499" s="263"/>
      <c r="H499" s="263"/>
      <c r="I499" s="263"/>
      <c r="J499" s="263"/>
      <c r="K499" s="263"/>
      <c r="L499" s="271"/>
      <c r="M499" s="271"/>
      <c r="N499" s="314"/>
      <c r="O499" s="314"/>
      <c r="P499" s="314"/>
      <c r="Q499" s="263"/>
      <c r="R499" s="263"/>
      <c r="S499" s="263"/>
      <c r="T499" s="263"/>
      <c r="U499" s="263"/>
      <c r="V499" s="263"/>
      <c r="W499" s="263"/>
      <c r="X499" s="71"/>
      <c r="Y499" s="71"/>
      <c r="Z499" s="71"/>
      <c r="AA499" s="71"/>
      <c r="AB499" s="71"/>
    </row>
    <row r="500" spans="1:28" ht="15.75" customHeight="1">
      <c r="A500" s="263"/>
      <c r="B500" s="313"/>
      <c r="C500" s="263"/>
      <c r="D500" s="263"/>
      <c r="E500" s="263"/>
      <c r="F500" s="263"/>
      <c r="G500" s="263"/>
      <c r="H500" s="263"/>
      <c r="I500" s="263"/>
      <c r="J500" s="263"/>
      <c r="K500" s="263"/>
      <c r="L500" s="271"/>
      <c r="M500" s="271"/>
      <c r="N500" s="314"/>
      <c r="O500" s="314"/>
      <c r="P500" s="314"/>
      <c r="Q500" s="263"/>
      <c r="R500" s="263"/>
      <c r="S500" s="263"/>
      <c r="T500" s="263"/>
      <c r="U500" s="263"/>
      <c r="V500" s="263"/>
      <c r="W500" s="263"/>
      <c r="X500" s="71"/>
      <c r="Y500" s="71"/>
      <c r="Z500" s="71"/>
      <c r="AA500" s="71"/>
      <c r="AB500" s="71"/>
    </row>
    <row r="501" spans="1:28" ht="15.75" customHeight="1">
      <c r="A501" s="263"/>
      <c r="B501" s="313"/>
      <c r="C501" s="263"/>
      <c r="D501" s="263"/>
      <c r="E501" s="263"/>
      <c r="F501" s="263"/>
      <c r="G501" s="263"/>
      <c r="H501" s="263"/>
      <c r="I501" s="263"/>
      <c r="J501" s="263"/>
      <c r="K501" s="263"/>
      <c r="L501" s="271"/>
      <c r="M501" s="271"/>
      <c r="N501" s="314"/>
      <c r="O501" s="314"/>
      <c r="P501" s="314"/>
      <c r="Q501" s="263"/>
      <c r="R501" s="263"/>
      <c r="S501" s="263"/>
      <c r="T501" s="263"/>
      <c r="U501" s="263"/>
      <c r="V501" s="263"/>
      <c r="W501" s="263"/>
      <c r="X501" s="71"/>
      <c r="Y501" s="71"/>
      <c r="Z501" s="71"/>
      <c r="AA501" s="71"/>
      <c r="AB501" s="71"/>
    </row>
    <row r="502" spans="1:28" ht="15.75" customHeight="1">
      <c r="A502" s="263"/>
      <c r="B502" s="313"/>
      <c r="C502" s="263"/>
      <c r="D502" s="263"/>
      <c r="E502" s="263"/>
      <c r="F502" s="263"/>
      <c r="G502" s="263"/>
      <c r="H502" s="263"/>
      <c r="I502" s="263"/>
      <c r="J502" s="263"/>
      <c r="K502" s="263"/>
      <c r="L502" s="271"/>
      <c r="M502" s="271"/>
      <c r="N502" s="314"/>
      <c r="O502" s="314"/>
      <c r="P502" s="314"/>
      <c r="Q502" s="263"/>
      <c r="R502" s="263"/>
      <c r="S502" s="263"/>
      <c r="T502" s="263"/>
      <c r="U502" s="263"/>
      <c r="V502" s="263"/>
      <c r="W502" s="263"/>
      <c r="X502" s="71"/>
      <c r="Y502" s="71"/>
      <c r="Z502" s="71"/>
      <c r="AA502" s="71"/>
      <c r="AB502" s="71"/>
    </row>
    <row r="503" spans="1:28" ht="15.75" customHeight="1">
      <c r="A503" s="263"/>
      <c r="B503" s="313"/>
      <c r="C503" s="263"/>
      <c r="D503" s="263"/>
      <c r="E503" s="263"/>
      <c r="F503" s="263"/>
      <c r="G503" s="263"/>
      <c r="H503" s="263"/>
      <c r="I503" s="263"/>
      <c r="J503" s="263"/>
      <c r="K503" s="263"/>
      <c r="L503" s="271"/>
      <c r="M503" s="271"/>
      <c r="N503" s="314"/>
      <c r="O503" s="314"/>
      <c r="P503" s="314"/>
      <c r="Q503" s="263"/>
      <c r="R503" s="263"/>
      <c r="S503" s="263"/>
      <c r="T503" s="263"/>
      <c r="U503" s="263"/>
      <c r="V503" s="263"/>
      <c r="W503" s="263"/>
      <c r="X503" s="71"/>
      <c r="Y503" s="71"/>
      <c r="Z503" s="71"/>
      <c r="AA503" s="71"/>
      <c r="AB503" s="71"/>
    </row>
    <row r="504" spans="1:28" ht="15.75" customHeight="1">
      <c r="A504" s="263"/>
      <c r="B504" s="313"/>
      <c r="C504" s="263"/>
      <c r="D504" s="263"/>
      <c r="E504" s="263"/>
      <c r="F504" s="263"/>
      <c r="G504" s="263"/>
      <c r="H504" s="263"/>
      <c r="I504" s="263"/>
      <c r="J504" s="263"/>
      <c r="K504" s="263"/>
      <c r="L504" s="271"/>
      <c r="M504" s="271"/>
      <c r="N504" s="314"/>
      <c r="O504" s="314"/>
      <c r="P504" s="314"/>
      <c r="Q504" s="263"/>
      <c r="R504" s="263"/>
      <c r="S504" s="263"/>
      <c r="T504" s="263"/>
      <c r="U504" s="263"/>
      <c r="V504" s="263"/>
      <c r="W504" s="263"/>
      <c r="X504" s="71"/>
      <c r="Y504" s="71"/>
      <c r="Z504" s="71"/>
      <c r="AA504" s="71"/>
      <c r="AB504" s="71"/>
    </row>
    <row r="505" spans="1:28" ht="15.75" customHeight="1">
      <c r="A505" s="263"/>
      <c r="B505" s="313"/>
      <c r="C505" s="263"/>
      <c r="D505" s="263"/>
      <c r="E505" s="263"/>
      <c r="F505" s="263"/>
      <c r="G505" s="263"/>
      <c r="H505" s="263"/>
      <c r="I505" s="263"/>
      <c r="J505" s="263"/>
      <c r="K505" s="263"/>
      <c r="L505" s="271"/>
      <c r="M505" s="271"/>
      <c r="N505" s="314"/>
      <c r="O505" s="314"/>
      <c r="P505" s="314"/>
      <c r="Q505" s="263"/>
      <c r="R505" s="263"/>
      <c r="S505" s="263"/>
      <c r="T505" s="263"/>
      <c r="U505" s="263"/>
      <c r="V505" s="263"/>
      <c r="W505" s="263"/>
      <c r="X505" s="71"/>
      <c r="Y505" s="71"/>
      <c r="Z505" s="71"/>
      <c r="AA505" s="71"/>
      <c r="AB505" s="71"/>
    </row>
    <row r="506" spans="1:28" ht="15.75" customHeight="1">
      <c r="A506" s="263"/>
      <c r="B506" s="313"/>
      <c r="C506" s="263"/>
      <c r="D506" s="263"/>
      <c r="E506" s="263"/>
      <c r="F506" s="263"/>
      <c r="G506" s="263"/>
      <c r="H506" s="263"/>
      <c r="I506" s="263"/>
      <c r="J506" s="263"/>
      <c r="K506" s="263"/>
      <c r="L506" s="271"/>
      <c r="M506" s="271"/>
      <c r="N506" s="314"/>
      <c r="O506" s="314"/>
      <c r="P506" s="314"/>
      <c r="Q506" s="263"/>
      <c r="R506" s="263"/>
      <c r="S506" s="263"/>
      <c r="T506" s="263"/>
      <c r="U506" s="263"/>
      <c r="V506" s="263"/>
      <c r="W506" s="263"/>
      <c r="X506" s="71"/>
      <c r="Y506" s="71"/>
      <c r="Z506" s="71"/>
      <c r="AA506" s="71"/>
      <c r="AB506" s="71"/>
    </row>
    <row r="507" spans="1:28" ht="15.75" customHeight="1">
      <c r="A507" s="263"/>
      <c r="B507" s="313"/>
      <c r="C507" s="263"/>
      <c r="D507" s="263"/>
      <c r="E507" s="263"/>
      <c r="F507" s="263"/>
      <c r="G507" s="263"/>
      <c r="H507" s="263"/>
      <c r="I507" s="263"/>
      <c r="J507" s="263"/>
      <c r="K507" s="263"/>
      <c r="L507" s="271"/>
      <c r="M507" s="271"/>
      <c r="N507" s="314"/>
      <c r="O507" s="314"/>
      <c r="P507" s="314"/>
      <c r="Q507" s="263"/>
      <c r="R507" s="263"/>
      <c r="S507" s="263"/>
      <c r="T507" s="263"/>
      <c r="U507" s="263"/>
      <c r="V507" s="263"/>
      <c r="W507" s="263"/>
      <c r="X507" s="71"/>
      <c r="Y507" s="71"/>
      <c r="Z507" s="71"/>
      <c r="AA507" s="71"/>
      <c r="AB507" s="71"/>
    </row>
    <row r="508" spans="1:28" ht="15.75" customHeight="1">
      <c r="A508" s="263"/>
      <c r="B508" s="313"/>
      <c r="C508" s="263"/>
      <c r="D508" s="263"/>
      <c r="E508" s="263"/>
      <c r="F508" s="263"/>
      <c r="G508" s="263"/>
      <c r="H508" s="263"/>
      <c r="I508" s="263"/>
      <c r="J508" s="263"/>
      <c r="K508" s="263"/>
      <c r="L508" s="271"/>
      <c r="M508" s="271"/>
      <c r="N508" s="314"/>
      <c r="O508" s="314"/>
      <c r="P508" s="314"/>
      <c r="Q508" s="263"/>
      <c r="R508" s="263"/>
      <c r="S508" s="263"/>
      <c r="T508" s="263"/>
      <c r="U508" s="263"/>
      <c r="V508" s="263"/>
      <c r="W508" s="263"/>
      <c r="X508" s="71"/>
      <c r="Y508" s="71"/>
      <c r="Z508" s="71"/>
      <c r="AA508" s="71"/>
      <c r="AB508" s="71"/>
    </row>
    <row r="509" spans="1:28" ht="15.75" customHeight="1">
      <c r="A509" s="263"/>
      <c r="B509" s="313"/>
      <c r="C509" s="263"/>
      <c r="D509" s="263"/>
      <c r="E509" s="263"/>
      <c r="F509" s="263"/>
      <c r="G509" s="263"/>
      <c r="H509" s="263"/>
      <c r="I509" s="263"/>
      <c r="J509" s="263"/>
      <c r="K509" s="263"/>
      <c r="L509" s="271"/>
      <c r="M509" s="271"/>
      <c r="N509" s="314"/>
      <c r="O509" s="314"/>
      <c r="P509" s="314"/>
      <c r="Q509" s="263"/>
      <c r="R509" s="263"/>
      <c r="S509" s="263"/>
      <c r="T509" s="263"/>
      <c r="U509" s="263"/>
      <c r="V509" s="263"/>
      <c r="W509" s="263"/>
      <c r="X509" s="71"/>
      <c r="Y509" s="71"/>
      <c r="Z509" s="71"/>
      <c r="AA509" s="71"/>
      <c r="AB509" s="71"/>
    </row>
    <row r="510" spans="1:28" ht="15.75" customHeight="1">
      <c r="A510" s="263"/>
      <c r="B510" s="313"/>
      <c r="C510" s="263"/>
      <c r="D510" s="263"/>
      <c r="E510" s="263"/>
      <c r="F510" s="263"/>
      <c r="G510" s="263"/>
      <c r="H510" s="263"/>
      <c r="I510" s="263"/>
      <c r="J510" s="263"/>
      <c r="K510" s="263"/>
      <c r="L510" s="271"/>
      <c r="M510" s="271"/>
      <c r="N510" s="314"/>
      <c r="O510" s="314"/>
      <c r="P510" s="314"/>
      <c r="Q510" s="263"/>
      <c r="R510" s="263"/>
      <c r="S510" s="263"/>
      <c r="T510" s="263"/>
      <c r="U510" s="263"/>
      <c r="V510" s="263"/>
      <c r="W510" s="263"/>
      <c r="X510" s="71"/>
      <c r="Y510" s="71"/>
      <c r="Z510" s="71"/>
      <c r="AA510" s="71"/>
      <c r="AB510" s="71"/>
    </row>
    <row r="511" spans="1:28" ht="15.75" customHeight="1">
      <c r="A511" s="263"/>
      <c r="B511" s="313"/>
      <c r="C511" s="263"/>
      <c r="D511" s="263"/>
      <c r="E511" s="263"/>
      <c r="F511" s="263"/>
      <c r="G511" s="263"/>
      <c r="H511" s="263"/>
      <c r="I511" s="263"/>
      <c r="J511" s="263"/>
      <c r="K511" s="263"/>
      <c r="L511" s="271"/>
      <c r="M511" s="271"/>
      <c r="N511" s="314"/>
      <c r="O511" s="314"/>
      <c r="P511" s="314"/>
      <c r="Q511" s="263"/>
      <c r="R511" s="263"/>
      <c r="S511" s="263"/>
      <c r="T511" s="263"/>
      <c r="U511" s="263"/>
      <c r="V511" s="263"/>
      <c r="W511" s="263"/>
      <c r="X511" s="71"/>
      <c r="Y511" s="71"/>
      <c r="Z511" s="71"/>
      <c r="AA511" s="71"/>
      <c r="AB511" s="71"/>
    </row>
    <row r="512" spans="1:28" ht="15.75" customHeight="1">
      <c r="A512" s="263"/>
      <c r="B512" s="313"/>
      <c r="C512" s="263"/>
      <c r="D512" s="263"/>
      <c r="E512" s="263"/>
      <c r="F512" s="263"/>
      <c r="G512" s="263"/>
      <c r="H512" s="263"/>
      <c r="I512" s="263"/>
      <c r="J512" s="263"/>
      <c r="K512" s="263"/>
      <c r="L512" s="271"/>
      <c r="M512" s="271"/>
      <c r="N512" s="314"/>
      <c r="O512" s="314"/>
      <c r="P512" s="314"/>
      <c r="Q512" s="263"/>
      <c r="R512" s="263"/>
      <c r="S512" s="263"/>
      <c r="T512" s="263"/>
      <c r="U512" s="263"/>
      <c r="V512" s="263"/>
      <c r="W512" s="263"/>
      <c r="X512" s="71"/>
      <c r="Y512" s="71"/>
      <c r="Z512" s="71"/>
      <c r="AA512" s="71"/>
      <c r="AB512" s="71"/>
    </row>
    <row r="513" spans="1:28" ht="15.75" customHeight="1">
      <c r="A513" s="263"/>
      <c r="B513" s="313"/>
      <c r="C513" s="263"/>
      <c r="D513" s="263"/>
      <c r="E513" s="263"/>
      <c r="F513" s="263"/>
      <c r="G513" s="263"/>
      <c r="H513" s="263"/>
      <c r="I513" s="263"/>
      <c r="J513" s="263"/>
      <c r="K513" s="263"/>
      <c r="L513" s="271"/>
      <c r="M513" s="271"/>
      <c r="N513" s="314"/>
      <c r="O513" s="314"/>
      <c r="P513" s="314"/>
      <c r="Q513" s="263"/>
      <c r="R513" s="263"/>
      <c r="S513" s="263"/>
      <c r="T513" s="263"/>
      <c r="U513" s="263"/>
      <c r="V513" s="263"/>
      <c r="W513" s="263"/>
      <c r="X513" s="71"/>
      <c r="Y513" s="71"/>
      <c r="Z513" s="71"/>
      <c r="AA513" s="71"/>
      <c r="AB513" s="71"/>
    </row>
    <row r="514" spans="1:28" ht="15.75" customHeight="1">
      <c r="A514" s="263"/>
      <c r="B514" s="313"/>
      <c r="C514" s="263"/>
      <c r="D514" s="263"/>
      <c r="E514" s="263"/>
      <c r="F514" s="263"/>
      <c r="G514" s="263"/>
      <c r="H514" s="263"/>
      <c r="I514" s="263"/>
      <c r="J514" s="263"/>
      <c r="K514" s="263"/>
      <c r="L514" s="271"/>
      <c r="M514" s="271"/>
      <c r="N514" s="314"/>
      <c r="O514" s="314"/>
      <c r="P514" s="314"/>
      <c r="Q514" s="263"/>
      <c r="R514" s="263"/>
      <c r="S514" s="263"/>
      <c r="T514" s="263"/>
      <c r="U514" s="263"/>
      <c r="V514" s="263"/>
      <c r="W514" s="263"/>
      <c r="X514" s="71"/>
      <c r="Y514" s="71"/>
      <c r="Z514" s="71"/>
      <c r="AA514" s="71"/>
      <c r="AB514" s="71"/>
    </row>
    <row r="515" spans="1:28" ht="15.75" customHeight="1">
      <c r="A515" s="263"/>
      <c r="B515" s="313"/>
      <c r="C515" s="263"/>
      <c r="D515" s="263"/>
      <c r="E515" s="263"/>
      <c r="F515" s="263"/>
      <c r="G515" s="263"/>
      <c r="H515" s="263"/>
      <c r="I515" s="263"/>
      <c r="J515" s="263"/>
      <c r="K515" s="263"/>
      <c r="L515" s="271"/>
      <c r="M515" s="271"/>
      <c r="N515" s="314"/>
      <c r="O515" s="314"/>
      <c r="P515" s="314"/>
      <c r="Q515" s="263"/>
      <c r="R515" s="263"/>
      <c r="S515" s="263"/>
      <c r="T515" s="263"/>
      <c r="U515" s="263"/>
      <c r="V515" s="263"/>
      <c r="W515" s="263"/>
      <c r="X515" s="71"/>
      <c r="Y515" s="71"/>
      <c r="Z515" s="71"/>
      <c r="AA515" s="71"/>
      <c r="AB515" s="71"/>
    </row>
    <row r="516" spans="1:28" ht="15.75" customHeight="1">
      <c r="A516" s="263"/>
      <c r="B516" s="313"/>
      <c r="C516" s="263"/>
      <c r="D516" s="263"/>
      <c r="E516" s="263"/>
      <c r="F516" s="263"/>
      <c r="G516" s="263"/>
      <c r="H516" s="263"/>
      <c r="I516" s="263"/>
      <c r="J516" s="263"/>
      <c r="K516" s="263"/>
      <c r="L516" s="271"/>
      <c r="M516" s="271"/>
      <c r="N516" s="314"/>
      <c r="O516" s="314"/>
      <c r="P516" s="314"/>
      <c r="Q516" s="263"/>
      <c r="R516" s="263"/>
      <c r="S516" s="263"/>
      <c r="T516" s="263"/>
      <c r="U516" s="263"/>
      <c r="V516" s="263"/>
      <c r="W516" s="263"/>
      <c r="X516" s="71"/>
      <c r="Y516" s="71"/>
      <c r="Z516" s="71"/>
      <c r="AA516" s="71"/>
      <c r="AB516" s="71"/>
    </row>
    <row r="517" spans="1:28" ht="15.75" customHeight="1">
      <c r="A517" s="263"/>
      <c r="B517" s="313"/>
      <c r="C517" s="263"/>
      <c r="D517" s="263"/>
      <c r="E517" s="263"/>
      <c r="F517" s="263"/>
      <c r="G517" s="263"/>
      <c r="H517" s="263"/>
      <c r="I517" s="263"/>
      <c r="J517" s="263"/>
      <c r="K517" s="263"/>
      <c r="L517" s="271"/>
      <c r="M517" s="271"/>
      <c r="N517" s="314"/>
      <c r="O517" s="314"/>
      <c r="P517" s="314"/>
      <c r="Q517" s="263"/>
      <c r="R517" s="263"/>
      <c r="S517" s="263"/>
      <c r="T517" s="263"/>
      <c r="U517" s="263"/>
      <c r="V517" s="263"/>
      <c r="W517" s="263"/>
      <c r="X517" s="71"/>
      <c r="Y517" s="71"/>
      <c r="Z517" s="71"/>
      <c r="AA517" s="71"/>
      <c r="AB517" s="71"/>
    </row>
    <row r="518" spans="1:28" ht="15.75" customHeight="1">
      <c r="A518" s="263"/>
      <c r="B518" s="313"/>
      <c r="C518" s="263"/>
      <c r="D518" s="263"/>
      <c r="E518" s="263"/>
      <c r="F518" s="263"/>
      <c r="G518" s="263"/>
      <c r="H518" s="263"/>
      <c r="I518" s="263"/>
      <c r="J518" s="263"/>
      <c r="K518" s="263"/>
      <c r="L518" s="271"/>
      <c r="M518" s="271"/>
      <c r="N518" s="314"/>
      <c r="O518" s="314"/>
      <c r="P518" s="314"/>
      <c r="Q518" s="263"/>
      <c r="R518" s="263"/>
      <c r="S518" s="263"/>
      <c r="T518" s="263"/>
      <c r="U518" s="263"/>
      <c r="V518" s="263"/>
      <c r="W518" s="263"/>
      <c r="X518" s="71"/>
      <c r="Y518" s="71"/>
      <c r="Z518" s="71"/>
      <c r="AA518" s="71"/>
      <c r="AB518" s="71"/>
    </row>
    <row r="519" spans="1:28" ht="15.75" customHeight="1">
      <c r="A519" s="263"/>
      <c r="B519" s="313"/>
      <c r="C519" s="263"/>
      <c r="D519" s="263"/>
      <c r="E519" s="263"/>
      <c r="F519" s="263"/>
      <c r="G519" s="263"/>
      <c r="H519" s="263"/>
      <c r="I519" s="263"/>
      <c r="J519" s="263"/>
      <c r="K519" s="263"/>
      <c r="L519" s="271"/>
      <c r="M519" s="271"/>
      <c r="N519" s="314"/>
      <c r="O519" s="314"/>
      <c r="P519" s="314"/>
      <c r="Q519" s="263"/>
      <c r="R519" s="263"/>
      <c r="S519" s="263"/>
      <c r="T519" s="263"/>
      <c r="U519" s="263"/>
      <c r="V519" s="263"/>
      <c r="W519" s="263"/>
      <c r="X519" s="71"/>
      <c r="Y519" s="71"/>
      <c r="Z519" s="71"/>
      <c r="AA519" s="71"/>
      <c r="AB519" s="71"/>
    </row>
    <row r="520" spans="1:28" ht="15.75" customHeight="1">
      <c r="A520" s="263"/>
      <c r="B520" s="313"/>
      <c r="C520" s="263"/>
      <c r="D520" s="263"/>
      <c r="E520" s="263"/>
      <c r="F520" s="263"/>
      <c r="G520" s="263"/>
      <c r="H520" s="263"/>
      <c r="I520" s="263"/>
      <c r="J520" s="263"/>
      <c r="K520" s="263"/>
      <c r="L520" s="271"/>
      <c r="M520" s="271"/>
      <c r="N520" s="314"/>
      <c r="O520" s="314"/>
      <c r="P520" s="314"/>
      <c r="Q520" s="263"/>
      <c r="R520" s="263"/>
      <c r="S520" s="263"/>
      <c r="T520" s="263"/>
      <c r="U520" s="263"/>
      <c r="V520" s="263"/>
      <c r="W520" s="263"/>
      <c r="X520" s="71"/>
      <c r="Y520" s="71"/>
      <c r="Z520" s="71"/>
      <c r="AA520" s="71"/>
      <c r="AB520" s="71"/>
    </row>
    <row r="521" spans="1:28" ht="15.75" customHeight="1">
      <c r="A521" s="263"/>
      <c r="B521" s="313"/>
      <c r="C521" s="263"/>
      <c r="D521" s="263"/>
      <c r="E521" s="263"/>
      <c r="F521" s="263"/>
      <c r="G521" s="263"/>
      <c r="H521" s="263"/>
      <c r="I521" s="263"/>
      <c r="J521" s="263"/>
      <c r="K521" s="263"/>
      <c r="L521" s="271"/>
      <c r="M521" s="271"/>
      <c r="N521" s="314"/>
      <c r="O521" s="314"/>
      <c r="P521" s="314"/>
      <c r="Q521" s="263"/>
      <c r="R521" s="263"/>
      <c r="S521" s="263"/>
      <c r="T521" s="263"/>
      <c r="U521" s="263"/>
      <c r="V521" s="263"/>
      <c r="W521" s="263"/>
      <c r="X521" s="71"/>
      <c r="Y521" s="71"/>
      <c r="Z521" s="71"/>
      <c r="AA521" s="71"/>
      <c r="AB521" s="71"/>
    </row>
    <row r="522" spans="1:28" ht="15.75" customHeight="1">
      <c r="A522" s="263"/>
      <c r="B522" s="313"/>
      <c r="C522" s="263"/>
      <c r="D522" s="263"/>
      <c r="E522" s="263"/>
      <c r="F522" s="263"/>
      <c r="G522" s="263"/>
      <c r="H522" s="263"/>
      <c r="I522" s="263"/>
      <c r="J522" s="263"/>
      <c r="K522" s="263"/>
      <c r="L522" s="271"/>
      <c r="M522" s="271"/>
      <c r="N522" s="314"/>
      <c r="O522" s="314"/>
      <c r="P522" s="314"/>
      <c r="Q522" s="263"/>
      <c r="R522" s="263"/>
      <c r="S522" s="263"/>
      <c r="T522" s="263"/>
      <c r="U522" s="263"/>
      <c r="V522" s="263"/>
      <c r="W522" s="263"/>
      <c r="X522" s="71"/>
      <c r="Y522" s="71"/>
      <c r="Z522" s="71"/>
      <c r="AA522" s="71"/>
      <c r="AB522" s="71"/>
    </row>
    <row r="523" spans="1:28" ht="15.75" customHeight="1">
      <c r="A523" s="263"/>
      <c r="B523" s="313"/>
      <c r="C523" s="263"/>
      <c r="D523" s="263"/>
      <c r="E523" s="263"/>
      <c r="F523" s="263"/>
      <c r="G523" s="263"/>
      <c r="H523" s="263"/>
      <c r="I523" s="263"/>
      <c r="J523" s="263"/>
      <c r="K523" s="263"/>
      <c r="L523" s="271"/>
      <c r="M523" s="271"/>
      <c r="N523" s="314"/>
      <c r="O523" s="314"/>
      <c r="P523" s="314"/>
      <c r="Q523" s="263"/>
      <c r="R523" s="263"/>
      <c r="S523" s="263"/>
      <c r="T523" s="263"/>
      <c r="U523" s="263"/>
      <c r="V523" s="263"/>
      <c r="W523" s="263"/>
      <c r="X523" s="71"/>
      <c r="Y523" s="71"/>
      <c r="Z523" s="71"/>
      <c r="AA523" s="71"/>
      <c r="AB523" s="71"/>
    </row>
    <row r="524" spans="1:28" ht="15.75" customHeight="1">
      <c r="A524" s="263"/>
      <c r="B524" s="313"/>
      <c r="C524" s="263"/>
      <c r="D524" s="263"/>
      <c r="E524" s="263"/>
      <c r="F524" s="263"/>
      <c r="G524" s="263"/>
      <c r="H524" s="263"/>
      <c r="I524" s="263"/>
      <c r="J524" s="263"/>
      <c r="K524" s="263"/>
      <c r="L524" s="271"/>
      <c r="M524" s="271"/>
      <c r="N524" s="314"/>
      <c r="O524" s="314"/>
      <c r="P524" s="314"/>
      <c r="Q524" s="263"/>
      <c r="R524" s="263"/>
      <c r="S524" s="263"/>
      <c r="T524" s="263"/>
      <c r="U524" s="263"/>
      <c r="V524" s="263"/>
      <c r="W524" s="263"/>
      <c r="X524" s="71"/>
      <c r="Y524" s="71"/>
      <c r="Z524" s="71"/>
      <c r="AA524" s="71"/>
      <c r="AB524" s="71"/>
    </row>
    <row r="525" spans="1:28" ht="15.75" customHeight="1">
      <c r="A525" s="263"/>
      <c r="B525" s="313"/>
      <c r="C525" s="263"/>
      <c r="D525" s="263"/>
      <c r="E525" s="263"/>
      <c r="F525" s="263"/>
      <c r="G525" s="263"/>
      <c r="H525" s="263"/>
      <c r="I525" s="263"/>
      <c r="J525" s="263"/>
      <c r="K525" s="263"/>
      <c r="L525" s="271"/>
      <c r="M525" s="271"/>
      <c r="N525" s="314"/>
      <c r="O525" s="314"/>
      <c r="P525" s="314"/>
      <c r="Q525" s="263"/>
      <c r="R525" s="263"/>
      <c r="S525" s="263"/>
      <c r="T525" s="263"/>
      <c r="U525" s="263"/>
      <c r="V525" s="263"/>
      <c r="W525" s="263"/>
      <c r="X525" s="71"/>
      <c r="Y525" s="71"/>
      <c r="Z525" s="71"/>
      <c r="AA525" s="71"/>
      <c r="AB525" s="71"/>
    </row>
    <row r="526" spans="1:28" ht="15.75" customHeight="1">
      <c r="A526" s="263"/>
      <c r="B526" s="313"/>
      <c r="C526" s="263"/>
      <c r="D526" s="263"/>
      <c r="E526" s="263"/>
      <c r="F526" s="263"/>
      <c r="G526" s="263"/>
      <c r="H526" s="263"/>
      <c r="I526" s="263"/>
      <c r="J526" s="263"/>
      <c r="K526" s="263"/>
      <c r="L526" s="271"/>
      <c r="M526" s="271"/>
      <c r="N526" s="314"/>
      <c r="O526" s="314"/>
      <c r="P526" s="314"/>
      <c r="Q526" s="263"/>
      <c r="R526" s="263"/>
      <c r="S526" s="263"/>
      <c r="T526" s="263"/>
      <c r="U526" s="263"/>
      <c r="V526" s="263"/>
      <c r="W526" s="263"/>
      <c r="X526" s="71"/>
      <c r="Y526" s="71"/>
      <c r="Z526" s="71"/>
      <c r="AA526" s="71"/>
      <c r="AB526" s="71"/>
    </row>
    <row r="527" spans="1:28" ht="15.75" customHeight="1">
      <c r="A527" s="263"/>
      <c r="B527" s="313"/>
      <c r="C527" s="263"/>
      <c r="D527" s="263"/>
      <c r="E527" s="263"/>
      <c r="F527" s="263"/>
      <c r="G527" s="263"/>
      <c r="H527" s="263"/>
      <c r="I527" s="263"/>
      <c r="J527" s="263"/>
      <c r="K527" s="263"/>
      <c r="L527" s="271"/>
      <c r="M527" s="271"/>
      <c r="N527" s="314"/>
      <c r="O527" s="314"/>
      <c r="P527" s="314"/>
      <c r="Q527" s="263"/>
      <c r="R527" s="263"/>
      <c r="S527" s="263"/>
      <c r="T527" s="263"/>
      <c r="U527" s="263"/>
      <c r="V527" s="263"/>
      <c r="W527" s="263"/>
      <c r="X527" s="71"/>
      <c r="Y527" s="71"/>
      <c r="Z527" s="71"/>
      <c r="AA527" s="71"/>
      <c r="AB527" s="71"/>
    </row>
    <row r="528" spans="1:28" ht="15.75" customHeight="1">
      <c r="A528" s="263"/>
      <c r="B528" s="313"/>
      <c r="C528" s="263"/>
      <c r="D528" s="263"/>
      <c r="E528" s="263"/>
      <c r="F528" s="263"/>
      <c r="G528" s="263"/>
      <c r="H528" s="263"/>
      <c r="I528" s="263"/>
      <c r="J528" s="263"/>
      <c r="K528" s="263"/>
      <c r="L528" s="271"/>
      <c r="M528" s="271"/>
      <c r="N528" s="314"/>
      <c r="O528" s="314"/>
      <c r="P528" s="314"/>
      <c r="Q528" s="263"/>
      <c r="R528" s="263"/>
      <c r="S528" s="263"/>
      <c r="T528" s="263"/>
      <c r="U528" s="263"/>
      <c r="V528" s="263"/>
      <c r="W528" s="263"/>
      <c r="X528" s="71"/>
      <c r="Y528" s="71"/>
      <c r="Z528" s="71"/>
      <c r="AA528" s="71"/>
      <c r="AB528" s="71"/>
    </row>
    <row r="529" spans="1:28" ht="15.75" customHeight="1">
      <c r="A529" s="263"/>
      <c r="B529" s="313"/>
      <c r="C529" s="263"/>
      <c r="D529" s="263"/>
      <c r="E529" s="263"/>
      <c r="F529" s="263"/>
      <c r="G529" s="263"/>
      <c r="H529" s="263"/>
      <c r="I529" s="263"/>
      <c r="J529" s="263"/>
      <c r="K529" s="263"/>
      <c r="L529" s="271"/>
      <c r="M529" s="271"/>
      <c r="N529" s="314"/>
      <c r="O529" s="314"/>
      <c r="P529" s="314"/>
      <c r="Q529" s="263"/>
      <c r="R529" s="263"/>
      <c r="S529" s="263"/>
      <c r="T529" s="263"/>
      <c r="U529" s="263"/>
      <c r="V529" s="263"/>
      <c r="W529" s="263"/>
      <c r="X529" s="71"/>
      <c r="Y529" s="71"/>
      <c r="Z529" s="71"/>
      <c r="AA529" s="71"/>
      <c r="AB529" s="71"/>
    </row>
    <row r="530" spans="1:28" ht="15.75" customHeight="1">
      <c r="A530" s="263"/>
      <c r="B530" s="313"/>
      <c r="C530" s="263"/>
      <c r="D530" s="263"/>
      <c r="E530" s="263"/>
      <c r="F530" s="263"/>
      <c r="G530" s="263"/>
      <c r="H530" s="263"/>
      <c r="I530" s="263"/>
      <c r="J530" s="263"/>
      <c r="K530" s="263"/>
      <c r="L530" s="271"/>
      <c r="M530" s="271"/>
      <c r="N530" s="314"/>
      <c r="O530" s="314"/>
      <c r="P530" s="314"/>
      <c r="Q530" s="263"/>
      <c r="R530" s="263"/>
      <c r="S530" s="263"/>
      <c r="T530" s="263"/>
      <c r="U530" s="263"/>
      <c r="V530" s="263"/>
      <c r="W530" s="263"/>
      <c r="X530" s="71"/>
      <c r="Y530" s="71"/>
      <c r="Z530" s="71"/>
      <c r="AA530" s="71"/>
      <c r="AB530" s="71"/>
    </row>
    <row r="531" spans="1:28" ht="15.75" customHeight="1">
      <c r="A531" s="263"/>
      <c r="B531" s="313"/>
      <c r="C531" s="263"/>
      <c r="D531" s="263"/>
      <c r="E531" s="263"/>
      <c r="F531" s="263"/>
      <c r="G531" s="263"/>
      <c r="H531" s="263"/>
      <c r="I531" s="263"/>
      <c r="J531" s="263"/>
      <c r="K531" s="263"/>
      <c r="L531" s="271"/>
      <c r="M531" s="271"/>
      <c r="N531" s="314"/>
      <c r="O531" s="314"/>
      <c r="P531" s="314"/>
      <c r="Q531" s="263"/>
      <c r="R531" s="263"/>
      <c r="S531" s="263"/>
      <c r="T531" s="263"/>
      <c r="U531" s="263"/>
      <c r="V531" s="263"/>
      <c r="W531" s="263"/>
      <c r="X531" s="71"/>
      <c r="Y531" s="71"/>
      <c r="Z531" s="71"/>
      <c r="AA531" s="71"/>
      <c r="AB531" s="71"/>
    </row>
    <row r="532" spans="1:28" ht="15.75" customHeight="1">
      <c r="A532" s="263"/>
      <c r="B532" s="313"/>
      <c r="C532" s="263"/>
      <c r="D532" s="263"/>
      <c r="E532" s="263"/>
      <c r="F532" s="263"/>
      <c r="G532" s="263"/>
      <c r="H532" s="263"/>
      <c r="I532" s="263"/>
      <c r="J532" s="263"/>
      <c r="K532" s="263"/>
      <c r="L532" s="271"/>
      <c r="M532" s="271"/>
      <c r="N532" s="314"/>
      <c r="O532" s="314"/>
      <c r="P532" s="314"/>
      <c r="Q532" s="263"/>
      <c r="R532" s="263"/>
      <c r="S532" s="263"/>
      <c r="T532" s="263"/>
      <c r="U532" s="263"/>
      <c r="V532" s="263"/>
      <c r="W532" s="263"/>
      <c r="X532" s="71"/>
      <c r="Y532" s="71"/>
      <c r="Z532" s="71"/>
      <c r="AA532" s="71"/>
      <c r="AB532" s="71"/>
    </row>
    <row r="533" spans="1:28" ht="15.75" customHeight="1">
      <c r="A533" s="263"/>
      <c r="B533" s="313"/>
      <c r="C533" s="263"/>
      <c r="D533" s="263"/>
      <c r="E533" s="263"/>
      <c r="F533" s="263"/>
      <c r="G533" s="263"/>
      <c r="H533" s="263"/>
      <c r="I533" s="263"/>
      <c r="J533" s="263"/>
      <c r="K533" s="263"/>
      <c r="L533" s="271"/>
      <c r="M533" s="271"/>
      <c r="N533" s="314"/>
      <c r="O533" s="314"/>
      <c r="P533" s="314"/>
      <c r="Q533" s="263"/>
      <c r="R533" s="263"/>
      <c r="S533" s="263"/>
      <c r="T533" s="263"/>
      <c r="U533" s="263"/>
      <c r="V533" s="263"/>
      <c r="W533" s="263"/>
      <c r="X533" s="71"/>
      <c r="Y533" s="71"/>
      <c r="Z533" s="71"/>
      <c r="AA533" s="71"/>
      <c r="AB533" s="71"/>
    </row>
    <row r="534" spans="1:28" ht="15.75" customHeight="1">
      <c r="A534" s="263"/>
      <c r="B534" s="313"/>
      <c r="C534" s="263"/>
      <c r="D534" s="263"/>
      <c r="E534" s="263"/>
      <c r="F534" s="263"/>
      <c r="G534" s="263"/>
      <c r="H534" s="263"/>
      <c r="I534" s="263"/>
      <c r="J534" s="263"/>
      <c r="K534" s="263"/>
      <c r="L534" s="271"/>
      <c r="M534" s="271"/>
      <c r="N534" s="314"/>
      <c r="O534" s="314"/>
      <c r="P534" s="314"/>
      <c r="Q534" s="263"/>
      <c r="R534" s="263"/>
      <c r="S534" s="263"/>
      <c r="T534" s="263"/>
      <c r="U534" s="263"/>
      <c r="V534" s="263"/>
      <c r="W534" s="263"/>
      <c r="X534" s="71"/>
      <c r="Y534" s="71"/>
      <c r="Z534" s="71"/>
      <c r="AA534" s="71"/>
      <c r="AB534" s="71"/>
    </row>
    <row r="535" spans="1:28" ht="15.75" customHeight="1">
      <c r="A535" s="263"/>
      <c r="B535" s="313"/>
      <c r="C535" s="263"/>
      <c r="D535" s="263"/>
      <c r="E535" s="263"/>
      <c r="F535" s="263"/>
      <c r="G535" s="263"/>
      <c r="H535" s="263"/>
      <c r="I535" s="263"/>
      <c r="J535" s="263"/>
      <c r="K535" s="263"/>
      <c r="L535" s="271"/>
      <c r="M535" s="271"/>
      <c r="N535" s="314"/>
      <c r="O535" s="314"/>
      <c r="P535" s="314"/>
      <c r="Q535" s="263"/>
      <c r="R535" s="263"/>
      <c r="S535" s="263"/>
      <c r="T535" s="263"/>
      <c r="U535" s="263"/>
      <c r="V535" s="263"/>
      <c r="W535" s="263"/>
      <c r="X535" s="71"/>
      <c r="Y535" s="71"/>
      <c r="Z535" s="71"/>
      <c r="AA535" s="71"/>
      <c r="AB535" s="71"/>
    </row>
    <row r="536" spans="1:28" ht="15.75" customHeight="1">
      <c r="A536" s="263"/>
      <c r="B536" s="313"/>
      <c r="C536" s="263"/>
      <c r="D536" s="263"/>
      <c r="E536" s="263"/>
      <c r="F536" s="263"/>
      <c r="G536" s="263"/>
      <c r="H536" s="263"/>
      <c r="I536" s="263"/>
      <c r="J536" s="263"/>
      <c r="K536" s="263"/>
      <c r="L536" s="271"/>
      <c r="M536" s="271"/>
      <c r="N536" s="314"/>
      <c r="O536" s="314"/>
      <c r="P536" s="314"/>
      <c r="Q536" s="263"/>
      <c r="R536" s="263"/>
      <c r="S536" s="263"/>
      <c r="T536" s="263"/>
      <c r="U536" s="263"/>
      <c r="V536" s="263"/>
      <c r="W536" s="263"/>
      <c r="X536" s="71"/>
      <c r="Y536" s="71"/>
      <c r="Z536" s="71"/>
      <c r="AA536" s="71"/>
      <c r="AB536" s="71"/>
    </row>
    <row r="537" spans="1:28" ht="15.75" customHeight="1">
      <c r="A537" s="263"/>
      <c r="B537" s="313"/>
      <c r="C537" s="263"/>
      <c r="D537" s="263"/>
      <c r="E537" s="263"/>
      <c r="F537" s="263"/>
      <c r="G537" s="263"/>
      <c r="H537" s="263"/>
      <c r="I537" s="263"/>
      <c r="J537" s="263"/>
      <c r="K537" s="263"/>
      <c r="L537" s="271"/>
      <c r="M537" s="271"/>
      <c r="N537" s="314"/>
      <c r="O537" s="314"/>
      <c r="P537" s="314"/>
      <c r="Q537" s="263"/>
      <c r="R537" s="263"/>
      <c r="S537" s="263"/>
      <c r="T537" s="263"/>
      <c r="U537" s="263"/>
      <c r="V537" s="263"/>
      <c r="W537" s="263"/>
      <c r="X537" s="71"/>
      <c r="Y537" s="71"/>
      <c r="Z537" s="71"/>
      <c r="AA537" s="71"/>
      <c r="AB537" s="71"/>
    </row>
    <row r="538" spans="1:28" ht="15.75" customHeight="1">
      <c r="A538" s="263"/>
      <c r="B538" s="313"/>
      <c r="C538" s="263"/>
      <c r="D538" s="263"/>
      <c r="E538" s="263"/>
      <c r="F538" s="263"/>
      <c r="G538" s="263"/>
      <c r="H538" s="263"/>
      <c r="I538" s="263"/>
      <c r="J538" s="263"/>
      <c r="K538" s="263"/>
      <c r="L538" s="271"/>
      <c r="M538" s="271"/>
      <c r="N538" s="314"/>
      <c r="O538" s="314"/>
      <c r="P538" s="314"/>
      <c r="Q538" s="263"/>
      <c r="R538" s="263"/>
      <c r="S538" s="263"/>
      <c r="T538" s="263"/>
      <c r="U538" s="263"/>
      <c r="V538" s="263"/>
      <c r="W538" s="263"/>
      <c r="X538" s="71"/>
      <c r="Y538" s="71"/>
      <c r="Z538" s="71"/>
      <c r="AA538" s="71"/>
      <c r="AB538" s="71"/>
    </row>
    <row r="539" spans="1:28" ht="15.75" customHeight="1">
      <c r="A539" s="263"/>
      <c r="B539" s="313"/>
      <c r="C539" s="263"/>
      <c r="D539" s="263"/>
      <c r="E539" s="263"/>
      <c r="F539" s="263"/>
      <c r="G539" s="263"/>
      <c r="H539" s="263"/>
      <c r="I539" s="263"/>
      <c r="J539" s="263"/>
      <c r="K539" s="263"/>
      <c r="L539" s="271"/>
      <c r="M539" s="271"/>
      <c r="N539" s="314"/>
      <c r="O539" s="314"/>
      <c r="P539" s="314"/>
      <c r="Q539" s="263"/>
      <c r="R539" s="263"/>
      <c r="S539" s="263"/>
      <c r="T539" s="263"/>
      <c r="U539" s="263"/>
      <c r="V539" s="263"/>
      <c r="W539" s="263"/>
      <c r="X539" s="71"/>
      <c r="Y539" s="71"/>
      <c r="Z539" s="71"/>
      <c r="AA539" s="71"/>
      <c r="AB539" s="71"/>
    </row>
    <row r="540" spans="1:28" ht="15.75" customHeight="1">
      <c r="A540" s="263"/>
      <c r="B540" s="313"/>
      <c r="C540" s="263"/>
      <c r="D540" s="263"/>
      <c r="E540" s="263"/>
      <c r="F540" s="263"/>
      <c r="G540" s="263"/>
      <c r="H540" s="263"/>
      <c r="I540" s="263"/>
      <c r="J540" s="263"/>
      <c r="K540" s="263"/>
      <c r="L540" s="271"/>
      <c r="M540" s="271"/>
      <c r="N540" s="314"/>
      <c r="O540" s="314"/>
      <c r="P540" s="314"/>
      <c r="Q540" s="263"/>
      <c r="R540" s="263"/>
      <c r="S540" s="263"/>
      <c r="T540" s="263"/>
      <c r="U540" s="263"/>
      <c r="V540" s="263"/>
      <c r="W540" s="263"/>
      <c r="X540" s="71"/>
      <c r="Y540" s="71"/>
      <c r="Z540" s="71"/>
      <c r="AA540" s="71"/>
      <c r="AB540" s="71"/>
    </row>
    <row r="541" spans="1:28" ht="15.75" customHeight="1">
      <c r="A541" s="263"/>
      <c r="B541" s="313"/>
      <c r="C541" s="263"/>
      <c r="D541" s="263"/>
      <c r="E541" s="263"/>
      <c r="F541" s="263"/>
      <c r="G541" s="263"/>
      <c r="H541" s="263"/>
      <c r="I541" s="263"/>
      <c r="J541" s="263"/>
      <c r="K541" s="263"/>
      <c r="L541" s="271"/>
      <c r="M541" s="271"/>
      <c r="N541" s="314"/>
      <c r="O541" s="314"/>
      <c r="P541" s="314"/>
      <c r="Q541" s="263"/>
      <c r="R541" s="263"/>
      <c r="S541" s="263"/>
      <c r="T541" s="263"/>
      <c r="U541" s="263"/>
      <c r="V541" s="263"/>
      <c r="W541" s="263"/>
      <c r="X541" s="71"/>
      <c r="Y541" s="71"/>
      <c r="Z541" s="71"/>
      <c r="AA541" s="71"/>
      <c r="AB541" s="71"/>
    </row>
    <row r="542" spans="1:28" ht="15.75" customHeight="1">
      <c r="A542" s="263"/>
      <c r="B542" s="313"/>
      <c r="C542" s="263"/>
      <c r="D542" s="263"/>
      <c r="E542" s="263"/>
      <c r="F542" s="263"/>
      <c r="G542" s="263"/>
      <c r="H542" s="263"/>
      <c r="I542" s="263"/>
      <c r="J542" s="263"/>
      <c r="K542" s="263"/>
      <c r="L542" s="271"/>
      <c r="M542" s="271"/>
      <c r="N542" s="314"/>
      <c r="O542" s="314"/>
      <c r="P542" s="314"/>
      <c r="Q542" s="263"/>
      <c r="R542" s="263"/>
      <c r="S542" s="263"/>
      <c r="T542" s="263"/>
      <c r="U542" s="263"/>
      <c r="V542" s="263"/>
      <c r="W542" s="263"/>
      <c r="X542" s="71"/>
      <c r="Y542" s="71"/>
      <c r="Z542" s="71"/>
      <c r="AA542" s="71"/>
      <c r="AB542" s="71"/>
    </row>
    <row r="543" spans="1:28" ht="15.75" customHeight="1">
      <c r="A543" s="263"/>
      <c r="B543" s="313"/>
      <c r="C543" s="263"/>
      <c r="D543" s="263"/>
      <c r="E543" s="263"/>
      <c r="F543" s="263"/>
      <c r="G543" s="263"/>
      <c r="H543" s="263"/>
      <c r="I543" s="263"/>
      <c r="J543" s="263"/>
      <c r="K543" s="263"/>
      <c r="L543" s="271"/>
      <c r="M543" s="271"/>
      <c r="N543" s="314"/>
      <c r="O543" s="314"/>
      <c r="P543" s="314"/>
      <c r="Q543" s="263"/>
      <c r="R543" s="263"/>
      <c r="S543" s="263"/>
      <c r="T543" s="263"/>
      <c r="U543" s="263"/>
      <c r="V543" s="263"/>
      <c r="W543" s="263"/>
      <c r="X543" s="71"/>
      <c r="Y543" s="71"/>
      <c r="Z543" s="71"/>
      <c r="AA543" s="71"/>
      <c r="AB543" s="71"/>
    </row>
    <row r="544" spans="1:28" ht="15.75" customHeight="1">
      <c r="A544" s="263"/>
      <c r="B544" s="313"/>
      <c r="C544" s="263"/>
      <c r="D544" s="263"/>
      <c r="E544" s="263"/>
      <c r="F544" s="263"/>
      <c r="G544" s="263"/>
      <c r="H544" s="263"/>
      <c r="I544" s="263"/>
      <c r="J544" s="263"/>
      <c r="K544" s="263"/>
      <c r="L544" s="271"/>
      <c r="M544" s="271"/>
      <c r="N544" s="314"/>
      <c r="O544" s="314"/>
      <c r="P544" s="314"/>
      <c r="Q544" s="263"/>
      <c r="R544" s="263"/>
      <c r="S544" s="263"/>
      <c r="T544" s="263"/>
      <c r="U544" s="263"/>
      <c r="V544" s="263"/>
      <c r="W544" s="263"/>
      <c r="X544" s="71"/>
      <c r="Y544" s="71"/>
      <c r="Z544" s="71"/>
      <c r="AA544" s="71"/>
      <c r="AB544" s="71"/>
    </row>
    <row r="545" spans="1:28" ht="15.75" customHeight="1">
      <c r="A545" s="263"/>
      <c r="B545" s="313"/>
      <c r="C545" s="263"/>
      <c r="D545" s="263"/>
      <c r="E545" s="263"/>
      <c r="F545" s="263"/>
      <c r="G545" s="263"/>
      <c r="H545" s="263"/>
      <c r="I545" s="263"/>
      <c r="J545" s="263"/>
      <c r="K545" s="263"/>
      <c r="L545" s="271"/>
      <c r="M545" s="271"/>
      <c r="N545" s="314"/>
      <c r="O545" s="314"/>
      <c r="P545" s="314"/>
      <c r="Q545" s="263"/>
      <c r="R545" s="263"/>
      <c r="S545" s="263"/>
      <c r="T545" s="263"/>
      <c r="U545" s="263"/>
      <c r="V545" s="263"/>
      <c r="W545" s="263"/>
      <c r="X545" s="71"/>
      <c r="Y545" s="71"/>
      <c r="Z545" s="71"/>
      <c r="AA545" s="71"/>
      <c r="AB545" s="71"/>
    </row>
    <row r="546" spans="1:28" ht="15.75" customHeight="1">
      <c r="A546" s="263"/>
      <c r="B546" s="313"/>
      <c r="C546" s="263"/>
      <c r="D546" s="263"/>
      <c r="E546" s="263"/>
      <c r="F546" s="263"/>
      <c r="G546" s="263"/>
      <c r="H546" s="263"/>
      <c r="I546" s="263"/>
      <c r="J546" s="263"/>
      <c r="K546" s="263"/>
      <c r="L546" s="271"/>
      <c r="M546" s="271"/>
      <c r="N546" s="314"/>
      <c r="O546" s="314"/>
      <c r="P546" s="314"/>
      <c r="Q546" s="263"/>
      <c r="R546" s="263"/>
      <c r="S546" s="263"/>
      <c r="T546" s="263"/>
      <c r="U546" s="263"/>
      <c r="V546" s="263"/>
      <c r="W546" s="263"/>
      <c r="X546" s="71"/>
      <c r="Y546" s="71"/>
      <c r="Z546" s="71"/>
      <c r="AA546" s="71"/>
      <c r="AB546" s="71"/>
    </row>
    <row r="547" spans="1:28" ht="15.75" customHeight="1">
      <c r="A547" s="263"/>
      <c r="B547" s="313"/>
      <c r="C547" s="263"/>
      <c r="D547" s="263"/>
      <c r="E547" s="263"/>
      <c r="F547" s="263"/>
      <c r="G547" s="263"/>
      <c r="H547" s="263"/>
      <c r="I547" s="263"/>
      <c r="J547" s="263"/>
      <c r="K547" s="263"/>
      <c r="L547" s="271"/>
      <c r="M547" s="271"/>
      <c r="N547" s="314"/>
      <c r="O547" s="314"/>
      <c r="P547" s="314"/>
      <c r="Q547" s="263"/>
      <c r="R547" s="263"/>
      <c r="S547" s="263"/>
      <c r="T547" s="263"/>
      <c r="U547" s="263"/>
      <c r="V547" s="263"/>
      <c r="W547" s="263"/>
      <c r="X547" s="71"/>
      <c r="Y547" s="71"/>
      <c r="Z547" s="71"/>
      <c r="AA547" s="71"/>
      <c r="AB547" s="71"/>
    </row>
    <row r="548" spans="1:28" ht="15.75" customHeight="1">
      <c r="A548" s="263"/>
      <c r="B548" s="313"/>
      <c r="C548" s="263"/>
      <c r="D548" s="263"/>
      <c r="E548" s="263"/>
      <c r="F548" s="263"/>
      <c r="G548" s="263"/>
      <c r="H548" s="263"/>
      <c r="I548" s="263"/>
      <c r="J548" s="263"/>
      <c r="K548" s="263"/>
      <c r="L548" s="271"/>
      <c r="M548" s="271"/>
      <c r="N548" s="314"/>
      <c r="O548" s="314"/>
      <c r="P548" s="314"/>
      <c r="Q548" s="263"/>
      <c r="R548" s="263"/>
      <c r="S548" s="263"/>
      <c r="T548" s="263"/>
      <c r="U548" s="263"/>
      <c r="V548" s="263"/>
      <c r="W548" s="263"/>
      <c r="X548" s="71"/>
      <c r="Y548" s="71"/>
      <c r="Z548" s="71"/>
      <c r="AA548" s="71"/>
      <c r="AB548" s="71"/>
    </row>
    <row r="549" spans="1:28" ht="15.75" customHeight="1">
      <c r="A549" s="263"/>
      <c r="B549" s="313"/>
      <c r="C549" s="263"/>
      <c r="D549" s="263"/>
      <c r="E549" s="263"/>
      <c r="F549" s="263"/>
      <c r="G549" s="263"/>
      <c r="H549" s="263"/>
      <c r="I549" s="263"/>
      <c r="J549" s="263"/>
      <c r="K549" s="263"/>
      <c r="L549" s="271"/>
      <c r="M549" s="271"/>
      <c r="N549" s="314"/>
      <c r="O549" s="314"/>
      <c r="P549" s="314"/>
      <c r="Q549" s="263"/>
      <c r="R549" s="263"/>
      <c r="S549" s="263"/>
      <c r="T549" s="263"/>
      <c r="U549" s="263"/>
      <c r="V549" s="263"/>
      <c r="W549" s="263"/>
      <c r="X549" s="71"/>
      <c r="Y549" s="71"/>
      <c r="Z549" s="71"/>
      <c r="AA549" s="71"/>
      <c r="AB549" s="71"/>
    </row>
    <row r="550" spans="1:28" ht="15.75" customHeight="1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71"/>
      <c r="M550" s="271"/>
      <c r="N550" s="314"/>
      <c r="O550" s="314"/>
      <c r="P550" s="314"/>
      <c r="Q550" s="263"/>
      <c r="R550" s="263"/>
      <c r="S550" s="263"/>
      <c r="T550" s="263"/>
      <c r="U550" s="263"/>
      <c r="V550" s="263"/>
      <c r="W550" s="263"/>
      <c r="X550" s="71"/>
      <c r="Y550" s="71"/>
      <c r="Z550" s="71"/>
      <c r="AA550" s="71"/>
      <c r="AB550" s="71"/>
    </row>
    <row r="551" spans="1:28" ht="15.75" customHeight="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71"/>
      <c r="M551" s="271"/>
      <c r="N551" s="314"/>
      <c r="O551" s="314"/>
      <c r="P551" s="314"/>
      <c r="Q551" s="263"/>
      <c r="R551" s="263"/>
      <c r="S551" s="263"/>
      <c r="T551" s="263"/>
      <c r="U551" s="263"/>
      <c r="V551" s="263"/>
      <c r="W551" s="263"/>
      <c r="X551" s="71"/>
      <c r="Y551" s="71"/>
      <c r="Z551" s="71"/>
      <c r="AA551" s="71"/>
      <c r="AB551" s="71"/>
    </row>
    <row r="552" spans="1:28" ht="15.75" customHeight="1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71"/>
      <c r="M552" s="271"/>
      <c r="N552" s="314"/>
      <c r="O552" s="314"/>
      <c r="P552" s="314"/>
      <c r="Q552" s="263"/>
      <c r="R552" s="263"/>
      <c r="S552" s="263"/>
      <c r="T552" s="263"/>
      <c r="U552" s="263"/>
      <c r="V552" s="263"/>
      <c r="W552" s="263"/>
      <c r="X552" s="71"/>
      <c r="Y552" s="71"/>
      <c r="Z552" s="71"/>
      <c r="AA552" s="71"/>
      <c r="AB552" s="71"/>
    </row>
    <row r="553" spans="1:28" ht="15.75" customHeight="1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71"/>
      <c r="M553" s="271"/>
      <c r="N553" s="314"/>
      <c r="O553" s="314"/>
      <c r="P553" s="314"/>
      <c r="Q553" s="263"/>
      <c r="R553" s="263"/>
      <c r="S553" s="263"/>
      <c r="T553" s="263"/>
      <c r="U553" s="263"/>
      <c r="V553" s="263"/>
      <c r="W553" s="263"/>
      <c r="X553" s="71"/>
      <c r="Y553" s="71"/>
      <c r="Z553" s="71"/>
      <c r="AA553" s="71"/>
      <c r="AB553" s="71"/>
    </row>
    <row r="554" spans="1:28" ht="15.75" customHeight="1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71"/>
      <c r="M554" s="271"/>
      <c r="N554" s="314"/>
      <c r="O554" s="314"/>
      <c r="P554" s="314"/>
      <c r="Q554" s="263"/>
      <c r="R554" s="263"/>
      <c r="S554" s="263"/>
      <c r="T554" s="263"/>
      <c r="U554" s="263"/>
      <c r="V554" s="263"/>
      <c r="W554" s="263"/>
      <c r="X554" s="71"/>
      <c r="Y554" s="71"/>
      <c r="Z554" s="71"/>
      <c r="AA554" s="71"/>
      <c r="AB554" s="71"/>
    </row>
    <row r="555" spans="1:28" ht="15.75" customHeight="1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71"/>
      <c r="M555" s="271"/>
      <c r="N555" s="314"/>
      <c r="O555" s="314"/>
      <c r="P555" s="314"/>
      <c r="Q555" s="263"/>
      <c r="R555" s="263"/>
      <c r="S555" s="263"/>
      <c r="T555" s="263"/>
      <c r="U555" s="263"/>
      <c r="V555" s="263"/>
      <c r="W555" s="263"/>
      <c r="X555" s="71"/>
      <c r="Y555" s="71"/>
      <c r="Z555" s="71"/>
      <c r="AA555" s="71"/>
      <c r="AB555" s="71"/>
    </row>
    <row r="556" spans="1:28" ht="15.75" customHeight="1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71"/>
      <c r="M556" s="271"/>
      <c r="N556" s="314"/>
      <c r="O556" s="314"/>
      <c r="P556" s="314"/>
      <c r="Q556" s="263"/>
      <c r="R556" s="263"/>
      <c r="S556" s="263"/>
      <c r="T556" s="263"/>
      <c r="U556" s="263"/>
      <c r="V556" s="263"/>
      <c r="W556" s="263"/>
      <c r="X556" s="71"/>
      <c r="Y556" s="71"/>
      <c r="Z556" s="71"/>
      <c r="AA556" s="71"/>
      <c r="AB556" s="71"/>
    </row>
    <row r="557" spans="1:28" ht="15.75" customHeight="1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71"/>
      <c r="M557" s="271"/>
      <c r="N557" s="314"/>
      <c r="O557" s="314"/>
      <c r="P557" s="314"/>
      <c r="Q557" s="263"/>
      <c r="R557" s="263"/>
      <c r="S557" s="263"/>
      <c r="T557" s="263"/>
      <c r="U557" s="263"/>
      <c r="V557" s="263"/>
      <c r="W557" s="263"/>
      <c r="X557" s="71"/>
      <c r="Y557" s="71"/>
      <c r="Z557" s="71"/>
      <c r="AA557" s="71"/>
      <c r="AB557" s="71"/>
    </row>
    <row r="558" spans="1:28" ht="15.75" customHeight="1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71"/>
      <c r="M558" s="271"/>
      <c r="N558" s="314"/>
      <c r="O558" s="314"/>
      <c r="P558" s="314"/>
      <c r="Q558" s="263"/>
      <c r="R558" s="263"/>
      <c r="S558" s="263"/>
      <c r="T558" s="263"/>
      <c r="U558" s="263"/>
      <c r="V558" s="263"/>
      <c r="W558" s="263"/>
      <c r="X558" s="71"/>
      <c r="Y558" s="71"/>
      <c r="Z558" s="71"/>
      <c r="AA558" s="71"/>
      <c r="AB558" s="71"/>
    </row>
    <row r="559" spans="1:28" ht="15.75" customHeight="1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71"/>
      <c r="M559" s="271"/>
      <c r="N559" s="314"/>
      <c r="O559" s="314"/>
      <c r="P559" s="314"/>
      <c r="Q559" s="263"/>
      <c r="R559" s="263"/>
      <c r="S559" s="263"/>
      <c r="T559" s="263"/>
      <c r="U559" s="263"/>
      <c r="V559" s="263"/>
      <c r="W559" s="263"/>
      <c r="X559" s="71"/>
      <c r="Y559" s="71"/>
      <c r="Z559" s="71"/>
      <c r="AA559" s="71"/>
      <c r="AB559" s="71"/>
    </row>
    <row r="560" spans="1:28" ht="15.75" customHeight="1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71"/>
      <c r="M560" s="271"/>
      <c r="N560" s="314"/>
      <c r="O560" s="314"/>
      <c r="P560" s="314"/>
      <c r="Q560" s="263"/>
      <c r="R560" s="263"/>
      <c r="S560" s="263"/>
      <c r="T560" s="263"/>
      <c r="U560" s="263"/>
      <c r="V560" s="263"/>
      <c r="W560" s="263"/>
      <c r="X560" s="71"/>
      <c r="Y560" s="71"/>
      <c r="Z560" s="71"/>
      <c r="AA560" s="71"/>
      <c r="AB560" s="71"/>
    </row>
    <row r="561" spans="1:28" ht="15.75" customHeight="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71"/>
      <c r="M561" s="271"/>
      <c r="N561" s="314"/>
      <c r="O561" s="314"/>
      <c r="P561" s="314"/>
      <c r="Q561" s="263"/>
      <c r="R561" s="263"/>
      <c r="S561" s="263"/>
      <c r="T561" s="263"/>
      <c r="U561" s="263"/>
      <c r="V561" s="263"/>
      <c r="W561" s="263"/>
      <c r="X561" s="71"/>
      <c r="Y561" s="71"/>
      <c r="Z561" s="71"/>
      <c r="AA561" s="71"/>
      <c r="AB561" s="71"/>
    </row>
    <row r="562" spans="1:28" ht="15.75" customHeight="1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71"/>
      <c r="M562" s="271"/>
      <c r="N562" s="314"/>
      <c r="O562" s="314"/>
      <c r="P562" s="314"/>
      <c r="Q562" s="263"/>
      <c r="R562" s="263"/>
      <c r="S562" s="263"/>
      <c r="T562" s="263"/>
      <c r="U562" s="263"/>
      <c r="V562" s="263"/>
      <c r="W562" s="263"/>
      <c r="X562" s="71"/>
      <c r="Y562" s="71"/>
      <c r="Z562" s="71"/>
      <c r="AA562" s="71"/>
      <c r="AB562" s="71"/>
    </row>
    <row r="563" spans="1:28" ht="15.75" customHeight="1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71"/>
      <c r="M563" s="271"/>
      <c r="N563" s="314"/>
      <c r="O563" s="314"/>
      <c r="P563" s="314"/>
      <c r="Q563" s="263"/>
      <c r="R563" s="263"/>
      <c r="S563" s="263"/>
      <c r="T563" s="263"/>
      <c r="U563" s="263"/>
      <c r="V563" s="263"/>
      <c r="W563" s="263"/>
      <c r="X563" s="71"/>
      <c r="Y563" s="71"/>
      <c r="Z563" s="71"/>
      <c r="AA563" s="71"/>
      <c r="AB563" s="71"/>
    </row>
    <row r="564" spans="1:28" ht="15.75" customHeight="1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71"/>
      <c r="M564" s="271"/>
      <c r="N564" s="314"/>
      <c r="O564" s="314"/>
      <c r="P564" s="314"/>
      <c r="Q564" s="263"/>
      <c r="R564" s="263"/>
      <c r="S564" s="263"/>
      <c r="T564" s="263"/>
      <c r="U564" s="263"/>
      <c r="V564" s="263"/>
      <c r="W564" s="263"/>
      <c r="X564" s="71"/>
      <c r="Y564" s="71"/>
      <c r="Z564" s="71"/>
      <c r="AA564" s="71"/>
      <c r="AB564" s="71"/>
    </row>
    <row r="565" spans="1:28" ht="15.75" customHeight="1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71"/>
      <c r="M565" s="271"/>
      <c r="N565" s="314"/>
      <c r="O565" s="314"/>
      <c r="P565" s="314"/>
      <c r="Q565" s="263"/>
      <c r="R565" s="263"/>
      <c r="S565" s="263"/>
      <c r="T565" s="263"/>
      <c r="U565" s="263"/>
      <c r="V565" s="263"/>
      <c r="W565" s="263"/>
      <c r="X565" s="71"/>
      <c r="Y565" s="71"/>
      <c r="Z565" s="71"/>
      <c r="AA565" s="71"/>
      <c r="AB565" s="71"/>
    </row>
    <row r="566" spans="1:28" ht="15.75" customHeight="1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71"/>
      <c r="M566" s="271"/>
      <c r="N566" s="314"/>
      <c r="O566" s="314"/>
      <c r="P566" s="314"/>
      <c r="Q566" s="263"/>
      <c r="R566" s="263"/>
      <c r="S566" s="263"/>
      <c r="T566" s="263"/>
      <c r="U566" s="263"/>
      <c r="V566" s="263"/>
      <c r="W566" s="263"/>
      <c r="X566" s="71"/>
      <c r="Y566" s="71"/>
      <c r="Z566" s="71"/>
      <c r="AA566" s="71"/>
      <c r="AB566" s="71"/>
    </row>
    <row r="567" spans="1:28" ht="15.75" customHeight="1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71"/>
      <c r="M567" s="271"/>
      <c r="N567" s="314"/>
      <c r="O567" s="314"/>
      <c r="P567" s="314"/>
      <c r="Q567" s="263"/>
      <c r="R567" s="263"/>
      <c r="S567" s="263"/>
      <c r="T567" s="263"/>
      <c r="U567" s="263"/>
      <c r="V567" s="263"/>
      <c r="W567" s="263"/>
      <c r="X567" s="71"/>
      <c r="Y567" s="71"/>
      <c r="Z567" s="71"/>
      <c r="AA567" s="71"/>
      <c r="AB567" s="71"/>
    </row>
    <row r="568" spans="1:28" ht="15.75" customHeight="1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71"/>
      <c r="M568" s="271"/>
      <c r="N568" s="314"/>
      <c r="O568" s="314"/>
      <c r="P568" s="314"/>
      <c r="Q568" s="263"/>
      <c r="R568" s="263"/>
      <c r="S568" s="263"/>
      <c r="T568" s="263"/>
      <c r="U568" s="263"/>
      <c r="V568" s="263"/>
      <c r="W568" s="263"/>
      <c r="X568" s="71"/>
      <c r="Y568" s="71"/>
      <c r="Z568" s="71"/>
      <c r="AA568" s="71"/>
      <c r="AB568" s="71"/>
    </row>
    <row r="569" spans="1:28" ht="15.75" customHeight="1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71"/>
      <c r="M569" s="271"/>
      <c r="N569" s="314"/>
      <c r="O569" s="314"/>
      <c r="P569" s="314"/>
      <c r="Q569" s="263"/>
      <c r="R569" s="263"/>
      <c r="S569" s="263"/>
      <c r="T569" s="263"/>
      <c r="U569" s="263"/>
      <c r="V569" s="263"/>
      <c r="W569" s="263"/>
      <c r="X569" s="71"/>
      <c r="Y569" s="71"/>
      <c r="Z569" s="71"/>
      <c r="AA569" s="71"/>
      <c r="AB569" s="71"/>
    </row>
    <row r="570" spans="1:28" ht="15.75" customHeight="1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71"/>
      <c r="M570" s="271"/>
      <c r="N570" s="314"/>
      <c r="O570" s="314"/>
      <c r="P570" s="314"/>
      <c r="Q570" s="263"/>
      <c r="R570" s="263"/>
      <c r="S570" s="263"/>
      <c r="T570" s="263"/>
      <c r="U570" s="263"/>
      <c r="V570" s="263"/>
      <c r="W570" s="263"/>
      <c r="X570" s="71"/>
      <c r="Y570" s="71"/>
      <c r="Z570" s="71"/>
      <c r="AA570" s="71"/>
      <c r="AB570" s="71"/>
    </row>
    <row r="571" spans="1:28" ht="15.75" customHeight="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71"/>
      <c r="M571" s="271"/>
      <c r="N571" s="314"/>
      <c r="O571" s="314"/>
      <c r="P571" s="314"/>
      <c r="Q571" s="263"/>
      <c r="R571" s="263"/>
      <c r="S571" s="263"/>
      <c r="T571" s="263"/>
      <c r="U571" s="263"/>
      <c r="V571" s="263"/>
      <c r="W571" s="263"/>
      <c r="X571" s="71"/>
      <c r="Y571" s="71"/>
      <c r="Z571" s="71"/>
      <c r="AA571" s="71"/>
      <c r="AB571" s="71"/>
    </row>
    <row r="572" spans="1:28" ht="15.75" customHeight="1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71"/>
      <c r="M572" s="271"/>
      <c r="N572" s="314"/>
      <c r="O572" s="314"/>
      <c r="P572" s="314"/>
      <c r="Q572" s="263"/>
      <c r="R572" s="263"/>
      <c r="S572" s="263"/>
      <c r="T572" s="263"/>
      <c r="U572" s="263"/>
      <c r="V572" s="263"/>
      <c r="W572" s="263"/>
      <c r="X572" s="71"/>
      <c r="Y572" s="71"/>
      <c r="Z572" s="71"/>
      <c r="AA572" s="71"/>
      <c r="AB572" s="71"/>
    </row>
    <row r="573" spans="1:28" ht="15.75" customHeight="1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71"/>
      <c r="M573" s="271"/>
      <c r="N573" s="314"/>
      <c r="O573" s="314"/>
      <c r="P573" s="314"/>
      <c r="Q573" s="263"/>
      <c r="R573" s="263"/>
      <c r="S573" s="263"/>
      <c r="T573" s="263"/>
      <c r="U573" s="263"/>
      <c r="V573" s="263"/>
      <c r="W573" s="263"/>
      <c r="X573" s="71"/>
      <c r="Y573" s="71"/>
      <c r="Z573" s="71"/>
      <c r="AA573" s="71"/>
      <c r="AB573" s="71"/>
    </row>
    <row r="574" spans="1:28" ht="15.75" customHeight="1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71"/>
      <c r="M574" s="271"/>
      <c r="N574" s="314"/>
      <c r="O574" s="314"/>
      <c r="P574" s="314"/>
      <c r="Q574" s="263"/>
      <c r="R574" s="263"/>
      <c r="S574" s="263"/>
      <c r="T574" s="263"/>
      <c r="U574" s="263"/>
      <c r="V574" s="263"/>
      <c r="W574" s="263"/>
      <c r="X574" s="71"/>
      <c r="Y574" s="71"/>
      <c r="Z574" s="71"/>
      <c r="AA574" s="71"/>
      <c r="AB574" s="71"/>
    </row>
    <row r="575" spans="1:28" ht="15.75" customHeight="1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71"/>
      <c r="M575" s="271"/>
      <c r="N575" s="314"/>
      <c r="O575" s="314"/>
      <c r="P575" s="314"/>
      <c r="Q575" s="263"/>
      <c r="R575" s="263"/>
      <c r="S575" s="263"/>
      <c r="T575" s="263"/>
      <c r="U575" s="263"/>
      <c r="V575" s="263"/>
      <c r="W575" s="263"/>
      <c r="X575" s="71"/>
      <c r="Y575" s="71"/>
      <c r="Z575" s="71"/>
      <c r="AA575" s="71"/>
      <c r="AB575" s="71"/>
    </row>
    <row r="576" spans="1:28" ht="15.75" customHeight="1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71"/>
      <c r="M576" s="271"/>
      <c r="N576" s="314"/>
      <c r="O576" s="314"/>
      <c r="P576" s="314"/>
      <c r="Q576" s="263"/>
      <c r="R576" s="263"/>
      <c r="S576" s="263"/>
      <c r="T576" s="263"/>
      <c r="U576" s="263"/>
      <c r="V576" s="263"/>
      <c r="W576" s="263"/>
      <c r="X576" s="71"/>
      <c r="Y576" s="71"/>
      <c r="Z576" s="71"/>
      <c r="AA576" s="71"/>
      <c r="AB576" s="71"/>
    </row>
    <row r="577" spans="1:28" ht="15.75" customHeight="1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71"/>
      <c r="M577" s="271"/>
      <c r="N577" s="314"/>
      <c r="O577" s="314"/>
      <c r="P577" s="314"/>
      <c r="Q577" s="263"/>
      <c r="R577" s="263"/>
      <c r="S577" s="263"/>
      <c r="T577" s="263"/>
      <c r="U577" s="263"/>
      <c r="V577" s="263"/>
      <c r="W577" s="263"/>
      <c r="X577" s="71"/>
      <c r="Y577" s="71"/>
      <c r="Z577" s="71"/>
      <c r="AA577" s="71"/>
      <c r="AB577" s="71"/>
    </row>
    <row r="578" spans="1:28" ht="15.75" customHeight="1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71"/>
      <c r="M578" s="271"/>
      <c r="N578" s="314"/>
      <c r="O578" s="314"/>
      <c r="P578" s="314"/>
      <c r="Q578" s="263"/>
      <c r="R578" s="263"/>
      <c r="S578" s="263"/>
      <c r="T578" s="263"/>
      <c r="U578" s="263"/>
      <c r="V578" s="263"/>
      <c r="W578" s="263"/>
      <c r="X578" s="71"/>
      <c r="Y578" s="71"/>
      <c r="Z578" s="71"/>
      <c r="AA578" s="71"/>
      <c r="AB578" s="71"/>
    </row>
    <row r="579" spans="1:28" ht="15.75" customHeight="1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71"/>
      <c r="M579" s="271"/>
      <c r="N579" s="314"/>
      <c r="O579" s="314"/>
      <c r="P579" s="314"/>
      <c r="Q579" s="263"/>
      <c r="R579" s="263"/>
      <c r="S579" s="263"/>
      <c r="T579" s="263"/>
      <c r="U579" s="263"/>
      <c r="V579" s="263"/>
      <c r="W579" s="263"/>
      <c r="X579" s="71"/>
      <c r="Y579" s="71"/>
      <c r="Z579" s="71"/>
      <c r="AA579" s="71"/>
      <c r="AB579" s="71"/>
    </row>
    <row r="580" spans="1:28" ht="15.75" customHeight="1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71"/>
      <c r="M580" s="271"/>
      <c r="N580" s="314"/>
      <c r="O580" s="314"/>
      <c r="P580" s="314"/>
      <c r="Q580" s="263"/>
      <c r="R580" s="263"/>
      <c r="S580" s="263"/>
      <c r="T580" s="263"/>
      <c r="U580" s="263"/>
      <c r="V580" s="263"/>
      <c r="W580" s="263"/>
      <c r="X580" s="71"/>
      <c r="Y580" s="71"/>
      <c r="Z580" s="71"/>
      <c r="AA580" s="71"/>
      <c r="AB580" s="71"/>
    </row>
    <row r="581" spans="1:28" ht="15.75" customHeight="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71"/>
      <c r="M581" s="271"/>
      <c r="N581" s="314"/>
      <c r="O581" s="314"/>
      <c r="P581" s="314"/>
      <c r="Q581" s="263"/>
      <c r="R581" s="263"/>
      <c r="S581" s="263"/>
      <c r="T581" s="263"/>
      <c r="U581" s="263"/>
      <c r="V581" s="263"/>
      <c r="W581" s="263"/>
      <c r="X581" s="71"/>
      <c r="Y581" s="71"/>
      <c r="Z581" s="71"/>
      <c r="AA581" s="71"/>
      <c r="AB581" s="71"/>
    </row>
    <row r="582" spans="1:28" ht="15.75" customHeight="1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71"/>
      <c r="M582" s="271"/>
      <c r="N582" s="314"/>
      <c r="O582" s="314"/>
      <c r="P582" s="314"/>
      <c r="Q582" s="263"/>
      <c r="R582" s="263"/>
      <c r="S582" s="263"/>
      <c r="T582" s="263"/>
      <c r="U582" s="263"/>
      <c r="V582" s="263"/>
      <c r="W582" s="263"/>
      <c r="X582" s="71"/>
      <c r="Y582" s="71"/>
      <c r="Z582" s="71"/>
      <c r="AA582" s="71"/>
      <c r="AB582" s="71"/>
    </row>
    <row r="583" spans="1:28" ht="15.75" customHeight="1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71"/>
      <c r="M583" s="271"/>
      <c r="N583" s="314"/>
      <c r="O583" s="314"/>
      <c r="P583" s="314"/>
      <c r="Q583" s="263"/>
      <c r="R583" s="263"/>
      <c r="S583" s="263"/>
      <c r="T583" s="263"/>
      <c r="U583" s="263"/>
      <c r="V583" s="263"/>
      <c r="W583" s="263"/>
      <c r="X583" s="71"/>
      <c r="Y583" s="71"/>
      <c r="Z583" s="71"/>
      <c r="AA583" s="71"/>
      <c r="AB583" s="71"/>
    </row>
    <row r="584" spans="1:28" ht="15.75" customHeight="1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71"/>
      <c r="M584" s="271"/>
      <c r="N584" s="314"/>
      <c r="O584" s="314"/>
      <c r="P584" s="314"/>
      <c r="Q584" s="263"/>
      <c r="R584" s="263"/>
      <c r="S584" s="263"/>
      <c r="T584" s="263"/>
      <c r="U584" s="263"/>
      <c r="V584" s="263"/>
      <c r="W584" s="263"/>
      <c r="X584" s="71"/>
      <c r="Y584" s="71"/>
      <c r="Z584" s="71"/>
      <c r="AA584" s="71"/>
      <c r="AB584" s="71"/>
    </row>
    <row r="585" spans="1:28" ht="15.75" customHeight="1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71"/>
      <c r="M585" s="271"/>
      <c r="N585" s="314"/>
      <c r="O585" s="314"/>
      <c r="P585" s="314"/>
      <c r="Q585" s="263"/>
      <c r="R585" s="263"/>
      <c r="S585" s="263"/>
      <c r="T585" s="263"/>
      <c r="U585" s="263"/>
      <c r="V585" s="263"/>
      <c r="W585" s="263"/>
      <c r="X585" s="71"/>
      <c r="Y585" s="71"/>
      <c r="Z585" s="71"/>
      <c r="AA585" s="71"/>
      <c r="AB585" s="71"/>
    </row>
    <row r="586" spans="1:28" ht="15.75" customHeight="1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71"/>
      <c r="M586" s="271"/>
      <c r="N586" s="314"/>
      <c r="O586" s="314"/>
      <c r="P586" s="314"/>
      <c r="Q586" s="263"/>
      <c r="R586" s="263"/>
      <c r="S586" s="263"/>
      <c r="T586" s="263"/>
      <c r="U586" s="263"/>
      <c r="V586" s="263"/>
      <c r="W586" s="263"/>
      <c r="X586" s="71"/>
      <c r="Y586" s="71"/>
      <c r="Z586" s="71"/>
      <c r="AA586" s="71"/>
      <c r="AB586" s="71"/>
    </row>
    <row r="587" spans="1:28" ht="15.75" customHeight="1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71"/>
      <c r="M587" s="271"/>
      <c r="N587" s="314"/>
      <c r="O587" s="314"/>
      <c r="P587" s="314"/>
      <c r="Q587" s="263"/>
      <c r="R587" s="263"/>
      <c r="S587" s="263"/>
      <c r="T587" s="263"/>
      <c r="U587" s="263"/>
      <c r="V587" s="263"/>
      <c r="W587" s="263"/>
      <c r="X587" s="71"/>
      <c r="Y587" s="71"/>
      <c r="Z587" s="71"/>
      <c r="AA587" s="71"/>
      <c r="AB587" s="71"/>
    </row>
    <row r="588" spans="1:28" ht="15.75" customHeight="1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71"/>
      <c r="M588" s="271"/>
      <c r="N588" s="314"/>
      <c r="O588" s="314"/>
      <c r="P588" s="314"/>
      <c r="Q588" s="263"/>
      <c r="R588" s="263"/>
      <c r="S588" s="263"/>
      <c r="T588" s="263"/>
      <c r="U588" s="263"/>
      <c r="V588" s="263"/>
      <c r="W588" s="263"/>
      <c r="X588" s="71"/>
      <c r="Y588" s="71"/>
      <c r="Z588" s="71"/>
      <c r="AA588" s="71"/>
      <c r="AB588" s="71"/>
    </row>
    <row r="589" spans="1:28" ht="15.75" customHeight="1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71"/>
      <c r="M589" s="271"/>
      <c r="N589" s="314"/>
      <c r="O589" s="314"/>
      <c r="P589" s="314"/>
      <c r="Q589" s="263"/>
      <c r="R589" s="263"/>
      <c r="S589" s="263"/>
      <c r="T589" s="263"/>
      <c r="U589" s="263"/>
      <c r="V589" s="263"/>
      <c r="W589" s="263"/>
      <c r="X589" s="71"/>
      <c r="Y589" s="71"/>
      <c r="Z589" s="71"/>
      <c r="AA589" s="71"/>
      <c r="AB589" s="71"/>
    </row>
    <row r="590" spans="1:28" ht="15.75" customHeight="1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71"/>
      <c r="M590" s="271"/>
      <c r="N590" s="314"/>
      <c r="O590" s="314"/>
      <c r="P590" s="314"/>
      <c r="Q590" s="263"/>
      <c r="R590" s="263"/>
      <c r="S590" s="263"/>
      <c r="T590" s="263"/>
      <c r="U590" s="263"/>
      <c r="V590" s="263"/>
      <c r="W590" s="263"/>
      <c r="X590" s="71"/>
      <c r="Y590" s="71"/>
      <c r="Z590" s="71"/>
      <c r="AA590" s="71"/>
      <c r="AB590" s="71"/>
    </row>
    <row r="591" spans="1:28" ht="15.75" customHeight="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71"/>
      <c r="M591" s="271"/>
      <c r="N591" s="314"/>
      <c r="O591" s="314"/>
      <c r="P591" s="314"/>
      <c r="Q591" s="263"/>
      <c r="R591" s="263"/>
      <c r="S591" s="263"/>
      <c r="T591" s="263"/>
      <c r="U591" s="263"/>
      <c r="V591" s="263"/>
      <c r="W591" s="263"/>
      <c r="X591" s="71"/>
      <c r="Y591" s="71"/>
      <c r="Z591" s="71"/>
      <c r="AA591" s="71"/>
      <c r="AB591" s="71"/>
    </row>
    <row r="592" spans="1:28" ht="15.75" customHeight="1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71"/>
      <c r="M592" s="271"/>
      <c r="N592" s="314"/>
      <c r="O592" s="314"/>
      <c r="P592" s="314"/>
      <c r="Q592" s="263"/>
      <c r="R592" s="263"/>
      <c r="S592" s="263"/>
      <c r="T592" s="263"/>
      <c r="U592" s="263"/>
      <c r="V592" s="263"/>
      <c r="W592" s="263"/>
      <c r="X592" s="71"/>
      <c r="Y592" s="71"/>
      <c r="Z592" s="71"/>
      <c r="AA592" s="71"/>
      <c r="AB592" s="71"/>
    </row>
    <row r="593" spans="1:28" ht="15.75" customHeight="1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71"/>
      <c r="M593" s="271"/>
      <c r="N593" s="314"/>
      <c r="O593" s="314"/>
      <c r="P593" s="314"/>
      <c r="Q593" s="263"/>
      <c r="R593" s="263"/>
      <c r="S593" s="263"/>
      <c r="T593" s="263"/>
      <c r="U593" s="263"/>
      <c r="V593" s="263"/>
      <c r="W593" s="263"/>
      <c r="X593" s="71"/>
      <c r="Y593" s="71"/>
      <c r="Z593" s="71"/>
      <c r="AA593" s="71"/>
      <c r="AB593" s="71"/>
    </row>
    <row r="594" spans="1:28" ht="15.75" customHeight="1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71"/>
      <c r="M594" s="271"/>
      <c r="N594" s="314"/>
      <c r="O594" s="314"/>
      <c r="P594" s="314"/>
      <c r="Q594" s="263"/>
      <c r="R594" s="263"/>
      <c r="S594" s="263"/>
      <c r="T594" s="263"/>
      <c r="U594" s="263"/>
      <c r="V594" s="263"/>
      <c r="W594" s="263"/>
      <c r="X594" s="71"/>
      <c r="Y594" s="71"/>
      <c r="Z594" s="71"/>
      <c r="AA594" s="71"/>
      <c r="AB594" s="71"/>
    </row>
    <row r="595" spans="1:28" ht="15.75" customHeight="1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71"/>
      <c r="M595" s="271"/>
      <c r="N595" s="314"/>
      <c r="O595" s="314"/>
      <c r="P595" s="314"/>
      <c r="Q595" s="263"/>
      <c r="R595" s="263"/>
      <c r="S595" s="263"/>
      <c r="T595" s="263"/>
      <c r="U595" s="263"/>
      <c r="V595" s="263"/>
      <c r="W595" s="263"/>
      <c r="X595" s="71"/>
      <c r="Y595" s="71"/>
      <c r="Z595" s="71"/>
      <c r="AA595" s="71"/>
      <c r="AB595" s="71"/>
    </row>
    <row r="596" spans="1:28" ht="15.75" customHeight="1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71"/>
      <c r="M596" s="271"/>
      <c r="N596" s="314"/>
      <c r="O596" s="314"/>
      <c r="P596" s="314"/>
      <c r="Q596" s="263"/>
      <c r="R596" s="263"/>
      <c r="S596" s="263"/>
      <c r="T596" s="263"/>
      <c r="U596" s="263"/>
      <c r="V596" s="263"/>
      <c r="W596" s="263"/>
      <c r="X596" s="71"/>
      <c r="Y596" s="71"/>
      <c r="Z596" s="71"/>
      <c r="AA596" s="71"/>
      <c r="AB596" s="71"/>
    </row>
    <row r="597" spans="1:28" ht="15.75" customHeight="1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71"/>
      <c r="M597" s="271"/>
      <c r="N597" s="314"/>
      <c r="O597" s="314"/>
      <c r="P597" s="314"/>
      <c r="Q597" s="263"/>
      <c r="R597" s="263"/>
      <c r="S597" s="263"/>
      <c r="T597" s="263"/>
      <c r="U597" s="263"/>
      <c r="V597" s="263"/>
      <c r="W597" s="263"/>
      <c r="X597" s="71"/>
      <c r="Y597" s="71"/>
      <c r="Z597" s="71"/>
      <c r="AA597" s="71"/>
      <c r="AB597" s="71"/>
    </row>
    <row r="598" spans="1:28" ht="15.75" customHeight="1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71"/>
      <c r="M598" s="271"/>
      <c r="N598" s="314"/>
      <c r="O598" s="314"/>
      <c r="P598" s="314"/>
      <c r="Q598" s="263"/>
      <c r="R598" s="263"/>
      <c r="S598" s="263"/>
      <c r="T598" s="263"/>
      <c r="U598" s="263"/>
      <c r="V598" s="263"/>
      <c r="W598" s="263"/>
      <c r="X598" s="71"/>
      <c r="Y598" s="71"/>
      <c r="Z598" s="71"/>
      <c r="AA598" s="71"/>
      <c r="AB598" s="71"/>
    </row>
    <row r="599" spans="1:28" ht="15.75" customHeight="1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71"/>
      <c r="M599" s="271"/>
      <c r="N599" s="314"/>
      <c r="O599" s="314"/>
      <c r="P599" s="314"/>
      <c r="Q599" s="263"/>
      <c r="R599" s="263"/>
      <c r="S599" s="263"/>
      <c r="T599" s="263"/>
      <c r="U599" s="263"/>
      <c r="V599" s="263"/>
      <c r="W599" s="263"/>
      <c r="X599" s="71"/>
      <c r="Y599" s="71"/>
      <c r="Z599" s="71"/>
      <c r="AA599" s="71"/>
      <c r="AB599" s="71"/>
    </row>
    <row r="600" spans="1:28" ht="15.75" customHeight="1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71"/>
      <c r="M600" s="271"/>
      <c r="N600" s="314"/>
      <c r="O600" s="314"/>
      <c r="P600" s="314"/>
      <c r="Q600" s="263"/>
      <c r="R600" s="263"/>
      <c r="S600" s="263"/>
      <c r="T600" s="263"/>
      <c r="U600" s="263"/>
      <c r="V600" s="263"/>
      <c r="W600" s="263"/>
      <c r="X600" s="71"/>
      <c r="Y600" s="71"/>
      <c r="Z600" s="71"/>
      <c r="AA600" s="71"/>
      <c r="AB600" s="71"/>
    </row>
    <row r="601" spans="1:28" ht="15.75" customHeight="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71"/>
      <c r="M601" s="271"/>
      <c r="N601" s="314"/>
      <c r="O601" s="314"/>
      <c r="P601" s="314"/>
      <c r="Q601" s="263"/>
      <c r="R601" s="263"/>
      <c r="S601" s="263"/>
      <c r="T601" s="263"/>
      <c r="U601" s="263"/>
      <c r="V601" s="263"/>
      <c r="W601" s="263"/>
      <c r="X601" s="71"/>
      <c r="Y601" s="71"/>
      <c r="Z601" s="71"/>
      <c r="AA601" s="71"/>
      <c r="AB601" s="71"/>
    </row>
    <row r="602" spans="1:28" ht="15.75" customHeight="1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71"/>
      <c r="M602" s="271"/>
      <c r="N602" s="314"/>
      <c r="O602" s="314"/>
      <c r="P602" s="314"/>
      <c r="Q602" s="263"/>
      <c r="R602" s="263"/>
      <c r="S602" s="263"/>
      <c r="T602" s="263"/>
      <c r="U602" s="263"/>
      <c r="V602" s="263"/>
      <c r="W602" s="263"/>
      <c r="X602" s="71"/>
      <c r="Y602" s="71"/>
      <c r="Z602" s="71"/>
      <c r="AA602" s="71"/>
      <c r="AB602" s="71"/>
    </row>
    <row r="603" spans="1:28" ht="15.75" customHeight="1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71"/>
      <c r="M603" s="271"/>
      <c r="N603" s="314"/>
      <c r="O603" s="314"/>
      <c r="P603" s="314"/>
      <c r="Q603" s="263"/>
      <c r="R603" s="263"/>
      <c r="S603" s="263"/>
      <c r="T603" s="263"/>
      <c r="U603" s="263"/>
      <c r="V603" s="263"/>
      <c r="W603" s="263"/>
      <c r="X603" s="71"/>
      <c r="Y603" s="71"/>
      <c r="Z603" s="71"/>
      <c r="AA603" s="71"/>
      <c r="AB603" s="71"/>
    </row>
    <row r="604" spans="1:28" ht="15.75" customHeight="1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71"/>
      <c r="M604" s="271"/>
      <c r="N604" s="314"/>
      <c r="O604" s="314"/>
      <c r="P604" s="314"/>
      <c r="Q604" s="263"/>
      <c r="R604" s="263"/>
      <c r="S604" s="263"/>
      <c r="T604" s="263"/>
      <c r="U604" s="263"/>
      <c r="V604" s="263"/>
      <c r="W604" s="263"/>
      <c r="X604" s="71"/>
      <c r="Y604" s="71"/>
      <c r="Z604" s="71"/>
      <c r="AA604" s="71"/>
      <c r="AB604" s="71"/>
    </row>
    <row r="605" spans="1:28" ht="15.75" customHeight="1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71"/>
      <c r="M605" s="271"/>
      <c r="N605" s="314"/>
      <c r="O605" s="314"/>
      <c r="P605" s="314"/>
      <c r="Q605" s="263"/>
      <c r="R605" s="263"/>
      <c r="S605" s="263"/>
      <c r="T605" s="263"/>
      <c r="U605" s="263"/>
      <c r="V605" s="263"/>
      <c r="W605" s="263"/>
      <c r="X605" s="71"/>
      <c r="Y605" s="71"/>
      <c r="Z605" s="71"/>
      <c r="AA605" s="71"/>
      <c r="AB605" s="71"/>
    </row>
    <row r="606" spans="1:28" ht="15.75" customHeight="1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71"/>
      <c r="M606" s="271"/>
      <c r="N606" s="314"/>
      <c r="O606" s="314"/>
      <c r="P606" s="314"/>
      <c r="Q606" s="263"/>
      <c r="R606" s="263"/>
      <c r="S606" s="263"/>
      <c r="T606" s="263"/>
      <c r="U606" s="263"/>
      <c r="V606" s="263"/>
      <c r="W606" s="263"/>
      <c r="X606" s="71"/>
      <c r="Y606" s="71"/>
      <c r="Z606" s="71"/>
      <c r="AA606" s="71"/>
      <c r="AB606" s="71"/>
    </row>
    <row r="607" spans="1:28" ht="15.75" customHeight="1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71"/>
      <c r="M607" s="271"/>
      <c r="N607" s="314"/>
      <c r="O607" s="314"/>
      <c r="P607" s="314"/>
      <c r="Q607" s="263"/>
      <c r="R607" s="263"/>
      <c r="S607" s="263"/>
      <c r="T607" s="263"/>
      <c r="U607" s="263"/>
      <c r="V607" s="263"/>
      <c r="W607" s="263"/>
      <c r="X607" s="71"/>
      <c r="Y607" s="71"/>
      <c r="Z607" s="71"/>
      <c r="AA607" s="71"/>
      <c r="AB607" s="71"/>
    </row>
    <row r="608" spans="1:28" ht="15.75" customHeight="1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71"/>
      <c r="M608" s="271"/>
      <c r="N608" s="314"/>
      <c r="O608" s="314"/>
      <c r="P608" s="314"/>
      <c r="Q608" s="263"/>
      <c r="R608" s="263"/>
      <c r="S608" s="263"/>
      <c r="T608" s="263"/>
      <c r="U608" s="263"/>
      <c r="V608" s="263"/>
      <c r="W608" s="263"/>
      <c r="X608" s="71"/>
      <c r="Y608" s="71"/>
      <c r="Z608" s="71"/>
      <c r="AA608" s="71"/>
      <c r="AB608" s="71"/>
    </row>
    <row r="609" spans="1:28" ht="15.75" customHeight="1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71"/>
      <c r="M609" s="271"/>
      <c r="N609" s="314"/>
      <c r="O609" s="314"/>
      <c r="P609" s="314"/>
      <c r="Q609" s="263"/>
      <c r="R609" s="263"/>
      <c r="S609" s="263"/>
      <c r="T609" s="263"/>
      <c r="U609" s="263"/>
      <c r="V609" s="263"/>
      <c r="W609" s="263"/>
      <c r="X609" s="71"/>
      <c r="Y609" s="71"/>
      <c r="Z609" s="71"/>
      <c r="AA609" s="71"/>
      <c r="AB609" s="71"/>
    </row>
    <row r="610" spans="1:28" ht="15.75" customHeight="1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71"/>
      <c r="M610" s="271"/>
      <c r="N610" s="314"/>
      <c r="O610" s="314"/>
      <c r="P610" s="314"/>
      <c r="Q610" s="263"/>
      <c r="R610" s="263"/>
      <c r="S610" s="263"/>
      <c r="T610" s="263"/>
      <c r="U610" s="263"/>
      <c r="V610" s="263"/>
      <c r="W610" s="263"/>
      <c r="X610" s="71"/>
      <c r="Y610" s="71"/>
      <c r="Z610" s="71"/>
      <c r="AA610" s="71"/>
      <c r="AB610" s="71"/>
    </row>
    <row r="611" spans="1:28" ht="15.75" customHeight="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71"/>
      <c r="M611" s="271"/>
      <c r="N611" s="314"/>
      <c r="O611" s="314"/>
      <c r="P611" s="314"/>
      <c r="Q611" s="263"/>
      <c r="R611" s="263"/>
      <c r="S611" s="263"/>
      <c r="T611" s="263"/>
      <c r="U611" s="263"/>
      <c r="V611" s="263"/>
      <c r="W611" s="263"/>
      <c r="X611" s="71"/>
      <c r="Y611" s="71"/>
      <c r="Z611" s="71"/>
      <c r="AA611" s="71"/>
      <c r="AB611" s="71"/>
    </row>
    <row r="612" spans="1:28" ht="15.75" customHeight="1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71"/>
      <c r="M612" s="271"/>
      <c r="N612" s="314"/>
      <c r="O612" s="314"/>
      <c r="P612" s="314"/>
      <c r="Q612" s="263"/>
      <c r="R612" s="263"/>
      <c r="S612" s="263"/>
      <c r="T612" s="263"/>
      <c r="U612" s="263"/>
      <c r="V612" s="263"/>
      <c r="W612" s="263"/>
      <c r="X612" s="71"/>
      <c r="Y612" s="71"/>
      <c r="Z612" s="71"/>
      <c r="AA612" s="71"/>
      <c r="AB612" s="71"/>
    </row>
    <row r="613" spans="1:28" ht="15.75" customHeight="1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71"/>
      <c r="M613" s="271"/>
      <c r="N613" s="314"/>
      <c r="O613" s="314"/>
      <c r="P613" s="314"/>
      <c r="Q613" s="263"/>
      <c r="R613" s="263"/>
      <c r="S613" s="263"/>
      <c r="T613" s="263"/>
      <c r="U613" s="263"/>
      <c r="V613" s="263"/>
      <c r="W613" s="263"/>
      <c r="X613" s="71"/>
      <c r="Y613" s="71"/>
      <c r="Z613" s="71"/>
      <c r="AA613" s="71"/>
      <c r="AB613" s="71"/>
    </row>
    <row r="614" spans="1:28" ht="15.75" customHeight="1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71"/>
      <c r="M614" s="271"/>
      <c r="N614" s="314"/>
      <c r="O614" s="314"/>
      <c r="P614" s="314"/>
      <c r="Q614" s="263"/>
      <c r="R614" s="263"/>
      <c r="S614" s="263"/>
      <c r="T614" s="263"/>
      <c r="U614" s="263"/>
      <c r="V614" s="263"/>
      <c r="W614" s="263"/>
      <c r="X614" s="71"/>
      <c r="Y614" s="71"/>
      <c r="Z614" s="71"/>
      <c r="AA614" s="71"/>
      <c r="AB614" s="71"/>
    </row>
    <row r="615" spans="1:28" ht="15.75" customHeight="1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71"/>
      <c r="M615" s="271"/>
      <c r="N615" s="314"/>
      <c r="O615" s="314"/>
      <c r="P615" s="314"/>
      <c r="Q615" s="263"/>
      <c r="R615" s="263"/>
      <c r="S615" s="263"/>
      <c r="T615" s="263"/>
      <c r="U615" s="263"/>
      <c r="V615" s="263"/>
      <c r="W615" s="263"/>
      <c r="X615" s="71"/>
      <c r="Y615" s="71"/>
      <c r="Z615" s="71"/>
      <c r="AA615" s="71"/>
      <c r="AB615" s="71"/>
    </row>
    <row r="616" spans="1:28" ht="15.75" customHeight="1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71"/>
      <c r="M616" s="271"/>
      <c r="N616" s="314"/>
      <c r="O616" s="314"/>
      <c r="P616" s="314"/>
      <c r="Q616" s="263"/>
      <c r="R616" s="263"/>
      <c r="S616" s="263"/>
      <c r="T616" s="263"/>
      <c r="U616" s="263"/>
      <c r="V616" s="263"/>
      <c r="W616" s="263"/>
      <c r="X616" s="71"/>
      <c r="Y616" s="71"/>
      <c r="Z616" s="71"/>
      <c r="AA616" s="71"/>
      <c r="AB616" s="71"/>
    </row>
    <row r="617" spans="1:28" ht="15.75" customHeight="1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71"/>
      <c r="M617" s="271"/>
      <c r="N617" s="314"/>
      <c r="O617" s="314"/>
      <c r="P617" s="314"/>
      <c r="Q617" s="263"/>
      <c r="R617" s="263"/>
      <c r="S617" s="263"/>
      <c r="T617" s="263"/>
      <c r="U617" s="263"/>
      <c r="V617" s="263"/>
      <c r="W617" s="263"/>
      <c r="X617" s="71"/>
      <c r="Y617" s="71"/>
      <c r="Z617" s="71"/>
      <c r="AA617" s="71"/>
      <c r="AB617" s="71"/>
    </row>
    <row r="618" spans="1:28" ht="15.75" customHeight="1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71"/>
      <c r="M618" s="271"/>
      <c r="N618" s="314"/>
      <c r="O618" s="314"/>
      <c r="P618" s="314"/>
      <c r="Q618" s="263"/>
      <c r="R618" s="263"/>
      <c r="S618" s="263"/>
      <c r="T618" s="263"/>
      <c r="U618" s="263"/>
      <c r="V618" s="263"/>
      <c r="W618" s="263"/>
      <c r="X618" s="71"/>
      <c r="Y618" s="71"/>
      <c r="Z618" s="71"/>
      <c r="AA618" s="71"/>
      <c r="AB618" s="71"/>
    </row>
    <row r="619" spans="1:28" ht="15.75" customHeight="1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71"/>
      <c r="M619" s="271"/>
      <c r="N619" s="314"/>
      <c r="O619" s="314"/>
      <c r="P619" s="314"/>
      <c r="Q619" s="263"/>
      <c r="R619" s="263"/>
      <c r="S619" s="263"/>
      <c r="T619" s="263"/>
      <c r="U619" s="263"/>
      <c r="V619" s="263"/>
      <c r="W619" s="263"/>
      <c r="X619" s="71"/>
      <c r="Y619" s="71"/>
      <c r="Z619" s="71"/>
      <c r="AA619" s="71"/>
      <c r="AB619" s="71"/>
    </row>
    <row r="620" spans="1:28" ht="15.75" customHeight="1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71"/>
      <c r="M620" s="271"/>
      <c r="N620" s="314"/>
      <c r="O620" s="314"/>
      <c r="P620" s="314"/>
      <c r="Q620" s="263"/>
      <c r="R620" s="263"/>
      <c r="S620" s="263"/>
      <c r="T620" s="263"/>
      <c r="U620" s="263"/>
      <c r="V620" s="263"/>
      <c r="W620" s="263"/>
      <c r="X620" s="71"/>
      <c r="Y620" s="71"/>
      <c r="Z620" s="71"/>
      <c r="AA620" s="71"/>
      <c r="AB620" s="71"/>
    </row>
    <row r="621" spans="1:28" ht="15.75" customHeight="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71"/>
      <c r="M621" s="271"/>
      <c r="N621" s="314"/>
      <c r="O621" s="314"/>
      <c r="P621" s="314"/>
      <c r="Q621" s="263"/>
      <c r="R621" s="263"/>
      <c r="S621" s="263"/>
      <c r="T621" s="263"/>
      <c r="U621" s="263"/>
      <c r="V621" s="263"/>
      <c r="W621" s="263"/>
      <c r="X621" s="71"/>
      <c r="Y621" s="71"/>
      <c r="Z621" s="71"/>
      <c r="AA621" s="71"/>
      <c r="AB621" s="71"/>
    </row>
    <row r="622" spans="1:28" ht="15.75" customHeight="1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71"/>
      <c r="M622" s="271"/>
      <c r="N622" s="314"/>
      <c r="O622" s="314"/>
      <c r="P622" s="314"/>
      <c r="Q622" s="263"/>
      <c r="R622" s="263"/>
      <c r="S622" s="263"/>
      <c r="T622" s="263"/>
      <c r="U622" s="263"/>
      <c r="V622" s="263"/>
      <c r="W622" s="263"/>
      <c r="X622" s="71"/>
      <c r="Y622" s="71"/>
      <c r="Z622" s="71"/>
      <c r="AA622" s="71"/>
      <c r="AB622" s="71"/>
    </row>
    <row r="623" spans="1:28" ht="15.75" customHeight="1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71"/>
      <c r="M623" s="271"/>
      <c r="N623" s="314"/>
      <c r="O623" s="314"/>
      <c r="P623" s="314"/>
      <c r="Q623" s="263"/>
      <c r="R623" s="263"/>
      <c r="S623" s="263"/>
      <c r="T623" s="263"/>
      <c r="U623" s="263"/>
      <c r="V623" s="263"/>
      <c r="W623" s="263"/>
      <c r="X623" s="71"/>
      <c r="Y623" s="71"/>
      <c r="Z623" s="71"/>
      <c r="AA623" s="71"/>
      <c r="AB623" s="71"/>
    </row>
    <row r="624" spans="1:28" ht="15.75" customHeight="1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71"/>
      <c r="M624" s="271"/>
      <c r="N624" s="314"/>
      <c r="O624" s="314"/>
      <c r="P624" s="314"/>
      <c r="Q624" s="263"/>
      <c r="R624" s="263"/>
      <c r="S624" s="263"/>
      <c r="T624" s="263"/>
      <c r="U624" s="263"/>
      <c r="V624" s="263"/>
      <c r="W624" s="263"/>
      <c r="X624" s="71"/>
      <c r="Y624" s="71"/>
      <c r="Z624" s="71"/>
      <c r="AA624" s="71"/>
      <c r="AB624" s="71"/>
    </row>
    <row r="625" spans="1:28" ht="15.75" customHeight="1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71"/>
      <c r="M625" s="271"/>
      <c r="N625" s="314"/>
      <c r="O625" s="314"/>
      <c r="P625" s="314"/>
      <c r="Q625" s="263"/>
      <c r="R625" s="263"/>
      <c r="S625" s="263"/>
      <c r="T625" s="263"/>
      <c r="U625" s="263"/>
      <c r="V625" s="263"/>
      <c r="W625" s="263"/>
      <c r="X625" s="71"/>
      <c r="Y625" s="71"/>
      <c r="Z625" s="71"/>
      <c r="AA625" s="71"/>
      <c r="AB625" s="71"/>
    </row>
    <row r="626" spans="1:28" ht="15.75" customHeight="1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71"/>
      <c r="M626" s="271"/>
      <c r="N626" s="314"/>
      <c r="O626" s="314"/>
      <c r="P626" s="314"/>
      <c r="Q626" s="263"/>
      <c r="R626" s="263"/>
      <c r="S626" s="263"/>
      <c r="T626" s="263"/>
      <c r="U626" s="263"/>
      <c r="V626" s="263"/>
      <c r="W626" s="263"/>
      <c r="X626" s="71"/>
      <c r="Y626" s="71"/>
      <c r="Z626" s="71"/>
      <c r="AA626" s="71"/>
      <c r="AB626" s="71"/>
    </row>
    <row r="627" spans="1:28" ht="15.75" customHeight="1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71"/>
      <c r="M627" s="271"/>
      <c r="N627" s="314"/>
      <c r="O627" s="314"/>
      <c r="P627" s="314"/>
      <c r="Q627" s="263"/>
      <c r="R627" s="263"/>
      <c r="S627" s="263"/>
      <c r="T627" s="263"/>
      <c r="U627" s="263"/>
      <c r="V627" s="263"/>
      <c r="W627" s="263"/>
      <c r="X627" s="71"/>
      <c r="Y627" s="71"/>
      <c r="Z627" s="71"/>
      <c r="AA627" s="71"/>
      <c r="AB627" s="71"/>
    </row>
    <row r="628" spans="1:28" ht="15.75" customHeight="1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71"/>
      <c r="M628" s="271"/>
      <c r="N628" s="314"/>
      <c r="O628" s="314"/>
      <c r="P628" s="314"/>
      <c r="Q628" s="263"/>
      <c r="R628" s="263"/>
      <c r="S628" s="263"/>
      <c r="T628" s="263"/>
      <c r="U628" s="263"/>
      <c r="V628" s="263"/>
      <c r="W628" s="263"/>
      <c r="X628" s="71"/>
      <c r="Y628" s="71"/>
      <c r="Z628" s="71"/>
      <c r="AA628" s="71"/>
      <c r="AB628" s="71"/>
    </row>
    <row r="629" spans="1:28" ht="15.75" customHeight="1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71"/>
      <c r="M629" s="271"/>
      <c r="N629" s="314"/>
      <c r="O629" s="314"/>
      <c r="P629" s="314"/>
      <c r="Q629" s="263"/>
      <c r="R629" s="263"/>
      <c r="S629" s="263"/>
      <c r="T629" s="263"/>
      <c r="U629" s="263"/>
      <c r="V629" s="263"/>
      <c r="W629" s="263"/>
      <c r="X629" s="71"/>
      <c r="Y629" s="71"/>
      <c r="Z629" s="71"/>
      <c r="AA629" s="71"/>
      <c r="AB629" s="71"/>
    </row>
    <row r="630" spans="1:28" ht="15.75" customHeight="1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71"/>
      <c r="M630" s="271"/>
      <c r="N630" s="314"/>
      <c r="O630" s="314"/>
      <c r="P630" s="314"/>
      <c r="Q630" s="263"/>
      <c r="R630" s="263"/>
      <c r="S630" s="263"/>
      <c r="T630" s="263"/>
      <c r="U630" s="263"/>
      <c r="V630" s="263"/>
      <c r="W630" s="263"/>
      <c r="X630" s="71"/>
      <c r="Y630" s="71"/>
      <c r="Z630" s="71"/>
      <c r="AA630" s="71"/>
      <c r="AB630" s="71"/>
    </row>
    <row r="631" spans="1:28" ht="15.75" customHeight="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71"/>
      <c r="M631" s="271"/>
      <c r="N631" s="314"/>
      <c r="O631" s="314"/>
      <c r="P631" s="314"/>
      <c r="Q631" s="263"/>
      <c r="R631" s="263"/>
      <c r="S631" s="263"/>
      <c r="T631" s="263"/>
      <c r="U631" s="263"/>
      <c r="V631" s="263"/>
      <c r="W631" s="263"/>
      <c r="X631" s="71"/>
      <c r="Y631" s="71"/>
      <c r="Z631" s="71"/>
      <c r="AA631" s="71"/>
      <c r="AB631" s="71"/>
    </row>
    <row r="632" spans="1:28" ht="15.75" customHeight="1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71"/>
      <c r="M632" s="271"/>
      <c r="N632" s="314"/>
      <c r="O632" s="314"/>
      <c r="P632" s="314"/>
      <c r="Q632" s="263"/>
      <c r="R632" s="263"/>
      <c r="S632" s="263"/>
      <c r="T632" s="263"/>
      <c r="U632" s="263"/>
      <c r="V632" s="263"/>
      <c r="W632" s="263"/>
      <c r="X632" s="71"/>
      <c r="Y632" s="71"/>
      <c r="Z632" s="71"/>
      <c r="AA632" s="71"/>
      <c r="AB632" s="71"/>
    </row>
    <row r="633" spans="1:28" ht="15.75" customHeight="1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71"/>
      <c r="M633" s="271"/>
      <c r="N633" s="314"/>
      <c r="O633" s="314"/>
      <c r="P633" s="314"/>
      <c r="Q633" s="263"/>
      <c r="R633" s="263"/>
      <c r="S633" s="263"/>
      <c r="T633" s="263"/>
      <c r="U633" s="263"/>
      <c r="V633" s="263"/>
      <c r="W633" s="263"/>
      <c r="X633" s="71"/>
      <c r="Y633" s="71"/>
      <c r="Z633" s="71"/>
      <c r="AA633" s="71"/>
      <c r="AB633" s="71"/>
    </row>
    <row r="634" spans="1:28" ht="15.75" customHeight="1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71"/>
      <c r="M634" s="271"/>
      <c r="N634" s="314"/>
      <c r="O634" s="314"/>
      <c r="P634" s="314"/>
      <c r="Q634" s="263"/>
      <c r="R634" s="263"/>
      <c r="S634" s="263"/>
      <c r="T634" s="263"/>
      <c r="U634" s="263"/>
      <c r="V634" s="263"/>
      <c r="W634" s="263"/>
      <c r="X634" s="71"/>
      <c r="Y634" s="71"/>
      <c r="Z634" s="71"/>
      <c r="AA634" s="71"/>
      <c r="AB634" s="71"/>
    </row>
    <row r="635" spans="1:28" ht="15.75" customHeight="1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71"/>
      <c r="M635" s="271"/>
      <c r="N635" s="314"/>
      <c r="O635" s="314"/>
      <c r="P635" s="314"/>
      <c r="Q635" s="263"/>
      <c r="R635" s="263"/>
      <c r="S635" s="263"/>
      <c r="T635" s="263"/>
      <c r="U635" s="263"/>
      <c r="V635" s="263"/>
      <c r="W635" s="263"/>
      <c r="X635" s="71"/>
      <c r="Y635" s="71"/>
      <c r="Z635" s="71"/>
      <c r="AA635" s="71"/>
      <c r="AB635" s="71"/>
    </row>
    <row r="636" spans="1:28" ht="15.75" customHeight="1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71"/>
      <c r="M636" s="271"/>
      <c r="N636" s="314"/>
      <c r="O636" s="314"/>
      <c r="P636" s="314"/>
      <c r="Q636" s="263"/>
      <c r="R636" s="263"/>
      <c r="S636" s="263"/>
      <c r="T636" s="263"/>
      <c r="U636" s="263"/>
      <c r="V636" s="263"/>
      <c r="W636" s="263"/>
      <c r="X636" s="71"/>
      <c r="Y636" s="71"/>
      <c r="Z636" s="71"/>
      <c r="AA636" s="71"/>
      <c r="AB636" s="71"/>
    </row>
    <row r="637" spans="1:28" ht="15.75" customHeight="1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71"/>
      <c r="M637" s="271"/>
      <c r="N637" s="314"/>
      <c r="O637" s="314"/>
      <c r="P637" s="314"/>
      <c r="Q637" s="263"/>
      <c r="R637" s="263"/>
      <c r="S637" s="263"/>
      <c r="T637" s="263"/>
      <c r="U637" s="263"/>
      <c r="V637" s="263"/>
      <c r="W637" s="263"/>
      <c r="X637" s="71"/>
      <c r="Y637" s="71"/>
      <c r="Z637" s="71"/>
      <c r="AA637" s="71"/>
      <c r="AB637" s="71"/>
    </row>
    <row r="638" spans="1:28" ht="15.75" customHeight="1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71"/>
      <c r="M638" s="271"/>
      <c r="N638" s="314"/>
      <c r="O638" s="314"/>
      <c r="P638" s="314"/>
      <c r="Q638" s="263"/>
      <c r="R638" s="263"/>
      <c r="S638" s="263"/>
      <c r="T638" s="263"/>
      <c r="U638" s="263"/>
      <c r="V638" s="263"/>
      <c r="W638" s="263"/>
      <c r="X638" s="71"/>
      <c r="Y638" s="71"/>
      <c r="Z638" s="71"/>
      <c r="AA638" s="71"/>
      <c r="AB638" s="71"/>
    </row>
    <row r="639" spans="1:28" ht="15.75" customHeight="1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71"/>
      <c r="M639" s="271"/>
      <c r="N639" s="314"/>
      <c r="O639" s="314"/>
      <c r="P639" s="314"/>
      <c r="Q639" s="263"/>
      <c r="R639" s="263"/>
      <c r="S639" s="263"/>
      <c r="T639" s="263"/>
      <c r="U639" s="263"/>
      <c r="V639" s="263"/>
      <c r="W639" s="263"/>
      <c r="X639" s="71"/>
      <c r="Y639" s="71"/>
      <c r="Z639" s="71"/>
      <c r="AA639" s="71"/>
      <c r="AB639" s="71"/>
    </row>
    <row r="640" spans="1:28" ht="15.75" customHeight="1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71"/>
      <c r="M640" s="271"/>
      <c r="N640" s="314"/>
      <c r="O640" s="314"/>
      <c r="P640" s="314"/>
      <c r="Q640" s="263"/>
      <c r="R640" s="263"/>
      <c r="S640" s="263"/>
      <c r="T640" s="263"/>
      <c r="U640" s="263"/>
      <c r="V640" s="263"/>
      <c r="W640" s="263"/>
      <c r="X640" s="71"/>
      <c r="Y640" s="71"/>
      <c r="Z640" s="71"/>
      <c r="AA640" s="71"/>
      <c r="AB640" s="71"/>
    </row>
    <row r="641" spans="1:28" ht="15.75" customHeight="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71"/>
      <c r="M641" s="271"/>
      <c r="N641" s="314"/>
      <c r="O641" s="314"/>
      <c r="P641" s="314"/>
      <c r="Q641" s="263"/>
      <c r="R641" s="263"/>
      <c r="S641" s="263"/>
      <c r="T641" s="263"/>
      <c r="U641" s="263"/>
      <c r="V641" s="263"/>
      <c r="W641" s="263"/>
      <c r="X641" s="71"/>
      <c r="Y641" s="71"/>
      <c r="Z641" s="71"/>
      <c r="AA641" s="71"/>
      <c r="AB641" s="71"/>
    </row>
    <row r="642" spans="1:28" ht="15.75" customHeight="1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71"/>
      <c r="M642" s="271"/>
      <c r="N642" s="314"/>
      <c r="O642" s="314"/>
      <c r="P642" s="314"/>
      <c r="Q642" s="263"/>
      <c r="R642" s="263"/>
      <c r="S642" s="263"/>
      <c r="T642" s="263"/>
      <c r="U642" s="263"/>
      <c r="V642" s="263"/>
      <c r="W642" s="263"/>
      <c r="X642" s="71"/>
      <c r="Y642" s="71"/>
      <c r="Z642" s="71"/>
      <c r="AA642" s="71"/>
      <c r="AB642" s="71"/>
    </row>
    <row r="643" spans="1:28" ht="15.75" customHeight="1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71"/>
      <c r="M643" s="271"/>
      <c r="N643" s="314"/>
      <c r="O643" s="314"/>
      <c r="P643" s="314"/>
      <c r="Q643" s="263"/>
      <c r="R643" s="263"/>
      <c r="S643" s="263"/>
      <c r="T643" s="263"/>
      <c r="U643" s="263"/>
      <c r="V643" s="263"/>
      <c r="W643" s="263"/>
      <c r="X643" s="71"/>
      <c r="Y643" s="71"/>
      <c r="Z643" s="71"/>
      <c r="AA643" s="71"/>
      <c r="AB643" s="71"/>
    </row>
    <row r="644" spans="1:28" ht="15.75" customHeight="1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71"/>
      <c r="M644" s="271"/>
      <c r="N644" s="314"/>
      <c r="O644" s="314"/>
      <c r="P644" s="314"/>
      <c r="Q644" s="263"/>
      <c r="R644" s="263"/>
      <c r="S644" s="263"/>
      <c r="T644" s="263"/>
      <c r="U644" s="263"/>
      <c r="V644" s="263"/>
      <c r="W644" s="263"/>
      <c r="X644" s="71"/>
      <c r="Y644" s="71"/>
      <c r="Z644" s="71"/>
      <c r="AA644" s="71"/>
      <c r="AB644" s="71"/>
    </row>
    <row r="645" spans="1:28" ht="15.75" customHeight="1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71"/>
      <c r="M645" s="271"/>
      <c r="N645" s="314"/>
      <c r="O645" s="314"/>
      <c r="P645" s="314"/>
      <c r="Q645" s="263"/>
      <c r="R645" s="263"/>
      <c r="S645" s="263"/>
      <c r="T645" s="263"/>
      <c r="U645" s="263"/>
      <c r="V645" s="263"/>
      <c r="W645" s="263"/>
      <c r="X645" s="71"/>
      <c r="Y645" s="71"/>
      <c r="Z645" s="71"/>
      <c r="AA645" s="71"/>
      <c r="AB645" s="71"/>
    </row>
    <row r="646" spans="1:28" ht="15.75" customHeight="1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71"/>
      <c r="M646" s="271"/>
      <c r="N646" s="314"/>
      <c r="O646" s="314"/>
      <c r="P646" s="314"/>
      <c r="Q646" s="263"/>
      <c r="R646" s="263"/>
      <c r="S646" s="263"/>
      <c r="T646" s="263"/>
      <c r="U646" s="263"/>
      <c r="V646" s="263"/>
      <c r="W646" s="263"/>
      <c r="X646" s="71"/>
      <c r="Y646" s="71"/>
      <c r="Z646" s="71"/>
      <c r="AA646" s="71"/>
      <c r="AB646" s="71"/>
    </row>
    <row r="647" spans="1:28" ht="15.75" customHeight="1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71"/>
      <c r="M647" s="271"/>
      <c r="N647" s="314"/>
      <c r="O647" s="314"/>
      <c r="P647" s="314"/>
      <c r="Q647" s="263"/>
      <c r="R647" s="263"/>
      <c r="S647" s="263"/>
      <c r="T647" s="263"/>
      <c r="U647" s="263"/>
      <c r="V647" s="263"/>
      <c r="W647" s="263"/>
      <c r="X647" s="71"/>
      <c r="Y647" s="71"/>
      <c r="Z647" s="71"/>
      <c r="AA647" s="71"/>
      <c r="AB647" s="71"/>
    </row>
    <row r="648" spans="1:28" ht="15.75" customHeight="1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71"/>
      <c r="M648" s="271"/>
      <c r="N648" s="314"/>
      <c r="O648" s="314"/>
      <c r="P648" s="314"/>
      <c r="Q648" s="263"/>
      <c r="R648" s="263"/>
      <c r="S648" s="263"/>
      <c r="T648" s="263"/>
      <c r="U648" s="263"/>
      <c r="V648" s="263"/>
      <c r="W648" s="263"/>
      <c r="X648" s="71"/>
      <c r="Y648" s="71"/>
      <c r="Z648" s="71"/>
      <c r="AA648" s="71"/>
      <c r="AB648" s="71"/>
    </row>
    <row r="649" spans="1:28" ht="15.75" customHeight="1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71"/>
      <c r="M649" s="271"/>
      <c r="N649" s="314"/>
      <c r="O649" s="314"/>
      <c r="P649" s="314"/>
      <c r="Q649" s="263"/>
      <c r="R649" s="263"/>
      <c r="S649" s="263"/>
      <c r="T649" s="263"/>
      <c r="U649" s="263"/>
      <c r="V649" s="263"/>
      <c r="W649" s="263"/>
      <c r="X649" s="71"/>
      <c r="Y649" s="71"/>
      <c r="Z649" s="71"/>
      <c r="AA649" s="71"/>
      <c r="AB649" s="71"/>
    </row>
    <row r="650" spans="1:28" ht="15.75" customHeight="1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71"/>
      <c r="M650" s="271"/>
      <c r="N650" s="314"/>
      <c r="O650" s="314"/>
      <c r="P650" s="314"/>
      <c r="Q650" s="263"/>
      <c r="R650" s="263"/>
      <c r="S650" s="263"/>
      <c r="T650" s="263"/>
      <c r="U650" s="263"/>
      <c r="V650" s="263"/>
      <c r="W650" s="263"/>
      <c r="X650" s="71"/>
      <c r="Y650" s="71"/>
      <c r="Z650" s="71"/>
      <c r="AA650" s="71"/>
      <c r="AB650" s="71"/>
    </row>
    <row r="651" spans="1:28" ht="15.75" customHeight="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71"/>
      <c r="M651" s="271"/>
      <c r="N651" s="314"/>
      <c r="O651" s="314"/>
      <c r="P651" s="314"/>
      <c r="Q651" s="263"/>
      <c r="R651" s="263"/>
      <c r="S651" s="263"/>
      <c r="T651" s="263"/>
      <c r="U651" s="263"/>
      <c r="V651" s="263"/>
      <c r="W651" s="263"/>
      <c r="X651" s="71"/>
      <c r="Y651" s="71"/>
      <c r="Z651" s="71"/>
      <c r="AA651" s="71"/>
      <c r="AB651" s="71"/>
    </row>
    <row r="652" spans="1:28" ht="15.75" customHeight="1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71"/>
      <c r="M652" s="271"/>
      <c r="N652" s="314"/>
      <c r="O652" s="314"/>
      <c r="P652" s="314"/>
      <c r="Q652" s="263"/>
      <c r="R652" s="263"/>
      <c r="S652" s="263"/>
      <c r="T652" s="263"/>
      <c r="U652" s="263"/>
      <c r="V652" s="263"/>
      <c r="W652" s="263"/>
      <c r="X652" s="71"/>
      <c r="Y652" s="71"/>
      <c r="Z652" s="71"/>
      <c r="AA652" s="71"/>
      <c r="AB652" s="71"/>
    </row>
    <row r="653" spans="1:28" ht="15.75" customHeight="1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71"/>
      <c r="M653" s="271"/>
      <c r="N653" s="314"/>
      <c r="O653" s="314"/>
      <c r="P653" s="314"/>
      <c r="Q653" s="263"/>
      <c r="R653" s="263"/>
      <c r="S653" s="263"/>
      <c r="T653" s="263"/>
      <c r="U653" s="263"/>
      <c r="V653" s="263"/>
      <c r="W653" s="263"/>
      <c r="X653" s="71"/>
      <c r="Y653" s="71"/>
      <c r="Z653" s="71"/>
      <c r="AA653" s="71"/>
      <c r="AB653" s="71"/>
    </row>
    <row r="654" spans="1:28" ht="15.75" customHeight="1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71"/>
      <c r="M654" s="271"/>
      <c r="N654" s="314"/>
      <c r="O654" s="314"/>
      <c r="P654" s="314"/>
      <c r="Q654" s="263"/>
      <c r="R654" s="263"/>
      <c r="S654" s="263"/>
      <c r="T654" s="263"/>
      <c r="U654" s="263"/>
      <c r="V654" s="263"/>
      <c r="W654" s="263"/>
      <c r="X654" s="71"/>
      <c r="Y654" s="71"/>
      <c r="Z654" s="71"/>
      <c r="AA654" s="71"/>
      <c r="AB654" s="71"/>
    </row>
    <row r="655" spans="1:28" ht="15.75" customHeight="1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71"/>
      <c r="M655" s="271"/>
      <c r="N655" s="314"/>
      <c r="O655" s="314"/>
      <c r="P655" s="314"/>
      <c r="Q655" s="263"/>
      <c r="R655" s="263"/>
      <c r="S655" s="263"/>
      <c r="T655" s="263"/>
      <c r="U655" s="263"/>
      <c r="V655" s="263"/>
      <c r="W655" s="263"/>
      <c r="X655" s="71"/>
      <c r="Y655" s="71"/>
      <c r="Z655" s="71"/>
      <c r="AA655" s="71"/>
      <c r="AB655" s="71"/>
    </row>
    <row r="656" spans="1:28" ht="15.75" customHeight="1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71"/>
      <c r="M656" s="271"/>
      <c r="N656" s="314"/>
      <c r="O656" s="314"/>
      <c r="P656" s="314"/>
      <c r="Q656" s="263"/>
      <c r="R656" s="263"/>
      <c r="S656" s="263"/>
      <c r="T656" s="263"/>
      <c r="U656" s="263"/>
      <c r="V656" s="263"/>
      <c r="W656" s="263"/>
      <c r="X656" s="71"/>
      <c r="Y656" s="71"/>
      <c r="Z656" s="71"/>
      <c r="AA656" s="71"/>
      <c r="AB656" s="71"/>
    </row>
    <row r="657" spans="1:28" ht="15.75" customHeight="1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71"/>
      <c r="M657" s="271"/>
      <c r="N657" s="314"/>
      <c r="O657" s="314"/>
      <c r="P657" s="314"/>
      <c r="Q657" s="263"/>
      <c r="R657" s="263"/>
      <c r="S657" s="263"/>
      <c r="T657" s="263"/>
      <c r="U657" s="263"/>
      <c r="V657" s="263"/>
      <c r="W657" s="263"/>
      <c r="X657" s="71"/>
      <c r="Y657" s="71"/>
      <c r="Z657" s="71"/>
      <c r="AA657" s="71"/>
      <c r="AB657" s="71"/>
    </row>
    <row r="658" spans="1:28" ht="15.75" customHeight="1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71"/>
      <c r="M658" s="271"/>
      <c r="N658" s="314"/>
      <c r="O658" s="314"/>
      <c r="P658" s="314"/>
      <c r="Q658" s="263"/>
      <c r="R658" s="263"/>
      <c r="S658" s="263"/>
      <c r="T658" s="263"/>
      <c r="U658" s="263"/>
      <c r="V658" s="263"/>
      <c r="W658" s="263"/>
      <c r="X658" s="71"/>
      <c r="Y658" s="71"/>
      <c r="Z658" s="71"/>
      <c r="AA658" s="71"/>
      <c r="AB658" s="71"/>
    </row>
    <row r="659" spans="1:28" ht="15.75" customHeight="1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71"/>
      <c r="M659" s="271"/>
      <c r="N659" s="314"/>
      <c r="O659" s="314"/>
      <c r="P659" s="314"/>
      <c r="Q659" s="263"/>
      <c r="R659" s="263"/>
      <c r="S659" s="263"/>
      <c r="T659" s="263"/>
      <c r="U659" s="263"/>
      <c r="V659" s="263"/>
      <c r="W659" s="263"/>
      <c r="X659" s="71"/>
      <c r="Y659" s="71"/>
      <c r="Z659" s="71"/>
      <c r="AA659" s="71"/>
      <c r="AB659" s="71"/>
    </row>
    <row r="660" spans="1:28" ht="15.75" customHeight="1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71"/>
      <c r="M660" s="271"/>
      <c r="N660" s="314"/>
      <c r="O660" s="314"/>
      <c r="P660" s="314"/>
      <c r="Q660" s="263"/>
      <c r="R660" s="263"/>
      <c r="S660" s="263"/>
      <c r="T660" s="263"/>
      <c r="U660" s="263"/>
      <c r="V660" s="263"/>
      <c r="W660" s="263"/>
      <c r="X660" s="71"/>
      <c r="Y660" s="71"/>
      <c r="Z660" s="71"/>
      <c r="AA660" s="71"/>
      <c r="AB660" s="71"/>
    </row>
    <row r="661" spans="1:28" ht="15.75" customHeight="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71"/>
      <c r="M661" s="271"/>
      <c r="N661" s="314"/>
      <c r="O661" s="314"/>
      <c r="P661" s="314"/>
      <c r="Q661" s="263"/>
      <c r="R661" s="263"/>
      <c r="S661" s="263"/>
      <c r="T661" s="263"/>
      <c r="U661" s="263"/>
      <c r="V661" s="263"/>
      <c r="W661" s="263"/>
      <c r="X661" s="71"/>
      <c r="Y661" s="71"/>
      <c r="Z661" s="71"/>
      <c r="AA661" s="71"/>
      <c r="AB661" s="71"/>
    </row>
    <row r="662" spans="1:28" ht="15.75" customHeight="1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71"/>
      <c r="M662" s="271"/>
      <c r="N662" s="314"/>
      <c r="O662" s="314"/>
      <c r="P662" s="314"/>
      <c r="Q662" s="263"/>
      <c r="R662" s="263"/>
      <c r="S662" s="263"/>
      <c r="T662" s="263"/>
      <c r="U662" s="263"/>
      <c r="V662" s="263"/>
      <c r="W662" s="263"/>
      <c r="X662" s="71"/>
      <c r="Y662" s="71"/>
      <c r="Z662" s="71"/>
      <c r="AA662" s="71"/>
      <c r="AB662" s="71"/>
    </row>
    <row r="663" spans="1:28" ht="15.75" customHeight="1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71"/>
      <c r="M663" s="271"/>
      <c r="N663" s="314"/>
      <c r="O663" s="314"/>
      <c r="P663" s="314"/>
      <c r="Q663" s="263"/>
      <c r="R663" s="263"/>
      <c r="S663" s="263"/>
      <c r="T663" s="263"/>
      <c r="U663" s="263"/>
      <c r="V663" s="263"/>
      <c r="W663" s="263"/>
      <c r="X663" s="71"/>
      <c r="Y663" s="71"/>
      <c r="Z663" s="71"/>
      <c r="AA663" s="71"/>
      <c r="AB663" s="71"/>
    </row>
    <row r="664" spans="1:28" ht="15.75" customHeight="1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71"/>
      <c r="M664" s="271"/>
      <c r="N664" s="314"/>
      <c r="O664" s="314"/>
      <c r="P664" s="314"/>
      <c r="Q664" s="263"/>
      <c r="R664" s="263"/>
      <c r="S664" s="263"/>
      <c r="T664" s="263"/>
      <c r="U664" s="263"/>
      <c r="V664" s="263"/>
      <c r="W664" s="263"/>
      <c r="X664" s="71"/>
      <c r="Y664" s="71"/>
      <c r="Z664" s="71"/>
      <c r="AA664" s="71"/>
      <c r="AB664" s="71"/>
    </row>
    <row r="665" spans="1:28" ht="15.75" customHeight="1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71"/>
      <c r="M665" s="271"/>
      <c r="N665" s="314"/>
      <c r="O665" s="314"/>
      <c r="P665" s="314"/>
      <c r="Q665" s="263"/>
      <c r="R665" s="263"/>
      <c r="S665" s="263"/>
      <c r="T665" s="263"/>
      <c r="U665" s="263"/>
      <c r="V665" s="263"/>
      <c r="W665" s="263"/>
      <c r="X665" s="71"/>
      <c r="Y665" s="71"/>
      <c r="Z665" s="71"/>
      <c r="AA665" s="71"/>
      <c r="AB665" s="71"/>
    </row>
    <row r="666" spans="1:28" ht="15.75" customHeight="1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71"/>
      <c r="M666" s="271"/>
      <c r="N666" s="314"/>
      <c r="O666" s="314"/>
      <c r="P666" s="314"/>
      <c r="Q666" s="263"/>
      <c r="R666" s="263"/>
      <c r="S666" s="263"/>
      <c r="T666" s="263"/>
      <c r="U666" s="263"/>
      <c r="V666" s="263"/>
      <c r="W666" s="263"/>
      <c r="X666" s="71"/>
      <c r="Y666" s="71"/>
      <c r="Z666" s="71"/>
      <c r="AA666" s="71"/>
      <c r="AB666" s="71"/>
    </row>
    <row r="667" spans="1:28" ht="15.75" customHeight="1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71"/>
      <c r="M667" s="271"/>
      <c r="N667" s="314"/>
      <c r="O667" s="314"/>
      <c r="P667" s="314"/>
      <c r="Q667" s="263"/>
      <c r="R667" s="263"/>
      <c r="S667" s="263"/>
      <c r="T667" s="263"/>
      <c r="U667" s="263"/>
      <c r="V667" s="263"/>
      <c r="W667" s="263"/>
      <c r="X667" s="71"/>
      <c r="Y667" s="71"/>
      <c r="Z667" s="71"/>
      <c r="AA667" s="71"/>
      <c r="AB667" s="71"/>
    </row>
    <row r="668" spans="1:28" ht="15.75" customHeight="1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71"/>
      <c r="M668" s="271"/>
      <c r="N668" s="314"/>
      <c r="O668" s="314"/>
      <c r="P668" s="314"/>
      <c r="Q668" s="263"/>
      <c r="R668" s="263"/>
      <c r="S668" s="263"/>
      <c r="T668" s="263"/>
      <c r="U668" s="263"/>
      <c r="V668" s="263"/>
      <c r="W668" s="263"/>
      <c r="X668" s="71"/>
      <c r="Y668" s="71"/>
      <c r="Z668" s="71"/>
      <c r="AA668" s="71"/>
      <c r="AB668" s="71"/>
    </row>
    <row r="669" spans="1:28" ht="15.75" customHeight="1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71"/>
      <c r="M669" s="271"/>
      <c r="N669" s="314"/>
      <c r="O669" s="314"/>
      <c r="P669" s="314"/>
      <c r="Q669" s="263"/>
      <c r="R669" s="263"/>
      <c r="S669" s="263"/>
      <c r="T669" s="263"/>
      <c r="U669" s="263"/>
      <c r="V669" s="263"/>
      <c r="W669" s="263"/>
      <c r="X669" s="71"/>
      <c r="Y669" s="71"/>
      <c r="Z669" s="71"/>
      <c r="AA669" s="71"/>
      <c r="AB669" s="71"/>
    </row>
    <row r="670" spans="1:28" ht="15.75" customHeight="1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71"/>
      <c r="M670" s="271"/>
      <c r="N670" s="314"/>
      <c r="O670" s="314"/>
      <c r="P670" s="314"/>
      <c r="Q670" s="263"/>
      <c r="R670" s="263"/>
      <c r="S670" s="263"/>
      <c r="T670" s="263"/>
      <c r="U670" s="263"/>
      <c r="V670" s="263"/>
      <c r="W670" s="263"/>
      <c r="X670" s="71"/>
      <c r="Y670" s="71"/>
      <c r="Z670" s="71"/>
      <c r="AA670" s="71"/>
      <c r="AB670" s="71"/>
    </row>
    <row r="671" spans="1:28" ht="15.75" customHeight="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71"/>
      <c r="M671" s="271"/>
      <c r="N671" s="314"/>
      <c r="O671" s="314"/>
      <c r="P671" s="314"/>
      <c r="Q671" s="263"/>
      <c r="R671" s="263"/>
      <c r="S671" s="263"/>
      <c r="T671" s="263"/>
      <c r="U671" s="263"/>
      <c r="V671" s="263"/>
      <c r="W671" s="263"/>
      <c r="X671" s="71"/>
      <c r="Y671" s="71"/>
      <c r="Z671" s="71"/>
      <c r="AA671" s="71"/>
      <c r="AB671" s="71"/>
    </row>
    <row r="672" spans="1:28" ht="15.75" customHeight="1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71"/>
      <c r="M672" s="271"/>
      <c r="N672" s="314"/>
      <c r="O672" s="314"/>
      <c r="P672" s="314"/>
      <c r="Q672" s="263"/>
      <c r="R672" s="263"/>
      <c r="S672" s="263"/>
      <c r="T672" s="263"/>
      <c r="U672" s="263"/>
      <c r="V672" s="263"/>
      <c r="W672" s="263"/>
      <c r="X672" s="71"/>
      <c r="Y672" s="71"/>
      <c r="Z672" s="71"/>
      <c r="AA672" s="71"/>
      <c r="AB672" s="71"/>
    </row>
    <row r="673" spans="1:28" ht="15.75" customHeight="1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71"/>
      <c r="M673" s="271"/>
      <c r="N673" s="314"/>
      <c r="O673" s="314"/>
      <c r="P673" s="314"/>
      <c r="Q673" s="263"/>
      <c r="R673" s="263"/>
      <c r="S673" s="263"/>
      <c r="T673" s="263"/>
      <c r="U673" s="263"/>
      <c r="V673" s="263"/>
      <c r="W673" s="263"/>
      <c r="X673" s="71"/>
      <c r="Y673" s="71"/>
      <c r="Z673" s="71"/>
      <c r="AA673" s="71"/>
      <c r="AB673" s="71"/>
    </row>
    <row r="674" spans="1:28" ht="15.75" customHeight="1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71"/>
      <c r="M674" s="271"/>
      <c r="N674" s="314"/>
      <c r="O674" s="314"/>
      <c r="P674" s="314"/>
      <c r="Q674" s="263"/>
      <c r="R674" s="263"/>
      <c r="S674" s="263"/>
      <c r="T674" s="263"/>
      <c r="U674" s="263"/>
      <c r="V674" s="263"/>
      <c r="W674" s="263"/>
      <c r="X674" s="71"/>
      <c r="Y674" s="71"/>
      <c r="Z674" s="71"/>
      <c r="AA674" s="71"/>
      <c r="AB674" s="71"/>
    </row>
    <row r="675" spans="1:28" ht="15.75" customHeight="1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71"/>
      <c r="M675" s="271"/>
      <c r="N675" s="314"/>
      <c r="O675" s="314"/>
      <c r="P675" s="314"/>
      <c r="Q675" s="263"/>
      <c r="R675" s="263"/>
      <c r="S675" s="263"/>
      <c r="T675" s="263"/>
      <c r="U675" s="263"/>
      <c r="V675" s="263"/>
      <c r="W675" s="263"/>
      <c r="X675" s="71"/>
      <c r="Y675" s="71"/>
      <c r="Z675" s="71"/>
      <c r="AA675" s="71"/>
      <c r="AB675" s="71"/>
    </row>
    <row r="676" spans="1:28" ht="15.75" customHeight="1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71"/>
      <c r="M676" s="271"/>
      <c r="N676" s="314"/>
      <c r="O676" s="314"/>
      <c r="P676" s="314"/>
      <c r="Q676" s="263"/>
      <c r="R676" s="263"/>
      <c r="S676" s="263"/>
      <c r="T676" s="263"/>
      <c r="U676" s="263"/>
      <c r="V676" s="263"/>
      <c r="W676" s="263"/>
      <c r="X676" s="71"/>
      <c r="Y676" s="71"/>
      <c r="Z676" s="71"/>
      <c r="AA676" s="71"/>
      <c r="AB676" s="71"/>
    </row>
    <row r="677" spans="1:28" ht="15.75" customHeight="1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71"/>
      <c r="M677" s="271"/>
      <c r="N677" s="314"/>
      <c r="O677" s="314"/>
      <c r="P677" s="314"/>
      <c r="Q677" s="263"/>
      <c r="R677" s="263"/>
      <c r="S677" s="263"/>
      <c r="T677" s="263"/>
      <c r="U677" s="263"/>
      <c r="V677" s="263"/>
      <c r="W677" s="263"/>
      <c r="X677" s="71"/>
      <c r="Y677" s="71"/>
      <c r="Z677" s="71"/>
      <c r="AA677" s="71"/>
      <c r="AB677" s="71"/>
    </row>
    <row r="678" spans="1:28" ht="15.75" customHeight="1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71"/>
      <c r="M678" s="271"/>
      <c r="N678" s="314"/>
      <c r="O678" s="314"/>
      <c r="P678" s="314"/>
      <c r="Q678" s="263"/>
      <c r="R678" s="263"/>
      <c r="S678" s="263"/>
      <c r="T678" s="263"/>
      <c r="U678" s="263"/>
      <c r="V678" s="263"/>
      <c r="W678" s="263"/>
      <c r="X678" s="71"/>
      <c r="Y678" s="71"/>
      <c r="Z678" s="71"/>
      <c r="AA678" s="71"/>
      <c r="AB678" s="71"/>
    </row>
    <row r="679" spans="1:28" ht="15.75" customHeight="1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71"/>
      <c r="M679" s="271"/>
      <c r="N679" s="314"/>
      <c r="O679" s="314"/>
      <c r="P679" s="314"/>
      <c r="Q679" s="263"/>
      <c r="R679" s="263"/>
      <c r="S679" s="263"/>
      <c r="T679" s="263"/>
      <c r="U679" s="263"/>
      <c r="V679" s="263"/>
      <c r="W679" s="263"/>
      <c r="X679" s="71"/>
      <c r="Y679" s="71"/>
      <c r="Z679" s="71"/>
      <c r="AA679" s="71"/>
      <c r="AB679" s="71"/>
    </row>
    <row r="680" spans="1:28" ht="15.75" customHeight="1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71"/>
      <c r="M680" s="271"/>
      <c r="N680" s="314"/>
      <c r="O680" s="314"/>
      <c r="P680" s="314"/>
      <c r="Q680" s="263"/>
      <c r="R680" s="263"/>
      <c r="S680" s="263"/>
      <c r="T680" s="263"/>
      <c r="U680" s="263"/>
      <c r="V680" s="263"/>
      <c r="W680" s="263"/>
      <c r="X680" s="71"/>
      <c r="Y680" s="71"/>
      <c r="Z680" s="71"/>
      <c r="AA680" s="71"/>
      <c r="AB680" s="71"/>
    </row>
    <row r="681" spans="1:28" ht="15.75" customHeight="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71"/>
      <c r="M681" s="271"/>
      <c r="N681" s="314"/>
      <c r="O681" s="314"/>
      <c r="P681" s="314"/>
      <c r="Q681" s="263"/>
      <c r="R681" s="263"/>
      <c r="S681" s="263"/>
      <c r="T681" s="263"/>
      <c r="U681" s="263"/>
      <c r="V681" s="263"/>
      <c r="W681" s="263"/>
      <c r="X681" s="71"/>
      <c r="Y681" s="71"/>
      <c r="Z681" s="71"/>
      <c r="AA681" s="71"/>
      <c r="AB681" s="71"/>
    </row>
    <row r="682" spans="1:28" ht="15.75" customHeight="1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71"/>
      <c r="M682" s="271"/>
      <c r="N682" s="314"/>
      <c r="O682" s="314"/>
      <c r="P682" s="314"/>
      <c r="Q682" s="263"/>
      <c r="R682" s="263"/>
      <c r="S682" s="263"/>
      <c r="T682" s="263"/>
      <c r="U682" s="263"/>
      <c r="V682" s="263"/>
      <c r="W682" s="263"/>
      <c r="X682" s="71"/>
      <c r="Y682" s="71"/>
      <c r="Z682" s="71"/>
      <c r="AA682" s="71"/>
      <c r="AB682" s="71"/>
    </row>
    <row r="683" spans="1:28" ht="15.75" customHeight="1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71"/>
      <c r="M683" s="271"/>
      <c r="N683" s="314"/>
      <c r="O683" s="314"/>
      <c r="P683" s="314"/>
      <c r="Q683" s="263"/>
      <c r="R683" s="263"/>
      <c r="S683" s="263"/>
      <c r="T683" s="263"/>
      <c r="U683" s="263"/>
      <c r="V683" s="263"/>
      <c r="W683" s="263"/>
      <c r="X683" s="71"/>
      <c r="Y683" s="71"/>
      <c r="Z683" s="71"/>
      <c r="AA683" s="71"/>
      <c r="AB683" s="71"/>
    </row>
    <row r="684" spans="1:28" ht="15.75" customHeight="1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71"/>
      <c r="M684" s="271"/>
      <c r="N684" s="314"/>
      <c r="O684" s="314"/>
      <c r="P684" s="314"/>
      <c r="Q684" s="263"/>
      <c r="R684" s="263"/>
      <c r="S684" s="263"/>
      <c r="T684" s="263"/>
      <c r="U684" s="263"/>
      <c r="V684" s="263"/>
      <c r="W684" s="263"/>
      <c r="X684" s="71"/>
      <c r="Y684" s="71"/>
      <c r="Z684" s="71"/>
      <c r="AA684" s="71"/>
      <c r="AB684" s="71"/>
    </row>
    <row r="685" spans="1:28" ht="15.75" customHeight="1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71"/>
      <c r="M685" s="271"/>
      <c r="N685" s="314"/>
      <c r="O685" s="314"/>
      <c r="P685" s="314"/>
      <c r="Q685" s="263"/>
      <c r="R685" s="263"/>
      <c r="S685" s="263"/>
      <c r="T685" s="263"/>
      <c r="U685" s="263"/>
      <c r="V685" s="263"/>
      <c r="W685" s="263"/>
      <c r="X685" s="71"/>
      <c r="Y685" s="71"/>
      <c r="Z685" s="71"/>
      <c r="AA685" s="71"/>
      <c r="AB685" s="71"/>
    </row>
    <row r="686" spans="1:28" ht="15.75" customHeight="1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71"/>
      <c r="M686" s="271"/>
      <c r="N686" s="314"/>
      <c r="O686" s="314"/>
      <c r="P686" s="314"/>
      <c r="Q686" s="263"/>
      <c r="R686" s="263"/>
      <c r="S686" s="263"/>
      <c r="T686" s="263"/>
      <c r="U686" s="263"/>
      <c r="V686" s="263"/>
      <c r="W686" s="263"/>
      <c r="X686" s="71"/>
      <c r="Y686" s="71"/>
      <c r="Z686" s="71"/>
      <c r="AA686" s="71"/>
      <c r="AB686" s="71"/>
    </row>
    <row r="687" spans="1:28" ht="15.75" customHeight="1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71"/>
      <c r="M687" s="271"/>
      <c r="N687" s="314"/>
      <c r="O687" s="314"/>
      <c r="P687" s="314"/>
      <c r="Q687" s="263"/>
      <c r="R687" s="263"/>
      <c r="S687" s="263"/>
      <c r="T687" s="263"/>
      <c r="U687" s="263"/>
      <c r="V687" s="263"/>
      <c r="W687" s="263"/>
      <c r="X687" s="71"/>
      <c r="Y687" s="71"/>
      <c r="Z687" s="71"/>
      <c r="AA687" s="71"/>
      <c r="AB687" s="71"/>
    </row>
    <row r="688" spans="1:28" ht="15.75" customHeight="1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71"/>
      <c r="M688" s="271"/>
      <c r="N688" s="314"/>
      <c r="O688" s="314"/>
      <c r="P688" s="314"/>
      <c r="Q688" s="263"/>
      <c r="R688" s="263"/>
      <c r="S688" s="263"/>
      <c r="T688" s="263"/>
      <c r="U688" s="263"/>
      <c r="V688" s="263"/>
      <c r="W688" s="263"/>
      <c r="X688" s="71"/>
      <c r="Y688" s="71"/>
      <c r="Z688" s="71"/>
      <c r="AA688" s="71"/>
      <c r="AB688" s="71"/>
    </row>
    <row r="689" spans="1:28" ht="15.75" customHeight="1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71"/>
      <c r="M689" s="271"/>
      <c r="N689" s="314"/>
      <c r="O689" s="314"/>
      <c r="P689" s="314"/>
      <c r="Q689" s="263"/>
      <c r="R689" s="263"/>
      <c r="S689" s="263"/>
      <c r="T689" s="263"/>
      <c r="U689" s="263"/>
      <c r="V689" s="263"/>
      <c r="W689" s="263"/>
      <c r="X689" s="71"/>
      <c r="Y689" s="71"/>
      <c r="Z689" s="71"/>
      <c r="AA689" s="71"/>
      <c r="AB689" s="71"/>
    </row>
    <row r="690" spans="1:28" ht="15.75" customHeight="1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71"/>
      <c r="M690" s="271"/>
      <c r="N690" s="314"/>
      <c r="O690" s="314"/>
      <c r="P690" s="314"/>
      <c r="Q690" s="263"/>
      <c r="R690" s="263"/>
      <c r="S690" s="263"/>
      <c r="T690" s="263"/>
      <c r="U690" s="263"/>
      <c r="V690" s="263"/>
      <c r="W690" s="263"/>
      <c r="X690" s="71"/>
      <c r="Y690" s="71"/>
      <c r="Z690" s="71"/>
      <c r="AA690" s="71"/>
      <c r="AB690" s="71"/>
    </row>
    <row r="691" spans="1:28" ht="15.75" customHeight="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71"/>
      <c r="M691" s="271"/>
      <c r="N691" s="314"/>
      <c r="O691" s="314"/>
      <c r="P691" s="314"/>
      <c r="Q691" s="263"/>
      <c r="R691" s="263"/>
      <c r="S691" s="263"/>
      <c r="T691" s="263"/>
      <c r="U691" s="263"/>
      <c r="V691" s="263"/>
      <c r="W691" s="263"/>
      <c r="X691" s="71"/>
      <c r="Y691" s="71"/>
      <c r="Z691" s="71"/>
      <c r="AA691" s="71"/>
      <c r="AB691" s="71"/>
    </row>
    <row r="692" spans="1:28" ht="15.75" customHeight="1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71"/>
      <c r="M692" s="271"/>
      <c r="N692" s="314"/>
      <c r="O692" s="314"/>
      <c r="P692" s="314"/>
      <c r="Q692" s="263"/>
      <c r="R692" s="263"/>
      <c r="S692" s="263"/>
      <c r="T692" s="263"/>
      <c r="U692" s="263"/>
      <c r="V692" s="263"/>
      <c r="W692" s="263"/>
      <c r="X692" s="71"/>
      <c r="Y692" s="71"/>
      <c r="Z692" s="71"/>
      <c r="AA692" s="71"/>
      <c r="AB692" s="71"/>
    </row>
    <row r="693" spans="1:28" ht="15.75" customHeight="1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71"/>
      <c r="M693" s="271"/>
      <c r="N693" s="314"/>
      <c r="O693" s="314"/>
      <c r="P693" s="314"/>
      <c r="Q693" s="263"/>
      <c r="R693" s="263"/>
      <c r="S693" s="263"/>
      <c r="T693" s="263"/>
      <c r="U693" s="263"/>
      <c r="V693" s="263"/>
      <c r="W693" s="263"/>
      <c r="X693" s="71"/>
      <c r="Y693" s="71"/>
      <c r="Z693" s="71"/>
      <c r="AA693" s="71"/>
      <c r="AB693" s="71"/>
    </row>
    <row r="694" spans="1:28" ht="15.75" customHeight="1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71"/>
      <c r="M694" s="271"/>
      <c r="N694" s="314"/>
      <c r="O694" s="314"/>
      <c r="P694" s="314"/>
      <c r="Q694" s="263"/>
      <c r="R694" s="263"/>
      <c r="S694" s="263"/>
      <c r="T694" s="263"/>
      <c r="U694" s="263"/>
      <c r="V694" s="263"/>
      <c r="W694" s="263"/>
      <c r="X694" s="71"/>
      <c r="Y694" s="71"/>
      <c r="Z694" s="71"/>
      <c r="AA694" s="71"/>
      <c r="AB694" s="71"/>
    </row>
    <row r="695" spans="1:28" ht="15.75" customHeight="1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71"/>
      <c r="M695" s="271"/>
      <c r="N695" s="314"/>
      <c r="O695" s="314"/>
      <c r="P695" s="314"/>
      <c r="Q695" s="263"/>
      <c r="R695" s="263"/>
      <c r="S695" s="263"/>
      <c r="T695" s="263"/>
      <c r="U695" s="263"/>
      <c r="V695" s="263"/>
      <c r="W695" s="263"/>
      <c r="X695" s="71"/>
      <c r="Y695" s="71"/>
      <c r="Z695" s="71"/>
      <c r="AA695" s="71"/>
      <c r="AB695" s="71"/>
    </row>
    <row r="696" spans="1:28" ht="15.75" customHeight="1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71"/>
      <c r="M696" s="271"/>
      <c r="N696" s="314"/>
      <c r="O696" s="314"/>
      <c r="P696" s="314"/>
      <c r="Q696" s="263"/>
      <c r="R696" s="263"/>
      <c r="S696" s="263"/>
      <c r="T696" s="263"/>
      <c r="U696" s="263"/>
      <c r="V696" s="263"/>
      <c r="W696" s="263"/>
      <c r="X696" s="71"/>
      <c r="Y696" s="71"/>
      <c r="Z696" s="71"/>
      <c r="AA696" s="71"/>
      <c r="AB696" s="71"/>
    </row>
    <row r="697" spans="1:28" ht="15.75" customHeight="1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71"/>
      <c r="M697" s="271"/>
      <c r="N697" s="314"/>
      <c r="O697" s="314"/>
      <c r="P697" s="314"/>
      <c r="Q697" s="263"/>
      <c r="R697" s="263"/>
      <c r="S697" s="263"/>
      <c r="T697" s="263"/>
      <c r="U697" s="263"/>
      <c r="V697" s="263"/>
      <c r="W697" s="263"/>
      <c r="X697" s="71"/>
      <c r="Y697" s="71"/>
      <c r="Z697" s="71"/>
      <c r="AA697" s="71"/>
      <c r="AB697" s="71"/>
    </row>
    <row r="698" spans="1:28" ht="15.75" customHeight="1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71"/>
      <c r="M698" s="271"/>
      <c r="N698" s="314"/>
      <c r="O698" s="314"/>
      <c r="P698" s="314"/>
      <c r="Q698" s="263"/>
      <c r="R698" s="263"/>
      <c r="S698" s="263"/>
      <c r="T698" s="263"/>
      <c r="U698" s="263"/>
      <c r="V698" s="263"/>
      <c r="W698" s="263"/>
      <c r="X698" s="71"/>
      <c r="Y698" s="71"/>
      <c r="Z698" s="71"/>
      <c r="AA698" s="71"/>
      <c r="AB698" s="71"/>
    </row>
    <row r="699" spans="1:28" ht="15.75" customHeight="1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71"/>
      <c r="M699" s="271"/>
      <c r="N699" s="314"/>
      <c r="O699" s="314"/>
      <c r="P699" s="314"/>
      <c r="Q699" s="263"/>
      <c r="R699" s="263"/>
      <c r="S699" s="263"/>
      <c r="T699" s="263"/>
      <c r="U699" s="263"/>
      <c r="V699" s="263"/>
      <c r="W699" s="263"/>
      <c r="X699" s="71"/>
      <c r="Y699" s="71"/>
      <c r="Z699" s="71"/>
      <c r="AA699" s="71"/>
      <c r="AB699" s="71"/>
    </row>
    <row r="700" spans="1:28" ht="15.75" customHeight="1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71"/>
      <c r="M700" s="271"/>
      <c r="N700" s="314"/>
      <c r="O700" s="314"/>
      <c r="P700" s="314"/>
      <c r="Q700" s="263"/>
      <c r="R700" s="263"/>
      <c r="S700" s="263"/>
      <c r="T700" s="263"/>
      <c r="U700" s="263"/>
      <c r="V700" s="263"/>
      <c r="W700" s="263"/>
      <c r="X700" s="71"/>
      <c r="Y700" s="71"/>
      <c r="Z700" s="71"/>
      <c r="AA700" s="71"/>
      <c r="AB700" s="71"/>
    </row>
    <row r="701" spans="1:28" ht="15.75" customHeight="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71"/>
      <c r="M701" s="271"/>
      <c r="N701" s="314"/>
      <c r="O701" s="314"/>
      <c r="P701" s="314"/>
      <c r="Q701" s="263"/>
      <c r="R701" s="263"/>
      <c r="S701" s="263"/>
      <c r="T701" s="263"/>
      <c r="U701" s="263"/>
      <c r="V701" s="263"/>
      <c r="W701" s="263"/>
      <c r="X701" s="71"/>
      <c r="Y701" s="71"/>
      <c r="Z701" s="71"/>
      <c r="AA701" s="71"/>
      <c r="AB701" s="71"/>
    </row>
    <row r="702" spans="1:28" ht="15.75" customHeight="1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71"/>
      <c r="M702" s="271"/>
      <c r="N702" s="314"/>
      <c r="O702" s="314"/>
      <c r="P702" s="314"/>
      <c r="Q702" s="263"/>
      <c r="R702" s="263"/>
      <c r="S702" s="263"/>
      <c r="T702" s="263"/>
      <c r="U702" s="263"/>
      <c r="V702" s="263"/>
      <c r="W702" s="263"/>
      <c r="X702" s="71"/>
      <c r="Y702" s="71"/>
      <c r="Z702" s="71"/>
      <c r="AA702" s="71"/>
      <c r="AB702" s="71"/>
    </row>
    <row r="703" spans="1:28" ht="15.75" customHeight="1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71"/>
      <c r="M703" s="271"/>
      <c r="N703" s="314"/>
      <c r="O703" s="314"/>
      <c r="P703" s="314"/>
      <c r="Q703" s="263"/>
      <c r="R703" s="263"/>
      <c r="S703" s="263"/>
      <c r="T703" s="263"/>
      <c r="U703" s="263"/>
      <c r="V703" s="263"/>
      <c r="W703" s="263"/>
      <c r="X703" s="71"/>
      <c r="Y703" s="71"/>
      <c r="Z703" s="71"/>
      <c r="AA703" s="71"/>
      <c r="AB703" s="71"/>
    </row>
    <row r="704" spans="1:28" ht="15.75" customHeight="1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71"/>
      <c r="M704" s="271"/>
      <c r="N704" s="314"/>
      <c r="O704" s="314"/>
      <c r="P704" s="314"/>
      <c r="Q704" s="263"/>
      <c r="R704" s="263"/>
      <c r="S704" s="263"/>
      <c r="T704" s="263"/>
      <c r="U704" s="263"/>
      <c r="V704" s="263"/>
      <c r="W704" s="263"/>
      <c r="X704" s="71"/>
      <c r="Y704" s="71"/>
      <c r="Z704" s="71"/>
      <c r="AA704" s="71"/>
      <c r="AB704" s="71"/>
    </row>
    <row r="705" spans="1:28" ht="15.75" customHeight="1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71"/>
      <c r="M705" s="271"/>
      <c r="N705" s="314"/>
      <c r="O705" s="314"/>
      <c r="P705" s="314"/>
      <c r="Q705" s="263"/>
      <c r="R705" s="263"/>
      <c r="S705" s="263"/>
      <c r="T705" s="263"/>
      <c r="U705" s="263"/>
      <c r="V705" s="263"/>
      <c r="W705" s="263"/>
      <c r="X705" s="71"/>
      <c r="Y705" s="71"/>
      <c r="Z705" s="71"/>
      <c r="AA705" s="71"/>
      <c r="AB705" s="71"/>
    </row>
    <row r="706" spans="1:28" ht="15.75" customHeight="1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71"/>
      <c r="M706" s="271"/>
      <c r="N706" s="314"/>
      <c r="O706" s="314"/>
      <c r="P706" s="314"/>
      <c r="Q706" s="263"/>
      <c r="R706" s="263"/>
      <c r="S706" s="263"/>
      <c r="T706" s="263"/>
      <c r="U706" s="263"/>
      <c r="V706" s="263"/>
      <c r="W706" s="263"/>
      <c r="X706" s="71"/>
      <c r="Y706" s="71"/>
      <c r="Z706" s="71"/>
      <c r="AA706" s="71"/>
      <c r="AB706" s="71"/>
    </row>
    <row r="707" spans="1:28" ht="15.75" customHeight="1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71"/>
      <c r="M707" s="271"/>
      <c r="N707" s="314"/>
      <c r="O707" s="314"/>
      <c r="P707" s="314"/>
      <c r="Q707" s="263"/>
      <c r="R707" s="263"/>
      <c r="S707" s="263"/>
      <c r="T707" s="263"/>
      <c r="U707" s="263"/>
      <c r="V707" s="263"/>
      <c r="W707" s="263"/>
      <c r="X707" s="71"/>
      <c r="Y707" s="71"/>
      <c r="Z707" s="71"/>
      <c r="AA707" s="71"/>
      <c r="AB707" s="71"/>
    </row>
    <row r="708" spans="1:28" ht="15.75" customHeight="1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71"/>
      <c r="M708" s="271"/>
      <c r="N708" s="314"/>
      <c r="O708" s="314"/>
      <c r="P708" s="314"/>
      <c r="Q708" s="263"/>
      <c r="R708" s="263"/>
      <c r="S708" s="263"/>
      <c r="T708" s="263"/>
      <c r="U708" s="263"/>
      <c r="V708" s="263"/>
      <c r="W708" s="263"/>
      <c r="X708" s="71"/>
      <c r="Y708" s="71"/>
      <c r="Z708" s="71"/>
      <c r="AA708" s="71"/>
      <c r="AB708" s="71"/>
    </row>
    <row r="709" spans="1:28" ht="15.75" customHeight="1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71"/>
      <c r="M709" s="271"/>
      <c r="N709" s="314"/>
      <c r="O709" s="314"/>
      <c r="P709" s="314"/>
      <c r="Q709" s="263"/>
      <c r="R709" s="263"/>
      <c r="S709" s="263"/>
      <c r="T709" s="263"/>
      <c r="U709" s="263"/>
      <c r="V709" s="263"/>
      <c r="W709" s="263"/>
      <c r="X709" s="71"/>
      <c r="Y709" s="71"/>
      <c r="Z709" s="71"/>
      <c r="AA709" s="71"/>
      <c r="AB709" s="71"/>
    </row>
    <row r="710" spans="1:28" ht="15.75" customHeight="1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71"/>
      <c r="M710" s="271"/>
      <c r="N710" s="314"/>
      <c r="O710" s="314"/>
      <c r="P710" s="314"/>
      <c r="Q710" s="263"/>
      <c r="R710" s="263"/>
      <c r="S710" s="263"/>
      <c r="T710" s="263"/>
      <c r="U710" s="263"/>
      <c r="V710" s="263"/>
      <c r="W710" s="263"/>
      <c r="X710" s="71"/>
      <c r="Y710" s="71"/>
      <c r="Z710" s="71"/>
      <c r="AA710" s="71"/>
      <c r="AB710" s="71"/>
    </row>
    <row r="711" spans="1:28" ht="15.75" customHeight="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71"/>
      <c r="M711" s="271"/>
      <c r="N711" s="314"/>
      <c r="O711" s="314"/>
      <c r="P711" s="314"/>
      <c r="Q711" s="263"/>
      <c r="R711" s="263"/>
      <c r="S711" s="263"/>
      <c r="T711" s="263"/>
      <c r="U711" s="263"/>
      <c r="V711" s="263"/>
      <c r="W711" s="263"/>
      <c r="X711" s="71"/>
      <c r="Y711" s="71"/>
      <c r="Z711" s="71"/>
      <c r="AA711" s="71"/>
      <c r="AB711" s="71"/>
    </row>
    <row r="712" spans="1:28" ht="15.75" customHeight="1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71"/>
      <c r="M712" s="271"/>
      <c r="N712" s="314"/>
      <c r="O712" s="314"/>
      <c r="P712" s="314"/>
      <c r="Q712" s="263"/>
      <c r="R712" s="263"/>
      <c r="S712" s="263"/>
      <c r="T712" s="263"/>
      <c r="U712" s="263"/>
      <c r="V712" s="263"/>
      <c r="W712" s="263"/>
      <c r="X712" s="71"/>
      <c r="Y712" s="71"/>
      <c r="Z712" s="71"/>
      <c r="AA712" s="71"/>
      <c r="AB712" s="71"/>
    </row>
    <row r="713" spans="1:28" ht="15.75" customHeight="1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71"/>
      <c r="M713" s="271"/>
      <c r="N713" s="314"/>
      <c r="O713" s="314"/>
      <c r="P713" s="314"/>
      <c r="Q713" s="263"/>
      <c r="R713" s="263"/>
      <c r="S713" s="263"/>
      <c r="T713" s="263"/>
      <c r="U713" s="263"/>
      <c r="V713" s="263"/>
      <c r="W713" s="263"/>
      <c r="X713" s="71"/>
      <c r="Y713" s="71"/>
      <c r="Z713" s="71"/>
      <c r="AA713" s="71"/>
      <c r="AB713" s="71"/>
    </row>
    <row r="714" spans="1:28" ht="15.75" customHeight="1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71"/>
      <c r="M714" s="271"/>
      <c r="N714" s="314"/>
      <c r="O714" s="314"/>
      <c r="P714" s="314"/>
      <c r="Q714" s="263"/>
      <c r="R714" s="263"/>
      <c r="S714" s="263"/>
      <c r="T714" s="263"/>
      <c r="U714" s="263"/>
      <c r="V714" s="263"/>
      <c r="W714" s="263"/>
      <c r="X714" s="71"/>
      <c r="Y714" s="71"/>
      <c r="Z714" s="71"/>
      <c r="AA714" s="71"/>
      <c r="AB714" s="71"/>
    </row>
    <row r="715" spans="1:28" ht="15.75" customHeight="1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71"/>
      <c r="M715" s="271"/>
      <c r="N715" s="314"/>
      <c r="O715" s="314"/>
      <c r="P715" s="314"/>
      <c r="Q715" s="263"/>
      <c r="R715" s="263"/>
      <c r="S715" s="263"/>
      <c r="T715" s="263"/>
      <c r="U715" s="263"/>
      <c r="V715" s="263"/>
      <c r="W715" s="263"/>
      <c r="X715" s="71"/>
      <c r="Y715" s="71"/>
      <c r="Z715" s="71"/>
      <c r="AA715" s="71"/>
      <c r="AB715" s="71"/>
    </row>
    <row r="716" spans="1:28" ht="15.75" customHeight="1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71"/>
      <c r="M716" s="271"/>
      <c r="N716" s="314"/>
      <c r="O716" s="314"/>
      <c r="P716" s="314"/>
      <c r="Q716" s="263"/>
      <c r="R716" s="263"/>
      <c r="S716" s="263"/>
      <c r="T716" s="263"/>
      <c r="U716" s="263"/>
      <c r="V716" s="263"/>
      <c r="W716" s="263"/>
      <c r="X716" s="71"/>
      <c r="Y716" s="71"/>
      <c r="Z716" s="71"/>
      <c r="AA716" s="71"/>
      <c r="AB716" s="71"/>
    </row>
    <row r="717" spans="1:28" ht="15.75" customHeight="1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71"/>
      <c r="M717" s="271"/>
      <c r="N717" s="314"/>
      <c r="O717" s="314"/>
      <c r="P717" s="314"/>
      <c r="Q717" s="263"/>
      <c r="R717" s="263"/>
      <c r="S717" s="263"/>
      <c r="T717" s="263"/>
      <c r="U717" s="263"/>
      <c r="V717" s="263"/>
      <c r="W717" s="263"/>
      <c r="X717" s="71"/>
      <c r="Y717" s="71"/>
      <c r="Z717" s="71"/>
      <c r="AA717" s="71"/>
      <c r="AB717" s="71"/>
    </row>
    <row r="718" spans="1:28" ht="15.75" customHeight="1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71"/>
      <c r="M718" s="271"/>
      <c r="N718" s="314"/>
      <c r="O718" s="314"/>
      <c r="P718" s="314"/>
      <c r="Q718" s="263"/>
      <c r="R718" s="263"/>
      <c r="S718" s="263"/>
      <c r="T718" s="263"/>
      <c r="U718" s="263"/>
      <c r="V718" s="263"/>
      <c r="W718" s="263"/>
      <c r="X718" s="71"/>
      <c r="Y718" s="71"/>
      <c r="Z718" s="71"/>
      <c r="AA718" s="71"/>
      <c r="AB718" s="71"/>
    </row>
    <row r="719" spans="1:28" ht="15.75" customHeight="1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71"/>
      <c r="M719" s="271"/>
      <c r="N719" s="314"/>
      <c r="O719" s="314"/>
      <c r="P719" s="314"/>
      <c r="Q719" s="263"/>
      <c r="R719" s="263"/>
      <c r="S719" s="263"/>
      <c r="T719" s="263"/>
      <c r="U719" s="263"/>
      <c r="V719" s="263"/>
      <c r="W719" s="263"/>
      <c r="X719" s="71"/>
      <c r="Y719" s="71"/>
      <c r="Z719" s="71"/>
      <c r="AA719" s="71"/>
      <c r="AB719" s="71"/>
    </row>
    <row r="720" spans="1:28" ht="15.75" customHeight="1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71"/>
      <c r="M720" s="271"/>
      <c r="N720" s="314"/>
      <c r="O720" s="314"/>
      <c r="P720" s="314"/>
      <c r="Q720" s="263"/>
      <c r="R720" s="263"/>
      <c r="S720" s="263"/>
      <c r="T720" s="263"/>
      <c r="U720" s="263"/>
      <c r="V720" s="263"/>
      <c r="W720" s="263"/>
      <c r="X720" s="71"/>
      <c r="Y720" s="71"/>
      <c r="Z720" s="71"/>
      <c r="AA720" s="71"/>
      <c r="AB720" s="71"/>
    </row>
    <row r="721" spans="1:28" ht="15.75" customHeight="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71"/>
      <c r="M721" s="271"/>
      <c r="N721" s="314"/>
      <c r="O721" s="314"/>
      <c r="P721" s="314"/>
      <c r="Q721" s="263"/>
      <c r="R721" s="263"/>
      <c r="S721" s="263"/>
      <c r="T721" s="263"/>
      <c r="U721" s="263"/>
      <c r="V721" s="263"/>
      <c r="W721" s="263"/>
      <c r="X721" s="71"/>
      <c r="Y721" s="71"/>
      <c r="Z721" s="71"/>
      <c r="AA721" s="71"/>
      <c r="AB721" s="71"/>
    </row>
    <row r="722" spans="1:28" ht="15.75" customHeight="1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71"/>
      <c r="M722" s="271"/>
      <c r="N722" s="314"/>
      <c r="O722" s="314"/>
      <c r="P722" s="314"/>
      <c r="Q722" s="263"/>
      <c r="R722" s="263"/>
      <c r="S722" s="263"/>
      <c r="T722" s="263"/>
      <c r="U722" s="263"/>
      <c r="V722" s="263"/>
      <c r="W722" s="263"/>
      <c r="X722" s="71"/>
      <c r="Y722" s="71"/>
      <c r="Z722" s="71"/>
      <c r="AA722" s="71"/>
      <c r="AB722" s="71"/>
    </row>
    <row r="723" spans="1:28" ht="15.75" customHeight="1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71"/>
      <c r="M723" s="271"/>
      <c r="N723" s="314"/>
      <c r="O723" s="314"/>
      <c r="P723" s="314"/>
      <c r="Q723" s="263"/>
      <c r="R723" s="263"/>
      <c r="S723" s="263"/>
      <c r="T723" s="263"/>
      <c r="U723" s="263"/>
      <c r="V723" s="263"/>
      <c r="W723" s="263"/>
      <c r="X723" s="71"/>
      <c r="Y723" s="71"/>
      <c r="Z723" s="71"/>
      <c r="AA723" s="71"/>
      <c r="AB723" s="71"/>
    </row>
    <row r="724" spans="1:28" ht="15.75" customHeight="1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71"/>
      <c r="M724" s="271"/>
      <c r="N724" s="314"/>
      <c r="O724" s="314"/>
      <c r="P724" s="314"/>
      <c r="Q724" s="263"/>
      <c r="R724" s="263"/>
      <c r="S724" s="263"/>
      <c r="T724" s="263"/>
      <c r="U724" s="263"/>
      <c r="V724" s="263"/>
      <c r="W724" s="263"/>
      <c r="X724" s="71"/>
      <c r="Y724" s="71"/>
      <c r="Z724" s="71"/>
      <c r="AA724" s="71"/>
      <c r="AB724" s="71"/>
    </row>
    <row r="725" spans="1:28" ht="15.75" customHeight="1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71"/>
      <c r="M725" s="271"/>
      <c r="N725" s="314"/>
      <c r="O725" s="314"/>
      <c r="P725" s="314"/>
      <c r="Q725" s="263"/>
      <c r="R725" s="263"/>
      <c r="S725" s="263"/>
      <c r="T725" s="263"/>
      <c r="U725" s="263"/>
      <c r="V725" s="263"/>
      <c r="W725" s="263"/>
      <c r="X725" s="71"/>
      <c r="Y725" s="71"/>
      <c r="Z725" s="71"/>
      <c r="AA725" s="71"/>
      <c r="AB725" s="71"/>
    </row>
    <row r="726" spans="1:28" ht="15.75" customHeight="1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71"/>
      <c r="M726" s="271"/>
      <c r="N726" s="314"/>
      <c r="O726" s="314"/>
      <c r="P726" s="314"/>
      <c r="Q726" s="263"/>
      <c r="R726" s="263"/>
      <c r="S726" s="263"/>
      <c r="T726" s="263"/>
      <c r="U726" s="263"/>
      <c r="V726" s="263"/>
      <c r="W726" s="263"/>
      <c r="X726" s="71"/>
      <c r="Y726" s="71"/>
      <c r="Z726" s="71"/>
      <c r="AA726" s="71"/>
      <c r="AB726" s="71"/>
    </row>
    <row r="727" spans="1:28" ht="15.75" customHeight="1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71"/>
      <c r="M727" s="271"/>
      <c r="N727" s="314"/>
      <c r="O727" s="314"/>
      <c r="P727" s="314"/>
      <c r="Q727" s="263"/>
      <c r="R727" s="263"/>
      <c r="S727" s="263"/>
      <c r="T727" s="263"/>
      <c r="U727" s="263"/>
      <c r="V727" s="263"/>
      <c r="W727" s="263"/>
      <c r="X727" s="71"/>
      <c r="Y727" s="71"/>
      <c r="Z727" s="71"/>
      <c r="AA727" s="71"/>
      <c r="AB727" s="71"/>
    </row>
    <row r="728" spans="1:28" ht="15.75" customHeight="1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71"/>
      <c r="M728" s="271"/>
      <c r="N728" s="314"/>
      <c r="O728" s="314"/>
      <c r="P728" s="314"/>
      <c r="Q728" s="263"/>
      <c r="R728" s="263"/>
      <c r="S728" s="263"/>
      <c r="T728" s="263"/>
      <c r="U728" s="263"/>
      <c r="V728" s="263"/>
      <c r="W728" s="263"/>
      <c r="X728" s="71"/>
      <c r="Y728" s="71"/>
      <c r="Z728" s="71"/>
      <c r="AA728" s="71"/>
      <c r="AB728" s="71"/>
    </row>
    <row r="729" spans="1:28" ht="15.75" customHeight="1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71"/>
      <c r="M729" s="271"/>
      <c r="N729" s="314"/>
      <c r="O729" s="314"/>
      <c r="P729" s="314"/>
      <c r="Q729" s="263"/>
      <c r="R729" s="263"/>
      <c r="S729" s="263"/>
      <c r="T729" s="263"/>
      <c r="U729" s="263"/>
      <c r="V729" s="263"/>
      <c r="W729" s="263"/>
      <c r="X729" s="71"/>
      <c r="Y729" s="71"/>
      <c r="Z729" s="71"/>
      <c r="AA729" s="71"/>
      <c r="AB729" s="71"/>
    </row>
    <row r="730" spans="1:28" ht="15.75" customHeight="1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71"/>
      <c r="M730" s="271"/>
      <c r="N730" s="314"/>
      <c r="O730" s="314"/>
      <c r="P730" s="314"/>
      <c r="Q730" s="263"/>
      <c r="R730" s="263"/>
      <c r="S730" s="263"/>
      <c r="T730" s="263"/>
      <c r="U730" s="263"/>
      <c r="V730" s="263"/>
      <c r="W730" s="263"/>
      <c r="X730" s="71"/>
      <c r="Y730" s="71"/>
      <c r="Z730" s="71"/>
      <c r="AA730" s="71"/>
      <c r="AB730" s="71"/>
    </row>
    <row r="731" spans="1:28" ht="15.75" customHeight="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71"/>
      <c r="M731" s="271"/>
      <c r="N731" s="314"/>
      <c r="O731" s="314"/>
      <c r="P731" s="314"/>
      <c r="Q731" s="263"/>
      <c r="R731" s="263"/>
      <c r="S731" s="263"/>
      <c r="T731" s="263"/>
      <c r="U731" s="263"/>
      <c r="V731" s="263"/>
      <c r="W731" s="263"/>
      <c r="X731" s="71"/>
      <c r="Y731" s="71"/>
      <c r="Z731" s="71"/>
      <c r="AA731" s="71"/>
      <c r="AB731" s="71"/>
    </row>
    <row r="732" spans="1:28" ht="15.75" customHeight="1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71"/>
      <c r="M732" s="271"/>
      <c r="N732" s="314"/>
      <c r="O732" s="314"/>
      <c r="P732" s="314"/>
      <c r="Q732" s="263"/>
      <c r="R732" s="263"/>
      <c r="S732" s="263"/>
      <c r="T732" s="263"/>
      <c r="U732" s="263"/>
      <c r="V732" s="263"/>
      <c r="W732" s="263"/>
      <c r="X732" s="71"/>
      <c r="Y732" s="71"/>
      <c r="Z732" s="71"/>
      <c r="AA732" s="71"/>
      <c r="AB732" s="71"/>
    </row>
    <row r="733" spans="1:28" ht="15.75" customHeight="1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71"/>
      <c r="M733" s="271"/>
      <c r="N733" s="314"/>
      <c r="O733" s="314"/>
      <c r="P733" s="314"/>
      <c r="Q733" s="263"/>
      <c r="R733" s="263"/>
      <c r="S733" s="263"/>
      <c r="T733" s="263"/>
      <c r="U733" s="263"/>
      <c r="V733" s="263"/>
      <c r="W733" s="263"/>
      <c r="X733" s="71"/>
      <c r="Y733" s="71"/>
      <c r="Z733" s="71"/>
      <c r="AA733" s="71"/>
      <c r="AB733" s="71"/>
    </row>
    <row r="734" spans="1:28" ht="15.75" customHeight="1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71"/>
      <c r="M734" s="271"/>
      <c r="N734" s="314"/>
      <c r="O734" s="314"/>
      <c r="P734" s="314"/>
      <c r="Q734" s="263"/>
      <c r="R734" s="263"/>
      <c r="S734" s="263"/>
      <c r="T734" s="263"/>
      <c r="U734" s="263"/>
      <c r="V734" s="263"/>
      <c r="W734" s="263"/>
      <c r="X734" s="71"/>
      <c r="Y734" s="71"/>
      <c r="Z734" s="71"/>
      <c r="AA734" s="71"/>
      <c r="AB734" s="71"/>
    </row>
    <row r="735" spans="1:28" ht="15.75" customHeight="1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71"/>
      <c r="M735" s="271"/>
      <c r="N735" s="314"/>
      <c r="O735" s="314"/>
      <c r="P735" s="314"/>
      <c r="Q735" s="263"/>
      <c r="R735" s="263"/>
      <c r="S735" s="263"/>
      <c r="T735" s="263"/>
      <c r="U735" s="263"/>
      <c r="V735" s="263"/>
      <c r="W735" s="263"/>
      <c r="X735" s="71"/>
      <c r="Y735" s="71"/>
      <c r="Z735" s="71"/>
      <c r="AA735" s="71"/>
      <c r="AB735" s="71"/>
    </row>
    <row r="736" spans="1:28" ht="15.75" customHeight="1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71"/>
      <c r="M736" s="271"/>
      <c r="N736" s="314"/>
      <c r="O736" s="314"/>
      <c r="P736" s="314"/>
      <c r="Q736" s="263"/>
      <c r="R736" s="263"/>
      <c r="S736" s="263"/>
      <c r="T736" s="263"/>
      <c r="U736" s="263"/>
      <c r="V736" s="263"/>
      <c r="W736" s="263"/>
      <c r="X736" s="71"/>
      <c r="Y736" s="71"/>
      <c r="Z736" s="71"/>
      <c r="AA736" s="71"/>
      <c r="AB736" s="71"/>
    </row>
    <row r="737" spans="1:28" ht="15.75" customHeight="1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71"/>
      <c r="M737" s="271"/>
      <c r="N737" s="314"/>
      <c r="O737" s="314"/>
      <c r="P737" s="314"/>
      <c r="Q737" s="263"/>
      <c r="R737" s="263"/>
      <c r="S737" s="263"/>
      <c r="T737" s="263"/>
      <c r="U737" s="263"/>
      <c r="V737" s="263"/>
      <c r="W737" s="263"/>
      <c r="X737" s="71"/>
      <c r="Y737" s="71"/>
      <c r="Z737" s="71"/>
      <c r="AA737" s="71"/>
      <c r="AB737" s="71"/>
    </row>
    <row r="738" spans="1:28" ht="15.75" customHeight="1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71"/>
      <c r="M738" s="271"/>
      <c r="N738" s="314"/>
      <c r="O738" s="314"/>
      <c r="P738" s="314"/>
      <c r="Q738" s="263"/>
      <c r="R738" s="263"/>
      <c r="S738" s="263"/>
      <c r="T738" s="263"/>
      <c r="U738" s="263"/>
      <c r="V738" s="263"/>
      <c r="W738" s="263"/>
      <c r="X738" s="71"/>
      <c r="Y738" s="71"/>
      <c r="Z738" s="71"/>
      <c r="AA738" s="71"/>
      <c r="AB738" s="71"/>
    </row>
    <row r="739" spans="1:28" ht="15.75" customHeight="1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71"/>
      <c r="M739" s="271"/>
      <c r="N739" s="314"/>
      <c r="O739" s="314"/>
      <c r="P739" s="314"/>
      <c r="Q739" s="263"/>
      <c r="R739" s="263"/>
      <c r="S739" s="263"/>
      <c r="T739" s="263"/>
      <c r="U739" s="263"/>
      <c r="V739" s="263"/>
      <c r="W739" s="263"/>
      <c r="X739" s="71"/>
      <c r="Y739" s="71"/>
      <c r="Z739" s="71"/>
      <c r="AA739" s="71"/>
      <c r="AB739" s="71"/>
    </row>
    <row r="740" spans="1:28" ht="15.75" customHeight="1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71"/>
      <c r="M740" s="271"/>
      <c r="N740" s="314"/>
      <c r="O740" s="314"/>
      <c r="P740" s="314"/>
      <c r="Q740" s="263"/>
      <c r="R740" s="263"/>
      <c r="S740" s="263"/>
      <c r="T740" s="263"/>
      <c r="U740" s="263"/>
      <c r="V740" s="263"/>
      <c r="W740" s="263"/>
      <c r="X740" s="71"/>
      <c r="Y740" s="71"/>
      <c r="Z740" s="71"/>
      <c r="AA740" s="71"/>
      <c r="AB740" s="71"/>
    </row>
    <row r="741" spans="1:28" ht="15.75" customHeight="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71"/>
      <c r="M741" s="271"/>
      <c r="N741" s="314"/>
      <c r="O741" s="314"/>
      <c r="P741" s="314"/>
      <c r="Q741" s="263"/>
      <c r="R741" s="263"/>
      <c r="S741" s="263"/>
      <c r="T741" s="263"/>
      <c r="U741" s="263"/>
      <c r="V741" s="263"/>
      <c r="W741" s="263"/>
      <c r="X741" s="71"/>
      <c r="Y741" s="71"/>
      <c r="Z741" s="71"/>
      <c r="AA741" s="71"/>
      <c r="AB741" s="71"/>
    </row>
    <row r="742" spans="1:28" ht="15.75" customHeight="1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71"/>
      <c r="M742" s="271"/>
      <c r="N742" s="314"/>
      <c r="O742" s="314"/>
      <c r="P742" s="314"/>
      <c r="Q742" s="263"/>
      <c r="R742" s="263"/>
      <c r="S742" s="263"/>
      <c r="T742" s="263"/>
      <c r="U742" s="263"/>
      <c r="V742" s="263"/>
      <c r="W742" s="263"/>
      <c r="X742" s="71"/>
      <c r="Y742" s="71"/>
      <c r="Z742" s="71"/>
      <c r="AA742" s="71"/>
      <c r="AB742" s="71"/>
    </row>
    <row r="743" spans="1:28" ht="15.75" customHeight="1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71"/>
      <c r="M743" s="271"/>
      <c r="N743" s="314"/>
      <c r="O743" s="314"/>
      <c r="P743" s="314"/>
      <c r="Q743" s="263"/>
      <c r="R743" s="263"/>
      <c r="S743" s="263"/>
      <c r="T743" s="263"/>
      <c r="U743" s="263"/>
      <c r="V743" s="263"/>
      <c r="W743" s="263"/>
      <c r="X743" s="71"/>
      <c r="Y743" s="71"/>
      <c r="Z743" s="71"/>
      <c r="AA743" s="71"/>
      <c r="AB743" s="71"/>
    </row>
    <row r="744" spans="1:28" ht="15.75" customHeight="1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71"/>
      <c r="M744" s="271"/>
      <c r="N744" s="314"/>
      <c r="O744" s="314"/>
      <c r="P744" s="314"/>
      <c r="Q744" s="263"/>
      <c r="R744" s="263"/>
      <c r="S744" s="263"/>
      <c r="T744" s="263"/>
      <c r="U744" s="263"/>
      <c r="V744" s="263"/>
      <c r="W744" s="263"/>
      <c r="X744" s="71"/>
      <c r="Y744" s="71"/>
      <c r="Z744" s="71"/>
      <c r="AA744" s="71"/>
      <c r="AB744" s="71"/>
    </row>
    <row r="745" spans="1:28" ht="15.75" customHeight="1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71"/>
      <c r="M745" s="271"/>
      <c r="N745" s="314"/>
      <c r="O745" s="314"/>
      <c r="P745" s="314"/>
      <c r="Q745" s="263"/>
      <c r="R745" s="263"/>
      <c r="S745" s="263"/>
      <c r="T745" s="263"/>
      <c r="U745" s="263"/>
      <c r="V745" s="263"/>
      <c r="W745" s="263"/>
      <c r="X745" s="71"/>
      <c r="Y745" s="71"/>
      <c r="Z745" s="71"/>
      <c r="AA745" s="71"/>
      <c r="AB745" s="71"/>
    </row>
    <row r="746" spans="1:28" ht="15.75" customHeight="1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71"/>
      <c r="M746" s="271"/>
      <c r="N746" s="314"/>
      <c r="O746" s="314"/>
      <c r="P746" s="314"/>
      <c r="Q746" s="263"/>
      <c r="R746" s="263"/>
      <c r="S746" s="263"/>
      <c r="T746" s="263"/>
      <c r="U746" s="263"/>
      <c r="V746" s="263"/>
      <c r="W746" s="263"/>
      <c r="X746" s="71"/>
      <c r="Y746" s="71"/>
      <c r="Z746" s="71"/>
      <c r="AA746" s="71"/>
      <c r="AB746" s="71"/>
    </row>
    <row r="747" spans="1:28" ht="15.75" customHeight="1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71"/>
      <c r="M747" s="271"/>
      <c r="N747" s="314"/>
      <c r="O747" s="314"/>
      <c r="P747" s="314"/>
      <c r="Q747" s="263"/>
      <c r="R747" s="263"/>
      <c r="S747" s="263"/>
      <c r="T747" s="263"/>
      <c r="U747" s="263"/>
      <c r="V747" s="263"/>
      <c r="W747" s="263"/>
      <c r="X747" s="71"/>
      <c r="Y747" s="71"/>
      <c r="Z747" s="71"/>
      <c r="AA747" s="71"/>
      <c r="AB747" s="71"/>
    </row>
    <row r="748" spans="1:28" ht="15.75" customHeight="1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71"/>
      <c r="M748" s="271"/>
      <c r="N748" s="314"/>
      <c r="O748" s="314"/>
      <c r="P748" s="314"/>
      <c r="Q748" s="263"/>
      <c r="R748" s="263"/>
      <c r="S748" s="263"/>
      <c r="T748" s="263"/>
      <c r="U748" s="263"/>
      <c r="V748" s="263"/>
      <c r="W748" s="263"/>
      <c r="X748" s="71"/>
      <c r="Y748" s="71"/>
      <c r="Z748" s="71"/>
      <c r="AA748" s="71"/>
      <c r="AB748" s="71"/>
    </row>
    <row r="749" spans="1:28" ht="15.75" customHeight="1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71"/>
      <c r="M749" s="271"/>
      <c r="N749" s="314"/>
      <c r="O749" s="314"/>
      <c r="P749" s="314"/>
      <c r="Q749" s="263"/>
      <c r="R749" s="263"/>
      <c r="S749" s="263"/>
      <c r="T749" s="263"/>
      <c r="U749" s="263"/>
      <c r="V749" s="263"/>
      <c r="W749" s="263"/>
      <c r="X749" s="71"/>
      <c r="Y749" s="71"/>
      <c r="Z749" s="71"/>
      <c r="AA749" s="71"/>
      <c r="AB749" s="71"/>
    </row>
    <row r="750" spans="1:28" ht="15.75" customHeight="1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71"/>
      <c r="M750" s="271"/>
      <c r="N750" s="314"/>
      <c r="O750" s="314"/>
      <c r="P750" s="314"/>
      <c r="Q750" s="263"/>
      <c r="R750" s="263"/>
      <c r="S750" s="263"/>
      <c r="T750" s="263"/>
      <c r="U750" s="263"/>
      <c r="V750" s="263"/>
      <c r="W750" s="263"/>
      <c r="X750" s="71"/>
      <c r="Y750" s="71"/>
      <c r="Z750" s="71"/>
      <c r="AA750" s="71"/>
      <c r="AB750" s="71"/>
    </row>
    <row r="751" spans="1:28" ht="15.75" customHeight="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71"/>
      <c r="M751" s="271"/>
      <c r="N751" s="314"/>
      <c r="O751" s="314"/>
      <c r="P751" s="314"/>
      <c r="Q751" s="263"/>
      <c r="R751" s="263"/>
      <c r="S751" s="263"/>
      <c r="T751" s="263"/>
      <c r="U751" s="263"/>
      <c r="V751" s="263"/>
      <c r="W751" s="263"/>
      <c r="X751" s="71"/>
      <c r="Y751" s="71"/>
      <c r="Z751" s="71"/>
      <c r="AA751" s="71"/>
      <c r="AB751" s="71"/>
    </row>
    <row r="752" spans="1:28" ht="15.75" customHeight="1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71"/>
      <c r="M752" s="271"/>
      <c r="N752" s="314"/>
      <c r="O752" s="314"/>
      <c r="P752" s="314"/>
      <c r="Q752" s="263"/>
      <c r="R752" s="263"/>
      <c r="S752" s="263"/>
      <c r="T752" s="263"/>
      <c r="U752" s="263"/>
      <c r="V752" s="263"/>
      <c r="W752" s="263"/>
      <c r="X752" s="71"/>
      <c r="Y752" s="71"/>
      <c r="Z752" s="71"/>
      <c r="AA752" s="71"/>
      <c r="AB752" s="71"/>
    </row>
    <row r="753" spans="1:28" ht="15.75" customHeight="1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71"/>
      <c r="M753" s="271"/>
      <c r="N753" s="314"/>
      <c r="O753" s="314"/>
      <c r="P753" s="314"/>
      <c r="Q753" s="263"/>
      <c r="R753" s="263"/>
      <c r="S753" s="263"/>
      <c r="T753" s="263"/>
      <c r="U753" s="263"/>
      <c r="V753" s="263"/>
      <c r="W753" s="263"/>
      <c r="X753" s="71"/>
      <c r="Y753" s="71"/>
      <c r="Z753" s="71"/>
      <c r="AA753" s="71"/>
      <c r="AB753" s="71"/>
    </row>
    <row r="754" spans="1:28" ht="15.75" customHeight="1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71"/>
      <c r="M754" s="271"/>
      <c r="N754" s="314"/>
      <c r="O754" s="314"/>
      <c r="P754" s="314"/>
      <c r="Q754" s="263"/>
      <c r="R754" s="263"/>
      <c r="S754" s="263"/>
      <c r="T754" s="263"/>
      <c r="U754" s="263"/>
      <c r="V754" s="263"/>
      <c r="W754" s="263"/>
      <c r="X754" s="71"/>
      <c r="Y754" s="71"/>
      <c r="Z754" s="71"/>
      <c r="AA754" s="71"/>
      <c r="AB754" s="71"/>
    </row>
    <row r="755" spans="1:28" ht="15.75" customHeight="1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71"/>
      <c r="M755" s="271"/>
      <c r="N755" s="314"/>
      <c r="O755" s="314"/>
      <c r="P755" s="314"/>
      <c r="Q755" s="263"/>
      <c r="R755" s="263"/>
      <c r="S755" s="263"/>
      <c r="T755" s="263"/>
      <c r="U755" s="263"/>
      <c r="V755" s="263"/>
      <c r="W755" s="263"/>
      <c r="X755" s="71"/>
      <c r="Y755" s="71"/>
      <c r="Z755" s="71"/>
      <c r="AA755" s="71"/>
      <c r="AB755" s="71"/>
    </row>
    <row r="756" spans="1:28" ht="15.75" customHeight="1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71"/>
      <c r="M756" s="271"/>
      <c r="N756" s="314"/>
      <c r="O756" s="314"/>
      <c r="P756" s="314"/>
      <c r="Q756" s="263"/>
      <c r="R756" s="263"/>
      <c r="S756" s="263"/>
      <c r="T756" s="263"/>
      <c r="U756" s="263"/>
      <c r="V756" s="263"/>
      <c r="W756" s="263"/>
      <c r="X756" s="71"/>
      <c r="Y756" s="71"/>
      <c r="Z756" s="71"/>
      <c r="AA756" s="71"/>
      <c r="AB756" s="71"/>
    </row>
    <row r="757" spans="1:28" ht="15.75" customHeight="1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71"/>
      <c r="M757" s="271"/>
      <c r="N757" s="314"/>
      <c r="O757" s="314"/>
      <c r="P757" s="314"/>
      <c r="Q757" s="263"/>
      <c r="R757" s="263"/>
      <c r="S757" s="263"/>
      <c r="T757" s="263"/>
      <c r="U757" s="263"/>
      <c r="V757" s="263"/>
      <c r="W757" s="263"/>
      <c r="X757" s="71"/>
      <c r="Y757" s="71"/>
      <c r="Z757" s="71"/>
      <c r="AA757" s="71"/>
      <c r="AB757" s="71"/>
    </row>
    <row r="758" spans="1:28" ht="15.75" customHeight="1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71"/>
      <c r="M758" s="271"/>
      <c r="N758" s="314"/>
      <c r="O758" s="314"/>
      <c r="P758" s="314"/>
      <c r="Q758" s="263"/>
      <c r="R758" s="263"/>
      <c r="S758" s="263"/>
      <c r="T758" s="263"/>
      <c r="U758" s="263"/>
      <c r="V758" s="263"/>
      <c r="W758" s="263"/>
      <c r="X758" s="71"/>
      <c r="Y758" s="71"/>
      <c r="Z758" s="71"/>
      <c r="AA758" s="71"/>
      <c r="AB758" s="71"/>
    </row>
    <row r="759" spans="1:28" ht="15.75" customHeight="1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71"/>
      <c r="M759" s="271"/>
      <c r="N759" s="314"/>
      <c r="O759" s="314"/>
      <c r="P759" s="314"/>
      <c r="Q759" s="263"/>
      <c r="R759" s="263"/>
      <c r="S759" s="263"/>
      <c r="T759" s="263"/>
      <c r="U759" s="263"/>
      <c r="V759" s="263"/>
      <c r="W759" s="263"/>
      <c r="X759" s="71"/>
      <c r="Y759" s="71"/>
      <c r="Z759" s="71"/>
      <c r="AA759" s="71"/>
      <c r="AB759" s="71"/>
    </row>
    <row r="760" spans="1:28" ht="15.75" customHeight="1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71"/>
      <c r="M760" s="271"/>
      <c r="N760" s="314"/>
      <c r="O760" s="314"/>
      <c r="P760" s="314"/>
      <c r="Q760" s="263"/>
      <c r="R760" s="263"/>
      <c r="S760" s="263"/>
      <c r="T760" s="263"/>
      <c r="U760" s="263"/>
      <c r="V760" s="263"/>
      <c r="W760" s="263"/>
      <c r="X760" s="71"/>
      <c r="Y760" s="71"/>
      <c r="Z760" s="71"/>
      <c r="AA760" s="71"/>
      <c r="AB760" s="71"/>
    </row>
    <row r="761" spans="1:28" ht="15.75" customHeight="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71"/>
      <c r="M761" s="271"/>
      <c r="N761" s="314"/>
      <c r="O761" s="314"/>
      <c r="P761" s="314"/>
      <c r="Q761" s="263"/>
      <c r="R761" s="263"/>
      <c r="S761" s="263"/>
      <c r="T761" s="263"/>
      <c r="U761" s="263"/>
      <c r="V761" s="263"/>
      <c r="W761" s="263"/>
      <c r="X761" s="71"/>
      <c r="Y761" s="71"/>
      <c r="Z761" s="71"/>
      <c r="AA761" s="71"/>
      <c r="AB761" s="71"/>
    </row>
    <row r="762" spans="1:28" ht="15.75" customHeight="1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71"/>
      <c r="M762" s="271"/>
      <c r="N762" s="314"/>
      <c r="O762" s="314"/>
      <c r="P762" s="314"/>
      <c r="Q762" s="263"/>
      <c r="R762" s="263"/>
      <c r="S762" s="263"/>
      <c r="T762" s="263"/>
      <c r="U762" s="263"/>
      <c r="V762" s="263"/>
      <c r="W762" s="263"/>
      <c r="X762" s="71"/>
      <c r="Y762" s="71"/>
      <c r="Z762" s="71"/>
      <c r="AA762" s="71"/>
      <c r="AB762" s="71"/>
    </row>
    <row r="763" spans="1:28" ht="15.75" customHeight="1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71"/>
      <c r="M763" s="271"/>
      <c r="N763" s="314"/>
      <c r="O763" s="314"/>
      <c r="P763" s="314"/>
      <c r="Q763" s="263"/>
      <c r="R763" s="263"/>
      <c r="S763" s="263"/>
      <c r="T763" s="263"/>
      <c r="U763" s="263"/>
      <c r="V763" s="263"/>
      <c r="W763" s="263"/>
      <c r="X763" s="71"/>
      <c r="Y763" s="71"/>
      <c r="Z763" s="71"/>
      <c r="AA763" s="71"/>
      <c r="AB763" s="71"/>
    </row>
    <row r="764" spans="1:28" ht="15.75" customHeight="1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71"/>
      <c r="M764" s="271"/>
      <c r="N764" s="314"/>
      <c r="O764" s="314"/>
      <c r="P764" s="314"/>
      <c r="Q764" s="263"/>
      <c r="R764" s="263"/>
      <c r="S764" s="263"/>
      <c r="T764" s="263"/>
      <c r="U764" s="263"/>
      <c r="V764" s="263"/>
      <c r="W764" s="263"/>
      <c r="X764" s="71"/>
      <c r="Y764" s="71"/>
      <c r="Z764" s="71"/>
      <c r="AA764" s="71"/>
      <c r="AB764" s="71"/>
    </row>
    <row r="765" spans="1:28" ht="15.75" customHeight="1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71"/>
      <c r="M765" s="271"/>
      <c r="N765" s="314"/>
      <c r="O765" s="314"/>
      <c r="P765" s="314"/>
      <c r="Q765" s="263"/>
      <c r="R765" s="263"/>
      <c r="S765" s="263"/>
      <c r="T765" s="263"/>
      <c r="U765" s="263"/>
      <c r="V765" s="263"/>
      <c r="W765" s="263"/>
      <c r="X765" s="71"/>
      <c r="Y765" s="71"/>
      <c r="Z765" s="71"/>
      <c r="AA765" s="71"/>
      <c r="AB765" s="71"/>
    </row>
    <row r="766" spans="1:28" ht="15.75" customHeight="1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71"/>
      <c r="M766" s="271"/>
      <c r="N766" s="314"/>
      <c r="O766" s="314"/>
      <c r="P766" s="314"/>
      <c r="Q766" s="263"/>
      <c r="R766" s="263"/>
      <c r="S766" s="263"/>
      <c r="T766" s="263"/>
      <c r="U766" s="263"/>
      <c r="V766" s="263"/>
      <c r="W766" s="263"/>
      <c r="X766" s="71"/>
      <c r="Y766" s="71"/>
      <c r="Z766" s="71"/>
      <c r="AA766" s="71"/>
      <c r="AB766" s="71"/>
    </row>
    <row r="767" spans="1:28" ht="15.75" customHeight="1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71"/>
      <c r="M767" s="271"/>
      <c r="N767" s="314"/>
      <c r="O767" s="314"/>
      <c r="P767" s="314"/>
      <c r="Q767" s="263"/>
      <c r="R767" s="263"/>
      <c r="S767" s="263"/>
      <c r="T767" s="263"/>
      <c r="U767" s="263"/>
      <c r="V767" s="263"/>
      <c r="W767" s="263"/>
      <c r="X767" s="71"/>
      <c r="Y767" s="71"/>
      <c r="Z767" s="71"/>
      <c r="AA767" s="71"/>
      <c r="AB767" s="71"/>
    </row>
    <row r="768" spans="1:28" ht="15.75" customHeight="1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71"/>
      <c r="M768" s="271"/>
      <c r="N768" s="314"/>
      <c r="O768" s="314"/>
      <c r="P768" s="314"/>
      <c r="Q768" s="263"/>
      <c r="R768" s="263"/>
      <c r="S768" s="263"/>
      <c r="T768" s="263"/>
      <c r="U768" s="263"/>
      <c r="V768" s="263"/>
      <c r="W768" s="263"/>
      <c r="X768" s="71"/>
      <c r="Y768" s="71"/>
      <c r="Z768" s="71"/>
      <c r="AA768" s="71"/>
      <c r="AB768" s="71"/>
    </row>
    <row r="769" spans="1:28" ht="15.75" customHeight="1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71"/>
      <c r="M769" s="271"/>
      <c r="N769" s="314"/>
      <c r="O769" s="314"/>
      <c r="P769" s="314"/>
      <c r="Q769" s="263"/>
      <c r="R769" s="263"/>
      <c r="S769" s="263"/>
      <c r="T769" s="263"/>
      <c r="U769" s="263"/>
      <c r="V769" s="263"/>
      <c r="W769" s="263"/>
      <c r="X769" s="71"/>
      <c r="Y769" s="71"/>
      <c r="Z769" s="71"/>
      <c r="AA769" s="71"/>
      <c r="AB769" s="71"/>
    </row>
    <row r="770" spans="1:28" ht="15.75" customHeight="1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71"/>
      <c r="M770" s="271"/>
      <c r="N770" s="314"/>
      <c r="O770" s="314"/>
      <c r="P770" s="314"/>
      <c r="Q770" s="263"/>
      <c r="R770" s="263"/>
      <c r="S770" s="263"/>
      <c r="T770" s="263"/>
      <c r="U770" s="263"/>
      <c r="V770" s="263"/>
      <c r="W770" s="263"/>
      <c r="X770" s="71"/>
      <c r="Y770" s="71"/>
      <c r="Z770" s="71"/>
      <c r="AA770" s="71"/>
      <c r="AB770" s="71"/>
    </row>
    <row r="771" spans="1:28" ht="15.75" customHeight="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71"/>
      <c r="M771" s="271"/>
      <c r="N771" s="314"/>
      <c r="O771" s="314"/>
      <c r="P771" s="314"/>
      <c r="Q771" s="263"/>
      <c r="R771" s="263"/>
      <c r="S771" s="263"/>
      <c r="T771" s="263"/>
      <c r="U771" s="263"/>
      <c r="V771" s="263"/>
      <c r="W771" s="263"/>
      <c r="X771" s="71"/>
      <c r="Y771" s="71"/>
      <c r="Z771" s="71"/>
      <c r="AA771" s="71"/>
      <c r="AB771" s="71"/>
    </row>
    <row r="772" spans="1:28" ht="15.75" customHeight="1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71"/>
      <c r="M772" s="271"/>
      <c r="N772" s="314"/>
      <c r="O772" s="314"/>
      <c r="P772" s="314"/>
      <c r="Q772" s="263"/>
      <c r="R772" s="263"/>
      <c r="S772" s="263"/>
      <c r="T772" s="263"/>
      <c r="U772" s="263"/>
      <c r="V772" s="263"/>
      <c r="W772" s="263"/>
      <c r="X772" s="71"/>
      <c r="Y772" s="71"/>
      <c r="Z772" s="71"/>
      <c r="AA772" s="71"/>
      <c r="AB772" s="71"/>
    </row>
    <row r="773" spans="1:28" ht="15.75" customHeight="1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71"/>
      <c r="M773" s="271"/>
      <c r="N773" s="314"/>
      <c r="O773" s="314"/>
      <c r="P773" s="314"/>
      <c r="Q773" s="263"/>
      <c r="R773" s="263"/>
      <c r="S773" s="263"/>
      <c r="T773" s="263"/>
      <c r="U773" s="263"/>
      <c r="V773" s="263"/>
      <c r="W773" s="263"/>
      <c r="X773" s="71"/>
      <c r="Y773" s="71"/>
      <c r="Z773" s="71"/>
      <c r="AA773" s="71"/>
      <c r="AB773" s="71"/>
    </row>
    <row r="774" spans="1:28" ht="15.75" customHeight="1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71"/>
      <c r="M774" s="271"/>
      <c r="N774" s="314"/>
      <c r="O774" s="314"/>
      <c r="P774" s="314"/>
      <c r="Q774" s="263"/>
      <c r="R774" s="263"/>
      <c r="S774" s="263"/>
      <c r="T774" s="263"/>
      <c r="U774" s="263"/>
      <c r="V774" s="263"/>
      <c r="W774" s="263"/>
      <c r="X774" s="71"/>
      <c r="Y774" s="71"/>
      <c r="Z774" s="71"/>
      <c r="AA774" s="71"/>
      <c r="AB774" s="71"/>
    </row>
    <row r="775" spans="1:28" ht="15.75" customHeight="1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71"/>
      <c r="M775" s="271"/>
      <c r="N775" s="314"/>
      <c r="O775" s="314"/>
      <c r="P775" s="314"/>
      <c r="Q775" s="263"/>
      <c r="R775" s="263"/>
      <c r="S775" s="263"/>
      <c r="T775" s="263"/>
      <c r="U775" s="263"/>
      <c r="V775" s="263"/>
      <c r="W775" s="263"/>
      <c r="X775" s="71"/>
      <c r="Y775" s="71"/>
      <c r="Z775" s="71"/>
      <c r="AA775" s="71"/>
      <c r="AB775" s="71"/>
    </row>
    <row r="776" spans="1:28" ht="15.75" customHeight="1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71"/>
      <c r="M776" s="271"/>
      <c r="N776" s="314"/>
      <c r="O776" s="314"/>
      <c r="P776" s="314"/>
      <c r="Q776" s="263"/>
      <c r="R776" s="263"/>
      <c r="S776" s="263"/>
      <c r="T776" s="263"/>
      <c r="U776" s="263"/>
      <c r="V776" s="263"/>
      <c r="W776" s="263"/>
      <c r="X776" s="71"/>
      <c r="Y776" s="71"/>
      <c r="Z776" s="71"/>
      <c r="AA776" s="71"/>
      <c r="AB776" s="71"/>
    </row>
    <row r="777" spans="1:28" ht="15.75" customHeight="1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71"/>
      <c r="M777" s="271"/>
      <c r="N777" s="314"/>
      <c r="O777" s="314"/>
      <c r="P777" s="314"/>
      <c r="Q777" s="263"/>
      <c r="R777" s="263"/>
      <c r="S777" s="263"/>
      <c r="T777" s="263"/>
      <c r="U777" s="263"/>
      <c r="V777" s="263"/>
      <c r="W777" s="263"/>
      <c r="X777" s="71"/>
      <c r="Y777" s="71"/>
      <c r="Z777" s="71"/>
      <c r="AA777" s="71"/>
      <c r="AB777" s="71"/>
    </row>
    <row r="778" spans="1:28" ht="15.75" customHeight="1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71"/>
      <c r="M778" s="271"/>
      <c r="N778" s="314"/>
      <c r="O778" s="314"/>
      <c r="P778" s="314"/>
      <c r="Q778" s="263"/>
      <c r="R778" s="263"/>
      <c r="S778" s="263"/>
      <c r="T778" s="263"/>
      <c r="U778" s="263"/>
      <c r="V778" s="263"/>
      <c r="W778" s="263"/>
      <c r="X778" s="71"/>
      <c r="Y778" s="71"/>
      <c r="Z778" s="71"/>
      <c r="AA778" s="71"/>
      <c r="AB778" s="71"/>
    </row>
    <row r="779" spans="1:28" ht="15.75" customHeight="1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71"/>
      <c r="M779" s="271"/>
      <c r="N779" s="314"/>
      <c r="O779" s="314"/>
      <c r="P779" s="314"/>
      <c r="Q779" s="263"/>
      <c r="R779" s="263"/>
      <c r="S779" s="263"/>
      <c r="T779" s="263"/>
      <c r="U779" s="263"/>
      <c r="V779" s="263"/>
      <c r="W779" s="263"/>
      <c r="X779" s="71"/>
      <c r="Y779" s="71"/>
      <c r="Z779" s="71"/>
      <c r="AA779" s="71"/>
      <c r="AB779" s="71"/>
    </row>
    <row r="780" spans="1:28" ht="15.75" customHeight="1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71"/>
      <c r="M780" s="271"/>
      <c r="N780" s="314"/>
      <c r="O780" s="314"/>
      <c r="P780" s="314"/>
      <c r="Q780" s="263"/>
      <c r="R780" s="263"/>
      <c r="S780" s="263"/>
      <c r="T780" s="263"/>
      <c r="U780" s="263"/>
      <c r="V780" s="263"/>
      <c r="W780" s="263"/>
      <c r="X780" s="71"/>
      <c r="Y780" s="71"/>
      <c r="Z780" s="71"/>
      <c r="AA780" s="71"/>
      <c r="AB780" s="71"/>
    </row>
    <row r="781" spans="1:28" ht="15.75" customHeight="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71"/>
      <c r="M781" s="271"/>
      <c r="N781" s="314"/>
      <c r="O781" s="314"/>
      <c r="P781" s="314"/>
      <c r="Q781" s="263"/>
      <c r="R781" s="263"/>
      <c r="S781" s="263"/>
      <c r="T781" s="263"/>
      <c r="U781" s="263"/>
      <c r="V781" s="263"/>
      <c r="W781" s="263"/>
      <c r="X781" s="71"/>
      <c r="Y781" s="71"/>
      <c r="Z781" s="71"/>
      <c r="AA781" s="71"/>
      <c r="AB781" s="71"/>
    </row>
    <row r="782" spans="1:28" ht="15.75" customHeight="1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71"/>
      <c r="M782" s="271"/>
      <c r="N782" s="314"/>
      <c r="O782" s="314"/>
      <c r="P782" s="314"/>
      <c r="Q782" s="263"/>
      <c r="R782" s="263"/>
      <c r="S782" s="263"/>
      <c r="T782" s="263"/>
      <c r="U782" s="263"/>
      <c r="V782" s="263"/>
      <c r="W782" s="263"/>
      <c r="X782" s="71"/>
      <c r="Y782" s="71"/>
      <c r="Z782" s="71"/>
      <c r="AA782" s="71"/>
      <c r="AB782" s="71"/>
    </row>
    <row r="783" spans="1:28" ht="15.75" customHeight="1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71"/>
      <c r="M783" s="271"/>
      <c r="N783" s="314"/>
      <c r="O783" s="314"/>
      <c r="P783" s="314"/>
      <c r="Q783" s="263"/>
      <c r="R783" s="263"/>
      <c r="S783" s="263"/>
      <c r="T783" s="263"/>
      <c r="U783" s="263"/>
      <c r="V783" s="263"/>
      <c r="W783" s="263"/>
      <c r="X783" s="71"/>
      <c r="Y783" s="71"/>
      <c r="Z783" s="71"/>
      <c r="AA783" s="71"/>
      <c r="AB783" s="71"/>
    </row>
    <row r="784" spans="1:28" ht="15.75" customHeight="1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71"/>
      <c r="M784" s="271"/>
      <c r="N784" s="314"/>
      <c r="O784" s="314"/>
      <c r="P784" s="314"/>
      <c r="Q784" s="263"/>
      <c r="R784" s="263"/>
      <c r="S784" s="263"/>
      <c r="T784" s="263"/>
      <c r="U784" s="263"/>
      <c r="V784" s="263"/>
      <c r="W784" s="263"/>
      <c r="X784" s="71"/>
      <c r="Y784" s="71"/>
      <c r="Z784" s="71"/>
      <c r="AA784" s="71"/>
      <c r="AB784" s="71"/>
    </row>
    <row r="785" spans="1:28" ht="15.75" customHeight="1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71"/>
      <c r="M785" s="271"/>
      <c r="N785" s="314"/>
      <c r="O785" s="314"/>
      <c r="P785" s="314"/>
      <c r="Q785" s="263"/>
      <c r="R785" s="263"/>
      <c r="S785" s="263"/>
      <c r="T785" s="263"/>
      <c r="U785" s="263"/>
      <c r="V785" s="263"/>
      <c r="W785" s="263"/>
      <c r="X785" s="71"/>
      <c r="Y785" s="71"/>
      <c r="Z785" s="71"/>
      <c r="AA785" s="71"/>
      <c r="AB785" s="71"/>
    </row>
    <row r="786" spans="1:28" ht="15.75" customHeight="1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71"/>
      <c r="M786" s="271"/>
      <c r="N786" s="314"/>
      <c r="O786" s="314"/>
      <c r="P786" s="314"/>
      <c r="Q786" s="263"/>
      <c r="R786" s="263"/>
      <c r="S786" s="263"/>
      <c r="T786" s="263"/>
      <c r="U786" s="263"/>
      <c r="V786" s="263"/>
      <c r="W786" s="263"/>
      <c r="X786" s="71"/>
      <c r="Y786" s="71"/>
      <c r="Z786" s="71"/>
      <c r="AA786" s="71"/>
      <c r="AB786" s="71"/>
    </row>
    <row r="787" spans="1:28" ht="15.75" customHeight="1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71"/>
      <c r="M787" s="271"/>
      <c r="N787" s="314"/>
      <c r="O787" s="314"/>
      <c r="P787" s="314"/>
      <c r="Q787" s="263"/>
      <c r="R787" s="263"/>
      <c r="S787" s="263"/>
      <c r="T787" s="263"/>
      <c r="U787" s="263"/>
      <c r="V787" s="263"/>
      <c r="W787" s="263"/>
      <c r="X787" s="71"/>
      <c r="Y787" s="71"/>
      <c r="Z787" s="71"/>
      <c r="AA787" s="71"/>
      <c r="AB787" s="71"/>
    </row>
    <row r="788" spans="1:28" ht="15.75" customHeight="1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71"/>
      <c r="M788" s="271"/>
      <c r="N788" s="314"/>
      <c r="O788" s="314"/>
      <c r="P788" s="314"/>
      <c r="Q788" s="263"/>
      <c r="R788" s="263"/>
      <c r="S788" s="263"/>
      <c r="T788" s="263"/>
      <c r="U788" s="263"/>
      <c r="V788" s="263"/>
      <c r="W788" s="263"/>
      <c r="X788" s="71"/>
      <c r="Y788" s="71"/>
      <c r="Z788" s="71"/>
      <c r="AA788" s="71"/>
      <c r="AB788" s="71"/>
    </row>
    <row r="789" spans="1:28" ht="15.75" customHeight="1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71"/>
      <c r="M789" s="271"/>
      <c r="N789" s="314"/>
      <c r="O789" s="314"/>
      <c r="P789" s="314"/>
      <c r="Q789" s="263"/>
      <c r="R789" s="263"/>
      <c r="S789" s="263"/>
      <c r="T789" s="263"/>
      <c r="U789" s="263"/>
      <c r="V789" s="263"/>
      <c r="W789" s="263"/>
      <c r="X789" s="71"/>
      <c r="Y789" s="71"/>
      <c r="Z789" s="71"/>
      <c r="AA789" s="71"/>
      <c r="AB789" s="71"/>
    </row>
    <row r="790" spans="1:28" ht="15.75" customHeight="1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71"/>
      <c r="M790" s="271"/>
      <c r="N790" s="314"/>
      <c r="O790" s="314"/>
      <c r="P790" s="314"/>
      <c r="Q790" s="263"/>
      <c r="R790" s="263"/>
      <c r="S790" s="263"/>
      <c r="T790" s="263"/>
      <c r="U790" s="263"/>
      <c r="V790" s="263"/>
      <c r="W790" s="263"/>
      <c r="X790" s="71"/>
      <c r="Y790" s="71"/>
      <c r="Z790" s="71"/>
      <c r="AA790" s="71"/>
      <c r="AB790" s="71"/>
    </row>
    <row r="791" spans="1:28" ht="15.75" customHeight="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71"/>
      <c r="M791" s="271"/>
      <c r="N791" s="314"/>
      <c r="O791" s="314"/>
      <c r="P791" s="314"/>
      <c r="Q791" s="263"/>
      <c r="R791" s="263"/>
      <c r="S791" s="263"/>
      <c r="T791" s="263"/>
      <c r="U791" s="263"/>
      <c r="V791" s="263"/>
      <c r="W791" s="263"/>
      <c r="X791" s="71"/>
      <c r="Y791" s="71"/>
      <c r="Z791" s="71"/>
      <c r="AA791" s="71"/>
      <c r="AB791" s="71"/>
    </row>
    <row r="792" spans="1:28" ht="15.75" customHeight="1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71"/>
      <c r="M792" s="271"/>
      <c r="N792" s="314"/>
      <c r="O792" s="314"/>
      <c r="P792" s="314"/>
      <c r="Q792" s="263"/>
      <c r="R792" s="263"/>
      <c r="S792" s="263"/>
      <c r="T792" s="263"/>
      <c r="U792" s="263"/>
      <c r="V792" s="263"/>
      <c r="W792" s="263"/>
      <c r="X792" s="71"/>
      <c r="Y792" s="71"/>
      <c r="Z792" s="71"/>
      <c r="AA792" s="71"/>
      <c r="AB792" s="71"/>
    </row>
    <row r="793" spans="1:28" ht="15.75" customHeight="1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71"/>
      <c r="M793" s="271"/>
      <c r="N793" s="314"/>
      <c r="O793" s="314"/>
      <c r="P793" s="314"/>
      <c r="Q793" s="263"/>
      <c r="R793" s="263"/>
      <c r="S793" s="263"/>
      <c r="T793" s="263"/>
      <c r="U793" s="263"/>
      <c r="V793" s="263"/>
      <c r="W793" s="263"/>
      <c r="X793" s="71"/>
      <c r="Y793" s="71"/>
      <c r="Z793" s="71"/>
      <c r="AA793" s="71"/>
      <c r="AB793" s="71"/>
    </row>
    <row r="794" spans="1:28" ht="15.75" customHeight="1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71"/>
      <c r="M794" s="271"/>
      <c r="N794" s="314"/>
      <c r="O794" s="314"/>
      <c r="P794" s="314"/>
      <c r="Q794" s="263"/>
      <c r="R794" s="263"/>
      <c r="S794" s="263"/>
      <c r="T794" s="263"/>
      <c r="U794" s="263"/>
      <c r="V794" s="263"/>
      <c r="W794" s="263"/>
      <c r="X794" s="71"/>
      <c r="Y794" s="71"/>
      <c r="Z794" s="71"/>
      <c r="AA794" s="71"/>
      <c r="AB794" s="71"/>
    </row>
    <row r="795" spans="1:28" ht="15.75" customHeight="1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71"/>
      <c r="M795" s="271"/>
      <c r="N795" s="314"/>
      <c r="O795" s="314"/>
      <c r="P795" s="314"/>
      <c r="Q795" s="263"/>
      <c r="R795" s="263"/>
      <c r="S795" s="263"/>
      <c r="T795" s="263"/>
      <c r="U795" s="263"/>
      <c r="V795" s="263"/>
      <c r="W795" s="263"/>
      <c r="X795" s="71"/>
      <c r="Y795" s="71"/>
      <c r="Z795" s="71"/>
      <c r="AA795" s="71"/>
      <c r="AB795" s="71"/>
    </row>
    <row r="796" spans="1:28" ht="15.75" customHeight="1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71"/>
      <c r="M796" s="271"/>
      <c r="N796" s="314"/>
      <c r="O796" s="314"/>
      <c r="P796" s="314"/>
      <c r="Q796" s="263"/>
      <c r="R796" s="263"/>
      <c r="S796" s="263"/>
      <c r="T796" s="263"/>
      <c r="U796" s="263"/>
      <c r="V796" s="263"/>
      <c r="W796" s="263"/>
      <c r="X796" s="71"/>
      <c r="Y796" s="71"/>
      <c r="Z796" s="71"/>
      <c r="AA796" s="71"/>
      <c r="AB796" s="71"/>
    </row>
    <row r="797" spans="1:28" ht="15.75" customHeight="1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71"/>
      <c r="M797" s="271"/>
      <c r="N797" s="314"/>
      <c r="O797" s="314"/>
      <c r="P797" s="314"/>
      <c r="Q797" s="263"/>
      <c r="R797" s="263"/>
      <c r="S797" s="263"/>
      <c r="T797" s="263"/>
      <c r="U797" s="263"/>
      <c r="V797" s="263"/>
      <c r="W797" s="263"/>
      <c r="X797" s="71"/>
      <c r="Y797" s="71"/>
      <c r="Z797" s="71"/>
      <c r="AA797" s="71"/>
      <c r="AB797" s="71"/>
    </row>
    <row r="798" spans="1:28" ht="15.75" customHeight="1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71"/>
      <c r="M798" s="271"/>
      <c r="N798" s="314"/>
      <c r="O798" s="314"/>
      <c r="P798" s="314"/>
      <c r="Q798" s="263"/>
      <c r="R798" s="263"/>
      <c r="S798" s="263"/>
      <c r="T798" s="263"/>
      <c r="U798" s="263"/>
      <c r="V798" s="263"/>
      <c r="W798" s="263"/>
      <c r="X798" s="71"/>
      <c r="Y798" s="71"/>
      <c r="Z798" s="71"/>
      <c r="AA798" s="71"/>
      <c r="AB798" s="71"/>
    </row>
    <row r="799" spans="1:28" ht="15.75" customHeight="1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71"/>
      <c r="M799" s="271"/>
      <c r="N799" s="314"/>
      <c r="O799" s="314"/>
      <c r="P799" s="314"/>
      <c r="Q799" s="263"/>
      <c r="R799" s="263"/>
      <c r="S799" s="263"/>
      <c r="T799" s="263"/>
      <c r="U799" s="263"/>
      <c r="V799" s="263"/>
      <c r="W799" s="263"/>
      <c r="X799" s="71"/>
      <c r="Y799" s="71"/>
      <c r="Z799" s="71"/>
      <c r="AA799" s="71"/>
      <c r="AB799" s="71"/>
    </row>
    <row r="800" spans="1:28" ht="15.75" customHeight="1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71"/>
      <c r="M800" s="271"/>
      <c r="N800" s="314"/>
      <c r="O800" s="314"/>
      <c r="P800" s="314"/>
      <c r="Q800" s="263"/>
      <c r="R800" s="263"/>
      <c r="S800" s="263"/>
      <c r="T800" s="263"/>
      <c r="U800" s="263"/>
      <c r="V800" s="263"/>
      <c r="W800" s="263"/>
      <c r="X800" s="71"/>
      <c r="Y800" s="71"/>
      <c r="Z800" s="71"/>
      <c r="AA800" s="71"/>
      <c r="AB800" s="71"/>
    </row>
    <row r="801" spans="1:28" ht="15.75" customHeight="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71"/>
      <c r="M801" s="271"/>
      <c r="N801" s="314"/>
      <c r="O801" s="314"/>
      <c r="P801" s="314"/>
      <c r="Q801" s="263"/>
      <c r="R801" s="263"/>
      <c r="S801" s="263"/>
      <c r="T801" s="263"/>
      <c r="U801" s="263"/>
      <c r="V801" s="263"/>
      <c r="W801" s="263"/>
      <c r="X801" s="71"/>
      <c r="Y801" s="71"/>
      <c r="Z801" s="71"/>
      <c r="AA801" s="71"/>
      <c r="AB801" s="71"/>
    </row>
    <row r="802" spans="1:28" ht="15.75" customHeight="1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71"/>
      <c r="M802" s="271"/>
      <c r="N802" s="314"/>
      <c r="O802" s="314"/>
      <c r="P802" s="314"/>
      <c r="Q802" s="263"/>
      <c r="R802" s="263"/>
      <c r="S802" s="263"/>
      <c r="T802" s="263"/>
      <c r="U802" s="263"/>
      <c r="V802" s="263"/>
      <c r="W802" s="263"/>
      <c r="X802" s="71"/>
      <c r="Y802" s="71"/>
      <c r="Z802" s="71"/>
      <c r="AA802" s="71"/>
      <c r="AB802" s="71"/>
    </row>
    <row r="803" spans="1:28" ht="15.75" customHeight="1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71"/>
      <c r="M803" s="271"/>
      <c r="N803" s="314"/>
      <c r="O803" s="314"/>
      <c r="P803" s="314"/>
      <c r="Q803" s="263"/>
      <c r="R803" s="263"/>
      <c r="S803" s="263"/>
      <c r="T803" s="263"/>
      <c r="U803" s="263"/>
      <c r="V803" s="263"/>
      <c r="W803" s="263"/>
      <c r="X803" s="71"/>
      <c r="Y803" s="71"/>
      <c r="Z803" s="71"/>
      <c r="AA803" s="71"/>
      <c r="AB803" s="71"/>
    </row>
    <row r="804" spans="1:28" ht="15.75" customHeight="1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71"/>
      <c r="M804" s="271"/>
      <c r="N804" s="314"/>
      <c r="O804" s="314"/>
      <c r="P804" s="314"/>
      <c r="Q804" s="263"/>
      <c r="R804" s="263"/>
      <c r="S804" s="263"/>
      <c r="T804" s="263"/>
      <c r="U804" s="263"/>
      <c r="V804" s="263"/>
      <c r="W804" s="263"/>
      <c r="X804" s="71"/>
      <c r="Y804" s="71"/>
      <c r="Z804" s="71"/>
      <c r="AA804" s="71"/>
      <c r="AB804" s="71"/>
    </row>
    <row r="805" spans="1:28" ht="15.75" customHeight="1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71"/>
      <c r="M805" s="271"/>
      <c r="N805" s="314"/>
      <c r="O805" s="314"/>
      <c r="P805" s="314"/>
      <c r="Q805" s="263"/>
      <c r="R805" s="263"/>
      <c r="S805" s="263"/>
      <c r="T805" s="263"/>
      <c r="U805" s="263"/>
      <c r="V805" s="263"/>
      <c r="W805" s="263"/>
      <c r="X805" s="71"/>
      <c r="Y805" s="71"/>
      <c r="Z805" s="71"/>
      <c r="AA805" s="71"/>
      <c r="AB805" s="71"/>
    </row>
    <row r="806" spans="1:28" ht="15.75" customHeight="1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71"/>
      <c r="M806" s="271"/>
      <c r="N806" s="314"/>
      <c r="O806" s="314"/>
      <c r="P806" s="314"/>
      <c r="Q806" s="263"/>
      <c r="R806" s="263"/>
      <c r="S806" s="263"/>
      <c r="T806" s="263"/>
      <c r="U806" s="263"/>
      <c r="V806" s="263"/>
      <c r="W806" s="263"/>
      <c r="X806" s="71"/>
      <c r="Y806" s="71"/>
      <c r="Z806" s="71"/>
      <c r="AA806" s="71"/>
      <c r="AB806" s="71"/>
    </row>
    <row r="807" spans="1:28" ht="15.75" customHeight="1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71"/>
      <c r="M807" s="271"/>
      <c r="N807" s="314"/>
      <c r="O807" s="314"/>
      <c r="P807" s="314"/>
      <c r="Q807" s="263"/>
      <c r="R807" s="263"/>
      <c r="S807" s="263"/>
      <c r="T807" s="263"/>
      <c r="U807" s="263"/>
      <c r="V807" s="263"/>
      <c r="W807" s="263"/>
      <c r="X807" s="71"/>
      <c r="Y807" s="71"/>
      <c r="Z807" s="71"/>
      <c r="AA807" s="71"/>
      <c r="AB807" s="71"/>
    </row>
    <row r="808" spans="1:28" ht="15.75" customHeight="1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71"/>
      <c r="M808" s="271"/>
      <c r="N808" s="314"/>
      <c r="O808" s="314"/>
      <c r="P808" s="314"/>
      <c r="Q808" s="263"/>
      <c r="R808" s="263"/>
      <c r="S808" s="263"/>
      <c r="T808" s="263"/>
      <c r="U808" s="263"/>
      <c r="V808" s="263"/>
      <c r="W808" s="263"/>
      <c r="X808" s="71"/>
      <c r="Y808" s="71"/>
      <c r="Z808" s="71"/>
      <c r="AA808" s="71"/>
      <c r="AB808" s="71"/>
    </row>
    <row r="809" spans="1:28" ht="15.75" customHeight="1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71"/>
      <c r="M809" s="271"/>
      <c r="N809" s="314"/>
      <c r="O809" s="314"/>
      <c r="P809" s="314"/>
      <c r="Q809" s="263"/>
      <c r="R809" s="263"/>
      <c r="S809" s="263"/>
      <c r="T809" s="263"/>
      <c r="U809" s="263"/>
      <c r="V809" s="263"/>
      <c r="W809" s="263"/>
      <c r="X809" s="71"/>
      <c r="Y809" s="71"/>
      <c r="Z809" s="71"/>
      <c r="AA809" s="71"/>
      <c r="AB809" s="71"/>
    </row>
    <row r="810" spans="1:28" ht="15.75" customHeight="1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71"/>
      <c r="M810" s="271"/>
      <c r="N810" s="314"/>
      <c r="O810" s="314"/>
      <c r="P810" s="314"/>
      <c r="Q810" s="263"/>
      <c r="R810" s="263"/>
      <c r="S810" s="263"/>
      <c r="T810" s="263"/>
      <c r="U810" s="263"/>
      <c r="V810" s="263"/>
      <c r="W810" s="263"/>
      <c r="X810" s="71"/>
      <c r="Y810" s="71"/>
      <c r="Z810" s="71"/>
      <c r="AA810" s="71"/>
      <c r="AB810" s="71"/>
    </row>
    <row r="811" spans="1:28" ht="15.75" customHeight="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71"/>
      <c r="M811" s="271"/>
      <c r="N811" s="314"/>
      <c r="O811" s="314"/>
      <c r="P811" s="314"/>
      <c r="Q811" s="263"/>
      <c r="R811" s="263"/>
      <c r="S811" s="263"/>
      <c r="T811" s="263"/>
      <c r="U811" s="263"/>
      <c r="V811" s="263"/>
      <c r="W811" s="263"/>
      <c r="X811" s="71"/>
      <c r="Y811" s="71"/>
      <c r="Z811" s="71"/>
      <c r="AA811" s="71"/>
      <c r="AB811" s="71"/>
    </row>
    <row r="812" spans="1:28" ht="15.75" customHeight="1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71"/>
      <c r="M812" s="271"/>
      <c r="N812" s="314"/>
      <c r="O812" s="314"/>
      <c r="P812" s="314"/>
      <c r="Q812" s="263"/>
      <c r="R812" s="263"/>
      <c r="S812" s="263"/>
      <c r="T812" s="263"/>
      <c r="U812" s="263"/>
      <c r="V812" s="263"/>
      <c r="W812" s="263"/>
      <c r="X812" s="71"/>
      <c r="Y812" s="71"/>
      <c r="Z812" s="71"/>
      <c r="AA812" s="71"/>
      <c r="AB812" s="71"/>
    </row>
    <row r="813" spans="1:28" ht="15.75" customHeight="1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71"/>
      <c r="M813" s="271"/>
      <c r="N813" s="314"/>
      <c r="O813" s="314"/>
      <c r="P813" s="314"/>
      <c r="Q813" s="263"/>
      <c r="R813" s="263"/>
      <c r="S813" s="263"/>
      <c r="T813" s="263"/>
      <c r="U813" s="263"/>
      <c r="V813" s="263"/>
      <c r="W813" s="263"/>
      <c r="X813" s="71"/>
      <c r="Y813" s="71"/>
      <c r="Z813" s="71"/>
      <c r="AA813" s="71"/>
      <c r="AB813" s="71"/>
    </row>
    <row r="814" spans="1:28" ht="15.75" customHeight="1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71"/>
      <c r="M814" s="271"/>
      <c r="N814" s="314"/>
      <c r="O814" s="314"/>
      <c r="P814" s="314"/>
      <c r="Q814" s="263"/>
      <c r="R814" s="263"/>
      <c r="S814" s="263"/>
      <c r="T814" s="263"/>
      <c r="U814" s="263"/>
      <c r="V814" s="263"/>
      <c r="W814" s="263"/>
      <c r="X814" s="71"/>
      <c r="Y814" s="71"/>
      <c r="Z814" s="71"/>
      <c r="AA814" s="71"/>
      <c r="AB814" s="71"/>
    </row>
    <row r="815" spans="1:28" ht="15.75" customHeight="1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71"/>
      <c r="M815" s="271"/>
      <c r="N815" s="314"/>
      <c r="O815" s="314"/>
      <c r="P815" s="314"/>
      <c r="Q815" s="263"/>
      <c r="R815" s="263"/>
      <c r="S815" s="263"/>
      <c r="T815" s="263"/>
      <c r="U815" s="263"/>
      <c r="V815" s="263"/>
      <c r="W815" s="263"/>
      <c r="X815" s="71"/>
      <c r="Y815" s="71"/>
      <c r="Z815" s="71"/>
      <c r="AA815" s="71"/>
      <c r="AB815" s="71"/>
    </row>
    <row r="816" spans="1:28" ht="15.75" customHeight="1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71"/>
      <c r="M816" s="271"/>
      <c r="N816" s="314"/>
      <c r="O816" s="314"/>
      <c r="P816" s="314"/>
      <c r="Q816" s="263"/>
      <c r="R816" s="263"/>
      <c r="S816" s="263"/>
      <c r="T816" s="263"/>
      <c r="U816" s="263"/>
      <c r="V816" s="263"/>
      <c r="W816" s="263"/>
      <c r="X816" s="71"/>
      <c r="Y816" s="71"/>
      <c r="Z816" s="71"/>
      <c r="AA816" s="71"/>
      <c r="AB816" s="71"/>
    </row>
    <row r="817" spans="1:28" ht="15.75" customHeight="1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71"/>
      <c r="M817" s="271"/>
      <c r="N817" s="314"/>
      <c r="O817" s="314"/>
      <c r="P817" s="314"/>
      <c r="Q817" s="263"/>
      <c r="R817" s="263"/>
      <c r="S817" s="263"/>
      <c r="T817" s="263"/>
      <c r="U817" s="263"/>
      <c r="V817" s="263"/>
      <c r="W817" s="263"/>
      <c r="X817" s="71"/>
      <c r="Y817" s="71"/>
      <c r="Z817" s="71"/>
      <c r="AA817" s="71"/>
      <c r="AB817" s="71"/>
    </row>
    <row r="818" spans="1:28" ht="15.75" customHeight="1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71"/>
      <c r="M818" s="271"/>
      <c r="N818" s="314"/>
      <c r="O818" s="314"/>
      <c r="P818" s="314"/>
      <c r="Q818" s="263"/>
      <c r="R818" s="263"/>
      <c r="S818" s="263"/>
      <c r="T818" s="263"/>
      <c r="U818" s="263"/>
      <c r="V818" s="263"/>
      <c r="W818" s="263"/>
      <c r="X818" s="71"/>
      <c r="Y818" s="71"/>
      <c r="Z818" s="71"/>
      <c r="AA818" s="71"/>
      <c r="AB818" s="71"/>
    </row>
    <row r="819" spans="1:28" ht="15.75" customHeight="1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71"/>
      <c r="M819" s="271"/>
      <c r="N819" s="314"/>
      <c r="O819" s="314"/>
      <c r="P819" s="314"/>
      <c r="Q819" s="263"/>
      <c r="R819" s="263"/>
      <c r="S819" s="263"/>
      <c r="T819" s="263"/>
      <c r="U819" s="263"/>
      <c r="V819" s="263"/>
      <c r="W819" s="263"/>
      <c r="X819" s="71"/>
      <c r="Y819" s="71"/>
      <c r="Z819" s="71"/>
      <c r="AA819" s="71"/>
      <c r="AB819" s="71"/>
    </row>
    <row r="820" spans="1:28" ht="15.75" customHeight="1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71"/>
      <c r="M820" s="271"/>
      <c r="N820" s="314"/>
      <c r="O820" s="314"/>
      <c r="P820" s="314"/>
      <c r="Q820" s="263"/>
      <c r="R820" s="263"/>
      <c r="S820" s="263"/>
      <c r="T820" s="263"/>
      <c r="U820" s="263"/>
      <c r="V820" s="263"/>
      <c r="W820" s="263"/>
      <c r="X820" s="71"/>
      <c r="Y820" s="71"/>
      <c r="Z820" s="71"/>
      <c r="AA820" s="71"/>
      <c r="AB820" s="71"/>
    </row>
    <row r="821" spans="1:28" ht="15.75" customHeight="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71"/>
      <c r="M821" s="271"/>
      <c r="N821" s="314"/>
      <c r="O821" s="314"/>
      <c r="P821" s="314"/>
      <c r="Q821" s="263"/>
      <c r="R821" s="263"/>
      <c r="S821" s="263"/>
      <c r="T821" s="263"/>
      <c r="U821" s="263"/>
      <c r="V821" s="263"/>
      <c r="W821" s="263"/>
      <c r="X821" s="71"/>
      <c r="Y821" s="71"/>
      <c r="Z821" s="71"/>
      <c r="AA821" s="71"/>
      <c r="AB821" s="71"/>
    </row>
    <row r="822" spans="1:28" ht="15.75" customHeight="1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71"/>
      <c r="M822" s="271"/>
      <c r="N822" s="314"/>
      <c r="O822" s="314"/>
      <c r="P822" s="314"/>
      <c r="Q822" s="263"/>
      <c r="R822" s="263"/>
      <c r="S822" s="263"/>
      <c r="T822" s="263"/>
      <c r="U822" s="263"/>
      <c r="V822" s="263"/>
      <c r="W822" s="263"/>
      <c r="X822" s="71"/>
      <c r="Y822" s="71"/>
      <c r="Z822" s="71"/>
      <c r="AA822" s="71"/>
      <c r="AB822" s="71"/>
    </row>
    <row r="823" spans="1:28" ht="15.75" customHeight="1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71"/>
      <c r="M823" s="271"/>
      <c r="N823" s="314"/>
      <c r="O823" s="314"/>
      <c r="P823" s="314"/>
      <c r="Q823" s="263"/>
      <c r="R823" s="263"/>
      <c r="S823" s="263"/>
      <c r="T823" s="263"/>
      <c r="U823" s="263"/>
      <c r="V823" s="263"/>
      <c r="W823" s="263"/>
      <c r="X823" s="71"/>
      <c r="Y823" s="71"/>
      <c r="Z823" s="71"/>
      <c r="AA823" s="71"/>
      <c r="AB823" s="71"/>
    </row>
    <row r="824" spans="1:28" ht="15.75" customHeight="1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71"/>
      <c r="M824" s="271"/>
      <c r="N824" s="314"/>
      <c r="O824" s="314"/>
      <c r="P824" s="314"/>
      <c r="Q824" s="263"/>
      <c r="R824" s="263"/>
      <c r="S824" s="263"/>
      <c r="T824" s="263"/>
      <c r="U824" s="263"/>
      <c r="V824" s="263"/>
      <c r="W824" s="263"/>
      <c r="X824" s="71"/>
      <c r="Y824" s="71"/>
      <c r="Z824" s="71"/>
      <c r="AA824" s="71"/>
      <c r="AB824" s="71"/>
    </row>
    <row r="825" spans="1:28" ht="15.75" customHeight="1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71"/>
      <c r="M825" s="271"/>
      <c r="N825" s="314"/>
      <c r="O825" s="314"/>
      <c r="P825" s="314"/>
      <c r="Q825" s="263"/>
      <c r="R825" s="263"/>
      <c r="S825" s="263"/>
      <c r="T825" s="263"/>
      <c r="U825" s="263"/>
      <c r="V825" s="263"/>
      <c r="W825" s="263"/>
      <c r="X825" s="71"/>
      <c r="Y825" s="71"/>
      <c r="Z825" s="71"/>
      <c r="AA825" s="71"/>
      <c r="AB825" s="71"/>
    </row>
    <row r="826" spans="1:28" ht="15.75" customHeight="1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71"/>
      <c r="M826" s="271"/>
      <c r="N826" s="314"/>
      <c r="O826" s="314"/>
      <c r="P826" s="314"/>
      <c r="Q826" s="263"/>
      <c r="R826" s="263"/>
      <c r="S826" s="263"/>
      <c r="T826" s="263"/>
      <c r="U826" s="263"/>
      <c r="V826" s="263"/>
      <c r="W826" s="263"/>
      <c r="X826" s="71"/>
      <c r="Y826" s="71"/>
      <c r="Z826" s="71"/>
      <c r="AA826" s="71"/>
      <c r="AB826" s="71"/>
    </row>
    <row r="827" spans="1:28" ht="15.75" customHeight="1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71"/>
      <c r="M827" s="271"/>
      <c r="N827" s="314"/>
      <c r="O827" s="314"/>
      <c r="P827" s="314"/>
      <c r="Q827" s="263"/>
      <c r="R827" s="263"/>
      <c r="S827" s="263"/>
      <c r="T827" s="263"/>
      <c r="U827" s="263"/>
      <c r="V827" s="263"/>
      <c r="W827" s="263"/>
      <c r="X827" s="71"/>
      <c r="Y827" s="71"/>
      <c r="Z827" s="71"/>
      <c r="AA827" s="71"/>
      <c r="AB827" s="71"/>
    </row>
    <row r="828" spans="1:28" ht="15.75" customHeight="1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71"/>
      <c r="M828" s="271"/>
      <c r="N828" s="314"/>
      <c r="O828" s="314"/>
      <c r="P828" s="314"/>
      <c r="Q828" s="263"/>
      <c r="R828" s="263"/>
      <c r="S828" s="263"/>
      <c r="T828" s="263"/>
      <c r="U828" s="263"/>
      <c r="V828" s="263"/>
      <c r="W828" s="263"/>
      <c r="X828" s="71"/>
      <c r="Y828" s="71"/>
      <c r="Z828" s="71"/>
      <c r="AA828" s="71"/>
      <c r="AB828" s="71"/>
    </row>
    <row r="829" spans="1:28" ht="15.75" customHeight="1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71"/>
      <c r="M829" s="271"/>
      <c r="N829" s="314"/>
      <c r="O829" s="314"/>
      <c r="P829" s="314"/>
      <c r="Q829" s="263"/>
      <c r="R829" s="263"/>
      <c r="S829" s="263"/>
      <c r="T829" s="263"/>
      <c r="U829" s="263"/>
      <c r="V829" s="263"/>
      <c r="W829" s="263"/>
      <c r="X829" s="71"/>
      <c r="Y829" s="71"/>
      <c r="Z829" s="71"/>
      <c r="AA829" s="71"/>
      <c r="AB829" s="71"/>
    </row>
    <row r="830" spans="1:28" ht="15.75" customHeight="1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71"/>
      <c r="M830" s="271"/>
      <c r="N830" s="314"/>
      <c r="O830" s="314"/>
      <c r="P830" s="314"/>
      <c r="Q830" s="263"/>
      <c r="R830" s="263"/>
      <c r="S830" s="263"/>
      <c r="T830" s="263"/>
      <c r="U830" s="263"/>
      <c r="V830" s="263"/>
      <c r="W830" s="263"/>
      <c r="X830" s="71"/>
      <c r="Y830" s="71"/>
      <c r="Z830" s="71"/>
      <c r="AA830" s="71"/>
      <c r="AB830" s="71"/>
    </row>
    <row r="831" spans="1:28" ht="15.75" customHeight="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71"/>
      <c r="M831" s="271"/>
      <c r="N831" s="314"/>
      <c r="O831" s="314"/>
      <c r="P831" s="314"/>
      <c r="Q831" s="263"/>
      <c r="R831" s="263"/>
      <c r="S831" s="263"/>
      <c r="T831" s="263"/>
      <c r="U831" s="263"/>
      <c r="V831" s="263"/>
      <c r="W831" s="263"/>
      <c r="X831" s="71"/>
      <c r="Y831" s="71"/>
      <c r="Z831" s="71"/>
      <c r="AA831" s="71"/>
      <c r="AB831" s="71"/>
    </row>
    <row r="832" spans="1:28" ht="15.75" customHeight="1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71"/>
      <c r="M832" s="271"/>
      <c r="N832" s="314"/>
      <c r="O832" s="314"/>
      <c r="P832" s="314"/>
      <c r="Q832" s="263"/>
      <c r="R832" s="263"/>
      <c r="S832" s="263"/>
      <c r="T832" s="263"/>
      <c r="U832" s="263"/>
      <c r="V832" s="263"/>
      <c r="W832" s="263"/>
      <c r="X832" s="71"/>
      <c r="Y832" s="71"/>
      <c r="Z832" s="71"/>
      <c r="AA832" s="71"/>
      <c r="AB832" s="71"/>
    </row>
    <row r="833" spans="1:28" ht="15.75" customHeight="1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71"/>
      <c r="M833" s="271"/>
      <c r="N833" s="314"/>
      <c r="O833" s="314"/>
      <c r="P833" s="314"/>
      <c r="Q833" s="263"/>
      <c r="R833" s="263"/>
      <c r="S833" s="263"/>
      <c r="T833" s="263"/>
      <c r="U833" s="263"/>
      <c r="V833" s="263"/>
      <c r="W833" s="263"/>
      <c r="X833" s="71"/>
      <c r="Y833" s="71"/>
      <c r="Z833" s="71"/>
      <c r="AA833" s="71"/>
      <c r="AB833" s="71"/>
    </row>
    <row r="834" spans="1:28" ht="15.75" customHeight="1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71"/>
      <c r="M834" s="271"/>
      <c r="N834" s="314"/>
      <c r="O834" s="314"/>
      <c r="P834" s="314"/>
      <c r="Q834" s="263"/>
      <c r="R834" s="263"/>
      <c r="S834" s="263"/>
      <c r="T834" s="263"/>
      <c r="U834" s="263"/>
      <c r="V834" s="263"/>
      <c r="W834" s="263"/>
      <c r="X834" s="71"/>
      <c r="Y834" s="71"/>
      <c r="Z834" s="71"/>
      <c r="AA834" s="71"/>
      <c r="AB834" s="71"/>
    </row>
    <row r="835" spans="1:28" ht="15.75" customHeight="1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71"/>
      <c r="M835" s="271"/>
      <c r="N835" s="314"/>
      <c r="O835" s="314"/>
      <c r="P835" s="314"/>
      <c r="Q835" s="263"/>
      <c r="R835" s="263"/>
      <c r="S835" s="263"/>
      <c r="T835" s="263"/>
      <c r="U835" s="263"/>
      <c r="V835" s="263"/>
      <c r="W835" s="263"/>
      <c r="X835" s="71"/>
      <c r="Y835" s="71"/>
      <c r="Z835" s="71"/>
      <c r="AA835" s="71"/>
      <c r="AB835" s="71"/>
    </row>
    <row r="836" spans="1:28" ht="15.75" customHeight="1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71"/>
      <c r="M836" s="271"/>
      <c r="N836" s="314"/>
      <c r="O836" s="314"/>
      <c r="P836" s="314"/>
      <c r="Q836" s="263"/>
      <c r="R836" s="263"/>
      <c r="S836" s="263"/>
      <c r="T836" s="263"/>
      <c r="U836" s="263"/>
      <c r="V836" s="263"/>
      <c r="W836" s="263"/>
      <c r="X836" s="71"/>
      <c r="Y836" s="71"/>
      <c r="Z836" s="71"/>
      <c r="AA836" s="71"/>
      <c r="AB836" s="71"/>
    </row>
    <row r="837" spans="1:28" ht="15.75" customHeight="1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71"/>
      <c r="M837" s="271"/>
      <c r="N837" s="314"/>
      <c r="O837" s="314"/>
      <c r="P837" s="314"/>
      <c r="Q837" s="263"/>
      <c r="R837" s="263"/>
      <c r="S837" s="263"/>
      <c r="T837" s="263"/>
      <c r="U837" s="263"/>
      <c r="V837" s="263"/>
      <c r="W837" s="263"/>
      <c r="X837" s="71"/>
      <c r="Y837" s="71"/>
      <c r="Z837" s="71"/>
      <c r="AA837" s="71"/>
      <c r="AB837" s="71"/>
    </row>
    <row r="838" spans="1:28" ht="15.75" customHeight="1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71"/>
      <c r="M838" s="271"/>
      <c r="N838" s="314"/>
      <c r="O838" s="314"/>
      <c r="P838" s="314"/>
      <c r="Q838" s="263"/>
      <c r="R838" s="263"/>
      <c r="S838" s="263"/>
      <c r="T838" s="263"/>
      <c r="U838" s="263"/>
      <c r="V838" s="263"/>
      <c r="W838" s="263"/>
      <c r="X838" s="71"/>
      <c r="Y838" s="71"/>
      <c r="Z838" s="71"/>
      <c r="AA838" s="71"/>
      <c r="AB838" s="71"/>
    </row>
    <row r="839" spans="1:28" ht="15.75" customHeight="1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71"/>
      <c r="M839" s="271"/>
      <c r="N839" s="314"/>
      <c r="O839" s="314"/>
      <c r="P839" s="314"/>
      <c r="Q839" s="263"/>
      <c r="R839" s="263"/>
      <c r="S839" s="263"/>
      <c r="T839" s="263"/>
      <c r="U839" s="263"/>
      <c r="V839" s="263"/>
      <c r="W839" s="263"/>
      <c r="X839" s="71"/>
      <c r="Y839" s="71"/>
      <c r="Z839" s="71"/>
      <c r="AA839" s="71"/>
      <c r="AB839" s="71"/>
    </row>
    <row r="840" spans="1:28" ht="15.75" customHeight="1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71"/>
      <c r="M840" s="271"/>
      <c r="N840" s="314"/>
      <c r="O840" s="314"/>
      <c r="P840" s="314"/>
      <c r="Q840" s="263"/>
      <c r="R840" s="263"/>
      <c r="S840" s="263"/>
      <c r="T840" s="263"/>
      <c r="U840" s="263"/>
      <c r="V840" s="263"/>
      <c r="W840" s="263"/>
      <c r="X840" s="71"/>
      <c r="Y840" s="71"/>
      <c r="Z840" s="71"/>
      <c r="AA840" s="71"/>
      <c r="AB840" s="71"/>
    </row>
    <row r="841" spans="1:28" ht="15.75" customHeight="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71"/>
      <c r="M841" s="271"/>
      <c r="N841" s="314"/>
      <c r="O841" s="314"/>
      <c r="P841" s="314"/>
      <c r="Q841" s="263"/>
      <c r="R841" s="263"/>
      <c r="S841" s="263"/>
      <c r="T841" s="263"/>
      <c r="U841" s="263"/>
      <c r="V841" s="263"/>
      <c r="W841" s="263"/>
      <c r="X841" s="71"/>
      <c r="Y841" s="71"/>
      <c r="Z841" s="71"/>
      <c r="AA841" s="71"/>
      <c r="AB841" s="71"/>
    </row>
    <row r="842" spans="1:28" ht="15.75" customHeight="1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71"/>
      <c r="M842" s="271"/>
      <c r="N842" s="314"/>
      <c r="O842" s="314"/>
      <c r="P842" s="314"/>
      <c r="Q842" s="263"/>
      <c r="R842" s="263"/>
      <c r="S842" s="263"/>
      <c r="T842" s="263"/>
      <c r="U842" s="263"/>
      <c r="V842" s="263"/>
      <c r="W842" s="263"/>
      <c r="X842" s="71"/>
      <c r="Y842" s="71"/>
      <c r="Z842" s="71"/>
      <c r="AA842" s="71"/>
      <c r="AB842" s="71"/>
    </row>
    <row r="843" spans="1:28" ht="15.75" customHeight="1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71"/>
      <c r="M843" s="271"/>
      <c r="N843" s="314"/>
      <c r="O843" s="314"/>
      <c r="P843" s="314"/>
      <c r="Q843" s="263"/>
      <c r="R843" s="263"/>
      <c r="S843" s="263"/>
      <c r="T843" s="263"/>
      <c r="U843" s="263"/>
      <c r="V843" s="263"/>
      <c r="W843" s="263"/>
      <c r="X843" s="71"/>
      <c r="Y843" s="71"/>
      <c r="Z843" s="71"/>
      <c r="AA843" s="71"/>
      <c r="AB843" s="71"/>
    </row>
    <row r="844" spans="1:28" ht="15.75" customHeight="1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71"/>
      <c r="M844" s="271"/>
      <c r="N844" s="314"/>
      <c r="O844" s="314"/>
      <c r="P844" s="314"/>
      <c r="Q844" s="263"/>
      <c r="R844" s="263"/>
      <c r="S844" s="263"/>
      <c r="T844" s="263"/>
      <c r="U844" s="263"/>
      <c r="V844" s="263"/>
      <c r="W844" s="263"/>
      <c r="X844" s="71"/>
      <c r="Y844" s="71"/>
      <c r="Z844" s="71"/>
      <c r="AA844" s="71"/>
      <c r="AB844" s="71"/>
    </row>
    <row r="845" spans="1:28" ht="15.75" customHeight="1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71"/>
      <c r="M845" s="271"/>
      <c r="N845" s="314"/>
      <c r="O845" s="314"/>
      <c r="P845" s="314"/>
      <c r="Q845" s="263"/>
      <c r="R845" s="263"/>
      <c r="S845" s="263"/>
      <c r="T845" s="263"/>
      <c r="U845" s="263"/>
      <c r="V845" s="263"/>
      <c r="W845" s="263"/>
      <c r="X845" s="71"/>
      <c r="Y845" s="71"/>
      <c r="Z845" s="71"/>
      <c r="AA845" s="71"/>
      <c r="AB845" s="71"/>
    </row>
    <row r="846" spans="1:28" ht="15.75" customHeight="1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71"/>
      <c r="M846" s="271"/>
      <c r="N846" s="314"/>
      <c r="O846" s="314"/>
      <c r="P846" s="314"/>
      <c r="Q846" s="263"/>
      <c r="R846" s="263"/>
      <c r="S846" s="263"/>
      <c r="T846" s="263"/>
      <c r="U846" s="263"/>
      <c r="V846" s="263"/>
      <c r="W846" s="263"/>
      <c r="X846" s="71"/>
      <c r="Y846" s="71"/>
      <c r="Z846" s="71"/>
      <c r="AA846" s="71"/>
      <c r="AB846" s="71"/>
    </row>
    <row r="847" spans="1:28" ht="15.75" customHeight="1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71"/>
      <c r="M847" s="271"/>
      <c r="N847" s="314"/>
      <c r="O847" s="314"/>
      <c r="P847" s="314"/>
      <c r="Q847" s="263"/>
      <c r="R847" s="263"/>
      <c r="S847" s="263"/>
      <c r="T847" s="263"/>
      <c r="U847" s="263"/>
      <c r="V847" s="263"/>
      <c r="W847" s="263"/>
      <c r="X847" s="71"/>
      <c r="Y847" s="71"/>
      <c r="Z847" s="71"/>
      <c r="AA847" s="71"/>
      <c r="AB847" s="71"/>
    </row>
    <row r="848" spans="1:28" ht="15.75" customHeight="1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71"/>
      <c r="M848" s="271"/>
      <c r="N848" s="314"/>
      <c r="O848" s="314"/>
      <c r="P848" s="314"/>
      <c r="Q848" s="263"/>
      <c r="R848" s="263"/>
      <c r="S848" s="263"/>
      <c r="T848" s="263"/>
      <c r="U848" s="263"/>
      <c r="V848" s="263"/>
      <c r="W848" s="263"/>
      <c r="X848" s="71"/>
      <c r="Y848" s="71"/>
      <c r="Z848" s="71"/>
      <c r="AA848" s="71"/>
      <c r="AB848" s="71"/>
    </row>
    <row r="849" spans="1:28" ht="15.75" customHeight="1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71"/>
      <c r="M849" s="271"/>
      <c r="N849" s="314"/>
      <c r="O849" s="314"/>
      <c r="P849" s="314"/>
      <c r="Q849" s="263"/>
      <c r="R849" s="263"/>
      <c r="S849" s="263"/>
      <c r="T849" s="263"/>
      <c r="U849" s="263"/>
      <c r="V849" s="263"/>
      <c r="W849" s="263"/>
      <c r="X849" s="71"/>
      <c r="Y849" s="71"/>
      <c r="Z849" s="71"/>
      <c r="AA849" s="71"/>
      <c r="AB849" s="71"/>
    </row>
    <row r="850" spans="1:28" ht="15.75" customHeight="1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71"/>
      <c r="M850" s="271"/>
      <c r="N850" s="314"/>
      <c r="O850" s="314"/>
      <c r="P850" s="314"/>
      <c r="Q850" s="263"/>
      <c r="R850" s="263"/>
      <c r="S850" s="263"/>
      <c r="T850" s="263"/>
      <c r="U850" s="263"/>
      <c r="V850" s="263"/>
      <c r="W850" s="263"/>
      <c r="X850" s="71"/>
      <c r="Y850" s="71"/>
      <c r="Z850" s="71"/>
      <c r="AA850" s="71"/>
      <c r="AB850" s="71"/>
    </row>
    <row r="851" spans="1:28" ht="15.75" customHeight="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71"/>
      <c r="M851" s="271"/>
      <c r="N851" s="314"/>
      <c r="O851" s="314"/>
      <c r="P851" s="314"/>
      <c r="Q851" s="263"/>
      <c r="R851" s="263"/>
      <c r="S851" s="263"/>
      <c r="T851" s="263"/>
      <c r="U851" s="263"/>
      <c r="V851" s="263"/>
      <c r="W851" s="263"/>
      <c r="X851" s="71"/>
      <c r="Y851" s="71"/>
      <c r="Z851" s="71"/>
      <c r="AA851" s="71"/>
      <c r="AB851" s="71"/>
    </row>
    <row r="852" spans="1:28" ht="15.75" customHeight="1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71"/>
      <c r="M852" s="271"/>
      <c r="N852" s="314"/>
      <c r="O852" s="314"/>
      <c r="P852" s="314"/>
      <c r="Q852" s="263"/>
      <c r="R852" s="263"/>
      <c r="S852" s="263"/>
      <c r="T852" s="263"/>
      <c r="U852" s="263"/>
      <c r="V852" s="263"/>
      <c r="W852" s="263"/>
      <c r="X852" s="71"/>
      <c r="Y852" s="71"/>
      <c r="Z852" s="71"/>
      <c r="AA852" s="71"/>
      <c r="AB852" s="71"/>
    </row>
    <row r="853" spans="1:28" ht="15.75" customHeight="1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71"/>
      <c r="M853" s="271"/>
      <c r="N853" s="314"/>
      <c r="O853" s="314"/>
      <c r="P853" s="314"/>
      <c r="Q853" s="263"/>
      <c r="R853" s="263"/>
      <c r="S853" s="263"/>
      <c r="T853" s="263"/>
      <c r="U853" s="263"/>
      <c r="V853" s="263"/>
      <c r="W853" s="263"/>
      <c r="X853" s="71"/>
      <c r="Y853" s="71"/>
      <c r="Z853" s="71"/>
      <c r="AA853" s="71"/>
      <c r="AB853" s="71"/>
    </row>
    <row r="854" spans="1:28" ht="15.75" customHeight="1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71"/>
      <c r="M854" s="271"/>
      <c r="N854" s="314"/>
      <c r="O854" s="314"/>
      <c r="P854" s="314"/>
      <c r="Q854" s="263"/>
      <c r="R854" s="263"/>
      <c r="S854" s="263"/>
      <c r="T854" s="263"/>
      <c r="U854" s="263"/>
      <c r="V854" s="263"/>
      <c r="W854" s="263"/>
      <c r="X854" s="71"/>
      <c r="Y854" s="71"/>
      <c r="Z854" s="71"/>
      <c r="AA854" s="71"/>
      <c r="AB854" s="71"/>
    </row>
    <row r="855" spans="1:28" ht="15.75" customHeight="1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71"/>
      <c r="M855" s="271"/>
      <c r="N855" s="314"/>
      <c r="O855" s="314"/>
      <c r="P855" s="314"/>
      <c r="Q855" s="263"/>
      <c r="R855" s="263"/>
      <c r="S855" s="263"/>
      <c r="T855" s="263"/>
      <c r="U855" s="263"/>
      <c r="V855" s="263"/>
      <c r="W855" s="263"/>
      <c r="X855" s="71"/>
      <c r="Y855" s="71"/>
      <c r="Z855" s="71"/>
      <c r="AA855" s="71"/>
      <c r="AB855" s="71"/>
    </row>
    <row r="856" spans="1:28" ht="15.75" customHeight="1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71"/>
      <c r="M856" s="271"/>
      <c r="N856" s="314"/>
      <c r="O856" s="314"/>
      <c r="P856" s="314"/>
      <c r="Q856" s="263"/>
      <c r="R856" s="263"/>
      <c r="S856" s="263"/>
      <c r="T856" s="263"/>
      <c r="U856" s="263"/>
      <c r="V856" s="263"/>
      <c r="W856" s="263"/>
      <c r="X856" s="71"/>
      <c r="Y856" s="71"/>
      <c r="Z856" s="71"/>
      <c r="AA856" s="71"/>
      <c r="AB856" s="71"/>
    </row>
    <row r="857" spans="1:28" ht="15.75" customHeight="1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71"/>
      <c r="M857" s="271"/>
      <c r="N857" s="314"/>
      <c r="O857" s="314"/>
      <c r="P857" s="314"/>
      <c r="Q857" s="263"/>
      <c r="R857" s="263"/>
      <c r="S857" s="263"/>
      <c r="T857" s="263"/>
      <c r="U857" s="263"/>
      <c r="V857" s="263"/>
      <c r="W857" s="263"/>
      <c r="X857" s="71"/>
      <c r="Y857" s="71"/>
      <c r="Z857" s="71"/>
      <c r="AA857" s="71"/>
      <c r="AB857" s="71"/>
    </row>
    <row r="858" spans="1:28" ht="15.75" customHeight="1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71"/>
      <c r="M858" s="271"/>
      <c r="N858" s="314"/>
      <c r="O858" s="314"/>
      <c r="P858" s="314"/>
      <c r="Q858" s="263"/>
      <c r="R858" s="263"/>
      <c r="S858" s="263"/>
      <c r="T858" s="263"/>
      <c r="U858" s="263"/>
      <c r="V858" s="263"/>
      <c r="W858" s="263"/>
      <c r="X858" s="71"/>
      <c r="Y858" s="71"/>
      <c r="Z858" s="71"/>
      <c r="AA858" s="71"/>
      <c r="AB858" s="71"/>
    </row>
    <row r="859" spans="1:28" ht="15.75" customHeight="1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71"/>
      <c r="M859" s="271"/>
      <c r="N859" s="314"/>
      <c r="O859" s="314"/>
      <c r="P859" s="314"/>
      <c r="Q859" s="263"/>
      <c r="R859" s="263"/>
      <c r="S859" s="263"/>
      <c r="T859" s="263"/>
      <c r="U859" s="263"/>
      <c r="V859" s="263"/>
      <c r="W859" s="263"/>
      <c r="X859" s="71"/>
      <c r="Y859" s="71"/>
      <c r="Z859" s="71"/>
      <c r="AA859" s="71"/>
      <c r="AB859" s="71"/>
    </row>
    <row r="860" spans="1:28" ht="15.75" customHeight="1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71"/>
      <c r="M860" s="271"/>
      <c r="N860" s="314"/>
      <c r="O860" s="314"/>
      <c r="P860" s="314"/>
      <c r="Q860" s="263"/>
      <c r="R860" s="263"/>
      <c r="S860" s="263"/>
      <c r="T860" s="263"/>
      <c r="U860" s="263"/>
      <c r="V860" s="263"/>
      <c r="W860" s="263"/>
      <c r="X860" s="71"/>
      <c r="Y860" s="71"/>
      <c r="Z860" s="71"/>
      <c r="AA860" s="71"/>
      <c r="AB860" s="71"/>
    </row>
    <row r="861" spans="1:28" ht="15.75" customHeight="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71"/>
      <c r="M861" s="271"/>
      <c r="N861" s="314"/>
      <c r="O861" s="314"/>
      <c r="P861" s="314"/>
      <c r="Q861" s="263"/>
      <c r="R861" s="263"/>
      <c r="S861" s="263"/>
      <c r="T861" s="263"/>
      <c r="U861" s="263"/>
      <c r="V861" s="263"/>
      <c r="W861" s="263"/>
      <c r="X861" s="71"/>
      <c r="Y861" s="71"/>
      <c r="Z861" s="71"/>
      <c r="AA861" s="71"/>
      <c r="AB861" s="71"/>
    </row>
    <row r="862" spans="1:28" ht="15.75" customHeight="1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71"/>
      <c r="M862" s="271"/>
      <c r="N862" s="314"/>
      <c r="O862" s="314"/>
      <c r="P862" s="314"/>
      <c r="Q862" s="263"/>
      <c r="R862" s="263"/>
      <c r="S862" s="263"/>
      <c r="T862" s="263"/>
      <c r="U862" s="263"/>
      <c r="V862" s="263"/>
      <c r="W862" s="263"/>
      <c r="X862" s="71"/>
      <c r="Y862" s="71"/>
      <c r="Z862" s="71"/>
      <c r="AA862" s="71"/>
      <c r="AB862" s="71"/>
    </row>
    <row r="863" spans="1:28" ht="15.75" customHeight="1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71"/>
      <c r="M863" s="271"/>
      <c r="N863" s="314"/>
      <c r="O863" s="314"/>
      <c r="P863" s="314"/>
      <c r="Q863" s="263"/>
      <c r="R863" s="263"/>
      <c r="S863" s="263"/>
      <c r="T863" s="263"/>
      <c r="U863" s="263"/>
      <c r="V863" s="263"/>
      <c r="W863" s="263"/>
      <c r="X863" s="71"/>
      <c r="Y863" s="71"/>
      <c r="Z863" s="71"/>
      <c r="AA863" s="71"/>
      <c r="AB863" s="71"/>
    </row>
    <row r="864" spans="1:28" ht="15.75" customHeight="1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71"/>
      <c r="M864" s="271"/>
      <c r="N864" s="314"/>
      <c r="O864" s="314"/>
      <c r="P864" s="314"/>
      <c r="Q864" s="263"/>
      <c r="R864" s="263"/>
      <c r="S864" s="263"/>
      <c r="T864" s="263"/>
      <c r="U864" s="263"/>
      <c r="V864" s="263"/>
      <c r="W864" s="263"/>
      <c r="X864" s="71"/>
      <c r="Y864" s="71"/>
      <c r="Z864" s="71"/>
      <c r="AA864" s="71"/>
      <c r="AB864" s="71"/>
    </row>
    <row r="865" spans="1:28" ht="15.75" customHeight="1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71"/>
      <c r="M865" s="271"/>
      <c r="N865" s="314"/>
      <c r="O865" s="314"/>
      <c r="P865" s="314"/>
      <c r="Q865" s="263"/>
      <c r="R865" s="263"/>
      <c r="S865" s="263"/>
      <c r="T865" s="263"/>
      <c r="U865" s="263"/>
      <c r="V865" s="263"/>
      <c r="W865" s="263"/>
      <c r="X865" s="71"/>
      <c r="Y865" s="71"/>
      <c r="Z865" s="71"/>
      <c r="AA865" s="71"/>
      <c r="AB865" s="71"/>
    </row>
    <row r="866" spans="1:28" ht="15.75" customHeight="1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71"/>
      <c r="M866" s="271"/>
      <c r="N866" s="314"/>
      <c r="O866" s="314"/>
      <c r="P866" s="314"/>
      <c r="Q866" s="263"/>
      <c r="R866" s="263"/>
      <c r="S866" s="263"/>
      <c r="T866" s="263"/>
      <c r="U866" s="263"/>
      <c r="V866" s="263"/>
      <c r="W866" s="263"/>
      <c r="X866" s="71"/>
      <c r="Y866" s="71"/>
      <c r="Z866" s="71"/>
      <c r="AA866" s="71"/>
      <c r="AB866" s="71"/>
    </row>
    <row r="867" spans="1:28" ht="15.75" customHeight="1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71"/>
      <c r="M867" s="271"/>
      <c r="N867" s="314"/>
      <c r="O867" s="314"/>
      <c r="P867" s="314"/>
      <c r="Q867" s="263"/>
      <c r="R867" s="263"/>
      <c r="S867" s="263"/>
      <c r="T867" s="263"/>
      <c r="U867" s="263"/>
      <c r="V867" s="263"/>
      <c r="W867" s="263"/>
      <c r="X867" s="71"/>
      <c r="Y867" s="71"/>
      <c r="Z867" s="71"/>
      <c r="AA867" s="71"/>
      <c r="AB867" s="71"/>
    </row>
    <row r="868" spans="1:28" ht="15.75" customHeight="1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71"/>
      <c r="M868" s="271"/>
      <c r="N868" s="314"/>
      <c r="O868" s="314"/>
      <c r="P868" s="314"/>
      <c r="Q868" s="263"/>
      <c r="R868" s="263"/>
      <c r="S868" s="263"/>
      <c r="T868" s="263"/>
      <c r="U868" s="263"/>
      <c r="V868" s="263"/>
      <c r="W868" s="263"/>
      <c r="X868" s="71"/>
      <c r="Y868" s="71"/>
      <c r="Z868" s="71"/>
      <c r="AA868" s="71"/>
      <c r="AB868" s="71"/>
    </row>
    <row r="869" spans="1:28" ht="15.75" customHeight="1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71"/>
      <c r="M869" s="271"/>
      <c r="N869" s="314"/>
      <c r="O869" s="314"/>
      <c r="P869" s="314"/>
      <c r="Q869" s="263"/>
      <c r="R869" s="263"/>
      <c r="S869" s="263"/>
      <c r="T869" s="263"/>
      <c r="U869" s="263"/>
      <c r="V869" s="263"/>
      <c r="W869" s="263"/>
      <c r="X869" s="71"/>
      <c r="Y869" s="71"/>
      <c r="Z869" s="71"/>
      <c r="AA869" s="71"/>
      <c r="AB869" s="71"/>
    </row>
    <row r="870" spans="1:28" ht="15.75" customHeight="1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71"/>
      <c r="M870" s="271"/>
      <c r="N870" s="314"/>
      <c r="O870" s="314"/>
      <c r="P870" s="314"/>
      <c r="Q870" s="263"/>
      <c r="R870" s="263"/>
      <c r="S870" s="263"/>
      <c r="T870" s="263"/>
      <c r="U870" s="263"/>
      <c r="V870" s="263"/>
      <c r="W870" s="263"/>
      <c r="X870" s="71"/>
      <c r="Y870" s="71"/>
      <c r="Z870" s="71"/>
      <c r="AA870" s="71"/>
      <c r="AB870" s="71"/>
    </row>
    <row r="871" spans="1:28" ht="15.75" customHeight="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71"/>
      <c r="M871" s="271"/>
      <c r="N871" s="314"/>
      <c r="O871" s="314"/>
      <c r="P871" s="314"/>
      <c r="Q871" s="263"/>
      <c r="R871" s="263"/>
      <c r="S871" s="263"/>
      <c r="T871" s="263"/>
      <c r="U871" s="263"/>
      <c r="V871" s="263"/>
      <c r="W871" s="263"/>
      <c r="X871" s="71"/>
      <c r="Y871" s="71"/>
      <c r="Z871" s="71"/>
      <c r="AA871" s="71"/>
      <c r="AB871" s="71"/>
    </row>
    <row r="872" spans="1:28" ht="15.75" customHeight="1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71"/>
      <c r="M872" s="271"/>
      <c r="N872" s="314"/>
      <c r="O872" s="314"/>
      <c r="P872" s="314"/>
      <c r="Q872" s="263"/>
      <c r="R872" s="263"/>
      <c r="S872" s="263"/>
      <c r="T872" s="263"/>
      <c r="U872" s="263"/>
      <c r="V872" s="263"/>
      <c r="W872" s="263"/>
      <c r="X872" s="71"/>
      <c r="Y872" s="71"/>
      <c r="Z872" s="71"/>
      <c r="AA872" s="71"/>
      <c r="AB872" s="71"/>
    </row>
    <row r="873" spans="1:28" ht="15.75" customHeight="1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71"/>
      <c r="M873" s="271"/>
      <c r="N873" s="314"/>
      <c r="O873" s="314"/>
      <c r="P873" s="314"/>
      <c r="Q873" s="263"/>
      <c r="R873" s="263"/>
      <c r="S873" s="263"/>
      <c r="T873" s="263"/>
      <c r="U873" s="263"/>
      <c r="V873" s="263"/>
      <c r="W873" s="263"/>
      <c r="X873" s="71"/>
      <c r="Y873" s="71"/>
      <c r="Z873" s="71"/>
      <c r="AA873" s="71"/>
      <c r="AB873" s="71"/>
    </row>
    <row r="874" spans="1:28" ht="15.75" customHeight="1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71"/>
      <c r="M874" s="271"/>
      <c r="N874" s="314"/>
      <c r="O874" s="314"/>
      <c r="P874" s="314"/>
      <c r="Q874" s="263"/>
      <c r="R874" s="263"/>
      <c r="S874" s="263"/>
      <c r="T874" s="263"/>
      <c r="U874" s="263"/>
      <c r="V874" s="263"/>
      <c r="W874" s="263"/>
      <c r="X874" s="71"/>
      <c r="Y874" s="71"/>
      <c r="Z874" s="71"/>
      <c r="AA874" s="71"/>
      <c r="AB874" s="71"/>
    </row>
    <row r="875" spans="1:28" ht="15.75" customHeight="1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71"/>
      <c r="M875" s="271"/>
      <c r="N875" s="314"/>
      <c r="O875" s="314"/>
      <c r="P875" s="314"/>
      <c r="Q875" s="263"/>
      <c r="R875" s="263"/>
      <c r="S875" s="263"/>
      <c r="T875" s="263"/>
      <c r="U875" s="263"/>
      <c r="V875" s="263"/>
      <c r="W875" s="263"/>
      <c r="X875" s="71"/>
      <c r="Y875" s="71"/>
      <c r="Z875" s="71"/>
      <c r="AA875" s="71"/>
      <c r="AB875" s="71"/>
    </row>
    <row r="876" spans="1:28" ht="15.75" customHeight="1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71"/>
      <c r="M876" s="271"/>
      <c r="N876" s="314"/>
      <c r="O876" s="314"/>
      <c r="P876" s="314"/>
      <c r="Q876" s="263"/>
      <c r="R876" s="263"/>
      <c r="S876" s="263"/>
      <c r="T876" s="263"/>
      <c r="U876" s="263"/>
      <c r="V876" s="263"/>
      <c r="W876" s="263"/>
      <c r="X876" s="71"/>
      <c r="Y876" s="71"/>
      <c r="Z876" s="71"/>
      <c r="AA876" s="71"/>
      <c r="AB876" s="71"/>
    </row>
    <row r="877" spans="1:28" ht="15.75" customHeight="1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71"/>
      <c r="M877" s="271"/>
      <c r="N877" s="314"/>
      <c r="O877" s="314"/>
      <c r="P877" s="314"/>
      <c r="Q877" s="263"/>
      <c r="R877" s="263"/>
      <c r="S877" s="263"/>
      <c r="T877" s="263"/>
      <c r="U877" s="263"/>
      <c r="V877" s="263"/>
      <c r="W877" s="263"/>
      <c r="X877" s="71"/>
      <c r="Y877" s="71"/>
      <c r="Z877" s="71"/>
      <c r="AA877" s="71"/>
      <c r="AB877" s="71"/>
    </row>
    <row r="878" spans="1:28" ht="15.75" customHeight="1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71"/>
      <c r="M878" s="271"/>
      <c r="N878" s="314"/>
      <c r="O878" s="314"/>
      <c r="P878" s="314"/>
      <c r="Q878" s="263"/>
      <c r="R878" s="263"/>
      <c r="S878" s="263"/>
      <c r="T878" s="263"/>
      <c r="U878" s="263"/>
      <c r="V878" s="263"/>
      <c r="W878" s="263"/>
      <c r="X878" s="71"/>
      <c r="Y878" s="71"/>
      <c r="Z878" s="71"/>
      <c r="AA878" s="71"/>
      <c r="AB878" s="71"/>
    </row>
    <row r="879" spans="1:28" ht="15.75" customHeight="1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71"/>
      <c r="M879" s="271"/>
      <c r="N879" s="314"/>
      <c r="O879" s="314"/>
      <c r="P879" s="314"/>
      <c r="Q879" s="263"/>
      <c r="R879" s="263"/>
      <c r="S879" s="263"/>
      <c r="T879" s="263"/>
      <c r="U879" s="263"/>
      <c r="V879" s="263"/>
      <c r="W879" s="263"/>
      <c r="X879" s="71"/>
      <c r="Y879" s="71"/>
      <c r="Z879" s="71"/>
      <c r="AA879" s="71"/>
      <c r="AB879" s="71"/>
    </row>
    <row r="880" spans="1:28" ht="15.75" customHeight="1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71"/>
      <c r="M880" s="271"/>
      <c r="N880" s="314"/>
      <c r="O880" s="314"/>
      <c r="P880" s="314"/>
      <c r="Q880" s="263"/>
      <c r="R880" s="263"/>
      <c r="S880" s="263"/>
      <c r="T880" s="263"/>
      <c r="U880" s="263"/>
      <c r="V880" s="263"/>
      <c r="W880" s="263"/>
      <c r="X880" s="71"/>
      <c r="Y880" s="71"/>
      <c r="Z880" s="71"/>
      <c r="AA880" s="71"/>
      <c r="AB880" s="71"/>
    </row>
    <row r="881" spans="1:28" ht="15.75" customHeight="1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71"/>
      <c r="M881" s="271"/>
      <c r="N881" s="314"/>
      <c r="O881" s="314"/>
      <c r="P881" s="314"/>
      <c r="Q881" s="263"/>
      <c r="R881" s="263"/>
      <c r="S881" s="263"/>
      <c r="T881" s="263"/>
      <c r="U881" s="263"/>
      <c r="V881" s="263"/>
      <c r="W881" s="263"/>
      <c r="X881" s="71"/>
      <c r="Y881" s="71"/>
      <c r="Z881" s="71"/>
      <c r="AA881" s="71"/>
      <c r="AB881" s="71"/>
    </row>
    <row r="882" spans="1:28" ht="15.75" customHeight="1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71"/>
      <c r="M882" s="271"/>
      <c r="N882" s="314"/>
      <c r="O882" s="314"/>
      <c r="P882" s="314"/>
      <c r="Q882" s="263"/>
      <c r="R882" s="263"/>
      <c r="S882" s="263"/>
      <c r="T882" s="263"/>
      <c r="U882" s="263"/>
      <c r="V882" s="263"/>
      <c r="W882" s="263"/>
      <c r="X882" s="71"/>
      <c r="Y882" s="71"/>
      <c r="Z882" s="71"/>
      <c r="AA882" s="71"/>
      <c r="AB882" s="71"/>
    </row>
    <row r="883" spans="1:28" ht="15.75" customHeight="1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71"/>
      <c r="M883" s="271"/>
      <c r="N883" s="314"/>
      <c r="O883" s="314"/>
      <c r="P883" s="314"/>
      <c r="Q883" s="263"/>
      <c r="R883" s="263"/>
      <c r="S883" s="263"/>
      <c r="T883" s="263"/>
      <c r="U883" s="263"/>
      <c r="V883" s="263"/>
      <c r="W883" s="263"/>
      <c r="X883" s="71"/>
      <c r="Y883" s="71"/>
      <c r="Z883" s="71"/>
      <c r="AA883" s="71"/>
      <c r="AB883" s="71"/>
    </row>
    <row r="884" spans="1:28" ht="15.75" customHeight="1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71"/>
      <c r="M884" s="271"/>
      <c r="N884" s="314"/>
      <c r="O884" s="314"/>
      <c r="P884" s="314"/>
      <c r="Q884" s="263"/>
      <c r="R884" s="263"/>
      <c r="S884" s="263"/>
      <c r="T884" s="263"/>
      <c r="U884" s="263"/>
      <c r="V884" s="263"/>
      <c r="W884" s="263"/>
      <c r="X884" s="71"/>
      <c r="Y884" s="71"/>
      <c r="Z884" s="71"/>
      <c r="AA884" s="71"/>
      <c r="AB884" s="71"/>
    </row>
    <row r="885" spans="1:28" ht="15.75" customHeight="1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71"/>
      <c r="M885" s="271"/>
      <c r="N885" s="314"/>
      <c r="O885" s="314"/>
      <c r="P885" s="314"/>
      <c r="Q885" s="263"/>
      <c r="R885" s="263"/>
      <c r="S885" s="263"/>
      <c r="T885" s="263"/>
      <c r="U885" s="263"/>
      <c r="V885" s="263"/>
      <c r="W885" s="263"/>
      <c r="X885" s="71"/>
      <c r="Y885" s="71"/>
      <c r="Z885" s="71"/>
      <c r="AA885" s="71"/>
      <c r="AB885" s="71"/>
    </row>
    <row r="886" spans="1:28" ht="15.75" customHeight="1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71"/>
      <c r="M886" s="271"/>
      <c r="N886" s="314"/>
      <c r="O886" s="314"/>
      <c r="P886" s="314"/>
      <c r="Q886" s="263"/>
      <c r="R886" s="263"/>
      <c r="S886" s="263"/>
      <c r="T886" s="263"/>
      <c r="U886" s="263"/>
      <c r="V886" s="263"/>
      <c r="W886" s="263"/>
      <c r="X886" s="71"/>
      <c r="Y886" s="71"/>
      <c r="Z886" s="71"/>
      <c r="AA886" s="71"/>
      <c r="AB886" s="71"/>
    </row>
    <row r="887" spans="1:28" ht="15.75" customHeight="1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71"/>
      <c r="M887" s="271"/>
      <c r="N887" s="314"/>
      <c r="O887" s="314"/>
      <c r="P887" s="314"/>
      <c r="Q887" s="263"/>
      <c r="R887" s="263"/>
      <c r="S887" s="263"/>
      <c r="T887" s="263"/>
      <c r="U887" s="263"/>
      <c r="V887" s="263"/>
      <c r="W887" s="263"/>
      <c r="X887" s="71"/>
      <c r="Y887" s="71"/>
      <c r="Z887" s="71"/>
      <c r="AA887" s="71"/>
      <c r="AB887" s="71"/>
    </row>
    <row r="888" spans="1:28" ht="15.75" customHeight="1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71"/>
      <c r="M888" s="271"/>
      <c r="N888" s="314"/>
      <c r="O888" s="314"/>
      <c r="P888" s="314"/>
      <c r="Q888" s="263"/>
      <c r="R888" s="263"/>
      <c r="S888" s="263"/>
      <c r="T888" s="263"/>
      <c r="U888" s="263"/>
      <c r="V888" s="263"/>
      <c r="W888" s="263"/>
      <c r="X888" s="71"/>
      <c r="Y888" s="71"/>
      <c r="Z888" s="71"/>
      <c r="AA888" s="71"/>
      <c r="AB888" s="71"/>
    </row>
    <row r="889" spans="1:28" ht="15.75" customHeight="1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71"/>
      <c r="M889" s="271"/>
      <c r="N889" s="314"/>
      <c r="O889" s="314"/>
      <c r="P889" s="314"/>
      <c r="Q889" s="263"/>
      <c r="R889" s="263"/>
      <c r="S889" s="263"/>
      <c r="T889" s="263"/>
      <c r="U889" s="263"/>
      <c r="V889" s="263"/>
      <c r="W889" s="263"/>
      <c r="X889" s="71"/>
      <c r="Y889" s="71"/>
      <c r="Z889" s="71"/>
      <c r="AA889" s="71"/>
      <c r="AB889" s="71"/>
    </row>
    <row r="890" spans="1:28" ht="15.75" customHeight="1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71"/>
      <c r="M890" s="271"/>
      <c r="N890" s="314"/>
      <c r="O890" s="314"/>
      <c r="P890" s="314"/>
      <c r="Q890" s="263"/>
      <c r="R890" s="263"/>
      <c r="S890" s="263"/>
      <c r="T890" s="263"/>
      <c r="U890" s="263"/>
      <c r="V890" s="263"/>
      <c r="W890" s="263"/>
      <c r="X890" s="71"/>
      <c r="Y890" s="71"/>
      <c r="Z890" s="71"/>
      <c r="AA890" s="71"/>
      <c r="AB890" s="71"/>
    </row>
    <row r="891" spans="1:28" ht="15.75" customHeight="1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71"/>
      <c r="M891" s="271"/>
      <c r="N891" s="314"/>
      <c r="O891" s="314"/>
      <c r="P891" s="314"/>
      <c r="Q891" s="263"/>
      <c r="R891" s="263"/>
      <c r="S891" s="263"/>
      <c r="T891" s="263"/>
      <c r="U891" s="263"/>
      <c r="V891" s="263"/>
      <c r="W891" s="263"/>
      <c r="X891" s="71"/>
      <c r="Y891" s="71"/>
      <c r="Z891" s="71"/>
      <c r="AA891" s="71"/>
      <c r="AB891" s="71"/>
    </row>
    <row r="892" spans="1:28" ht="15.75" customHeight="1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71"/>
      <c r="M892" s="271"/>
      <c r="N892" s="314"/>
      <c r="O892" s="314"/>
      <c r="P892" s="314"/>
      <c r="Q892" s="263"/>
      <c r="R892" s="263"/>
      <c r="S892" s="263"/>
      <c r="T892" s="263"/>
      <c r="U892" s="263"/>
      <c r="V892" s="263"/>
      <c r="W892" s="263"/>
      <c r="X892" s="71"/>
      <c r="Y892" s="71"/>
      <c r="Z892" s="71"/>
      <c r="AA892" s="71"/>
      <c r="AB892" s="71"/>
    </row>
    <row r="893" spans="1:28" ht="15.75" customHeight="1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71"/>
      <c r="M893" s="271"/>
      <c r="N893" s="314"/>
      <c r="O893" s="314"/>
      <c r="P893" s="314"/>
      <c r="Q893" s="263"/>
      <c r="R893" s="263"/>
      <c r="S893" s="263"/>
      <c r="T893" s="263"/>
      <c r="U893" s="263"/>
      <c r="V893" s="263"/>
      <c r="W893" s="263"/>
      <c r="X893" s="71"/>
      <c r="Y893" s="71"/>
      <c r="Z893" s="71"/>
      <c r="AA893" s="71"/>
      <c r="AB893" s="71"/>
    </row>
    <row r="894" spans="1:28" ht="15.75" customHeight="1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71"/>
      <c r="M894" s="271"/>
      <c r="N894" s="314"/>
      <c r="O894" s="314"/>
      <c r="P894" s="314"/>
      <c r="Q894" s="263"/>
      <c r="R894" s="263"/>
      <c r="S894" s="263"/>
      <c r="T894" s="263"/>
      <c r="U894" s="263"/>
      <c r="V894" s="263"/>
      <c r="W894" s="263"/>
      <c r="X894" s="71"/>
      <c r="Y894" s="71"/>
      <c r="Z894" s="71"/>
      <c r="AA894" s="71"/>
      <c r="AB894" s="71"/>
    </row>
    <row r="895" spans="1:28" ht="15.75" customHeight="1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71"/>
      <c r="M895" s="271"/>
      <c r="N895" s="314"/>
      <c r="O895" s="314"/>
      <c r="P895" s="314"/>
      <c r="Q895" s="263"/>
      <c r="R895" s="263"/>
      <c r="S895" s="263"/>
      <c r="T895" s="263"/>
      <c r="U895" s="263"/>
      <c r="V895" s="263"/>
      <c r="W895" s="263"/>
      <c r="X895" s="71"/>
      <c r="Y895" s="71"/>
      <c r="Z895" s="71"/>
      <c r="AA895" s="71"/>
      <c r="AB895" s="71"/>
    </row>
    <row r="896" spans="1:28" ht="15.75" customHeight="1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71"/>
      <c r="M896" s="271"/>
      <c r="N896" s="314"/>
      <c r="O896" s="314"/>
      <c r="P896" s="314"/>
      <c r="Q896" s="263"/>
      <c r="R896" s="263"/>
      <c r="S896" s="263"/>
      <c r="T896" s="263"/>
      <c r="U896" s="263"/>
      <c r="V896" s="263"/>
      <c r="W896" s="263"/>
      <c r="X896" s="71"/>
      <c r="Y896" s="71"/>
      <c r="Z896" s="71"/>
      <c r="AA896" s="71"/>
      <c r="AB896" s="71"/>
    </row>
    <row r="897" spans="1:28" ht="15.75" customHeight="1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71"/>
      <c r="M897" s="271"/>
      <c r="N897" s="314"/>
      <c r="O897" s="314"/>
      <c r="P897" s="314"/>
      <c r="Q897" s="263"/>
      <c r="R897" s="263"/>
      <c r="S897" s="263"/>
      <c r="T897" s="263"/>
      <c r="U897" s="263"/>
      <c r="V897" s="263"/>
      <c r="W897" s="263"/>
      <c r="X897" s="71"/>
      <c r="Y897" s="71"/>
      <c r="Z897" s="71"/>
      <c r="AA897" s="71"/>
      <c r="AB897" s="71"/>
    </row>
    <row r="898" spans="1:28" ht="15.75" customHeight="1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71"/>
      <c r="M898" s="271"/>
      <c r="N898" s="314"/>
      <c r="O898" s="314"/>
      <c r="P898" s="314"/>
      <c r="Q898" s="263"/>
      <c r="R898" s="263"/>
      <c r="S898" s="263"/>
      <c r="T898" s="263"/>
      <c r="U898" s="263"/>
      <c r="V898" s="263"/>
      <c r="W898" s="263"/>
      <c r="X898" s="71"/>
      <c r="Y898" s="71"/>
      <c r="Z898" s="71"/>
      <c r="AA898" s="71"/>
      <c r="AB898" s="71"/>
    </row>
    <row r="899" spans="1:28" ht="15.75" customHeight="1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71"/>
      <c r="M899" s="271"/>
      <c r="N899" s="314"/>
      <c r="O899" s="314"/>
      <c r="P899" s="314"/>
      <c r="Q899" s="263"/>
      <c r="R899" s="263"/>
      <c r="S899" s="263"/>
      <c r="T899" s="263"/>
      <c r="U899" s="263"/>
      <c r="V899" s="263"/>
      <c r="W899" s="263"/>
      <c r="X899" s="71"/>
      <c r="Y899" s="71"/>
      <c r="Z899" s="71"/>
      <c r="AA899" s="71"/>
      <c r="AB899" s="71"/>
    </row>
    <row r="900" spans="1:28" ht="15.75" customHeight="1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71"/>
      <c r="M900" s="271"/>
      <c r="N900" s="314"/>
      <c r="O900" s="314"/>
      <c r="P900" s="314"/>
      <c r="Q900" s="263"/>
      <c r="R900" s="263"/>
      <c r="S900" s="263"/>
      <c r="T900" s="263"/>
      <c r="U900" s="263"/>
      <c r="V900" s="263"/>
      <c r="W900" s="263"/>
      <c r="X900" s="71"/>
      <c r="Y900" s="71"/>
      <c r="Z900" s="71"/>
      <c r="AA900" s="71"/>
      <c r="AB900" s="71"/>
    </row>
    <row r="901" spans="1:28" ht="15.75" customHeight="1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71"/>
      <c r="M901" s="271"/>
      <c r="N901" s="314"/>
      <c r="O901" s="314"/>
      <c r="P901" s="314"/>
      <c r="Q901" s="263"/>
      <c r="R901" s="263"/>
      <c r="S901" s="263"/>
      <c r="T901" s="263"/>
      <c r="U901" s="263"/>
      <c r="V901" s="263"/>
      <c r="W901" s="263"/>
      <c r="X901" s="71"/>
      <c r="Y901" s="71"/>
      <c r="Z901" s="71"/>
      <c r="AA901" s="71"/>
      <c r="AB901" s="71"/>
    </row>
    <row r="902" spans="1:28" ht="15.75" customHeight="1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71"/>
      <c r="M902" s="271"/>
      <c r="N902" s="314"/>
      <c r="O902" s="314"/>
      <c r="P902" s="314"/>
      <c r="Q902" s="263"/>
      <c r="R902" s="263"/>
      <c r="S902" s="263"/>
      <c r="T902" s="263"/>
      <c r="U902" s="263"/>
      <c r="V902" s="263"/>
      <c r="W902" s="263"/>
      <c r="X902" s="71"/>
      <c r="Y902" s="71"/>
      <c r="Z902" s="71"/>
      <c r="AA902" s="71"/>
      <c r="AB902" s="71"/>
    </row>
    <row r="903" spans="1:28" ht="15.75" customHeight="1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71"/>
      <c r="M903" s="271"/>
      <c r="N903" s="314"/>
      <c r="O903" s="314"/>
      <c r="P903" s="314"/>
      <c r="Q903" s="263"/>
      <c r="R903" s="263"/>
      <c r="S903" s="263"/>
      <c r="T903" s="263"/>
      <c r="U903" s="263"/>
      <c r="V903" s="263"/>
      <c r="W903" s="263"/>
      <c r="X903" s="71"/>
      <c r="Y903" s="71"/>
      <c r="Z903" s="71"/>
      <c r="AA903" s="71"/>
      <c r="AB903" s="71"/>
    </row>
    <row r="904" spans="1:28" ht="15.75" customHeight="1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71"/>
      <c r="M904" s="271"/>
      <c r="N904" s="314"/>
      <c r="O904" s="314"/>
      <c r="P904" s="314"/>
      <c r="Q904" s="263"/>
      <c r="R904" s="263"/>
      <c r="S904" s="263"/>
      <c r="T904" s="263"/>
      <c r="U904" s="263"/>
      <c r="V904" s="263"/>
      <c r="W904" s="263"/>
      <c r="X904" s="71"/>
      <c r="Y904" s="71"/>
      <c r="Z904" s="71"/>
      <c r="AA904" s="71"/>
      <c r="AB904" s="71"/>
    </row>
    <row r="905" spans="1:28" ht="15.75" customHeight="1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71"/>
      <c r="M905" s="271"/>
      <c r="N905" s="314"/>
      <c r="O905" s="314"/>
      <c r="P905" s="314"/>
      <c r="Q905" s="263"/>
      <c r="R905" s="263"/>
      <c r="S905" s="263"/>
      <c r="T905" s="263"/>
      <c r="U905" s="263"/>
      <c r="V905" s="263"/>
      <c r="W905" s="263"/>
      <c r="X905" s="71"/>
      <c r="Y905" s="71"/>
      <c r="Z905" s="71"/>
      <c r="AA905" s="71"/>
      <c r="AB905" s="71"/>
    </row>
    <row r="906" spans="1:28" ht="15.75" customHeight="1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71"/>
      <c r="M906" s="271"/>
      <c r="N906" s="314"/>
      <c r="O906" s="314"/>
      <c r="P906" s="314"/>
      <c r="Q906" s="263"/>
      <c r="R906" s="263"/>
      <c r="S906" s="263"/>
      <c r="T906" s="263"/>
      <c r="U906" s="263"/>
      <c r="V906" s="263"/>
      <c r="W906" s="263"/>
      <c r="X906" s="71"/>
      <c r="Y906" s="71"/>
      <c r="Z906" s="71"/>
      <c r="AA906" s="71"/>
      <c r="AB906" s="71"/>
    </row>
    <row r="907" spans="1:28" ht="15.75" customHeight="1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71"/>
      <c r="M907" s="271"/>
      <c r="N907" s="314"/>
      <c r="O907" s="314"/>
      <c r="P907" s="314"/>
      <c r="Q907" s="263"/>
      <c r="R907" s="263"/>
      <c r="S907" s="263"/>
      <c r="T907" s="263"/>
      <c r="U907" s="263"/>
      <c r="V907" s="263"/>
      <c r="W907" s="263"/>
      <c r="X907" s="71"/>
      <c r="Y907" s="71"/>
      <c r="Z907" s="71"/>
      <c r="AA907" s="71"/>
      <c r="AB907" s="71"/>
    </row>
    <row r="908" spans="1:28" ht="15.75" customHeight="1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71"/>
      <c r="M908" s="271"/>
      <c r="N908" s="314"/>
      <c r="O908" s="314"/>
      <c r="P908" s="314"/>
      <c r="Q908" s="263"/>
      <c r="R908" s="263"/>
      <c r="S908" s="263"/>
      <c r="T908" s="263"/>
      <c r="U908" s="263"/>
      <c r="V908" s="263"/>
      <c r="W908" s="263"/>
      <c r="X908" s="71"/>
      <c r="Y908" s="71"/>
      <c r="Z908" s="71"/>
      <c r="AA908" s="71"/>
      <c r="AB908" s="71"/>
    </row>
    <row r="909" spans="1:28" ht="15.75" customHeight="1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71"/>
      <c r="M909" s="271"/>
      <c r="N909" s="314"/>
      <c r="O909" s="314"/>
      <c r="P909" s="314"/>
      <c r="Q909" s="263"/>
      <c r="R909" s="263"/>
      <c r="S909" s="263"/>
      <c r="T909" s="263"/>
      <c r="U909" s="263"/>
      <c r="V909" s="263"/>
      <c r="W909" s="263"/>
      <c r="X909" s="71"/>
      <c r="Y909" s="71"/>
      <c r="Z909" s="71"/>
      <c r="AA909" s="71"/>
      <c r="AB909" s="71"/>
    </row>
    <row r="910" spans="1:28" ht="15.75" customHeight="1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71"/>
      <c r="M910" s="271"/>
      <c r="N910" s="314"/>
      <c r="O910" s="314"/>
      <c r="P910" s="314"/>
      <c r="Q910" s="263"/>
      <c r="R910" s="263"/>
      <c r="S910" s="263"/>
      <c r="T910" s="263"/>
      <c r="U910" s="263"/>
      <c r="V910" s="263"/>
      <c r="W910" s="263"/>
      <c r="X910" s="71"/>
      <c r="Y910" s="71"/>
      <c r="Z910" s="71"/>
      <c r="AA910" s="71"/>
      <c r="AB910" s="71"/>
    </row>
    <row r="911" spans="1:28" ht="15.75" customHeight="1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71"/>
      <c r="M911" s="271"/>
      <c r="N911" s="314"/>
      <c r="O911" s="314"/>
      <c r="P911" s="314"/>
      <c r="Q911" s="263"/>
      <c r="R911" s="263"/>
      <c r="S911" s="263"/>
      <c r="T911" s="263"/>
      <c r="U911" s="263"/>
      <c r="V911" s="263"/>
      <c r="W911" s="263"/>
      <c r="X911" s="71"/>
      <c r="Y911" s="71"/>
      <c r="Z911" s="71"/>
      <c r="AA911" s="71"/>
      <c r="AB911" s="71"/>
    </row>
    <row r="912" spans="1:28" ht="15.75" customHeight="1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71"/>
      <c r="M912" s="271"/>
      <c r="N912" s="314"/>
      <c r="O912" s="314"/>
      <c r="P912" s="314"/>
      <c r="Q912" s="263"/>
      <c r="R912" s="263"/>
      <c r="S912" s="263"/>
      <c r="T912" s="263"/>
      <c r="U912" s="263"/>
      <c r="V912" s="263"/>
      <c r="W912" s="263"/>
      <c r="X912" s="71"/>
      <c r="Y912" s="71"/>
      <c r="Z912" s="71"/>
      <c r="AA912" s="71"/>
      <c r="AB912" s="71"/>
    </row>
    <row r="913" spans="1:28" ht="15.75" customHeight="1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71"/>
      <c r="M913" s="271"/>
      <c r="N913" s="314"/>
      <c r="O913" s="314"/>
      <c r="P913" s="314"/>
      <c r="Q913" s="263"/>
      <c r="R913" s="263"/>
      <c r="S913" s="263"/>
      <c r="T913" s="263"/>
      <c r="U913" s="263"/>
      <c r="V913" s="263"/>
      <c r="W913" s="263"/>
      <c r="X913" s="71"/>
      <c r="Y913" s="71"/>
      <c r="Z913" s="71"/>
      <c r="AA913" s="71"/>
      <c r="AB913" s="71"/>
    </row>
    <row r="914" spans="1:28" ht="15.75" customHeight="1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71"/>
      <c r="M914" s="271"/>
      <c r="N914" s="314"/>
      <c r="O914" s="314"/>
      <c r="P914" s="314"/>
      <c r="Q914" s="263"/>
      <c r="R914" s="263"/>
      <c r="S914" s="263"/>
      <c r="T914" s="263"/>
      <c r="U914" s="263"/>
      <c r="V914" s="263"/>
      <c r="W914" s="263"/>
      <c r="X914" s="71"/>
      <c r="Y914" s="71"/>
      <c r="Z914" s="71"/>
      <c r="AA914" s="71"/>
      <c r="AB914" s="71"/>
    </row>
    <row r="915" spans="1:28" ht="15.75" customHeight="1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71"/>
      <c r="M915" s="271"/>
      <c r="N915" s="314"/>
      <c r="O915" s="314"/>
      <c r="P915" s="314"/>
      <c r="Q915" s="263"/>
      <c r="R915" s="263"/>
      <c r="S915" s="263"/>
      <c r="T915" s="263"/>
      <c r="U915" s="263"/>
      <c r="V915" s="263"/>
      <c r="W915" s="263"/>
      <c r="X915" s="71"/>
      <c r="Y915" s="71"/>
      <c r="Z915" s="71"/>
      <c r="AA915" s="71"/>
      <c r="AB915" s="71"/>
    </row>
    <row r="916" spans="1:28" ht="15.75" customHeight="1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71"/>
      <c r="M916" s="271"/>
      <c r="N916" s="314"/>
      <c r="O916" s="314"/>
      <c r="P916" s="314"/>
      <c r="Q916" s="263"/>
      <c r="R916" s="263"/>
      <c r="S916" s="263"/>
      <c r="T916" s="263"/>
      <c r="U916" s="263"/>
      <c r="V916" s="263"/>
      <c r="W916" s="263"/>
      <c r="X916" s="71"/>
      <c r="Y916" s="71"/>
      <c r="Z916" s="71"/>
      <c r="AA916" s="71"/>
      <c r="AB916" s="71"/>
    </row>
    <row r="917" spans="1:28" ht="15.75" customHeight="1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71"/>
      <c r="M917" s="271"/>
      <c r="N917" s="314"/>
      <c r="O917" s="314"/>
      <c r="P917" s="314"/>
      <c r="Q917" s="263"/>
      <c r="R917" s="263"/>
      <c r="S917" s="263"/>
      <c r="T917" s="263"/>
      <c r="U917" s="263"/>
      <c r="V917" s="263"/>
      <c r="W917" s="263"/>
      <c r="X917" s="71"/>
      <c r="Y917" s="71"/>
      <c r="Z917" s="71"/>
      <c r="AA917" s="71"/>
      <c r="AB917" s="71"/>
    </row>
    <row r="918" spans="1:28" ht="15.75" customHeight="1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71"/>
      <c r="M918" s="271"/>
      <c r="N918" s="314"/>
      <c r="O918" s="314"/>
      <c r="P918" s="314"/>
      <c r="Q918" s="263"/>
      <c r="R918" s="263"/>
      <c r="S918" s="263"/>
      <c r="T918" s="263"/>
      <c r="U918" s="263"/>
      <c r="V918" s="263"/>
      <c r="W918" s="263"/>
      <c r="X918" s="71"/>
      <c r="Y918" s="71"/>
      <c r="Z918" s="71"/>
      <c r="AA918" s="71"/>
      <c r="AB918" s="71"/>
    </row>
    <row r="919" spans="1:28" ht="15.75" customHeight="1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71"/>
      <c r="M919" s="271"/>
      <c r="N919" s="314"/>
      <c r="O919" s="314"/>
      <c r="P919" s="314"/>
      <c r="Q919" s="263"/>
      <c r="R919" s="263"/>
      <c r="S919" s="263"/>
      <c r="T919" s="263"/>
      <c r="U919" s="263"/>
      <c r="V919" s="263"/>
      <c r="W919" s="263"/>
      <c r="X919" s="71"/>
      <c r="Y919" s="71"/>
      <c r="Z919" s="71"/>
      <c r="AA919" s="71"/>
      <c r="AB919" s="71"/>
    </row>
    <row r="920" spans="1:28" ht="15.75" customHeight="1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71"/>
      <c r="M920" s="271"/>
      <c r="N920" s="314"/>
      <c r="O920" s="314"/>
      <c r="P920" s="314"/>
      <c r="Q920" s="263"/>
      <c r="R920" s="263"/>
      <c r="S920" s="263"/>
      <c r="T920" s="263"/>
      <c r="U920" s="263"/>
      <c r="V920" s="263"/>
      <c r="W920" s="263"/>
      <c r="X920" s="71"/>
      <c r="Y920" s="71"/>
      <c r="Z920" s="71"/>
      <c r="AA920" s="71"/>
      <c r="AB920" s="71"/>
    </row>
    <row r="921" spans="1:28" ht="15.75" customHeight="1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71"/>
      <c r="M921" s="271"/>
      <c r="N921" s="314"/>
      <c r="O921" s="314"/>
      <c r="P921" s="314"/>
      <c r="Q921" s="263"/>
      <c r="R921" s="263"/>
      <c r="S921" s="263"/>
      <c r="T921" s="263"/>
      <c r="U921" s="263"/>
      <c r="V921" s="263"/>
      <c r="W921" s="263"/>
      <c r="X921" s="71"/>
      <c r="Y921" s="71"/>
      <c r="Z921" s="71"/>
      <c r="AA921" s="71"/>
      <c r="AB921" s="71"/>
    </row>
    <row r="922" spans="1:28" ht="15.75" customHeight="1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71"/>
      <c r="M922" s="271"/>
      <c r="N922" s="314"/>
      <c r="O922" s="314"/>
      <c r="P922" s="314"/>
      <c r="Q922" s="263"/>
      <c r="R922" s="263"/>
      <c r="S922" s="263"/>
      <c r="T922" s="263"/>
      <c r="U922" s="263"/>
      <c r="V922" s="263"/>
      <c r="W922" s="263"/>
      <c r="X922" s="71"/>
      <c r="Y922" s="71"/>
      <c r="Z922" s="71"/>
      <c r="AA922" s="71"/>
      <c r="AB922" s="71"/>
    </row>
    <row r="923" spans="1:28" ht="15.75" customHeight="1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71"/>
      <c r="M923" s="271"/>
      <c r="N923" s="314"/>
      <c r="O923" s="314"/>
      <c r="P923" s="314"/>
      <c r="Q923" s="263"/>
      <c r="R923" s="263"/>
      <c r="S923" s="263"/>
      <c r="T923" s="263"/>
      <c r="U923" s="263"/>
      <c r="V923" s="263"/>
      <c r="W923" s="263"/>
      <c r="X923" s="71"/>
      <c r="Y923" s="71"/>
      <c r="Z923" s="71"/>
      <c r="AA923" s="71"/>
      <c r="AB923" s="71"/>
    </row>
    <row r="924" spans="1:28" ht="15.75" customHeight="1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71"/>
      <c r="M924" s="271"/>
      <c r="N924" s="314"/>
      <c r="O924" s="314"/>
      <c r="P924" s="314"/>
      <c r="Q924" s="263"/>
      <c r="R924" s="263"/>
      <c r="S924" s="263"/>
      <c r="T924" s="263"/>
      <c r="U924" s="263"/>
      <c r="V924" s="263"/>
      <c r="W924" s="263"/>
      <c r="X924" s="71"/>
      <c r="Y924" s="71"/>
      <c r="Z924" s="71"/>
      <c r="AA924" s="71"/>
      <c r="AB924" s="71"/>
    </row>
    <row r="925" spans="1:28" ht="15.75" customHeight="1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71"/>
      <c r="M925" s="271"/>
      <c r="N925" s="314"/>
      <c r="O925" s="314"/>
      <c r="P925" s="314"/>
      <c r="Q925" s="263"/>
      <c r="R925" s="263"/>
      <c r="S925" s="263"/>
      <c r="T925" s="263"/>
      <c r="U925" s="263"/>
      <c r="V925" s="263"/>
      <c r="W925" s="263"/>
      <c r="X925" s="71"/>
      <c r="Y925" s="71"/>
      <c r="Z925" s="71"/>
      <c r="AA925" s="71"/>
      <c r="AB925" s="71"/>
    </row>
    <row r="926" spans="1:28" ht="15.75" customHeight="1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71"/>
      <c r="M926" s="271"/>
      <c r="N926" s="314"/>
      <c r="O926" s="314"/>
      <c r="P926" s="314"/>
      <c r="Q926" s="263"/>
      <c r="R926" s="263"/>
      <c r="S926" s="263"/>
      <c r="T926" s="263"/>
      <c r="U926" s="263"/>
      <c r="V926" s="263"/>
      <c r="W926" s="263"/>
      <c r="X926" s="71"/>
      <c r="Y926" s="71"/>
      <c r="Z926" s="71"/>
      <c r="AA926" s="71"/>
      <c r="AB926" s="71"/>
    </row>
    <row r="927" spans="1:28" ht="15.75" customHeight="1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71"/>
      <c r="M927" s="271"/>
      <c r="N927" s="314"/>
      <c r="O927" s="314"/>
      <c r="P927" s="314"/>
      <c r="Q927" s="263"/>
      <c r="R927" s="263"/>
      <c r="S927" s="263"/>
      <c r="T927" s="263"/>
      <c r="U927" s="263"/>
      <c r="V927" s="263"/>
      <c r="W927" s="263"/>
      <c r="X927" s="71"/>
      <c r="Y927" s="71"/>
      <c r="Z927" s="71"/>
      <c r="AA927" s="71"/>
      <c r="AB927" s="71"/>
    </row>
    <row r="928" spans="1:28" ht="15.75" customHeight="1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71"/>
      <c r="M928" s="271"/>
      <c r="N928" s="314"/>
      <c r="O928" s="314"/>
      <c r="P928" s="314"/>
      <c r="Q928" s="263"/>
      <c r="R928" s="263"/>
      <c r="S928" s="263"/>
      <c r="T928" s="263"/>
      <c r="U928" s="263"/>
      <c r="V928" s="263"/>
      <c r="W928" s="263"/>
      <c r="X928" s="71"/>
      <c r="Y928" s="71"/>
      <c r="Z928" s="71"/>
      <c r="AA928" s="71"/>
      <c r="AB928" s="71"/>
    </row>
    <row r="929" spans="1:28" ht="15.75" customHeight="1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71"/>
      <c r="M929" s="271"/>
      <c r="N929" s="314"/>
      <c r="O929" s="314"/>
      <c r="P929" s="314"/>
      <c r="Q929" s="263"/>
      <c r="R929" s="263"/>
      <c r="S929" s="263"/>
      <c r="T929" s="263"/>
      <c r="U929" s="263"/>
      <c r="V929" s="263"/>
      <c r="W929" s="263"/>
      <c r="X929" s="71"/>
      <c r="Y929" s="71"/>
      <c r="Z929" s="71"/>
      <c r="AA929" s="71"/>
      <c r="AB929" s="71"/>
    </row>
    <row r="930" spans="1:28" ht="15.75" customHeight="1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71"/>
      <c r="M930" s="271"/>
      <c r="N930" s="314"/>
      <c r="O930" s="314"/>
      <c r="P930" s="314"/>
      <c r="Q930" s="263"/>
      <c r="R930" s="263"/>
      <c r="S930" s="263"/>
      <c r="T930" s="263"/>
      <c r="U930" s="263"/>
      <c r="V930" s="263"/>
      <c r="W930" s="263"/>
      <c r="X930" s="71"/>
      <c r="Y930" s="71"/>
      <c r="Z930" s="71"/>
      <c r="AA930" s="71"/>
      <c r="AB930" s="71"/>
    </row>
    <row r="931" spans="1:28" ht="15.75" customHeight="1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71"/>
      <c r="M931" s="271"/>
      <c r="N931" s="314"/>
      <c r="O931" s="314"/>
      <c r="P931" s="314"/>
      <c r="Q931" s="263"/>
      <c r="R931" s="263"/>
      <c r="S931" s="263"/>
      <c r="T931" s="263"/>
      <c r="U931" s="263"/>
      <c r="V931" s="263"/>
      <c r="W931" s="263"/>
      <c r="X931" s="71"/>
      <c r="Y931" s="71"/>
      <c r="Z931" s="71"/>
      <c r="AA931" s="71"/>
      <c r="AB931" s="71"/>
    </row>
    <row r="932" spans="1:28" ht="15.75" customHeight="1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71"/>
      <c r="M932" s="271"/>
      <c r="N932" s="314"/>
      <c r="O932" s="314"/>
      <c r="P932" s="314"/>
      <c r="Q932" s="263"/>
      <c r="R932" s="263"/>
      <c r="S932" s="263"/>
      <c r="T932" s="263"/>
      <c r="U932" s="263"/>
      <c r="V932" s="263"/>
      <c r="W932" s="263"/>
      <c r="X932" s="71"/>
      <c r="Y932" s="71"/>
      <c r="Z932" s="71"/>
      <c r="AA932" s="71"/>
      <c r="AB932" s="71"/>
    </row>
    <row r="933" spans="1:28" ht="15.75" customHeight="1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71"/>
      <c r="M933" s="271"/>
      <c r="N933" s="314"/>
      <c r="O933" s="314"/>
      <c r="P933" s="314"/>
      <c r="Q933" s="263"/>
      <c r="R933" s="263"/>
      <c r="S933" s="263"/>
      <c r="T933" s="263"/>
      <c r="U933" s="263"/>
      <c r="V933" s="263"/>
      <c r="W933" s="263"/>
      <c r="X933" s="71"/>
      <c r="Y933" s="71"/>
      <c r="Z933" s="71"/>
      <c r="AA933" s="71"/>
      <c r="AB933" s="71"/>
    </row>
    <row r="934" spans="1:28" ht="15.75" customHeight="1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71"/>
      <c r="M934" s="271"/>
      <c r="N934" s="314"/>
      <c r="O934" s="314"/>
      <c r="P934" s="314"/>
      <c r="Q934" s="263"/>
      <c r="R934" s="263"/>
      <c r="S934" s="263"/>
      <c r="T934" s="263"/>
      <c r="U934" s="263"/>
      <c r="V934" s="263"/>
      <c r="W934" s="263"/>
      <c r="X934" s="71"/>
      <c r="Y934" s="71"/>
      <c r="Z934" s="71"/>
      <c r="AA934" s="71"/>
      <c r="AB934" s="71"/>
    </row>
    <row r="935" spans="1:28" ht="15.75" customHeight="1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71"/>
      <c r="M935" s="271"/>
      <c r="N935" s="314"/>
      <c r="O935" s="314"/>
      <c r="P935" s="314"/>
      <c r="Q935" s="263"/>
      <c r="R935" s="263"/>
      <c r="S935" s="263"/>
      <c r="T935" s="263"/>
      <c r="U935" s="263"/>
      <c r="V935" s="263"/>
      <c r="W935" s="263"/>
      <c r="X935" s="71"/>
      <c r="Y935" s="71"/>
      <c r="Z935" s="71"/>
      <c r="AA935" s="71"/>
      <c r="AB935" s="71"/>
    </row>
    <row r="936" spans="1:28" ht="15.75" customHeight="1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71"/>
      <c r="M936" s="271"/>
      <c r="N936" s="314"/>
      <c r="O936" s="314"/>
      <c r="P936" s="314"/>
      <c r="Q936" s="263"/>
      <c r="R936" s="263"/>
      <c r="S936" s="263"/>
      <c r="T936" s="263"/>
      <c r="U936" s="263"/>
      <c r="V936" s="263"/>
      <c r="W936" s="263"/>
      <c r="X936" s="71"/>
      <c r="Y936" s="71"/>
      <c r="Z936" s="71"/>
      <c r="AA936" s="71"/>
      <c r="AB936" s="71"/>
    </row>
    <row r="937" spans="1:28" ht="15.75" customHeight="1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71"/>
      <c r="M937" s="271"/>
      <c r="N937" s="314"/>
      <c r="O937" s="314"/>
      <c r="P937" s="314"/>
      <c r="Q937" s="263"/>
      <c r="R937" s="263"/>
      <c r="S937" s="263"/>
      <c r="T937" s="263"/>
      <c r="U937" s="263"/>
      <c r="V937" s="263"/>
      <c r="W937" s="263"/>
      <c r="X937" s="71"/>
      <c r="Y937" s="71"/>
      <c r="Z937" s="71"/>
      <c r="AA937" s="71"/>
      <c r="AB937" s="71"/>
    </row>
    <row r="938" spans="1:28" ht="15.75" customHeight="1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71"/>
      <c r="M938" s="271"/>
      <c r="N938" s="314"/>
      <c r="O938" s="314"/>
      <c r="P938" s="314"/>
      <c r="Q938" s="263"/>
      <c r="R938" s="263"/>
      <c r="S938" s="263"/>
      <c r="T938" s="263"/>
      <c r="U938" s="263"/>
      <c r="V938" s="263"/>
      <c r="W938" s="263"/>
      <c r="X938" s="71"/>
      <c r="Y938" s="71"/>
      <c r="Z938" s="71"/>
      <c r="AA938" s="71"/>
      <c r="AB938" s="71"/>
    </row>
    <row r="939" spans="1:28" ht="15.75" customHeight="1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71"/>
      <c r="M939" s="271"/>
      <c r="N939" s="314"/>
      <c r="O939" s="314"/>
      <c r="P939" s="314"/>
      <c r="Q939" s="263"/>
      <c r="R939" s="263"/>
      <c r="S939" s="263"/>
      <c r="T939" s="263"/>
      <c r="U939" s="263"/>
      <c r="V939" s="263"/>
      <c r="W939" s="263"/>
      <c r="X939" s="71"/>
      <c r="Y939" s="71"/>
      <c r="Z939" s="71"/>
      <c r="AA939" s="71"/>
      <c r="AB939" s="71"/>
    </row>
    <row r="940" spans="1:28" ht="15.75" customHeight="1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71"/>
      <c r="M940" s="271"/>
      <c r="N940" s="314"/>
      <c r="O940" s="314"/>
      <c r="P940" s="314"/>
      <c r="Q940" s="263"/>
      <c r="R940" s="263"/>
      <c r="S940" s="263"/>
      <c r="T940" s="263"/>
      <c r="U940" s="263"/>
      <c r="V940" s="263"/>
      <c r="W940" s="263"/>
      <c r="X940" s="71"/>
      <c r="Y940" s="71"/>
      <c r="Z940" s="71"/>
      <c r="AA940" s="71"/>
      <c r="AB940" s="71"/>
    </row>
    <row r="941" spans="1:28" ht="15.75" customHeight="1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71"/>
      <c r="M941" s="271"/>
      <c r="N941" s="314"/>
      <c r="O941" s="314"/>
      <c r="P941" s="314"/>
      <c r="Q941" s="263"/>
      <c r="R941" s="263"/>
      <c r="S941" s="263"/>
      <c r="T941" s="263"/>
      <c r="U941" s="263"/>
      <c r="V941" s="263"/>
      <c r="W941" s="263"/>
      <c r="X941" s="71"/>
      <c r="Y941" s="71"/>
      <c r="Z941" s="71"/>
      <c r="AA941" s="71"/>
      <c r="AB941" s="71"/>
    </row>
    <row r="942" spans="1:28" ht="15.75" customHeight="1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71"/>
      <c r="M942" s="271"/>
      <c r="N942" s="314"/>
      <c r="O942" s="314"/>
      <c r="P942" s="314"/>
      <c r="Q942" s="263"/>
      <c r="R942" s="263"/>
      <c r="S942" s="263"/>
      <c r="T942" s="263"/>
      <c r="U942" s="263"/>
      <c r="V942" s="263"/>
      <c r="W942" s="263"/>
      <c r="X942" s="71"/>
      <c r="Y942" s="71"/>
      <c r="Z942" s="71"/>
      <c r="AA942" s="71"/>
      <c r="AB942" s="71"/>
    </row>
    <row r="943" spans="1:28" ht="15.75" customHeight="1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71"/>
      <c r="M943" s="271"/>
      <c r="N943" s="314"/>
      <c r="O943" s="314"/>
      <c r="P943" s="314"/>
      <c r="Q943" s="263"/>
      <c r="R943" s="263"/>
      <c r="S943" s="263"/>
      <c r="T943" s="263"/>
      <c r="U943" s="263"/>
      <c r="V943" s="263"/>
      <c r="W943" s="263"/>
      <c r="X943" s="71"/>
      <c r="Y943" s="71"/>
      <c r="Z943" s="71"/>
      <c r="AA943" s="71"/>
      <c r="AB943" s="71"/>
    </row>
    <row r="944" spans="1:28" ht="15.75" customHeight="1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71"/>
      <c r="M944" s="271"/>
      <c r="N944" s="314"/>
      <c r="O944" s="314"/>
      <c r="P944" s="314"/>
      <c r="Q944" s="263"/>
      <c r="R944" s="263"/>
      <c r="S944" s="263"/>
      <c r="T944" s="263"/>
      <c r="U944" s="263"/>
      <c r="V944" s="263"/>
      <c r="W944" s="263"/>
      <c r="X944" s="71"/>
      <c r="Y944" s="71"/>
      <c r="Z944" s="71"/>
      <c r="AA944" s="71"/>
      <c r="AB944" s="71"/>
    </row>
    <row r="945" spans="1:28" ht="15.75" customHeight="1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71"/>
      <c r="M945" s="271"/>
      <c r="N945" s="314"/>
      <c r="O945" s="314"/>
      <c r="P945" s="314"/>
      <c r="Q945" s="263"/>
      <c r="R945" s="263"/>
      <c r="S945" s="263"/>
      <c r="T945" s="263"/>
      <c r="U945" s="263"/>
      <c r="V945" s="263"/>
      <c r="W945" s="263"/>
      <c r="X945" s="71"/>
      <c r="Y945" s="71"/>
      <c r="Z945" s="71"/>
      <c r="AA945" s="71"/>
      <c r="AB945" s="71"/>
    </row>
    <row r="946" spans="1:28" ht="15.75" customHeight="1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71"/>
      <c r="M946" s="271"/>
      <c r="N946" s="314"/>
      <c r="O946" s="314"/>
      <c r="P946" s="314"/>
      <c r="Q946" s="263"/>
      <c r="R946" s="263"/>
      <c r="S946" s="263"/>
      <c r="T946" s="263"/>
      <c r="U946" s="263"/>
      <c r="V946" s="263"/>
      <c r="W946" s="263"/>
      <c r="X946" s="71"/>
      <c r="Y946" s="71"/>
      <c r="Z946" s="71"/>
      <c r="AA946" s="71"/>
      <c r="AB946" s="71"/>
    </row>
    <row r="947" spans="1:28" ht="15.75" customHeight="1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71"/>
      <c r="M947" s="271"/>
      <c r="N947" s="314"/>
      <c r="O947" s="314"/>
      <c r="P947" s="314"/>
      <c r="Q947" s="263"/>
      <c r="R947" s="263"/>
      <c r="S947" s="263"/>
      <c r="T947" s="263"/>
      <c r="U947" s="263"/>
      <c r="V947" s="263"/>
      <c r="W947" s="263"/>
      <c r="X947" s="71"/>
      <c r="Y947" s="71"/>
      <c r="Z947" s="71"/>
      <c r="AA947" s="71"/>
      <c r="AB947" s="71"/>
    </row>
    <row r="948" spans="1:28" ht="15.75" customHeight="1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71"/>
      <c r="M948" s="271"/>
      <c r="N948" s="314"/>
      <c r="O948" s="314"/>
      <c r="P948" s="314"/>
      <c r="Q948" s="263"/>
      <c r="R948" s="263"/>
      <c r="S948" s="263"/>
      <c r="T948" s="263"/>
      <c r="U948" s="263"/>
      <c r="V948" s="263"/>
      <c r="W948" s="263"/>
      <c r="X948" s="71"/>
      <c r="Y948" s="71"/>
      <c r="Z948" s="71"/>
      <c r="AA948" s="71"/>
      <c r="AB948" s="71"/>
    </row>
    <row r="949" spans="1:28" ht="15.75" customHeight="1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71"/>
      <c r="M949" s="271"/>
      <c r="N949" s="314"/>
      <c r="O949" s="314"/>
      <c r="P949" s="314"/>
      <c r="Q949" s="263"/>
      <c r="R949" s="263"/>
      <c r="S949" s="263"/>
      <c r="T949" s="263"/>
      <c r="U949" s="263"/>
      <c r="V949" s="263"/>
      <c r="W949" s="263"/>
      <c r="X949" s="71"/>
      <c r="Y949" s="71"/>
      <c r="Z949" s="71"/>
      <c r="AA949" s="71"/>
      <c r="AB949" s="71"/>
    </row>
    <row r="950" spans="1:28" ht="15.75" customHeight="1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71"/>
      <c r="M950" s="271"/>
      <c r="N950" s="314"/>
      <c r="O950" s="314"/>
      <c r="P950" s="314"/>
      <c r="Q950" s="263"/>
      <c r="R950" s="263"/>
      <c r="S950" s="263"/>
      <c r="T950" s="263"/>
      <c r="U950" s="263"/>
      <c r="V950" s="263"/>
      <c r="W950" s="263"/>
      <c r="X950" s="71"/>
      <c r="Y950" s="71"/>
      <c r="Z950" s="71"/>
      <c r="AA950" s="71"/>
      <c r="AB950" s="71"/>
    </row>
    <row r="951" spans="1:28" ht="15.75" customHeight="1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71"/>
      <c r="M951" s="271"/>
      <c r="N951" s="314"/>
      <c r="O951" s="314"/>
      <c r="P951" s="314"/>
      <c r="Q951" s="263"/>
      <c r="R951" s="263"/>
      <c r="S951" s="263"/>
      <c r="T951" s="263"/>
      <c r="U951" s="263"/>
      <c r="V951" s="263"/>
      <c r="W951" s="263"/>
      <c r="X951" s="71"/>
      <c r="Y951" s="71"/>
      <c r="Z951" s="71"/>
      <c r="AA951" s="71"/>
      <c r="AB951" s="71"/>
    </row>
    <row r="952" spans="1:28" ht="15.75" customHeight="1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71"/>
      <c r="M952" s="271"/>
      <c r="N952" s="314"/>
      <c r="O952" s="314"/>
      <c r="P952" s="314"/>
      <c r="Q952" s="263"/>
      <c r="R952" s="263"/>
      <c r="S952" s="263"/>
      <c r="T952" s="263"/>
      <c r="U952" s="263"/>
      <c r="V952" s="263"/>
      <c r="W952" s="263"/>
      <c r="X952" s="71"/>
      <c r="Y952" s="71"/>
      <c r="Z952" s="71"/>
      <c r="AA952" s="71"/>
      <c r="AB952" s="71"/>
    </row>
    <row r="953" spans="1:28" ht="15.75" customHeight="1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71"/>
      <c r="M953" s="271"/>
      <c r="N953" s="314"/>
      <c r="O953" s="314"/>
      <c r="P953" s="314"/>
      <c r="Q953" s="263"/>
      <c r="R953" s="263"/>
      <c r="S953" s="263"/>
      <c r="T953" s="263"/>
      <c r="U953" s="263"/>
      <c r="V953" s="263"/>
      <c r="W953" s="263"/>
      <c r="X953" s="71"/>
      <c r="Y953" s="71"/>
      <c r="Z953" s="71"/>
      <c r="AA953" s="71"/>
      <c r="AB953" s="71"/>
    </row>
    <row r="954" spans="1:28" ht="15.75" customHeight="1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71"/>
      <c r="M954" s="271"/>
      <c r="N954" s="314"/>
      <c r="O954" s="314"/>
      <c r="P954" s="314"/>
      <c r="Q954" s="263"/>
      <c r="R954" s="263"/>
      <c r="S954" s="263"/>
      <c r="T954" s="263"/>
      <c r="U954" s="263"/>
      <c r="V954" s="263"/>
      <c r="W954" s="263"/>
      <c r="X954" s="71"/>
      <c r="Y954" s="71"/>
      <c r="Z954" s="71"/>
      <c r="AA954" s="71"/>
      <c r="AB954" s="71"/>
    </row>
    <row r="955" spans="1:28" ht="15.75" customHeight="1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71"/>
      <c r="M955" s="271"/>
      <c r="N955" s="314"/>
      <c r="O955" s="314"/>
      <c r="P955" s="314"/>
      <c r="Q955" s="263"/>
      <c r="R955" s="263"/>
      <c r="S955" s="263"/>
      <c r="T955" s="263"/>
      <c r="U955" s="263"/>
      <c r="V955" s="263"/>
      <c r="W955" s="263"/>
      <c r="X955" s="71"/>
      <c r="Y955" s="71"/>
      <c r="Z955" s="71"/>
      <c r="AA955" s="71"/>
      <c r="AB955" s="71"/>
    </row>
    <row r="956" spans="1:28" ht="15.75" customHeight="1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71"/>
      <c r="M956" s="271"/>
      <c r="N956" s="314"/>
      <c r="O956" s="314"/>
      <c r="P956" s="314"/>
      <c r="Q956" s="263"/>
      <c r="R956" s="263"/>
      <c r="S956" s="263"/>
      <c r="T956" s="263"/>
      <c r="U956" s="263"/>
      <c r="V956" s="263"/>
      <c r="W956" s="263"/>
      <c r="X956" s="71"/>
      <c r="Y956" s="71"/>
      <c r="Z956" s="71"/>
      <c r="AA956" s="71"/>
      <c r="AB956" s="71"/>
    </row>
    <row r="957" spans="1:28" ht="15.75" customHeight="1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71"/>
      <c r="M957" s="271"/>
      <c r="N957" s="314"/>
      <c r="O957" s="314"/>
      <c r="P957" s="314"/>
      <c r="Q957" s="263"/>
      <c r="R957" s="263"/>
      <c r="S957" s="263"/>
      <c r="T957" s="263"/>
      <c r="U957" s="263"/>
      <c r="V957" s="263"/>
      <c r="W957" s="263"/>
      <c r="X957" s="71"/>
      <c r="Y957" s="71"/>
      <c r="Z957" s="71"/>
      <c r="AA957" s="71"/>
      <c r="AB957" s="71"/>
    </row>
    <row r="958" spans="1:28" ht="15.75" customHeight="1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71"/>
      <c r="M958" s="271"/>
      <c r="N958" s="314"/>
      <c r="O958" s="314"/>
      <c r="P958" s="314"/>
      <c r="Q958" s="263"/>
      <c r="R958" s="263"/>
      <c r="S958" s="263"/>
      <c r="T958" s="263"/>
      <c r="U958" s="263"/>
      <c r="V958" s="263"/>
      <c r="W958" s="263"/>
      <c r="X958" s="71"/>
      <c r="Y958" s="71"/>
      <c r="Z958" s="71"/>
      <c r="AA958" s="71"/>
      <c r="AB958" s="71"/>
    </row>
    <row r="959" spans="1:28" ht="15.75" customHeight="1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71"/>
      <c r="M959" s="271"/>
      <c r="N959" s="314"/>
      <c r="O959" s="314"/>
      <c r="P959" s="314"/>
      <c r="Q959" s="263"/>
      <c r="R959" s="263"/>
      <c r="S959" s="263"/>
      <c r="T959" s="263"/>
      <c r="U959" s="263"/>
      <c r="V959" s="263"/>
      <c r="W959" s="263"/>
      <c r="X959" s="71"/>
      <c r="Y959" s="71"/>
      <c r="Z959" s="71"/>
      <c r="AA959" s="71"/>
      <c r="AB959" s="71"/>
    </row>
    <row r="960" spans="1:28" ht="15.75" customHeight="1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71"/>
      <c r="M960" s="271"/>
      <c r="N960" s="314"/>
      <c r="O960" s="314"/>
      <c r="P960" s="314"/>
      <c r="Q960" s="263"/>
      <c r="R960" s="263"/>
      <c r="S960" s="263"/>
      <c r="T960" s="263"/>
      <c r="U960" s="263"/>
      <c r="V960" s="263"/>
      <c r="W960" s="263"/>
      <c r="X960" s="71"/>
      <c r="Y960" s="71"/>
      <c r="Z960" s="71"/>
      <c r="AA960" s="71"/>
      <c r="AB960" s="71"/>
    </row>
    <row r="961" spans="1:28" ht="15.75" customHeight="1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71"/>
      <c r="M961" s="271"/>
      <c r="N961" s="314"/>
      <c r="O961" s="314"/>
      <c r="P961" s="314"/>
      <c r="Q961" s="263"/>
      <c r="R961" s="263"/>
      <c r="S961" s="263"/>
      <c r="T961" s="263"/>
      <c r="U961" s="263"/>
      <c r="V961" s="263"/>
      <c r="W961" s="263"/>
      <c r="X961" s="71"/>
      <c r="Y961" s="71"/>
      <c r="Z961" s="71"/>
      <c r="AA961" s="71"/>
      <c r="AB961" s="71"/>
    </row>
    <row r="962" spans="1:28" ht="15.75" customHeight="1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71"/>
      <c r="M962" s="271"/>
      <c r="N962" s="314"/>
      <c r="O962" s="314"/>
      <c r="P962" s="314"/>
      <c r="Q962" s="263"/>
      <c r="R962" s="263"/>
      <c r="S962" s="263"/>
      <c r="T962" s="263"/>
      <c r="U962" s="263"/>
      <c r="V962" s="263"/>
      <c r="W962" s="263"/>
      <c r="X962" s="71"/>
      <c r="Y962" s="71"/>
      <c r="Z962" s="71"/>
      <c r="AA962" s="71"/>
      <c r="AB962" s="71"/>
    </row>
    <row r="963" spans="1:28" ht="15.75" customHeight="1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71"/>
      <c r="M963" s="271"/>
      <c r="N963" s="314"/>
      <c r="O963" s="314"/>
      <c r="P963" s="314"/>
      <c r="Q963" s="263"/>
      <c r="R963" s="263"/>
      <c r="S963" s="263"/>
      <c r="T963" s="263"/>
      <c r="U963" s="263"/>
      <c r="V963" s="263"/>
      <c r="W963" s="263"/>
      <c r="X963" s="71"/>
      <c r="Y963" s="71"/>
      <c r="Z963" s="71"/>
      <c r="AA963" s="71"/>
      <c r="AB963" s="71"/>
    </row>
    <row r="964" spans="1:28" ht="15.75" customHeight="1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71"/>
      <c r="M964" s="271"/>
      <c r="N964" s="314"/>
      <c r="O964" s="314"/>
      <c r="P964" s="314"/>
      <c r="Q964" s="263"/>
      <c r="R964" s="263"/>
      <c r="S964" s="263"/>
      <c r="T964" s="263"/>
      <c r="U964" s="263"/>
      <c r="V964" s="263"/>
      <c r="W964" s="263"/>
      <c r="X964" s="71"/>
      <c r="Y964" s="71"/>
      <c r="Z964" s="71"/>
      <c r="AA964" s="71"/>
      <c r="AB964" s="71"/>
    </row>
    <row r="965" spans="1:28" ht="15.75" customHeight="1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71"/>
      <c r="M965" s="271"/>
      <c r="N965" s="314"/>
      <c r="O965" s="314"/>
      <c r="P965" s="314"/>
      <c r="Q965" s="263"/>
      <c r="R965" s="263"/>
      <c r="S965" s="263"/>
      <c r="T965" s="263"/>
      <c r="U965" s="263"/>
      <c r="V965" s="263"/>
      <c r="W965" s="263"/>
      <c r="X965" s="71"/>
      <c r="Y965" s="71"/>
      <c r="Z965" s="71"/>
      <c r="AA965" s="71"/>
      <c r="AB965" s="71"/>
    </row>
    <row r="966" spans="1:28" ht="15.75" customHeight="1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71"/>
      <c r="M966" s="271"/>
      <c r="N966" s="314"/>
      <c r="O966" s="314"/>
      <c r="P966" s="314"/>
      <c r="Q966" s="263"/>
      <c r="R966" s="263"/>
      <c r="S966" s="263"/>
      <c r="T966" s="263"/>
      <c r="U966" s="263"/>
      <c r="V966" s="263"/>
      <c r="W966" s="263"/>
      <c r="X966" s="71"/>
      <c r="Y966" s="71"/>
      <c r="Z966" s="71"/>
      <c r="AA966" s="71"/>
      <c r="AB966" s="71"/>
    </row>
    <row r="967" spans="1:28" ht="15.75" customHeight="1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71"/>
      <c r="M967" s="271"/>
      <c r="N967" s="314"/>
      <c r="O967" s="314"/>
      <c r="P967" s="314"/>
      <c r="Q967" s="263"/>
      <c r="R967" s="263"/>
      <c r="S967" s="263"/>
      <c r="T967" s="263"/>
      <c r="U967" s="263"/>
      <c r="V967" s="263"/>
      <c r="W967" s="263"/>
      <c r="X967" s="71"/>
      <c r="Y967" s="71"/>
      <c r="Z967" s="71"/>
      <c r="AA967" s="71"/>
      <c r="AB967" s="71"/>
    </row>
    <row r="968" spans="1:28" ht="15.75" customHeight="1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71"/>
      <c r="M968" s="271"/>
      <c r="N968" s="314"/>
      <c r="O968" s="314"/>
      <c r="P968" s="314"/>
      <c r="Q968" s="263"/>
      <c r="R968" s="263"/>
      <c r="S968" s="263"/>
      <c r="T968" s="263"/>
      <c r="U968" s="263"/>
      <c r="V968" s="263"/>
      <c r="W968" s="263"/>
      <c r="X968" s="71"/>
      <c r="Y968" s="71"/>
      <c r="Z968" s="71"/>
      <c r="AA968" s="71"/>
      <c r="AB968" s="71"/>
    </row>
    <row r="969" spans="1:28" ht="15.75" customHeight="1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71"/>
      <c r="M969" s="271"/>
      <c r="N969" s="314"/>
      <c r="O969" s="314"/>
      <c r="P969" s="314"/>
      <c r="Q969" s="263"/>
      <c r="R969" s="263"/>
      <c r="S969" s="263"/>
      <c r="T969" s="263"/>
      <c r="U969" s="263"/>
      <c r="V969" s="263"/>
      <c r="W969" s="263"/>
      <c r="X969" s="71"/>
      <c r="Y969" s="71"/>
      <c r="Z969" s="71"/>
      <c r="AA969" s="71"/>
      <c r="AB969" s="71"/>
    </row>
    <row r="970" spans="1:28" ht="15.75" customHeight="1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71"/>
      <c r="M970" s="271"/>
      <c r="N970" s="314"/>
      <c r="O970" s="314"/>
      <c r="P970" s="314"/>
      <c r="Q970" s="263"/>
      <c r="R970" s="263"/>
      <c r="S970" s="263"/>
      <c r="T970" s="263"/>
      <c r="U970" s="263"/>
      <c r="V970" s="263"/>
      <c r="W970" s="263"/>
      <c r="X970" s="71"/>
      <c r="Y970" s="71"/>
      <c r="Z970" s="71"/>
      <c r="AA970" s="71"/>
      <c r="AB970" s="71"/>
    </row>
    <row r="971" spans="1:28" ht="15.75" customHeight="1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71"/>
      <c r="M971" s="271"/>
      <c r="N971" s="314"/>
      <c r="O971" s="314"/>
      <c r="P971" s="314"/>
      <c r="Q971" s="263"/>
      <c r="R971" s="263"/>
      <c r="S971" s="263"/>
      <c r="T971" s="263"/>
      <c r="U971" s="263"/>
      <c r="V971" s="263"/>
      <c r="W971" s="263"/>
      <c r="X971" s="71"/>
      <c r="Y971" s="71"/>
      <c r="Z971" s="71"/>
      <c r="AA971" s="71"/>
      <c r="AB971" s="71"/>
    </row>
    <row r="972" spans="1:28" ht="15.75" customHeight="1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71"/>
      <c r="M972" s="271"/>
      <c r="N972" s="314"/>
      <c r="O972" s="314"/>
      <c r="P972" s="314"/>
      <c r="Q972" s="263"/>
      <c r="R972" s="263"/>
      <c r="S972" s="263"/>
      <c r="T972" s="263"/>
      <c r="U972" s="263"/>
      <c r="V972" s="263"/>
      <c r="W972" s="263"/>
      <c r="X972" s="71"/>
      <c r="Y972" s="71"/>
      <c r="Z972" s="71"/>
      <c r="AA972" s="71"/>
      <c r="AB972" s="71"/>
    </row>
    <row r="973" spans="1:28" ht="15.75" customHeight="1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71"/>
      <c r="M973" s="271"/>
      <c r="N973" s="314"/>
      <c r="O973" s="314"/>
      <c r="P973" s="314"/>
      <c r="Q973" s="263"/>
      <c r="R973" s="263"/>
      <c r="S973" s="263"/>
      <c r="T973" s="263"/>
      <c r="U973" s="263"/>
      <c r="V973" s="263"/>
      <c r="W973" s="263"/>
      <c r="X973" s="71"/>
      <c r="Y973" s="71"/>
      <c r="Z973" s="71"/>
      <c r="AA973" s="71"/>
      <c r="AB973" s="71"/>
    </row>
    <row r="974" spans="1:28" ht="15.75" customHeight="1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71"/>
      <c r="M974" s="271"/>
      <c r="N974" s="314"/>
      <c r="O974" s="314"/>
      <c r="P974" s="314"/>
      <c r="Q974" s="263"/>
      <c r="R974" s="263"/>
      <c r="S974" s="263"/>
      <c r="T974" s="263"/>
      <c r="U974" s="263"/>
      <c r="V974" s="263"/>
      <c r="W974" s="263"/>
      <c r="X974" s="71"/>
      <c r="Y974" s="71"/>
      <c r="Z974" s="71"/>
      <c r="AA974" s="71"/>
      <c r="AB974" s="71"/>
    </row>
    <row r="975" spans="1:28" ht="15.75" customHeight="1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71"/>
      <c r="M975" s="271"/>
      <c r="N975" s="314"/>
      <c r="O975" s="314"/>
      <c r="P975" s="314"/>
      <c r="Q975" s="263"/>
      <c r="R975" s="263"/>
      <c r="S975" s="263"/>
      <c r="T975" s="263"/>
      <c r="U975" s="263"/>
      <c r="V975" s="263"/>
      <c r="W975" s="263"/>
      <c r="X975" s="71"/>
      <c r="Y975" s="71"/>
      <c r="Z975" s="71"/>
      <c r="AA975" s="71"/>
      <c r="AB975" s="71"/>
    </row>
    <row r="976" spans="1:28" ht="15.75" customHeight="1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71"/>
      <c r="M976" s="271"/>
      <c r="N976" s="314"/>
      <c r="O976" s="314"/>
      <c r="P976" s="314"/>
      <c r="Q976" s="263"/>
      <c r="R976" s="263"/>
      <c r="S976" s="263"/>
      <c r="T976" s="263"/>
      <c r="U976" s="263"/>
      <c r="V976" s="263"/>
      <c r="W976" s="263"/>
      <c r="X976" s="71"/>
      <c r="Y976" s="71"/>
      <c r="Z976" s="71"/>
      <c r="AA976" s="71"/>
      <c r="AB976" s="71"/>
    </row>
    <row r="977" spans="1:28" ht="15.75" customHeight="1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71"/>
      <c r="M977" s="271"/>
      <c r="N977" s="314"/>
      <c r="O977" s="314"/>
      <c r="P977" s="314"/>
      <c r="Q977" s="263"/>
      <c r="R977" s="263"/>
      <c r="S977" s="263"/>
      <c r="T977" s="263"/>
      <c r="U977" s="263"/>
      <c r="V977" s="263"/>
      <c r="W977" s="263"/>
      <c r="X977" s="71"/>
      <c r="Y977" s="71"/>
      <c r="Z977" s="71"/>
      <c r="AA977" s="71"/>
      <c r="AB977" s="71"/>
    </row>
    <row r="978" spans="1:28" ht="15.75" customHeight="1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71"/>
      <c r="M978" s="271"/>
      <c r="N978" s="314"/>
      <c r="O978" s="314"/>
      <c r="P978" s="314"/>
      <c r="Q978" s="263"/>
      <c r="R978" s="263"/>
      <c r="S978" s="263"/>
      <c r="T978" s="263"/>
      <c r="U978" s="263"/>
      <c r="V978" s="263"/>
      <c r="W978" s="263"/>
      <c r="X978" s="71"/>
      <c r="Y978" s="71"/>
      <c r="Z978" s="71"/>
      <c r="AA978" s="71"/>
      <c r="AB978" s="71"/>
    </row>
    <row r="979" spans="1:28" ht="15.75" customHeight="1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71"/>
      <c r="M979" s="271"/>
      <c r="N979" s="314"/>
      <c r="O979" s="314"/>
      <c r="P979" s="314"/>
      <c r="Q979" s="263"/>
      <c r="R979" s="263"/>
      <c r="S979" s="263"/>
      <c r="T979" s="263"/>
      <c r="U979" s="263"/>
      <c r="V979" s="263"/>
      <c r="W979" s="263"/>
      <c r="X979" s="71"/>
      <c r="Y979" s="71"/>
      <c r="Z979" s="71"/>
      <c r="AA979" s="71"/>
      <c r="AB979" s="71"/>
    </row>
    <row r="980" spans="1:28" ht="15.75" customHeight="1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71"/>
      <c r="M980" s="271"/>
      <c r="N980" s="314"/>
      <c r="O980" s="314"/>
      <c r="P980" s="314"/>
      <c r="Q980" s="263"/>
      <c r="R980" s="263"/>
      <c r="S980" s="263"/>
      <c r="T980" s="263"/>
      <c r="U980" s="263"/>
      <c r="V980" s="263"/>
      <c r="W980" s="263"/>
      <c r="X980" s="71"/>
      <c r="Y980" s="71"/>
      <c r="Z980" s="71"/>
      <c r="AA980" s="71"/>
      <c r="AB980" s="71"/>
    </row>
    <row r="981" spans="1:28" ht="15.75" customHeight="1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71"/>
      <c r="M981" s="271"/>
      <c r="N981" s="314"/>
      <c r="O981" s="314"/>
      <c r="P981" s="314"/>
      <c r="Q981" s="263"/>
      <c r="R981" s="263"/>
      <c r="S981" s="263"/>
      <c r="T981" s="263"/>
      <c r="U981" s="263"/>
      <c r="V981" s="263"/>
      <c r="W981" s="263"/>
      <c r="X981" s="71"/>
      <c r="Y981" s="71"/>
      <c r="Z981" s="71"/>
      <c r="AA981" s="71"/>
      <c r="AB981" s="71"/>
    </row>
    <row r="982" spans="1:28" ht="15.75" customHeight="1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71"/>
      <c r="M982" s="271"/>
      <c r="N982" s="314"/>
      <c r="O982" s="314"/>
      <c r="P982" s="314"/>
      <c r="Q982" s="263"/>
      <c r="R982" s="263"/>
      <c r="S982" s="263"/>
      <c r="T982" s="263"/>
      <c r="U982" s="263"/>
      <c r="V982" s="263"/>
      <c r="W982" s="263"/>
      <c r="X982" s="71"/>
      <c r="Y982" s="71"/>
      <c r="Z982" s="71"/>
      <c r="AA982" s="71"/>
      <c r="AB982" s="71"/>
    </row>
    <row r="983" spans="1:28" ht="15.75" customHeight="1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71"/>
      <c r="M983" s="271"/>
      <c r="N983" s="314"/>
      <c r="O983" s="314"/>
      <c r="P983" s="314"/>
      <c r="Q983" s="263"/>
      <c r="R983" s="263"/>
      <c r="S983" s="263"/>
      <c r="T983" s="263"/>
      <c r="U983" s="263"/>
      <c r="V983" s="263"/>
      <c r="W983" s="263"/>
      <c r="X983" s="71"/>
      <c r="Y983" s="71"/>
      <c r="Z983" s="71"/>
      <c r="AA983" s="71"/>
      <c r="AB983" s="71"/>
    </row>
    <row r="984" spans="1:28" ht="15.75" customHeight="1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71"/>
      <c r="M984" s="271"/>
      <c r="N984" s="314"/>
      <c r="O984" s="314"/>
      <c r="P984" s="314"/>
      <c r="Q984" s="263"/>
      <c r="R984" s="263"/>
      <c r="S984" s="263"/>
      <c r="T984" s="263"/>
      <c r="U984" s="263"/>
      <c r="V984" s="263"/>
      <c r="W984" s="263"/>
      <c r="X984" s="71"/>
      <c r="Y984" s="71"/>
      <c r="Z984" s="71"/>
      <c r="AA984" s="71"/>
      <c r="AB984" s="71"/>
    </row>
    <row r="985" spans="1:28" ht="15.75" customHeight="1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71"/>
      <c r="M985" s="271"/>
      <c r="N985" s="314"/>
      <c r="O985" s="314"/>
      <c r="P985" s="314"/>
      <c r="Q985" s="263"/>
      <c r="R985" s="263"/>
      <c r="S985" s="263"/>
      <c r="T985" s="263"/>
      <c r="U985" s="263"/>
      <c r="V985" s="263"/>
      <c r="W985" s="263"/>
      <c r="X985" s="71"/>
      <c r="Y985" s="71"/>
      <c r="Z985" s="71"/>
      <c r="AA985" s="71"/>
      <c r="AB985" s="71"/>
    </row>
    <row r="986" spans="1:28" ht="15.75" customHeight="1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71"/>
      <c r="M986" s="271"/>
      <c r="N986" s="314"/>
      <c r="O986" s="314"/>
      <c r="P986" s="314"/>
      <c r="Q986" s="263"/>
      <c r="R986" s="263"/>
      <c r="S986" s="263"/>
      <c r="T986" s="263"/>
      <c r="U986" s="263"/>
      <c r="V986" s="263"/>
      <c r="W986" s="263"/>
      <c r="X986" s="71"/>
      <c r="Y986" s="71"/>
      <c r="Z986" s="71"/>
      <c r="AA986" s="71"/>
      <c r="AB986" s="71"/>
    </row>
    <row r="987" spans="1:28" ht="15.75" customHeight="1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71"/>
      <c r="M987" s="271"/>
      <c r="N987" s="314"/>
      <c r="O987" s="314"/>
      <c r="P987" s="314"/>
      <c r="Q987" s="263"/>
      <c r="R987" s="263"/>
      <c r="S987" s="263"/>
      <c r="T987" s="263"/>
      <c r="U987" s="263"/>
      <c r="V987" s="263"/>
      <c r="W987" s="263"/>
      <c r="X987" s="71"/>
      <c r="Y987" s="71"/>
      <c r="Z987" s="71"/>
      <c r="AA987" s="71"/>
      <c r="AB987" s="71"/>
    </row>
    <row r="988" spans="1:28" ht="15.75" customHeight="1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71"/>
      <c r="M988" s="271"/>
      <c r="N988" s="314"/>
      <c r="O988" s="314"/>
      <c r="P988" s="314"/>
      <c r="Q988" s="263"/>
      <c r="R988" s="263"/>
      <c r="S988" s="263"/>
      <c r="T988" s="263"/>
      <c r="U988" s="263"/>
      <c r="V988" s="263"/>
      <c r="W988" s="263"/>
      <c r="X988" s="71"/>
      <c r="Y988" s="71"/>
      <c r="Z988" s="71"/>
      <c r="AA988" s="71"/>
      <c r="AB988" s="71"/>
    </row>
    <row r="989" spans="1:28" ht="15.75" customHeight="1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71"/>
      <c r="M989" s="271"/>
      <c r="N989" s="314"/>
      <c r="O989" s="314"/>
      <c r="P989" s="314"/>
      <c r="Q989" s="263"/>
      <c r="R989" s="263"/>
      <c r="S989" s="263"/>
      <c r="T989" s="263"/>
      <c r="U989" s="263"/>
      <c r="V989" s="263"/>
      <c r="W989" s="263"/>
      <c r="X989" s="71"/>
      <c r="Y989" s="71"/>
      <c r="Z989" s="71"/>
      <c r="AA989" s="71"/>
      <c r="AB989" s="71"/>
    </row>
    <row r="990" spans="1:28" ht="15.75" customHeight="1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71"/>
      <c r="M990" s="271"/>
      <c r="N990" s="314"/>
      <c r="O990" s="314"/>
      <c r="P990" s="314"/>
      <c r="Q990" s="263"/>
      <c r="R990" s="263"/>
      <c r="S990" s="263"/>
      <c r="T990" s="263"/>
      <c r="U990" s="263"/>
      <c r="V990" s="263"/>
      <c r="W990" s="263"/>
      <c r="X990" s="71"/>
      <c r="Y990" s="71"/>
      <c r="Z990" s="71"/>
      <c r="AA990" s="71"/>
      <c r="AB990" s="71"/>
    </row>
    <row r="991" spans="1:28" ht="15.75" customHeight="1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71"/>
      <c r="M991" s="271"/>
      <c r="N991" s="314"/>
      <c r="O991" s="314"/>
      <c r="P991" s="314"/>
      <c r="Q991" s="263"/>
      <c r="R991" s="263"/>
      <c r="S991" s="263"/>
      <c r="T991" s="263"/>
      <c r="U991" s="263"/>
      <c r="V991" s="263"/>
      <c r="W991" s="263"/>
      <c r="X991" s="71"/>
      <c r="Y991" s="71"/>
      <c r="Z991" s="71"/>
      <c r="AA991" s="71"/>
      <c r="AB991" s="71"/>
    </row>
    <row r="992" spans="1:28" ht="15.75" customHeight="1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71"/>
      <c r="M992" s="271"/>
      <c r="N992" s="314"/>
      <c r="O992" s="314"/>
      <c r="P992" s="314"/>
      <c r="Q992" s="263"/>
      <c r="R992" s="263"/>
      <c r="S992" s="263"/>
      <c r="T992" s="263"/>
      <c r="U992" s="263"/>
      <c r="V992" s="263"/>
      <c r="W992" s="263"/>
      <c r="X992" s="71"/>
      <c r="Y992" s="71"/>
      <c r="Z992" s="71"/>
      <c r="AA992" s="71"/>
      <c r="AB992" s="71"/>
    </row>
    <row r="993" spans="1:28" ht="15.75" customHeight="1">
      <c r="A993" s="263"/>
      <c r="B993" s="263"/>
      <c r="C993" s="263"/>
      <c r="D993" s="263"/>
      <c r="E993" s="263"/>
      <c r="F993" s="263"/>
      <c r="G993" s="263"/>
      <c r="H993" s="263"/>
      <c r="I993" s="263"/>
      <c r="J993" s="263"/>
      <c r="K993" s="263"/>
      <c r="L993" s="271"/>
      <c r="M993" s="271"/>
      <c r="N993" s="314"/>
      <c r="O993" s="314"/>
      <c r="P993" s="314"/>
      <c r="Q993" s="263"/>
      <c r="R993" s="263"/>
      <c r="S993" s="263"/>
      <c r="T993" s="263"/>
      <c r="U993" s="263"/>
      <c r="V993" s="263"/>
      <c r="W993" s="263"/>
      <c r="X993" s="71"/>
      <c r="Y993" s="71"/>
      <c r="Z993" s="71"/>
      <c r="AA993" s="71"/>
      <c r="AB993" s="71"/>
    </row>
    <row r="994" spans="1:28" ht="15.75" customHeight="1">
      <c r="A994" s="263"/>
      <c r="B994" s="263"/>
      <c r="C994" s="263"/>
      <c r="D994" s="263"/>
      <c r="E994" s="263"/>
      <c r="F994" s="263"/>
      <c r="G994" s="263"/>
      <c r="H994" s="263"/>
      <c r="I994" s="263"/>
      <c r="J994" s="263"/>
      <c r="K994" s="263"/>
      <c r="L994" s="271"/>
      <c r="M994" s="271"/>
      <c r="N994" s="314"/>
      <c r="O994" s="314"/>
      <c r="P994" s="314"/>
      <c r="Q994" s="263"/>
      <c r="R994" s="263"/>
      <c r="S994" s="263"/>
      <c r="T994" s="263"/>
      <c r="U994" s="263"/>
      <c r="V994" s="263"/>
      <c r="W994" s="263"/>
      <c r="X994" s="71"/>
      <c r="Y994" s="71"/>
      <c r="Z994" s="71"/>
      <c r="AA994" s="71"/>
      <c r="AB994" s="71"/>
    </row>
    <row r="995" spans="1:28" ht="15.75" customHeight="1">
      <c r="A995" s="263"/>
      <c r="B995" s="263"/>
      <c r="C995" s="263"/>
      <c r="D995" s="263"/>
      <c r="E995" s="263"/>
      <c r="F995" s="263"/>
      <c r="G995" s="263"/>
      <c r="H995" s="263"/>
      <c r="I995" s="263"/>
      <c r="J995" s="263"/>
      <c r="K995" s="263"/>
      <c r="L995" s="271"/>
      <c r="M995" s="271"/>
      <c r="N995" s="314"/>
      <c r="O995" s="314"/>
      <c r="P995" s="314"/>
      <c r="Q995" s="263"/>
      <c r="R995" s="263"/>
      <c r="S995" s="263"/>
      <c r="T995" s="263"/>
      <c r="U995" s="263"/>
      <c r="V995" s="263"/>
      <c r="W995" s="263"/>
      <c r="X995" s="71"/>
      <c r="Y995" s="71"/>
      <c r="Z995" s="71"/>
      <c r="AA995" s="71"/>
      <c r="AB995" s="71"/>
    </row>
    <row r="996" spans="1:28" ht="15.75" customHeight="1">
      <c r="A996" s="263"/>
      <c r="B996" s="263"/>
      <c r="C996" s="263"/>
      <c r="D996" s="263"/>
      <c r="E996" s="263"/>
      <c r="F996" s="263"/>
      <c r="G996" s="263"/>
      <c r="H996" s="263"/>
      <c r="I996" s="263"/>
      <c r="J996" s="263"/>
      <c r="K996" s="263"/>
      <c r="L996" s="271"/>
      <c r="M996" s="271"/>
      <c r="N996" s="314"/>
      <c r="O996" s="314"/>
      <c r="P996" s="314"/>
      <c r="Q996" s="263"/>
      <c r="R996" s="263"/>
      <c r="S996" s="263"/>
      <c r="T996" s="263"/>
      <c r="U996" s="263"/>
      <c r="V996" s="263"/>
      <c r="W996" s="263"/>
      <c r="X996" s="71"/>
      <c r="Y996" s="71"/>
      <c r="Z996" s="71"/>
      <c r="AA996" s="71"/>
      <c r="AB996" s="71"/>
    </row>
    <row r="997" spans="1:28" ht="15.75" customHeight="1">
      <c r="A997" s="263"/>
      <c r="B997" s="263"/>
      <c r="C997" s="263"/>
      <c r="D997" s="263"/>
      <c r="E997" s="263"/>
      <c r="F997" s="263"/>
      <c r="G997" s="263"/>
      <c r="H997" s="263"/>
      <c r="I997" s="263"/>
      <c r="J997" s="263"/>
      <c r="K997" s="263"/>
      <c r="L997" s="271"/>
      <c r="M997" s="271"/>
      <c r="N997" s="314"/>
      <c r="O997" s="314"/>
      <c r="P997" s="314"/>
      <c r="Q997" s="263"/>
      <c r="R997" s="263"/>
      <c r="S997" s="263"/>
      <c r="T997" s="263"/>
      <c r="U997" s="263"/>
      <c r="V997" s="263"/>
      <c r="W997" s="263"/>
      <c r="X997" s="71"/>
      <c r="Y997" s="71"/>
      <c r="Z997" s="71"/>
      <c r="AA997" s="71"/>
      <c r="AB997" s="71"/>
    </row>
    <row r="998" spans="1:28" ht="15.75" customHeight="1">
      <c r="A998" s="263"/>
      <c r="B998" s="263"/>
      <c r="C998" s="263"/>
      <c r="D998" s="263"/>
      <c r="E998" s="263"/>
      <c r="F998" s="263"/>
      <c r="G998" s="263"/>
      <c r="H998" s="263"/>
      <c r="I998" s="263"/>
      <c r="J998" s="263"/>
      <c r="K998" s="263"/>
      <c r="L998" s="271"/>
      <c r="M998" s="271"/>
      <c r="N998" s="314"/>
      <c r="O998" s="314"/>
      <c r="P998" s="314"/>
      <c r="Q998" s="263"/>
      <c r="R998" s="263"/>
      <c r="S998" s="263"/>
      <c r="T998" s="263"/>
      <c r="U998" s="263"/>
      <c r="V998" s="263"/>
      <c r="W998" s="263"/>
      <c r="X998" s="71"/>
      <c r="Y998" s="71"/>
      <c r="Z998" s="71"/>
      <c r="AA998" s="71"/>
      <c r="AB998" s="71"/>
    </row>
    <row r="999" spans="1:28" ht="15.75" customHeight="1">
      <c r="A999" s="263"/>
      <c r="B999" s="263"/>
      <c r="C999" s="263"/>
      <c r="D999" s="263"/>
      <c r="E999" s="263"/>
      <c r="F999" s="263"/>
      <c r="G999" s="263"/>
      <c r="H999" s="263"/>
      <c r="I999" s="263"/>
      <c r="J999" s="263"/>
      <c r="K999" s="263"/>
      <c r="L999" s="271"/>
      <c r="M999" s="271"/>
      <c r="N999" s="314"/>
      <c r="O999" s="314"/>
      <c r="P999" s="314"/>
      <c r="Q999" s="263"/>
      <c r="R999" s="263"/>
      <c r="S999" s="263"/>
      <c r="T999" s="263"/>
      <c r="U999" s="263"/>
      <c r="V999" s="263"/>
      <c r="W999" s="263"/>
      <c r="X999" s="71"/>
      <c r="Y999" s="71"/>
      <c r="Z999" s="71"/>
      <c r="AA999" s="71"/>
      <c r="AB999" s="71"/>
    </row>
    <row r="1000" spans="1:28" ht="15.75" customHeight="1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71"/>
      <c r="M1000" s="271"/>
      <c r="N1000" s="314"/>
      <c r="O1000" s="314"/>
      <c r="P1000" s="314"/>
      <c r="Q1000" s="263"/>
      <c r="R1000" s="263"/>
      <c r="S1000" s="263"/>
      <c r="T1000" s="263"/>
      <c r="U1000" s="263"/>
      <c r="V1000" s="263"/>
      <c r="W1000" s="263"/>
      <c r="X1000" s="71"/>
      <c r="Y1000" s="71"/>
      <c r="Z1000" s="71"/>
      <c r="AA1000" s="71"/>
      <c r="AB1000" s="71"/>
    </row>
  </sheetData>
  <mergeCells count="3">
    <mergeCell ref="M4:O5"/>
    <mergeCell ref="D8:F8"/>
    <mergeCell ref="N8:P8"/>
  </mergeCells>
  <conditionalFormatting sqref="J10:J478">
    <cfRule type="containsText" dxfId="4" priority="3" operator="containsText" text="W">
      <formula>NOT(ISERROR(SEARCH(("W"),(J10))))</formula>
    </cfRule>
    <cfRule type="containsText" dxfId="3" priority="4" operator="containsText" text="L">
      <formula>NOT(ISERROR(SEARCH(("L"),(J10))))</formula>
    </cfRule>
    <cfRule type="containsText" dxfId="2" priority="5" operator="containsText" text="P">
      <formula>NOT(ISERROR(SEARCH(("P"),(J10))))</formula>
    </cfRule>
  </conditionalFormatting>
  <conditionalFormatting sqref="L10:L348">
    <cfRule type="containsText" dxfId="1" priority="1" operator="containsText" text="W">
      <formula>NOT(ISERROR(SEARCH(("W"),(L10))))</formula>
    </cfRule>
    <cfRule type="containsText" dxfId="0" priority="2" operator="containsText" text="L">
      <formula>NOT(ISERROR(SEARCH(("L"),(L10))))</formula>
    </cfRule>
  </conditionalFormatting>
  <dataValidations count="1">
    <dataValidation type="list" allowBlank="1" showErrorMessage="1" sqref="J10:J1000" xr:uid="{00000000-0002-0000-3300-000000000000}">
      <formula1>"L,W,P"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1000"/>
  <sheetViews>
    <sheetView workbookViewId="0"/>
  </sheetViews>
  <sheetFormatPr defaultColWidth="12.5703125" defaultRowHeight="15" customHeight="1"/>
  <sheetData>
    <row r="1" spans="1:26">
      <c r="A1" s="315" t="s">
        <v>1145</v>
      </c>
      <c r="B1" s="316" t="s">
        <v>1146</v>
      </c>
      <c r="C1" s="316" t="s">
        <v>1147</v>
      </c>
      <c r="D1" s="316" t="s">
        <v>1148</v>
      </c>
      <c r="E1" s="316" t="s">
        <v>1149</v>
      </c>
      <c r="F1" s="316" t="s">
        <v>376</v>
      </c>
      <c r="G1" s="316" t="s">
        <v>1150</v>
      </c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spans="1:26">
      <c r="A2" s="317" t="s">
        <v>1151</v>
      </c>
      <c r="B2" s="317" t="s">
        <v>1152</v>
      </c>
      <c r="C2" s="317" t="s">
        <v>238</v>
      </c>
      <c r="D2" s="317" t="s">
        <v>350</v>
      </c>
      <c r="E2" s="317" t="s">
        <v>1153</v>
      </c>
      <c r="F2" s="317" t="s">
        <v>737</v>
      </c>
      <c r="G2" s="317" t="s">
        <v>1150</v>
      </c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spans="1:26">
      <c r="A3" s="317" t="s">
        <v>1121</v>
      </c>
      <c r="B3" s="317" t="s">
        <v>1122</v>
      </c>
      <c r="C3" s="317" t="s">
        <v>1154</v>
      </c>
      <c r="D3" s="317" t="s">
        <v>311</v>
      </c>
      <c r="E3" s="317" t="s">
        <v>1155</v>
      </c>
      <c r="F3" s="317" t="s">
        <v>1156</v>
      </c>
      <c r="G3" s="317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spans="1:26">
      <c r="A4" s="317" t="s">
        <v>1157</v>
      </c>
      <c r="B4" s="317" t="s">
        <v>1158</v>
      </c>
      <c r="C4" s="317" t="s">
        <v>1159</v>
      </c>
      <c r="D4" s="317" t="s">
        <v>351</v>
      </c>
      <c r="E4" s="317" t="s">
        <v>1160</v>
      </c>
      <c r="F4" s="317" t="s">
        <v>1161</v>
      </c>
      <c r="G4" s="317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</row>
    <row r="5" spans="1:26">
      <c r="A5" s="317" t="s">
        <v>1162</v>
      </c>
      <c r="B5" s="317" t="s">
        <v>1163</v>
      </c>
      <c r="C5" s="317" t="s">
        <v>248</v>
      </c>
      <c r="D5" s="318"/>
      <c r="E5" s="317" t="s">
        <v>1164</v>
      </c>
      <c r="F5" s="317" t="s">
        <v>361</v>
      </c>
      <c r="G5" s="317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</row>
    <row r="6" spans="1:26">
      <c r="A6" s="317" t="s">
        <v>1165</v>
      </c>
      <c r="B6" s="317" t="s">
        <v>1166</v>
      </c>
      <c r="C6" s="317" t="s">
        <v>245</v>
      </c>
      <c r="D6" s="318"/>
      <c r="E6" s="317" t="s">
        <v>1167</v>
      </c>
      <c r="F6" s="317" t="s">
        <v>1137</v>
      </c>
      <c r="G6" s="317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Z6" s="245"/>
    </row>
    <row r="7" spans="1:26">
      <c r="A7" s="317" t="s">
        <v>1168</v>
      </c>
      <c r="B7" s="317" t="s">
        <v>1169</v>
      </c>
      <c r="C7" s="317" t="s">
        <v>1170</v>
      </c>
      <c r="D7" s="318"/>
      <c r="E7" s="317" t="s">
        <v>1171</v>
      </c>
      <c r="F7" s="317" t="s">
        <v>1140</v>
      </c>
      <c r="G7" s="317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</row>
    <row r="8" spans="1:26">
      <c r="A8" s="317" t="s">
        <v>1172</v>
      </c>
      <c r="B8" s="317" t="s">
        <v>1173</v>
      </c>
      <c r="C8" s="317" t="s">
        <v>241</v>
      </c>
      <c r="D8" s="318"/>
      <c r="E8" s="317" t="s">
        <v>1174</v>
      </c>
      <c r="F8" s="317" t="s">
        <v>1134</v>
      </c>
      <c r="G8" s="317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Z8" s="245"/>
    </row>
    <row r="9" spans="1:26">
      <c r="A9" s="317" t="s">
        <v>1175</v>
      </c>
      <c r="B9" s="317" t="s">
        <v>1176</v>
      </c>
      <c r="C9" s="317" t="s">
        <v>243</v>
      </c>
      <c r="D9" s="318"/>
      <c r="E9" s="317" t="s">
        <v>1177</v>
      </c>
      <c r="F9" s="317" t="s">
        <v>1178</v>
      </c>
      <c r="G9" s="317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</row>
    <row r="10" spans="1:26">
      <c r="A10" s="318"/>
      <c r="B10" s="317" t="s">
        <v>1179</v>
      </c>
      <c r="C10" s="317" t="s">
        <v>1180</v>
      </c>
      <c r="D10" s="318"/>
      <c r="E10" s="317" t="s">
        <v>1181</v>
      </c>
      <c r="F10" s="317" t="s">
        <v>1126</v>
      </c>
      <c r="G10" s="317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spans="1:26">
      <c r="A11" s="318"/>
      <c r="B11" s="317" t="s">
        <v>1182</v>
      </c>
      <c r="C11" s="317" t="s">
        <v>1183</v>
      </c>
      <c r="D11" s="318"/>
      <c r="E11" s="317" t="s">
        <v>1184</v>
      </c>
      <c r="F11" s="317" t="s">
        <v>1129</v>
      </c>
      <c r="G11" s="317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</row>
    <row r="12" spans="1:26">
      <c r="A12" s="318"/>
      <c r="B12" s="317" t="s">
        <v>1185</v>
      </c>
      <c r="C12" s="317" t="s">
        <v>1186</v>
      </c>
      <c r="D12" s="318"/>
      <c r="E12" s="317" t="s">
        <v>1187</v>
      </c>
      <c r="F12" s="317" t="s">
        <v>1123</v>
      </c>
      <c r="G12" s="317"/>
      <c r="H12" s="245"/>
      <c r="I12" s="245"/>
      <c r="J12" s="245"/>
      <c r="K12" s="245"/>
      <c r="L12" s="245"/>
      <c r="M12" s="245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</row>
    <row r="13" spans="1:26">
      <c r="A13" s="318"/>
      <c r="B13" s="317" t="s">
        <v>1188</v>
      </c>
      <c r="C13" s="318"/>
      <c r="D13" s="318"/>
      <c r="E13" s="317" t="s">
        <v>1189</v>
      </c>
      <c r="F13" s="317"/>
      <c r="G13" s="317"/>
      <c r="H13" s="245"/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</row>
    <row r="14" spans="1:26">
      <c r="A14" s="318"/>
      <c r="B14" s="317" t="s">
        <v>1190</v>
      </c>
      <c r="C14" s="318"/>
      <c r="D14" s="318"/>
      <c r="E14" s="317" t="s">
        <v>1191</v>
      </c>
      <c r="F14" s="317"/>
      <c r="G14" s="317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</row>
    <row r="15" spans="1:26">
      <c r="A15" s="318"/>
      <c r="B15" s="317" t="s">
        <v>1192</v>
      </c>
      <c r="C15" s="318"/>
      <c r="D15" s="318"/>
      <c r="E15" s="317">
        <v>567</v>
      </c>
      <c r="F15" s="317"/>
      <c r="G15" s="317"/>
      <c r="H15" s="245"/>
      <c r="I15" s="245"/>
      <c r="J15" s="245"/>
      <c r="K15" s="245"/>
      <c r="L15" s="245"/>
      <c r="M15" s="245"/>
      <c r="N15" s="245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</row>
    <row r="16" spans="1:26">
      <c r="A16" s="318"/>
      <c r="B16" s="317" t="s">
        <v>1193</v>
      </c>
      <c r="C16" s="318"/>
      <c r="D16" s="318"/>
      <c r="E16" s="317" t="s">
        <v>1194</v>
      </c>
      <c r="F16" s="317"/>
      <c r="G16" s="317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</row>
    <row r="17" spans="1:26">
      <c r="A17" s="318"/>
      <c r="B17" s="317" t="s">
        <v>1195</v>
      </c>
      <c r="C17" s="318"/>
      <c r="D17" s="318"/>
      <c r="E17" s="317" t="s">
        <v>1156</v>
      </c>
      <c r="F17" s="317"/>
      <c r="G17" s="317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Z17" s="245"/>
    </row>
    <row r="18" spans="1:26">
      <c r="A18" s="318"/>
      <c r="B18" s="317" t="s">
        <v>1196</v>
      </c>
      <c r="C18" s="318"/>
      <c r="D18" s="318"/>
      <c r="E18" s="317" t="s">
        <v>246</v>
      </c>
      <c r="F18" s="317"/>
      <c r="G18" s="317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</row>
    <row r="19" spans="1:26">
      <c r="A19" s="318"/>
      <c r="B19" s="317" t="s">
        <v>1197</v>
      </c>
      <c r="C19" s="318"/>
      <c r="D19" s="318"/>
      <c r="E19" s="317" t="s">
        <v>1198</v>
      </c>
      <c r="F19" s="317"/>
      <c r="G19" s="317"/>
      <c r="H19" s="245"/>
      <c r="I19" s="245"/>
      <c r="J19" s="245"/>
      <c r="K19" s="245"/>
      <c r="L19" s="245"/>
      <c r="M19" s="245"/>
      <c r="N19" s="245"/>
      <c r="O19" s="245"/>
      <c r="P19" s="245"/>
      <c r="Q19" s="245"/>
      <c r="R19" s="245"/>
      <c r="S19" s="245"/>
      <c r="T19" s="245"/>
      <c r="U19" s="245"/>
      <c r="V19" s="245"/>
      <c r="W19" s="245"/>
      <c r="X19" s="245"/>
      <c r="Y19" s="245"/>
      <c r="Z19" s="245"/>
    </row>
    <row r="20" spans="1:26">
      <c r="A20" s="318"/>
      <c r="B20" s="317" t="s">
        <v>1199</v>
      </c>
      <c r="C20" s="318"/>
      <c r="D20" s="318"/>
      <c r="E20" s="317" t="s">
        <v>1200</v>
      </c>
      <c r="F20" s="317"/>
      <c r="G20" s="317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5"/>
    </row>
    <row r="21" spans="1:26">
      <c r="A21" s="318"/>
      <c r="B21" s="317" t="s">
        <v>1201</v>
      </c>
      <c r="C21" s="318"/>
      <c r="D21" s="318"/>
      <c r="E21" s="317" t="s">
        <v>1202</v>
      </c>
      <c r="F21" s="317"/>
      <c r="G21" s="317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  <c r="V21" s="245"/>
      <c r="W21" s="245"/>
      <c r="X21" s="245"/>
      <c r="Y21" s="245"/>
      <c r="Z21" s="245"/>
    </row>
    <row r="22" spans="1:26">
      <c r="A22" s="318"/>
      <c r="B22" s="263" t="s">
        <v>1203</v>
      </c>
      <c r="C22" s="318"/>
      <c r="D22" s="318"/>
      <c r="E22" s="317" t="s">
        <v>1204</v>
      </c>
      <c r="F22" s="317"/>
      <c r="G22" s="317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5"/>
      <c r="U22" s="245"/>
      <c r="V22" s="245"/>
      <c r="W22" s="245"/>
      <c r="X22" s="245"/>
      <c r="Y22" s="245"/>
      <c r="Z22" s="245"/>
    </row>
    <row r="23" spans="1:26">
      <c r="A23" s="318"/>
      <c r="B23" s="317" t="s">
        <v>1205</v>
      </c>
      <c r="C23" s="318"/>
      <c r="D23" s="318"/>
      <c r="E23" s="318"/>
      <c r="F23" s="317"/>
      <c r="G23" s="317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</row>
    <row r="24" spans="1:26">
      <c r="A24" s="318"/>
      <c r="B24" s="317" t="s">
        <v>1206</v>
      </c>
      <c r="C24" s="318"/>
      <c r="D24" s="318"/>
      <c r="E24" s="318"/>
      <c r="F24" s="317"/>
      <c r="G24" s="317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5"/>
    </row>
    <row r="25" spans="1:26">
      <c r="A25" s="318"/>
      <c r="B25" s="317" t="s">
        <v>1207</v>
      </c>
      <c r="C25" s="318"/>
      <c r="D25" s="318"/>
      <c r="E25" s="318"/>
      <c r="F25" s="317"/>
      <c r="G25" s="317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5"/>
    </row>
    <row r="26" spans="1:26">
      <c r="A26" s="318"/>
      <c r="B26" s="317" t="s">
        <v>1208</v>
      </c>
      <c r="C26" s="318"/>
      <c r="D26" s="318"/>
      <c r="E26" s="318"/>
      <c r="F26" s="317"/>
      <c r="G26" s="317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5"/>
    </row>
    <row r="27" spans="1:26">
      <c r="A27" s="318"/>
      <c r="B27" s="317" t="s">
        <v>1209</v>
      </c>
      <c r="C27" s="318"/>
      <c r="D27" s="318"/>
      <c r="E27" s="318"/>
      <c r="F27" s="317"/>
      <c r="G27" s="317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5"/>
    </row>
    <row r="28" spans="1:26">
      <c r="A28" s="318"/>
      <c r="B28" s="318"/>
      <c r="C28" s="318"/>
      <c r="D28" s="318"/>
      <c r="E28" s="318"/>
      <c r="F28" s="317"/>
      <c r="G28" s="317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5"/>
      <c r="S28" s="245"/>
      <c r="T28" s="245"/>
      <c r="U28" s="245"/>
      <c r="V28" s="245"/>
      <c r="W28" s="245"/>
      <c r="X28" s="245"/>
      <c r="Y28" s="245"/>
      <c r="Z28" s="245"/>
    </row>
    <row r="29" spans="1:26">
      <c r="A29" s="318"/>
      <c r="B29" s="318"/>
      <c r="C29" s="318"/>
      <c r="D29" s="318"/>
      <c r="E29" s="318"/>
      <c r="F29" s="317"/>
      <c r="G29" s="317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spans="1:26">
      <c r="A30" s="318"/>
      <c r="B30" s="318"/>
      <c r="C30" s="318"/>
      <c r="D30" s="318"/>
      <c r="E30" s="318"/>
      <c r="F30" s="317"/>
      <c r="G30" s="317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spans="1:26">
      <c r="A31" s="318"/>
      <c r="B31" s="318"/>
      <c r="C31" s="318"/>
      <c r="D31" s="318"/>
      <c r="E31" s="318"/>
      <c r="F31" s="317"/>
      <c r="G31" s="317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spans="1:26">
      <c r="A32" s="318"/>
      <c r="B32" s="318"/>
      <c r="C32" s="318"/>
      <c r="D32" s="318"/>
      <c r="E32" s="318"/>
      <c r="F32" s="317"/>
      <c r="G32" s="317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</row>
    <row r="33" spans="1:26">
      <c r="A33" s="318"/>
      <c r="B33" s="318"/>
      <c r="C33" s="318"/>
      <c r="D33" s="318"/>
      <c r="E33" s="318"/>
      <c r="F33" s="317"/>
      <c r="G33" s="317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5"/>
      <c r="U33" s="245"/>
      <c r="V33" s="245"/>
      <c r="W33" s="245"/>
      <c r="X33" s="245"/>
      <c r="Y33" s="245"/>
      <c r="Z33" s="245"/>
    </row>
    <row r="34" spans="1:26">
      <c r="A34" s="318"/>
      <c r="B34" s="318"/>
      <c r="C34" s="318"/>
      <c r="D34" s="318"/>
      <c r="E34" s="318"/>
      <c r="F34" s="317"/>
      <c r="G34" s="317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</row>
    <row r="35" spans="1:26">
      <c r="A35" s="318"/>
      <c r="B35" s="318"/>
      <c r="C35" s="318"/>
      <c r="D35" s="318"/>
      <c r="E35" s="318"/>
      <c r="F35" s="318"/>
      <c r="G35" s="318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</row>
    <row r="36" spans="1:26">
      <c r="A36" s="318"/>
      <c r="B36" s="318"/>
      <c r="C36" s="318"/>
      <c r="D36" s="318"/>
      <c r="E36" s="318"/>
      <c r="F36" s="318"/>
      <c r="G36" s="318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spans="1:26">
      <c r="A37" s="318"/>
      <c r="B37" s="318"/>
      <c r="C37" s="318"/>
      <c r="D37" s="318"/>
      <c r="E37" s="318"/>
      <c r="F37" s="318"/>
      <c r="G37" s="318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5"/>
      <c r="S37" s="245"/>
      <c r="T37" s="245"/>
      <c r="U37" s="245"/>
      <c r="V37" s="245"/>
      <c r="W37" s="245"/>
      <c r="X37" s="245"/>
      <c r="Y37" s="245"/>
      <c r="Z37" s="245"/>
    </row>
    <row r="38" spans="1:26">
      <c r="A38" s="318"/>
      <c r="B38" s="318"/>
      <c r="C38" s="318"/>
      <c r="D38" s="318"/>
      <c r="E38" s="318"/>
      <c r="F38" s="318"/>
      <c r="G38" s="318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5"/>
      <c r="U38" s="245"/>
      <c r="V38" s="245"/>
      <c r="W38" s="245"/>
      <c r="X38" s="245"/>
      <c r="Y38" s="245"/>
      <c r="Z38" s="245"/>
    </row>
    <row r="39" spans="1:26">
      <c r="A39" s="318"/>
      <c r="B39" s="318"/>
      <c r="C39" s="318"/>
      <c r="D39" s="318"/>
      <c r="E39" s="318"/>
      <c r="F39" s="318"/>
      <c r="G39" s="318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5"/>
      <c r="S39" s="245"/>
      <c r="T39" s="245"/>
      <c r="U39" s="245"/>
      <c r="V39" s="245"/>
      <c r="W39" s="245"/>
      <c r="X39" s="245"/>
      <c r="Y39" s="245"/>
      <c r="Z39" s="245"/>
    </row>
    <row r="40" spans="1:26">
      <c r="A40" s="318"/>
      <c r="B40" s="318"/>
      <c r="C40" s="318"/>
      <c r="D40" s="318"/>
      <c r="E40" s="318"/>
      <c r="F40" s="318"/>
      <c r="G40" s="318"/>
      <c r="H40" s="245"/>
      <c r="I40" s="245"/>
      <c r="J40" s="245"/>
      <c r="K40" s="245"/>
      <c r="L40" s="245"/>
      <c r="M40" s="245"/>
      <c r="N40" s="245"/>
      <c r="O40" s="245"/>
      <c r="P40" s="245"/>
      <c r="Q40" s="245"/>
      <c r="R40" s="245"/>
      <c r="S40" s="245"/>
      <c r="T40" s="245"/>
      <c r="U40" s="245"/>
      <c r="V40" s="245"/>
      <c r="W40" s="245"/>
      <c r="X40" s="245"/>
      <c r="Y40" s="245"/>
      <c r="Z40" s="245"/>
    </row>
    <row r="41" spans="1:26">
      <c r="A41" s="318"/>
      <c r="B41" s="318"/>
      <c r="C41" s="318"/>
      <c r="D41" s="318"/>
      <c r="E41" s="318"/>
      <c r="F41" s="318"/>
      <c r="G41" s="318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  <c r="X41" s="245"/>
      <c r="Y41" s="245"/>
      <c r="Z41" s="245"/>
    </row>
    <row r="42" spans="1:26">
      <c r="A42" s="318"/>
      <c r="B42" s="318"/>
      <c r="C42" s="318"/>
      <c r="D42" s="318"/>
      <c r="E42" s="318"/>
      <c r="F42" s="318"/>
      <c r="G42" s="318"/>
      <c r="H42" s="245"/>
      <c r="I42" s="245"/>
      <c r="J42" s="245"/>
      <c r="K42" s="245"/>
      <c r="L42" s="245"/>
      <c r="M42" s="245"/>
      <c r="N42" s="245"/>
      <c r="O42" s="245"/>
      <c r="P42" s="245"/>
      <c r="Q42" s="245"/>
      <c r="R42" s="245"/>
      <c r="S42" s="245"/>
      <c r="T42" s="245"/>
      <c r="U42" s="245"/>
      <c r="V42" s="245"/>
      <c r="W42" s="245"/>
      <c r="X42" s="245"/>
      <c r="Y42" s="245"/>
      <c r="Z42" s="245"/>
    </row>
    <row r="43" spans="1:26">
      <c r="A43" s="318"/>
      <c r="B43" s="318"/>
      <c r="C43" s="318"/>
      <c r="D43" s="318"/>
      <c r="E43" s="318"/>
      <c r="F43" s="318"/>
      <c r="G43" s="318"/>
      <c r="H43" s="245"/>
      <c r="I43" s="245"/>
      <c r="J43" s="245"/>
      <c r="K43" s="245"/>
      <c r="L43" s="245"/>
      <c r="M43" s="245"/>
      <c r="N43" s="245"/>
      <c r="O43" s="245"/>
      <c r="P43" s="245"/>
      <c r="Q43" s="245"/>
      <c r="R43" s="245"/>
      <c r="S43" s="245"/>
      <c r="T43" s="245"/>
      <c r="U43" s="245"/>
      <c r="V43" s="245"/>
      <c r="W43" s="245"/>
      <c r="X43" s="245"/>
      <c r="Y43" s="245"/>
      <c r="Z43" s="245"/>
    </row>
    <row r="44" spans="1:26">
      <c r="A44" s="318"/>
      <c r="B44" s="318"/>
      <c r="C44" s="318"/>
      <c r="D44" s="318"/>
      <c r="E44" s="318"/>
      <c r="F44" s="318"/>
      <c r="G44" s="318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spans="1:26">
      <c r="A45" s="318"/>
      <c r="B45" s="318"/>
      <c r="C45" s="318"/>
      <c r="D45" s="318"/>
      <c r="E45" s="318"/>
      <c r="F45" s="318"/>
      <c r="G45" s="318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</row>
    <row r="46" spans="1:26">
      <c r="A46" s="318"/>
      <c r="B46" s="318"/>
      <c r="C46" s="318"/>
      <c r="D46" s="318"/>
      <c r="E46" s="318"/>
      <c r="F46" s="318"/>
      <c r="G46" s="318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45"/>
      <c r="X46" s="245"/>
      <c r="Y46" s="245"/>
      <c r="Z46" s="245"/>
    </row>
    <row r="47" spans="1:26">
      <c r="A47" s="318"/>
      <c r="B47" s="318"/>
      <c r="C47" s="318"/>
      <c r="D47" s="318"/>
      <c r="E47" s="318"/>
      <c r="F47" s="318"/>
      <c r="G47" s="318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</row>
    <row r="48" spans="1:26">
      <c r="A48" s="318"/>
      <c r="B48" s="318"/>
      <c r="C48" s="318"/>
      <c r="D48" s="318"/>
      <c r="E48" s="318"/>
      <c r="F48" s="318"/>
      <c r="G48" s="318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</row>
    <row r="49" spans="1:26">
      <c r="A49" s="318"/>
      <c r="B49" s="318"/>
      <c r="C49" s="318"/>
      <c r="D49" s="318"/>
      <c r="E49" s="318"/>
      <c r="F49" s="318"/>
      <c r="G49" s="318"/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/>
      <c r="S49" s="245"/>
      <c r="T49" s="245"/>
      <c r="U49" s="245"/>
      <c r="V49" s="245"/>
      <c r="W49" s="245"/>
      <c r="X49" s="245"/>
      <c r="Y49" s="245"/>
      <c r="Z49" s="245"/>
    </row>
    <row r="50" spans="1:26">
      <c r="A50" s="318"/>
      <c r="B50" s="318"/>
      <c r="C50" s="318"/>
      <c r="D50" s="318"/>
      <c r="E50" s="318"/>
      <c r="F50" s="318"/>
      <c r="G50" s="318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</row>
    <row r="51" spans="1:26">
      <c r="A51" s="318"/>
      <c r="B51" s="318"/>
      <c r="C51" s="318"/>
      <c r="D51" s="318"/>
      <c r="E51" s="318"/>
      <c r="F51" s="318"/>
      <c r="G51" s="318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5"/>
    </row>
    <row r="52" spans="1:26">
      <c r="A52" s="318"/>
      <c r="B52" s="318"/>
      <c r="C52" s="318"/>
      <c r="D52" s="318"/>
      <c r="E52" s="318"/>
      <c r="F52" s="318"/>
      <c r="G52" s="318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5"/>
    </row>
    <row r="53" spans="1:26">
      <c r="A53" s="318"/>
      <c r="B53" s="318"/>
      <c r="C53" s="318"/>
      <c r="D53" s="318"/>
      <c r="E53" s="318"/>
      <c r="F53" s="318"/>
      <c r="G53" s="318"/>
      <c r="H53" s="245"/>
      <c r="I53" s="245"/>
      <c r="J53" s="245"/>
      <c r="K53" s="245"/>
      <c r="L53" s="245"/>
      <c r="M53" s="245"/>
      <c r="N53" s="245"/>
      <c r="O53" s="245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5"/>
    </row>
    <row r="54" spans="1:26">
      <c r="A54" s="318"/>
      <c r="B54" s="318"/>
      <c r="C54" s="318"/>
      <c r="D54" s="318"/>
      <c r="E54" s="318"/>
      <c r="F54" s="318"/>
      <c r="G54" s="318"/>
      <c r="H54" s="245"/>
      <c r="I54" s="245"/>
      <c r="J54" s="245"/>
      <c r="K54" s="245"/>
      <c r="L54" s="245"/>
      <c r="M54" s="245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5"/>
    </row>
    <row r="55" spans="1:26">
      <c r="A55" s="318"/>
      <c r="B55" s="318"/>
      <c r="C55" s="318"/>
      <c r="D55" s="318"/>
      <c r="E55" s="318"/>
      <c r="F55" s="318"/>
      <c r="G55" s="318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</row>
    <row r="56" spans="1:26">
      <c r="A56" s="318"/>
      <c r="B56" s="318"/>
      <c r="C56" s="318"/>
      <c r="D56" s="318"/>
      <c r="E56" s="318"/>
      <c r="F56" s="318"/>
      <c r="G56" s="318"/>
      <c r="H56" s="245"/>
      <c r="I56" s="245"/>
      <c r="J56" s="245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</row>
    <row r="57" spans="1:26">
      <c r="A57" s="318"/>
      <c r="B57" s="318"/>
      <c r="C57" s="318"/>
      <c r="D57" s="318"/>
      <c r="E57" s="318"/>
      <c r="F57" s="318"/>
      <c r="G57" s="318"/>
      <c r="H57" s="245"/>
      <c r="I57" s="245"/>
      <c r="J57" s="245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</row>
    <row r="58" spans="1:26">
      <c r="A58" s="318"/>
      <c r="B58" s="318"/>
      <c r="C58" s="318"/>
      <c r="D58" s="318"/>
      <c r="E58" s="318"/>
      <c r="F58" s="318"/>
      <c r="G58" s="318"/>
      <c r="H58" s="245"/>
      <c r="I58" s="245"/>
      <c r="J58" s="245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</row>
    <row r="59" spans="1:26">
      <c r="A59" s="318"/>
      <c r="B59" s="318"/>
      <c r="C59" s="318"/>
      <c r="D59" s="318"/>
      <c r="E59" s="318"/>
      <c r="F59" s="318"/>
      <c r="G59" s="318"/>
      <c r="H59" s="245"/>
      <c r="I59" s="245"/>
      <c r="J59" s="245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</row>
    <row r="60" spans="1:26">
      <c r="A60" s="318"/>
      <c r="B60" s="318"/>
      <c r="C60" s="318"/>
      <c r="D60" s="318"/>
      <c r="E60" s="318"/>
      <c r="F60" s="318"/>
      <c r="G60" s="318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</row>
    <row r="61" spans="1:26">
      <c r="A61" s="318"/>
      <c r="B61" s="318"/>
      <c r="C61" s="318"/>
      <c r="D61" s="318"/>
      <c r="E61" s="318"/>
      <c r="F61" s="318"/>
      <c r="G61" s="318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</row>
    <row r="62" spans="1:26">
      <c r="A62" s="318"/>
      <c r="B62" s="318"/>
      <c r="C62" s="318"/>
      <c r="D62" s="318"/>
      <c r="E62" s="318"/>
      <c r="F62" s="318"/>
      <c r="G62" s="318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</row>
    <row r="63" spans="1:26">
      <c r="A63" s="318"/>
      <c r="B63" s="318"/>
      <c r="C63" s="318"/>
      <c r="D63" s="318"/>
      <c r="E63" s="318"/>
      <c r="F63" s="318"/>
      <c r="G63" s="318"/>
      <c r="H63" s="245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</row>
    <row r="64" spans="1:26">
      <c r="A64" s="318"/>
      <c r="B64" s="318"/>
      <c r="C64" s="318"/>
      <c r="D64" s="318"/>
      <c r="E64" s="318"/>
      <c r="F64" s="318"/>
      <c r="G64" s="318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</row>
    <row r="65" spans="1:26">
      <c r="A65" s="318"/>
      <c r="B65" s="318"/>
      <c r="C65" s="318"/>
      <c r="D65" s="318"/>
      <c r="E65" s="318"/>
      <c r="F65" s="318"/>
      <c r="G65" s="318"/>
      <c r="H65" s="245"/>
      <c r="I65" s="245"/>
      <c r="J65" s="245"/>
      <c r="K65" s="245"/>
      <c r="L65" s="245"/>
      <c r="M65" s="245"/>
      <c r="N65" s="245"/>
      <c r="O65" s="245"/>
      <c r="P65" s="245"/>
      <c r="Q65" s="245"/>
      <c r="R65" s="245"/>
      <c r="S65" s="245"/>
      <c r="T65" s="245"/>
      <c r="U65" s="245"/>
      <c r="V65" s="245"/>
      <c r="W65" s="245"/>
      <c r="X65" s="245"/>
      <c r="Y65" s="245"/>
      <c r="Z65" s="245"/>
    </row>
    <row r="66" spans="1:26">
      <c r="A66" s="318"/>
      <c r="B66" s="318"/>
      <c r="C66" s="318"/>
      <c r="D66" s="318"/>
      <c r="E66" s="318"/>
      <c r="F66" s="318"/>
      <c r="G66" s="318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</row>
    <row r="67" spans="1:26">
      <c r="A67" s="318"/>
      <c r="B67" s="318"/>
      <c r="C67" s="318"/>
      <c r="D67" s="318"/>
      <c r="E67" s="318"/>
      <c r="F67" s="318"/>
      <c r="G67" s="318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</row>
    <row r="68" spans="1:26">
      <c r="A68" s="318"/>
      <c r="B68" s="318"/>
      <c r="C68" s="318"/>
      <c r="D68" s="318"/>
      <c r="E68" s="318"/>
      <c r="F68" s="318"/>
      <c r="G68" s="318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</row>
    <row r="69" spans="1:26">
      <c r="A69" s="318"/>
      <c r="B69" s="318"/>
      <c r="C69" s="318"/>
      <c r="D69" s="318"/>
      <c r="E69" s="318"/>
      <c r="F69" s="318"/>
      <c r="G69" s="318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45"/>
      <c r="S69" s="245"/>
      <c r="T69" s="245"/>
      <c r="U69" s="245"/>
      <c r="V69" s="245"/>
      <c r="W69" s="245"/>
      <c r="X69" s="245"/>
      <c r="Y69" s="245"/>
      <c r="Z69" s="245"/>
    </row>
    <row r="70" spans="1:26">
      <c r="A70" s="318"/>
      <c r="B70" s="318"/>
      <c r="C70" s="318"/>
      <c r="D70" s="318"/>
      <c r="E70" s="318"/>
      <c r="F70" s="318"/>
      <c r="G70" s="318"/>
      <c r="H70" s="245"/>
      <c r="I70" s="245"/>
      <c r="J70" s="245"/>
      <c r="K70" s="245"/>
      <c r="L70" s="245"/>
      <c r="M70" s="245"/>
      <c r="N70" s="245"/>
      <c r="O70" s="245"/>
      <c r="P70" s="245"/>
      <c r="Q70" s="245"/>
      <c r="R70" s="245"/>
      <c r="S70" s="245"/>
      <c r="T70" s="245"/>
      <c r="U70" s="245"/>
      <c r="V70" s="245"/>
      <c r="W70" s="245"/>
      <c r="X70" s="245"/>
      <c r="Y70" s="245"/>
      <c r="Z70" s="245"/>
    </row>
    <row r="71" spans="1:26">
      <c r="A71" s="318"/>
      <c r="B71" s="318"/>
      <c r="C71" s="318"/>
      <c r="D71" s="318"/>
      <c r="E71" s="318"/>
      <c r="F71" s="318"/>
      <c r="G71" s="318"/>
      <c r="H71" s="245"/>
      <c r="I71" s="245"/>
      <c r="J71" s="245"/>
      <c r="K71" s="245"/>
      <c r="L71" s="245"/>
      <c r="M71" s="245"/>
      <c r="N71" s="245"/>
      <c r="O71" s="245"/>
      <c r="P71" s="245"/>
      <c r="Q71" s="245"/>
      <c r="R71" s="245"/>
      <c r="S71" s="245"/>
      <c r="T71" s="245"/>
      <c r="U71" s="245"/>
      <c r="V71" s="245"/>
      <c r="W71" s="245"/>
      <c r="X71" s="245"/>
      <c r="Y71" s="245"/>
      <c r="Z71" s="245"/>
    </row>
    <row r="72" spans="1:26">
      <c r="A72" s="318"/>
      <c r="B72" s="318"/>
      <c r="C72" s="318"/>
      <c r="D72" s="318"/>
      <c r="E72" s="318"/>
      <c r="F72" s="318"/>
      <c r="G72" s="318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5"/>
    </row>
    <row r="73" spans="1:26">
      <c r="A73" s="318"/>
      <c r="B73" s="318"/>
      <c r="C73" s="318"/>
      <c r="D73" s="318"/>
      <c r="E73" s="318"/>
      <c r="F73" s="318"/>
      <c r="G73" s="318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5"/>
    </row>
    <row r="74" spans="1:26">
      <c r="A74" s="318"/>
      <c r="B74" s="318"/>
      <c r="C74" s="318"/>
      <c r="D74" s="318"/>
      <c r="E74" s="318"/>
      <c r="F74" s="318"/>
      <c r="G74" s="318"/>
      <c r="H74" s="245"/>
      <c r="I74" s="245"/>
      <c r="J74" s="245"/>
      <c r="K74" s="245"/>
      <c r="L74" s="245"/>
      <c r="M74" s="245"/>
      <c r="N74" s="245"/>
      <c r="O74" s="245"/>
      <c r="P74" s="245"/>
      <c r="Q74" s="245"/>
      <c r="R74" s="245"/>
      <c r="S74" s="245"/>
      <c r="T74" s="245"/>
      <c r="U74" s="245"/>
      <c r="V74" s="245"/>
      <c r="W74" s="245"/>
      <c r="X74" s="245"/>
      <c r="Y74" s="245"/>
      <c r="Z74" s="245"/>
    </row>
    <row r="75" spans="1:26">
      <c r="A75" s="318"/>
      <c r="B75" s="318"/>
      <c r="C75" s="318"/>
      <c r="D75" s="318"/>
      <c r="E75" s="318"/>
      <c r="F75" s="318"/>
      <c r="G75" s="318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</row>
    <row r="76" spans="1:26">
      <c r="A76" s="318"/>
      <c r="B76" s="318"/>
      <c r="C76" s="318"/>
      <c r="D76" s="318"/>
      <c r="E76" s="318"/>
      <c r="F76" s="318"/>
      <c r="G76" s="318"/>
      <c r="H76" s="245"/>
      <c r="I76" s="245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</row>
    <row r="77" spans="1:26">
      <c r="A77" s="318"/>
      <c r="B77" s="318"/>
      <c r="C77" s="318"/>
      <c r="D77" s="318"/>
      <c r="E77" s="318"/>
      <c r="F77" s="318"/>
      <c r="G77" s="318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</row>
    <row r="78" spans="1:26">
      <c r="A78" s="318"/>
      <c r="B78" s="318"/>
      <c r="C78" s="318"/>
      <c r="D78" s="318"/>
      <c r="E78" s="318"/>
      <c r="F78" s="318"/>
      <c r="G78" s="318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</row>
    <row r="79" spans="1:26">
      <c r="A79" s="318"/>
      <c r="B79" s="318"/>
      <c r="C79" s="318"/>
      <c r="D79" s="318"/>
      <c r="E79" s="318"/>
      <c r="F79" s="318"/>
      <c r="G79" s="318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</row>
    <row r="80" spans="1:26">
      <c r="A80" s="318"/>
      <c r="B80" s="318"/>
      <c r="C80" s="318"/>
      <c r="D80" s="318"/>
      <c r="E80" s="318"/>
      <c r="F80" s="318"/>
      <c r="G80" s="318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</row>
    <row r="81" spans="1:26">
      <c r="A81" s="318"/>
      <c r="B81" s="318"/>
      <c r="C81" s="318"/>
      <c r="D81" s="318"/>
      <c r="E81" s="318"/>
      <c r="F81" s="318"/>
      <c r="G81" s="318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</row>
    <row r="82" spans="1:26">
      <c r="A82" s="318"/>
      <c r="B82" s="318"/>
      <c r="C82" s="318"/>
      <c r="D82" s="318"/>
      <c r="E82" s="318"/>
      <c r="F82" s="318"/>
      <c r="G82" s="318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</row>
    <row r="83" spans="1:26">
      <c r="A83" s="318"/>
      <c r="B83" s="318"/>
      <c r="C83" s="318"/>
      <c r="D83" s="318"/>
      <c r="E83" s="318"/>
      <c r="F83" s="318"/>
      <c r="G83" s="318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</row>
    <row r="84" spans="1:26">
      <c r="A84" s="318"/>
      <c r="B84" s="318"/>
      <c r="C84" s="318"/>
      <c r="D84" s="318"/>
      <c r="E84" s="318"/>
      <c r="F84" s="318"/>
      <c r="G84" s="318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</row>
    <row r="85" spans="1:26">
      <c r="A85" s="318"/>
      <c r="B85" s="318"/>
      <c r="C85" s="318"/>
      <c r="D85" s="318"/>
      <c r="E85" s="318"/>
      <c r="F85" s="318"/>
      <c r="G85" s="318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</row>
    <row r="86" spans="1:26">
      <c r="A86" s="318"/>
      <c r="B86" s="318"/>
      <c r="C86" s="318"/>
      <c r="D86" s="318"/>
      <c r="E86" s="318"/>
      <c r="F86" s="318"/>
      <c r="G86" s="318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</row>
    <row r="87" spans="1:26">
      <c r="A87" s="318"/>
      <c r="B87" s="318"/>
      <c r="C87" s="318"/>
      <c r="D87" s="318"/>
      <c r="E87" s="318"/>
      <c r="F87" s="318"/>
      <c r="G87" s="318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</row>
    <row r="88" spans="1:26">
      <c r="A88" s="318"/>
      <c r="B88" s="318"/>
      <c r="C88" s="318"/>
      <c r="D88" s="318"/>
      <c r="E88" s="318"/>
      <c r="F88" s="318"/>
      <c r="G88" s="318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</row>
    <row r="89" spans="1:26">
      <c r="A89" s="318"/>
      <c r="B89" s="318"/>
      <c r="C89" s="318"/>
      <c r="D89" s="318"/>
      <c r="E89" s="318"/>
      <c r="F89" s="318"/>
      <c r="G89" s="318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</row>
    <row r="90" spans="1:26">
      <c r="A90" s="318"/>
      <c r="B90" s="318"/>
      <c r="C90" s="318"/>
      <c r="D90" s="318"/>
      <c r="E90" s="318"/>
      <c r="F90" s="318"/>
      <c r="G90" s="318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</row>
    <row r="91" spans="1:26">
      <c r="A91" s="318"/>
      <c r="B91" s="318"/>
      <c r="C91" s="318"/>
      <c r="D91" s="318"/>
      <c r="E91" s="318"/>
      <c r="F91" s="318"/>
      <c r="G91" s="318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</row>
    <row r="92" spans="1:26">
      <c r="A92" s="318"/>
      <c r="B92" s="318"/>
      <c r="C92" s="318"/>
      <c r="D92" s="318"/>
      <c r="E92" s="318"/>
      <c r="F92" s="318"/>
      <c r="G92" s="318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</row>
    <row r="93" spans="1:26">
      <c r="A93" s="318"/>
      <c r="B93" s="318"/>
      <c r="C93" s="318"/>
      <c r="D93" s="318"/>
      <c r="E93" s="318"/>
      <c r="F93" s="318"/>
      <c r="G93" s="318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</row>
    <row r="94" spans="1:26">
      <c r="A94" s="318"/>
      <c r="B94" s="318"/>
      <c r="C94" s="318"/>
      <c r="D94" s="318"/>
      <c r="E94" s="318"/>
      <c r="F94" s="318"/>
      <c r="G94" s="318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</row>
    <row r="95" spans="1:26">
      <c r="A95" s="318"/>
      <c r="B95" s="318"/>
      <c r="C95" s="318"/>
      <c r="D95" s="318"/>
      <c r="E95" s="318"/>
      <c r="F95" s="318"/>
      <c r="G95" s="318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</row>
    <row r="96" spans="1:26">
      <c r="A96" s="318"/>
      <c r="B96" s="318"/>
      <c r="C96" s="318"/>
      <c r="D96" s="318"/>
      <c r="E96" s="318"/>
      <c r="F96" s="318"/>
      <c r="G96" s="318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</row>
    <row r="97" spans="1:26">
      <c r="A97" s="318"/>
      <c r="B97" s="318"/>
      <c r="C97" s="318"/>
      <c r="D97" s="318"/>
      <c r="E97" s="318"/>
      <c r="F97" s="318"/>
      <c r="G97" s="318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</row>
    <row r="98" spans="1:26">
      <c r="A98" s="318"/>
      <c r="B98" s="318"/>
      <c r="C98" s="318"/>
      <c r="D98" s="318"/>
      <c r="E98" s="318"/>
      <c r="F98" s="318"/>
      <c r="G98" s="318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</row>
    <row r="99" spans="1:26">
      <c r="A99" s="318"/>
      <c r="B99" s="318"/>
      <c r="C99" s="318"/>
      <c r="D99" s="318"/>
      <c r="E99" s="318"/>
      <c r="F99" s="318"/>
      <c r="G99" s="318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</row>
    <row r="100" spans="1:26">
      <c r="A100" s="318"/>
      <c r="B100" s="318"/>
      <c r="C100" s="318"/>
      <c r="D100" s="318"/>
      <c r="E100" s="318"/>
      <c r="F100" s="318"/>
      <c r="G100" s="318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</row>
    <row r="101" spans="1:26">
      <c r="A101" s="318"/>
      <c r="B101" s="318"/>
      <c r="C101" s="318"/>
      <c r="D101" s="318"/>
      <c r="E101" s="318"/>
      <c r="F101" s="318"/>
      <c r="G101" s="318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</row>
    <row r="102" spans="1:26">
      <c r="A102" s="318"/>
      <c r="B102" s="318"/>
      <c r="C102" s="318"/>
      <c r="D102" s="318"/>
      <c r="E102" s="318"/>
      <c r="F102" s="318"/>
      <c r="G102" s="318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</row>
    <row r="103" spans="1:26">
      <c r="A103" s="318"/>
      <c r="B103" s="318"/>
      <c r="C103" s="318"/>
      <c r="D103" s="318"/>
      <c r="E103" s="318"/>
      <c r="F103" s="318"/>
      <c r="G103" s="318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5"/>
    </row>
    <row r="104" spans="1:26">
      <c r="A104" s="318"/>
      <c r="B104" s="318"/>
      <c r="C104" s="318"/>
      <c r="D104" s="318"/>
      <c r="E104" s="318"/>
      <c r="F104" s="318"/>
      <c r="G104" s="318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5"/>
    </row>
    <row r="105" spans="1:26">
      <c r="A105" s="318"/>
      <c r="B105" s="318"/>
      <c r="C105" s="318"/>
      <c r="D105" s="318"/>
      <c r="E105" s="318"/>
      <c r="F105" s="318"/>
      <c r="G105" s="318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5"/>
    </row>
    <row r="106" spans="1:26">
      <c r="A106" s="318"/>
      <c r="B106" s="318"/>
      <c r="C106" s="318"/>
      <c r="D106" s="318"/>
      <c r="E106" s="318"/>
      <c r="F106" s="318"/>
      <c r="G106" s="318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5"/>
    </row>
    <row r="107" spans="1:26">
      <c r="A107" s="318"/>
      <c r="B107" s="318"/>
      <c r="C107" s="318"/>
      <c r="D107" s="318"/>
      <c r="E107" s="318"/>
      <c r="F107" s="318"/>
      <c r="G107" s="318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5"/>
    </row>
    <row r="108" spans="1:26">
      <c r="A108" s="318"/>
      <c r="B108" s="318"/>
      <c r="C108" s="318"/>
      <c r="D108" s="318"/>
      <c r="E108" s="318"/>
      <c r="F108" s="318"/>
      <c r="G108" s="318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5"/>
    </row>
    <row r="109" spans="1:26">
      <c r="A109" s="318"/>
      <c r="B109" s="318"/>
      <c r="C109" s="318"/>
      <c r="D109" s="318"/>
      <c r="E109" s="318"/>
      <c r="F109" s="318"/>
      <c r="G109" s="318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5"/>
    </row>
    <row r="110" spans="1:26">
      <c r="A110" s="318"/>
      <c r="B110" s="318"/>
      <c r="C110" s="318"/>
      <c r="D110" s="318"/>
      <c r="E110" s="318"/>
      <c r="F110" s="318"/>
      <c r="G110" s="318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5"/>
    </row>
    <row r="111" spans="1:26">
      <c r="A111" s="318"/>
      <c r="B111" s="318"/>
      <c r="C111" s="318"/>
      <c r="D111" s="318"/>
      <c r="E111" s="318"/>
      <c r="F111" s="318"/>
      <c r="G111" s="318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5"/>
    </row>
    <row r="112" spans="1:26">
      <c r="A112" s="318"/>
      <c r="B112" s="318"/>
      <c r="C112" s="318"/>
      <c r="D112" s="318"/>
      <c r="E112" s="318"/>
      <c r="F112" s="318"/>
      <c r="G112" s="318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5"/>
    </row>
    <row r="113" spans="1:26">
      <c r="A113" s="318"/>
      <c r="B113" s="318"/>
      <c r="C113" s="318"/>
      <c r="D113" s="318"/>
      <c r="E113" s="318"/>
      <c r="F113" s="318"/>
      <c r="G113" s="318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5"/>
    </row>
    <row r="114" spans="1:26">
      <c r="A114" s="318"/>
      <c r="B114" s="318"/>
      <c r="C114" s="318"/>
      <c r="D114" s="318"/>
      <c r="E114" s="318"/>
      <c r="F114" s="318"/>
      <c r="G114" s="318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</row>
    <row r="115" spans="1:26">
      <c r="A115" s="318"/>
      <c r="B115" s="318"/>
      <c r="C115" s="318"/>
      <c r="D115" s="318"/>
      <c r="E115" s="318"/>
      <c r="F115" s="318"/>
      <c r="G115" s="318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5"/>
    </row>
    <row r="116" spans="1:26">
      <c r="A116" s="318"/>
      <c r="B116" s="318"/>
      <c r="C116" s="318"/>
      <c r="D116" s="318"/>
      <c r="E116" s="318"/>
      <c r="F116" s="318"/>
      <c r="G116" s="318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5"/>
    </row>
    <row r="117" spans="1:26">
      <c r="A117" s="318"/>
      <c r="B117" s="318"/>
      <c r="C117" s="318"/>
      <c r="D117" s="318"/>
      <c r="E117" s="318"/>
      <c r="F117" s="318"/>
      <c r="G117" s="318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5"/>
    </row>
    <row r="118" spans="1:26">
      <c r="A118" s="318"/>
      <c r="B118" s="318"/>
      <c r="C118" s="318"/>
      <c r="D118" s="318"/>
      <c r="E118" s="318"/>
      <c r="F118" s="318"/>
      <c r="G118" s="318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5"/>
    </row>
    <row r="119" spans="1:26">
      <c r="A119" s="318"/>
      <c r="B119" s="318"/>
      <c r="C119" s="318"/>
      <c r="D119" s="318"/>
      <c r="E119" s="318"/>
      <c r="F119" s="318"/>
      <c r="G119" s="318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5"/>
    </row>
    <row r="120" spans="1:26">
      <c r="A120" s="318"/>
      <c r="B120" s="318"/>
      <c r="C120" s="318"/>
      <c r="D120" s="318"/>
      <c r="E120" s="318"/>
      <c r="F120" s="318"/>
      <c r="G120" s="318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5"/>
    </row>
    <row r="121" spans="1:26">
      <c r="A121" s="318"/>
      <c r="B121" s="318"/>
      <c r="C121" s="318"/>
      <c r="D121" s="318"/>
      <c r="E121" s="318"/>
      <c r="F121" s="318"/>
      <c r="G121" s="318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5"/>
    </row>
    <row r="122" spans="1:26">
      <c r="A122" s="318"/>
      <c r="B122" s="318"/>
      <c r="C122" s="318"/>
      <c r="D122" s="318"/>
      <c r="E122" s="318"/>
      <c r="F122" s="318"/>
      <c r="G122" s="318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5"/>
    </row>
    <row r="123" spans="1:26">
      <c r="A123" s="318"/>
      <c r="B123" s="318"/>
      <c r="C123" s="318"/>
      <c r="D123" s="318"/>
      <c r="E123" s="318"/>
      <c r="F123" s="318"/>
      <c r="G123" s="318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5"/>
    </row>
    <row r="124" spans="1:26">
      <c r="A124" s="318"/>
      <c r="B124" s="318"/>
      <c r="C124" s="318"/>
      <c r="D124" s="318"/>
      <c r="E124" s="318"/>
      <c r="F124" s="318"/>
      <c r="G124" s="318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5"/>
    </row>
    <row r="125" spans="1:26">
      <c r="A125" s="318"/>
      <c r="B125" s="318"/>
      <c r="C125" s="318"/>
      <c r="D125" s="318"/>
      <c r="E125" s="318"/>
      <c r="F125" s="318"/>
      <c r="G125" s="318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5"/>
    </row>
    <row r="126" spans="1:26">
      <c r="A126" s="318"/>
      <c r="B126" s="318"/>
      <c r="C126" s="318"/>
      <c r="D126" s="318"/>
      <c r="E126" s="318"/>
      <c r="F126" s="318"/>
      <c r="G126" s="318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5"/>
    </row>
    <row r="127" spans="1:26">
      <c r="A127" s="318"/>
      <c r="B127" s="318"/>
      <c r="C127" s="318"/>
      <c r="D127" s="318"/>
      <c r="E127" s="318"/>
      <c r="F127" s="318"/>
      <c r="G127" s="318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5"/>
    </row>
    <row r="128" spans="1:26">
      <c r="A128" s="318"/>
      <c r="B128" s="318"/>
      <c r="C128" s="318"/>
      <c r="D128" s="318"/>
      <c r="E128" s="318"/>
      <c r="F128" s="318"/>
      <c r="G128" s="318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5"/>
    </row>
    <row r="129" spans="1:26">
      <c r="A129" s="318"/>
      <c r="B129" s="318"/>
      <c r="C129" s="318"/>
      <c r="D129" s="318"/>
      <c r="E129" s="318"/>
      <c r="F129" s="318"/>
      <c r="G129" s="318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5"/>
    </row>
    <row r="130" spans="1:26">
      <c r="A130" s="318"/>
      <c r="B130" s="318"/>
      <c r="C130" s="318"/>
      <c r="D130" s="318"/>
      <c r="E130" s="318"/>
      <c r="F130" s="318"/>
      <c r="G130" s="318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5"/>
    </row>
    <row r="131" spans="1:26">
      <c r="A131" s="318"/>
      <c r="B131" s="318"/>
      <c r="C131" s="318"/>
      <c r="D131" s="318"/>
      <c r="E131" s="318"/>
      <c r="F131" s="318"/>
      <c r="G131" s="318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5"/>
    </row>
    <row r="132" spans="1:26">
      <c r="A132" s="318"/>
      <c r="B132" s="318"/>
      <c r="C132" s="318"/>
      <c r="D132" s="318"/>
      <c r="E132" s="318"/>
      <c r="F132" s="318"/>
      <c r="G132" s="318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5"/>
    </row>
    <row r="133" spans="1:26">
      <c r="A133" s="318"/>
      <c r="B133" s="318"/>
      <c r="C133" s="318"/>
      <c r="D133" s="318"/>
      <c r="E133" s="318"/>
      <c r="F133" s="318"/>
      <c r="G133" s="318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5"/>
    </row>
    <row r="134" spans="1:26">
      <c r="A134" s="318"/>
      <c r="B134" s="318"/>
      <c r="C134" s="318"/>
      <c r="D134" s="318"/>
      <c r="E134" s="318"/>
      <c r="F134" s="318"/>
      <c r="G134" s="318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5"/>
    </row>
    <row r="135" spans="1:26">
      <c r="A135" s="318"/>
      <c r="B135" s="318"/>
      <c r="C135" s="318"/>
      <c r="D135" s="318"/>
      <c r="E135" s="318"/>
      <c r="F135" s="318"/>
      <c r="G135" s="318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5"/>
    </row>
    <row r="136" spans="1:26">
      <c r="A136" s="318"/>
      <c r="B136" s="318"/>
      <c r="C136" s="318"/>
      <c r="D136" s="318"/>
      <c r="E136" s="318"/>
      <c r="F136" s="318"/>
      <c r="G136" s="318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5"/>
    </row>
    <row r="137" spans="1:26">
      <c r="A137" s="318"/>
      <c r="B137" s="318"/>
      <c r="C137" s="318"/>
      <c r="D137" s="318"/>
      <c r="E137" s="318"/>
      <c r="F137" s="318"/>
      <c r="G137" s="318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5"/>
    </row>
    <row r="138" spans="1:26">
      <c r="A138" s="318"/>
      <c r="B138" s="318"/>
      <c r="C138" s="318"/>
      <c r="D138" s="318"/>
      <c r="E138" s="318"/>
      <c r="F138" s="318"/>
      <c r="G138" s="318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5"/>
    </row>
    <row r="139" spans="1:26">
      <c r="A139" s="318"/>
      <c r="B139" s="318"/>
      <c r="C139" s="318"/>
      <c r="D139" s="318"/>
      <c r="E139" s="318"/>
      <c r="F139" s="318"/>
      <c r="G139" s="318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5"/>
    </row>
    <row r="140" spans="1:26">
      <c r="A140" s="318"/>
      <c r="B140" s="318"/>
      <c r="C140" s="318"/>
      <c r="D140" s="318"/>
      <c r="E140" s="318"/>
      <c r="F140" s="318"/>
      <c r="G140" s="318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5"/>
    </row>
    <row r="141" spans="1:26">
      <c r="A141" s="318"/>
      <c r="B141" s="318"/>
      <c r="C141" s="318"/>
      <c r="D141" s="318"/>
      <c r="E141" s="318"/>
      <c r="F141" s="318"/>
      <c r="G141" s="318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5"/>
    </row>
    <row r="142" spans="1:26">
      <c r="A142" s="318"/>
      <c r="B142" s="318"/>
      <c r="C142" s="318"/>
      <c r="D142" s="318"/>
      <c r="E142" s="318"/>
      <c r="F142" s="318"/>
      <c r="G142" s="318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5"/>
    </row>
    <row r="143" spans="1:26">
      <c r="A143" s="318"/>
      <c r="B143" s="318"/>
      <c r="C143" s="318"/>
      <c r="D143" s="318"/>
      <c r="E143" s="318"/>
      <c r="F143" s="318"/>
      <c r="G143" s="318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5"/>
    </row>
    <row r="144" spans="1:26">
      <c r="A144" s="318"/>
      <c r="B144" s="318"/>
      <c r="C144" s="318"/>
      <c r="D144" s="318"/>
      <c r="E144" s="318"/>
      <c r="F144" s="318"/>
      <c r="G144" s="318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5"/>
    </row>
    <row r="145" spans="1:26">
      <c r="A145" s="318"/>
      <c r="B145" s="318"/>
      <c r="C145" s="318"/>
      <c r="D145" s="318"/>
      <c r="E145" s="318"/>
      <c r="F145" s="318"/>
      <c r="G145" s="318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5"/>
    </row>
    <row r="146" spans="1:26">
      <c r="A146" s="318"/>
      <c r="B146" s="318"/>
      <c r="C146" s="318"/>
      <c r="D146" s="318"/>
      <c r="E146" s="318"/>
      <c r="F146" s="318"/>
      <c r="G146" s="318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5"/>
    </row>
    <row r="147" spans="1:26">
      <c r="A147" s="318"/>
      <c r="B147" s="318"/>
      <c r="C147" s="318"/>
      <c r="D147" s="318"/>
      <c r="E147" s="318"/>
      <c r="F147" s="318"/>
      <c r="G147" s="318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5"/>
    </row>
    <row r="148" spans="1:26">
      <c r="A148" s="318"/>
      <c r="B148" s="318"/>
      <c r="C148" s="318"/>
      <c r="D148" s="318"/>
      <c r="E148" s="318"/>
      <c r="F148" s="318"/>
      <c r="G148" s="318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5"/>
    </row>
    <row r="149" spans="1:26">
      <c r="A149" s="318"/>
      <c r="B149" s="318"/>
      <c r="C149" s="318"/>
      <c r="D149" s="318"/>
      <c r="E149" s="318"/>
      <c r="F149" s="318"/>
      <c r="G149" s="318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5"/>
    </row>
    <row r="150" spans="1:26">
      <c r="A150" s="318"/>
      <c r="B150" s="318"/>
      <c r="C150" s="318"/>
      <c r="D150" s="318"/>
      <c r="E150" s="318"/>
      <c r="F150" s="318"/>
      <c r="G150" s="318"/>
      <c r="H150" s="245"/>
      <c r="I150" s="245"/>
      <c r="J150" s="245"/>
      <c r="K150" s="245"/>
      <c r="L150" s="245"/>
      <c r="M150" s="245"/>
      <c r="N150" s="245"/>
      <c r="O150" s="245"/>
      <c r="P150" s="245"/>
      <c r="Q150" s="245"/>
      <c r="R150" s="245"/>
      <c r="S150" s="245"/>
      <c r="T150" s="245"/>
      <c r="U150" s="245"/>
      <c r="V150" s="245"/>
      <c r="W150" s="245"/>
      <c r="X150" s="245"/>
      <c r="Y150" s="245"/>
      <c r="Z150" s="245"/>
    </row>
    <row r="151" spans="1:26">
      <c r="A151" s="318"/>
      <c r="B151" s="318"/>
      <c r="C151" s="318"/>
      <c r="D151" s="318"/>
      <c r="E151" s="318"/>
      <c r="F151" s="318"/>
      <c r="G151" s="318"/>
      <c r="H151" s="245"/>
      <c r="I151" s="245"/>
      <c r="J151" s="245"/>
      <c r="K151" s="245"/>
      <c r="L151" s="245"/>
      <c r="M151" s="245"/>
      <c r="N151" s="245"/>
      <c r="O151" s="245"/>
      <c r="P151" s="245"/>
      <c r="Q151" s="245"/>
      <c r="R151" s="245"/>
      <c r="S151" s="245"/>
      <c r="T151" s="245"/>
      <c r="U151" s="245"/>
      <c r="V151" s="245"/>
      <c r="W151" s="245"/>
      <c r="X151" s="245"/>
      <c r="Y151" s="245"/>
      <c r="Z151" s="245"/>
    </row>
    <row r="152" spans="1:26">
      <c r="A152" s="318"/>
      <c r="B152" s="318"/>
      <c r="C152" s="318"/>
      <c r="D152" s="318"/>
      <c r="E152" s="318"/>
      <c r="F152" s="318"/>
      <c r="G152" s="318"/>
      <c r="H152" s="245"/>
      <c r="I152" s="245"/>
      <c r="J152" s="245"/>
      <c r="K152" s="245"/>
      <c r="L152" s="245"/>
      <c r="M152" s="245"/>
      <c r="N152" s="245"/>
      <c r="O152" s="245"/>
      <c r="P152" s="245"/>
      <c r="Q152" s="245"/>
      <c r="R152" s="245"/>
      <c r="S152" s="245"/>
      <c r="T152" s="245"/>
      <c r="U152" s="245"/>
      <c r="V152" s="245"/>
      <c r="W152" s="245"/>
      <c r="X152" s="245"/>
      <c r="Y152" s="245"/>
      <c r="Z152" s="245"/>
    </row>
    <row r="153" spans="1:26">
      <c r="A153" s="318"/>
      <c r="B153" s="318"/>
      <c r="C153" s="318"/>
      <c r="D153" s="318"/>
      <c r="E153" s="318"/>
      <c r="F153" s="318"/>
      <c r="G153" s="318"/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/>
      <c r="S153" s="245"/>
      <c r="T153" s="245"/>
      <c r="U153" s="245"/>
      <c r="V153" s="245"/>
      <c r="W153" s="245"/>
      <c r="X153" s="245"/>
      <c r="Y153" s="245"/>
      <c r="Z153" s="245"/>
    </row>
    <row r="154" spans="1:26">
      <c r="A154" s="318"/>
      <c r="B154" s="318"/>
      <c r="C154" s="318"/>
      <c r="D154" s="318"/>
      <c r="E154" s="318"/>
      <c r="F154" s="318"/>
      <c r="G154" s="318"/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/>
      <c r="S154" s="245"/>
      <c r="T154" s="245"/>
      <c r="U154" s="245"/>
      <c r="V154" s="245"/>
      <c r="W154" s="245"/>
      <c r="X154" s="245"/>
      <c r="Y154" s="245"/>
      <c r="Z154" s="245"/>
    </row>
    <row r="155" spans="1:26">
      <c r="A155" s="318"/>
      <c r="B155" s="318"/>
      <c r="C155" s="318"/>
      <c r="D155" s="318"/>
      <c r="E155" s="318"/>
      <c r="F155" s="318"/>
      <c r="G155" s="318"/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/>
      <c r="S155" s="245"/>
      <c r="T155" s="245"/>
      <c r="U155" s="245"/>
      <c r="V155" s="245"/>
      <c r="W155" s="245"/>
      <c r="X155" s="245"/>
      <c r="Y155" s="245"/>
      <c r="Z155" s="245"/>
    </row>
    <row r="156" spans="1:26">
      <c r="A156" s="318"/>
      <c r="B156" s="318"/>
      <c r="C156" s="318"/>
      <c r="D156" s="318"/>
      <c r="E156" s="318"/>
      <c r="F156" s="318"/>
      <c r="G156" s="318"/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/>
      <c r="S156" s="245"/>
      <c r="T156" s="245"/>
      <c r="U156" s="245"/>
      <c r="V156" s="245"/>
      <c r="W156" s="245"/>
      <c r="X156" s="245"/>
      <c r="Y156" s="245"/>
      <c r="Z156" s="245"/>
    </row>
    <row r="157" spans="1:26">
      <c r="A157" s="318"/>
      <c r="B157" s="318"/>
      <c r="C157" s="318"/>
      <c r="D157" s="318"/>
      <c r="E157" s="318"/>
      <c r="F157" s="318"/>
      <c r="G157" s="318"/>
      <c r="H157" s="245"/>
      <c r="I157" s="245"/>
      <c r="J157" s="245"/>
      <c r="K157" s="245"/>
      <c r="L157" s="245"/>
      <c r="M157" s="245"/>
      <c r="N157" s="245"/>
      <c r="O157" s="245"/>
      <c r="P157" s="245"/>
      <c r="Q157" s="245"/>
      <c r="R157" s="245"/>
      <c r="S157" s="245"/>
      <c r="T157" s="245"/>
      <c r="U157" s="245"/>
      <c r="V157" s="245"/>
      <c r="W157" s="245"/>
      <c r="X157" s="245"/>
      <c r="Y157" s="245"/>
      <c r="Z157" s="245"/>
    </row>
    <row r="158" spans="1:26">
      <c r="A158" s="318"/>
      <c r="B158" s="318"/>
      <c r="C158" s="318"/>
      <c r="D158" s="318"/>
      <c r="E158" s="318"/>
      <c r="F158" s="318"/>
      <c r="G158" s="318"/>
      <c r="H158" s="245"/>
      <c r="I158" s="245"/>
      <c r="J158" s="245"/>
      <c r="K158" s="245"/>
      <c r="L158" s="245"/>
      <c r="M158" s="245"/>
      <c r="N158" s="245"/>
      <c r="O158" s="245"/>
      <c r="P158" s="245"/>
      <c r="Q158" s="245"/>
      <c r="R158" s="245"/>
      <c r="S158" s="245"/>
      <c r="T158" s="245"/>
      <c r="U158" s="245"/>
      <c r="V158" s="245"/>
      <c r="W158" s="245"/>
      <c r="X158" s="245"/>
      <c r="Y158" s="245"/>
      <c r="Z158" s="245"/>
    </row>
    <row r="159" spans="1:26">
      <c r="A159" s="318"/>
      <c r="B159" s="318"/>
      <c r="C159" s="318"/>
      <c r="D159" s="318"/>
      <c r="E159" s="318"/>
      <c r="F159" s="318"/>
      <c r="G159" s="318"/>
      <c r="H159" s="245"/>
      <c r="I159" s="245"/>
      <c r="J159" s="245"/>
      <c r="K159" s="245"/>
      <c r="L159" s="245"/>
      <c r="M159" s="245"/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  <c r="X159" s="245"/>
      <c r="Y159" s="245"/>
      <c r="Z159" s="245"/>
    </row>
    <row r="160" spans="1:26">
      <c r="A160" s="318"/>
      <c r="B160" s="318"/>
      <c r="C160" s="318"/>
      <c r="D160" s="318"/>
      <c r="E160" s="318"/>
      <c r="F160" s="318"/>
      <c r="G160" s="318"/>
      <c r="H160" s="245"/>
      <c r="I160" s="245"/>
      <c r="J160" s="245"/>
      <c r="K160" s="245"/>
      <c r="L160" s="245"/>
      <c r="M160" s="245"/>
      <c r="N160" s="245"/>
      <c r="O160" s="245"/>
      <c r="P160" s="245"/>
      <c r="Q160" s="245"/>
      <c r="R160" s="245"/>
      <c r="S160" s="245"/>
      <c r="T160" s="245"/>
      <c r="U160" s="245"/>
      <c r="V160" s="245"/>
      <c r="W160" s="245"/>
      <c r="X160" s="245"/>
      <c r="Y160" s="245"/>
      <c r="Z160" s="245"/>
    </row>
    <row r="161" spans="1:26">
      <c r="A161" s="318"/>
      <c r="B161" s="318"/>
      <c r="C161" s="318"/>
      <c r="D161" s="318"/>
      <c r="E161" s="318"/>
      <c r="F161" s="318"/>
      <c r="G161" s="318"/>
      <c r="H161" s="245"/>
      <c r="I161" s="245"/>
      <c r="J161" s="245"/>
      <c r="K161" s="245"/>
      <c r="L161" s="245"/>
      <c r="M161" s="245"/>
      <c r="N161" s="245"/>
      <c r="O161" s="245"/>
      <c r="P161" s="245"/>
      <c r="Q161" s="245"/>
      <c r="R161" s="245"/>
      <c r="S161" s="245"/>
      <c r="T161" s="245"/>
      <c r="U161" s="245"/>
      <c r="V161" s="245"/>
      <c r="W161" s="245"/>
      <c r="X161" s="245"/>
      <c r="Y161" s="245"/>
      <c r="Z161" s="245"/>
    </row>
    <row r="162" spans="1:26">
      <c r="A162" s="318"/>
      <c r="B162" s="318"/>
      <c r="C162" s="318"/>
      <c r="D162" s="318"/>
      <c r="E162" s="318"/>
      <c r="F162" s="318"/>
      <c r="G162" s="318"/>
      <c r="H162" s="245"/>
      <c r="I162" s="245"/>
      <c r="J162" s="245"/>
      <c r="K162" s="245"/>
      <c r="L162" s="245"/>
      <c r="M162" s="245"/>
      <c r="N162" s="245"/>
      <c r="O162" s="245"/>
      <c r="P162" s="245"/>
      <c r="Q162" s="245"/>
      <c r="R162" s="245"/>
      <c r="S162" s="245"/>
      <c r="T162" s="245"/>
      <c r="U162" s="245"/>
      <c r="V162" s="245"/>
      <c r="W162" s="245"/>
      <c r="X162" s="245"/>
      <c r="Y162" s="245"/>
      <c r="Z162" s="245"/>
    </row>
    <row r="163" spans="1:26">
      <c r="A163" s="245"/>
      <c r="B163" s="245"/>
      <c r="C163" s="245"/>
      <c r="D163" s="245"/>
      <c r="E163" s="245"/>
      <c r="F163" s="245"/>
      <c r="G163" s="245"/>
      <c r="H163" s="245"/>
      <c r="I163" s="245"/>
      <c r="J163" s="245"/>
      <c r="K163" s="245"/>
      <c r="L163" s="245"/>
      <c r="M163" s="245"/>
      <c r="N163" s="245"/>
      <c r="O163" s="245"/>
      <c r="P163" s="245"/>
      <c r="Q163" s="245"/>
      <c r="R163" s="245"/>
      <c r="S163" s="245"/>
      <c r="T163" s="245"/>
      <c r="U163" s="245"/>
      <c r="V163" s="245"/>
      <c r="W163" s="245"/>
      <c r="X163" s="245"/>
      <c r="Y163" s="245"/>
      <c r="Z163" s="245"/>
    </row>
    <row r="164" spans="1:26">
      <c r="A164" s="245"/>
      <c r="B164" s="245"/>
      <c r="C164" s="245"/>
      <c r="D164" s="245"/>
      <c r="E164" s="245"/>
      <c r="F164" s="245"/>
      <c r="G164" s="245"/>
      <c r="H164" s="245"/>
      <c r="I164" s="245"/>
      <c r="J164" s="245"/>
      <c r="K164" s="245"/>
      <c r="L164" s="245"/>
      <c r="M164" s="245"/>
      <c r="N164" s="245"/>
      <c r="O164" s="245"/>
      <c r="P164" s="245"/>
      <c r="Q164" s="245"/>
      <c r="R164" s="245"/>
      <c r="S164" s="245"/>
      <c r="T164" s="245"/>
      <c r="U164" s="245"/>
      <c r="V164" s="245"/>
      <c r="W164" s="245"/>
      <c r="X164" s="245"/>
      <c r="Y164" s="245"/>
      <c r="Z164" s="245"/>
    </row>
    <row r="165" spans="1:26">
      <c r="A165" s="245"/>
      <c r="B165" s="245"/>
      <c r="C165" s="245"/>
      <c r="D165" s="245"/>
      <c r="E165" s="245"/>
      <c r="F165" s="245"/>
      <c r="G165" s="245"/>
      <c r="H165" s="245"/>
      <c r="I165" s="245"/>
      <c r="J165" s="245"/>
      <c r="K165" s="245"/>
      <c r="L165" s="245"/>
      <c r="M165" s="245"/>
      <c r="N165" s="245"/>
      <c r="O165" s="245"/>
      <c r="P165" s="245"/>
      <c r="Q165" s="245"/>
      <c r="R165" s="245"/>
      <c r="S165" s="245"/>
      <c r="T165" s="245"/>
      <c r="U165" s="245"/>
      <c r="V165" s="245"/>
      <c r="W165" s="245"/>
      <c r="X165" s="245"/>
      <c r="Y165" s="245"/>
      <c r="Z165" s="245"/>
    </row>
    <row r="166" spans="1:26">
      <c r="A166" s="245"/>
      <c r="B166" s="245"/>
      <c r="C166" s="245"/>
      <c r="D166" s="245"/>
      <c r="E166" s="245"/>
      <c r="F166" s="245"/>
      <c r="G166" s="245"/>
      <c r="H166" s="245"/>
      <c r="I166" s="245"/>
      <c r="J166" s="245"/>
      <c r="K166" s="245"/>
      <c r="L166" s="245"/>
      <c r="M166" s="245"/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  <c r="X166" s="245"/>
      <c r="Y166" s="245"/>
      <c r="Z166" s="245"/>
    </row>
    <row r="167" spans="1:26">
      <c r="A167" s="245"/>
      <c r="B167" s="245"/>
      <c r="C167" s="245"/>
      <c r="D167" s="245"/>
      <c r="E167" s="245"/>
      <c r="F167" s="245"/>
      <c r="G167" s="245"/>
      <c r="H167" s="245"/>
      <c r="I167" s="245"/>
      <c r="J167" s="245"/>
      <c r="K167" s="245"/>
      <c r="L167" s="245"/>
      <c r="M167" s="245"/>
      <c r="N167" s="245"/>
      <c r="O167" s="245"/>
      <c r="P167" s="245"/>
      <c r="Q167" s="245"/>
      <c r="R167" s="245"/>
      <c r="S167" s="245"/>
      <c r="T167" s="245"/>
      <c r="U167" s="245"/>
      <c r="V167" s="245"/>
      <c r="W167" s="245"/>
      <c r="X167" s="245"/>
      <c r="Y167" s="245"/>
      <c r="Z167" s="245"/>
    </row>
    <row r="168" spans="1:26">
      <c r="A168" s="245"/>
      <c r="B168" s="245"/>
      <c r="C168" s="245"/>
      <c r="D168" s="245"/>
      <c r="E168" s="245"/>
      <c r="F168" s="245"/>
      <c r="G168" s="245"/>
      <c r="H168" s="245"/>
      <c r="I168" s="245"/>
      <c r="J168" s="245"/>
      <c r="K168" s="245"/>
      <c r="L168" s="245"/>
      <c r="M168" s="245"/>
      <c r="N168" s="245"/>
      <c r="O168" s="245"/>
      <c r="P168" s="245"/>
      <c r="Q168" s="245"/>
      <c r="R168" s="245"/>
      <c r="S168" s="245"/>
      <c r="T168" s="245"/>
      <c r="U168" s="245"/>
      <c r="V168" s="245"/>
      <c r="W168" s="245"/>
      <c r="X168" s="245"/>
      <c r="Y168" s="245"/>
      <c r="Z168" s="245"/>
    </row>
    <row r="169" spans="1:26">
      <c r="A169" s="245"/>
      <c r="B169" s="245"/>
      <c r="C169" s="245"/>
      <c r="D169" s="245"/>
      <c r="E169" s="245"/>
      <c r="F169" s="245"/>
      <c r="G169" s="245"/>
      <c r="H169" s="245"/>
      <c r="I169" s="245"/>
      <c r="J169" s="245"/>
      <c r="K169" s="245"/>
      <c r="L169" s="245"/>
      <c r="M169" s="245"/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  <c r="X169" s="245"/>
      <c r="Y169" s="245"/>
      <c r="Z169" s="245"/>
    </row>
    <row r="170" spans="1:26">
      <c r="A170" s="245"/>
      <c r="B170" s="245"/>
      <c r="C170" s="245"/>
      <c r="D170" s="245"/>
      <c r="E170" s="245"/>
      <c r="F170" s="245"/>
      <c r="G170" s="245"/>
      <c r="H170" s="245"/>
      <c r="I170" s="245"/>
      <c r="J170" s="245"/>
      <c r="K170" s="245"/>
      <c r="L170" s="245"/>
      <c r="M170" s="245"/>
      <c r="N170" s="245"/>
      <c r="O170" s="245"/>
      <c r="P170" s="245"/>
      <c r="Q170" s="245"/>
      <c r="R170" s="245"/>
      <c r="S170" s="245"/>
      <c r="T170" s="245"/>
      <c r="U170" s="245"/>
      <c r="V170" s="245"/>
      <c r="W170" s="245"/>
      <c r="X170" s="245"/>
      <c r="Y170" s="245"/>
      <c r="Z170" s="245"/>
    </row>
    <row r="171" spans="1:26">
      <c r="A171" s="245"/>
      <c r="B171" s="245"/>
      <c r="C171" s="245"/>
      <c r="D171" s="245"/>
      <c r="E171" s="245"/>
      <c r="F171" s="245"/>
      <c r="G171" s="245"/>
      <c r="H171" s="245"/>
      <c r="I171" s="245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</row>
    <row r="172" spans="1:26">
      <c r="A172" s="245"/>
      <c r="B172" s="245"/>
      <c r="C172" s="245"/>
      <c r="D172" s="245"/>
      <c r="E172" s="245"/>
      <c r="F172" s="245"/>
      <c r="G172" s="245"/>
      <c r="H172" s="245"/>
      <c r="I172" s="245"/>
      <c r="J172" s="245"/>
      <c r="K172" s="245"/>
      <c r="L172" s="245"/>
      <c r="M172" s="245"/>
      <c r="N172" s="245"/>
      <c r="O172" s="245"/>
      <c r="P172" s="245"/>
      <c r="Q172" s="245"/>
      <c r="R172" s="245"/>
      <c r="S172" s="245"/>
      <c r="T172" s="245"/>
      <c r="U172" s="245"/>
      <c r="V172" s="245"/>
      <c r="W172" s="245"/>
      <c r="X172" s="245"/>
      <c r="Y172" s="245"/>
      <c r="Z172" s="245"/>
    </row>
    <row r="173" spans="1:26">
      <c r="A173" s="245"/>
      <c r="B173" s="245"/>
      <c r="C173" s="245"/>
      <c r="D173" s="245"/>
      <c r="E173" s="245"/>
      <c r="F173" s="245"/>
      <c r="G173" s="245"/>
      <c r="H173" s="245"/>
      <c r="I173" s="245"/>
      <c r="J173" s="245"/>
      <c r="K173" s="245"/>
      <c r="L173" s="245"/>
      <c r="M173" s="245"/>
      <c r="N173" s="245"/>
      <c r="O173" s="245"/>
      <c r="P173" s="245"/>
      <c r="Q173" s="245"/>
      <c r="R173" s="245"/>
      <c r="S173" s="245"/>
      <c r="T173" s="245"/>
      <c r="U173" s="245"/>
      <c r="V173" s="245"/>
      <c r="W173" s="245"/>
      <c r="X173" s="245"/>
      <c r="Y173" s="245"/>
      <c r="Z173" s="245"/>
    </row>
    <row r="174" spans="1:26">
      <c r="A174" s="245"/>
      <c r="B174" s="245"/>
      <c r="C174" s="245"/>
      <c r="D174" s="245"/>
      <c r="E174" s="245"/>
      <c r="F174" s="245"/>
      <c r="G174" s="245"/>
      <c r="H174" s="245"/>
      <c r="I174" s="245"/>
      <c r="J174" s="245"/>
      <c r="K174" s="245"/>
      <c r="L174" s="245"/>
      <c r="M174" s="245"/>
      <c r="N174" s="245"/>
      <c r="O174" s="245"/>
      <c r="P174" s="245"/>
      <c r="Q174" s="245"/>
      <c r="R174" s="245"/>
      <c r="S174" s="245"/>
      <c r="T174" s="245"/>
      <c r="U174" s="245"/>
      <c r="V174" s="245"/>
      <c r="W174" s="245"/>
      <c r="X174" s="245"/>
      <c r="Y174" s="245"/>
      <c r="Z174" s="245"/>
    </row>
    <row r="175" spans="1:26">
      <c r="A175" s="245"/>
      <c r="B175" s="245"/>
      <c r="C175" s="245"/>
      <c r="D175" s="245"/>
      <c r="E175" s="245"/>
      <c r="F175" s="245"/>
      <c r="G175" s="245"/>
      <c r="H175" s="245"/>
      <c r="I175" s="245"/>
      <c r="J175" s="245"/>
      <c r="K175" s="245"/>
      <c r="L175" s="245"/>
      <c r="M175" s="245"/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  <c r="X175" s="245"/>
      <c r="Y175" s="245"/>
      <c r="Z175" s="245"/>
    </row>
    <row r="176" spans="1:26">
      <c r="A176" s="245"/>
      <c r="B176" s="245"/>
      <c r="C176" s="245"/>
      <c r="D176" s="245"/>
      <c r="E176" s="245"/>
      <c r="F176" s="245"/>
      <c r="G176" s="245"/>
      <c r="H176" s="245"/>
      <c r="I176" s="245"/>
      <c r="J176" s="245"/>
      <c r="K176" s="245"/>
      <c r="L176" s="245"/>
      <c r="M176" s="245"/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  <c r="X176" s="245"/>
      <c r="Y176" s="245"/>
      <c r="Z176" s="245"/>
    </row>
    <row r="177" spans="1:26">
      <c r="A177" s="245"/>
      <c r="B177" s="245"/>
      <c r="C177" s="245"/>
      <c r="D177" s="245"/>
      <c r="E177" s="245"/>
      <c r="F177" s="245"/>
      <c r="G177" s="245"/>
      <c r="H177" s="245"/>
      <c r="I177" s="245"/>
      <c r="J177" s="245"/>
      <c r="K177" s="245"/>
      <c r="L177" s="245"/>
      <c r="M177" s="245"/>
      <c r="N177" s="245"/>
      <c r="O177" s="245"/>
      <c r="P177" s="245"/>
      <c r="Q177" s="245"/>
      <c r="R177" s="245"/>
      <c r="S177" s="245"/>
      <c r="T177" s="245"/>
      <c r="U177" s="245"/>
      <c r="V177" s="245"/>
      <c r="W177" s="245"/>
      <c r="X177" s="245"/>
      <c r="Y177" s="245"/>
      <c r="Z177" s="245"/>
    </row>
    <row r="178" spans="1:26">
      <c r="A178" s="245"/>
      <c r="B178" s="245"/>
      <c r="C178" s="245"/>
      <c r="D178" s="245"/>
      <c r="E178" s="245"/>
      <c r="F178" s="245"/>
      <c r="G178" s="245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</row>
    <row r="179" spans="1:26">
      <c r="A179" s="245"/>
      <c r="B179" s="245"/>
      <c r="C179" s="245"/>
      <c r="D179" s="245"/>
      <c r="E179" s="245"/>
      <c r="F179" s="245"/>
      <c r="G179" s="245"/>
      <c r="H179" s="245"/>
      <c r="I179" s="245"/>
      <c r="J179" s="245"/>
      <c r="K179" s="245"/>
      <c r="L179" s="245"/>
      <c r="M179" s="245"/>
      <c r="N179" s="245"/>
      <c r="O179" s="245"/>
      <c r="P179" s="245"/>
      <c r="Q179" s="245"/>
      <c r="R179" s="245"/>
      <c r="S179" s="245"/>
      <c r="T179" s="245"/>
      <c r="U179" s="245"/>
      <c r="V179" s="245"/>
      <c r="W179" s="245"/>
      <c r="X179" s="245"/>
      <c r="Y179" s="245"/>
      <c r="Z179" s="245"/>
    </row>
    <row r="180" spans="1:26">
      <c r="A180" s="245"/>
      <c r="B180" s="245"/>
      <c r="C180" s="245"/>
      <c r="D180" s="245"/>
      <c r="E180" s="245"/>
      <c r="F180" s="245"/>
      <c r="G180" s="245"/>
      <c r="H180" s="245"/>
      <c r="I180" s="245"/>
      <c r="J180" s="245"/>
      <c r="K180" s="245"/>
      <c r="L180" s="245"/>
      <c r="M180" s="245"/>
      <c r="N180" s="245"/>
      <c r="O180" s="245"/>
      <c r="P180" s="245"/>
      <c r="Q180" s="245"/>
      <c r="R180" s="245"/>
      <c r="S180" s="245"/>
      <c r="T180" s="245"/>
      <c r="U180" s="245"/>
      <c r="V180" s="245"/>
      <c r="W180" s="245"/>
      <c r="X180" s="245"/>
      <c r="Y180" s="245"/>
      <c r="Z180" s="245"/>
    </row>
    <row r="181" spans="1:26">
      <c r="A181" s="245"/>
      <c r="B181" s="245"/>
      <c r="C181" s="245"/>
      <c r="D181" s="245"/>
      <c r="E181" s="245"/>
      <c r="F181" s="245"/>
      <c r="G181" s="245"/>
      <c r="H181" s="245"/>
      <c r="I181" s="245"/>
      <c r="J181" s="245"/>
      <c r="K181" s="245"/>
      <c r="L181" s="245"/>
      <c r="M181" s="245"/>
      <c r="N181" s="245"/>
      <c r="O181" s="245"/>
      <c r="P181" s="245"/>
      <c r="Q181" s="245"/>
      <c r="R181" s="245"/>
      <c r="S181" s="245"/>
      <c r="T181" s="245"/>
      <c r="U181" s="245"/>
      <c r="V181" s="245"/>
      <c r="W181" s="245"/>
      <c r="X181" s="245"/>
      <c r="Y181" s="245"/>
      <c r="Z181" s="245"/>
    </row>
    <row r="182" spans="1:26">
      <c r="A182" s="245"/>
      <c r="B182" s="245"/>
      <c r="C182" s="245"/>
      <c r="D182" s="245"/>
      <c r="E182" s="245"/>
      <c r="F182" s="245"/>
      <c r="G182" s="245"/>
      <c r="H182" s="245"/>
      <c r="I182" s="245"/>
      <c r="J182" s="245"/>
      <c r="K182" s="245"/>
      <c r="L182" s="245"/>
      <c r="M182" s="245"/>
      <c r="N182" s="245"/>
      <c r="O182" s="245"/>
      <c r="P182" s="245"/>
      <c r="Q182" s="245"/>
      <c r="R182" s="245"/>
      <c r="S182" s="245"/>
      <c r="T182" s="245"/>
      <c r="U182" s="245"/>
      <c r="V182" s="245"/>
      <c r="W182" s="245"/>
      <c r="X182" s="245"/>
      <c r="Y182" s="245"/>
      <c r="Z182" s="245"/>
    </row>
    <row r="183" spans="1:26">
      <c r="A183" s="245"/>
      <c r="B183" s="245"/>
      <c r="C183" s="245"/>
      <c r="D183" s="245"/>
      <c r="E183" s="245"/>
      <c r="F183" s="245"/>
      <c r="G183" s="245"/>
      <c r="H183" s="245"/>
      <c r="I183" s="245"/>
      <c r="J183" s="245"/>
      <c r="K183" s="245"/>
      <c r="L183" s="245"/>
      <c r="M183" s="245"/>
      <c r="N183" s="245"/>
      <c r="O183" s="245"/>
      <c r="P183" s="245"/>
      <c r="Q183" s="245"/>
      <c r="R183" s="245"/>
      <c r="S183" s="245"/>
      <c r="T183" s="245"/>
      <c r="U183" s="245"/>
      <c r="V183" s="245"/>
      <c r="W183" s="245"/>
      <c r="X183" s="245"/>
      <c r="Y183" s="245"/>
      <c r="Z183" s="245"/>
    </row>
    <row r="184" spans="1:26">
      <c r="A184" s="245"/>
      <c r="B184" s="245"/>
      <c r="C184" s="245"/>
      <c r="D184" s="245"/>
      <c r="E184" s="245"/>
      <c r="F184" s="245"/>
      <c r="G184" s="245"/>
      <c r="H184" s="245"/>
      <c r="I184" s="245"/>
      <c r="J184" s="245"/>
      <c r="K184" s="245"/>
      <c r="L184" s="245"/>
      <c r="M184" s="245"/>
      <c r="N184" s="245"/>
      <c r="O184" s="245"/>
      <c r="P184" s="245"/>
      <c r="Q184" s="245"/>
      <c r="R184" s="245"/>
      <c r="S184" s="245"/>
      <c r="T184" s="245"/>
      <c r="U184" s="245"/>
      <c r="V184" s="245"/>
      <c r="W184" s="245"/>
      <c r="X184" s="245"/>
      <c r="Y184" s="245"/>
      <c r="Z184" s="245"/>
    </row>
    <row r="185" spans="1:26">
      <c r="A185" s="245"/>
      <c r="B185" s="245"/>
      <c r="C185" s="245"/>
      <c r="D185" s="245"/>
      <c r="E185" s="245"/>
      <c r="F185" s="245"/>
      <c r="G185" s="245"/>
      <c r="H185" s="245"/>
      <c r="I185" s="245"/>
      <c r="J185" s="245"/>
      <c r="K185" s="245"/>
      <c r="L185" s="245"/>
      <c r="M185" s="245"/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  <c r="X185" s="245"/>
      <c r="Y185" s="245"/>
      <c r="Z185" s="245"/>
    </row>
    <row r="186" spans="1:26">
      <c r="A186" s="245"/>
      <c r="B186" s="245"/>
      <c r="C186" s="245"/>
      <c r="D186" s="245"/>
      <c r="E186" s="245"/>
      <c r="F186" s="245"/>
      <c r="G186" s="245"/>
      <c r="H186" s="245"/>
      <c r="I186" s="245"/>
      <c r="J186" s="245"/>
      <c r="K186" s="245"/>
      <c r="L186" s="245"/>
      <c r="M186" s="245"/>
      <c r="N186" s="245"/>
      <c r="O186" s="245"/>
      <c r="P186" s="245"/>
      <c r="Q186" s="245"/>
      <c r="R186" s="245"/>
      <c r="S186" s="245"/>
      <c r="T186" s="245"/>
      <c r="U186" s="245"/>
      <c r="V186" s="245"/>
      <c r="W186" s="245"/>
      <c r="X186" s="245"/>
      <c r="Y186" s="245"/>
      <c r="Z186" s="245"/>
    </row>
    <row r="187" spans="1:26">
      <c r="A187" s="245"/>
      <c r="B187" s="245"/>
      <c r="C187" s="245"/>
      <c r="D187" s="245"/>
      <c r="E187" s="245"/>
      <c r="F187" s="245"/>
      <c r="G187" s="245"/>
      <c r="H187" s="245"/>
      <c r="I187" s="245"/>
      <c r="J187" s="245"/>
      <c r="K187" s="245"/>
      <c r="L187" s="245"/>
      <c r="M187" s="245"/>
      <c r="N187" s="245"/>
      <c r="O187" s="245"/>
      <c r="P187" s="245"/>
      <c r="Q187" s="245"/>
      <c r="R187" s="245"/>
      <c r="S187" s="245"/>
      <c r="T187" s="245"/>
      <c r="U187" s="245"/>
      <c r="V187" s="245"/>
      <c r="W187" s="245"/>
      <c r="X187" s="245"/>
      <c r="Y187" s="245"/>
      <c r="Z187" s="245"/>
    </row>
    <row r="188" spans="1:26">
      <c r="A188" s="245"/>
      <c r="B188" s="245"/>
      <c r="C188" s="245"/>
      <c r="D188" s="245"/>
      <c r="E188" s="245"/>
      <c r="F188" s="245"/>
      <c r="G188" s="245"/>
      <c r="H188" s="245"/>
      <c r="I188" s="245"/>
      <c r="J188" s="245"/>
      <c r="K188" s="245"/>
      <c r="L188" s="245"/>
      <c r="M188" s="245"/>
      <c r="N188" s="245"/>
      <c r="O188" s="245"/>
      <c r="P188" s="245"/>
      <c r="Q188" s="245"/>
      <c r="R188" s="245"/>
      <c r="S188" s="245"/>
      <c r="T188" s="245"/>
      <c r="U188" s="245"/>
      <c r="V188" s="245"/>
      <c r="W188" s="245"/>
      <c r="X188" s="245"/>
      <c r="Y188" s="245"/>
      <c r="Z188" s="245"/>
    </row>
    <row r="189" spans="1:26">
      <c r="A189" s="245"/>
      <c r="B189" s="245"/>
      <c r="C189" s="245"/>
      <c r="D189" s="245"/>
      <c r="E189" s="245"/>
      <c r="F189" s="245"/>
      <c r="G189" s="245"/>
      <c r="H189" s="245"/>
      <c r="I189" s="245"/>
      <c r="J189" s="245"/>
      <c r="K189" s="245"/>
      <c r="L189" s="245"/>
      <c r="M189" s="245"/>
      <c r="N189" s="245"/>
      <c r="O189" s="245"/>
      <c r="P189" s="245"/>
      <c r="Q189" s="245"/>
      <c r="R189" s="245"/>
      <c r="S189" s="245"/>
      <c r="T189" s="245"/>
      <c r="U189" s="245"/>
      <c r="V189" s="245"/>
      <c r="W189" s="245"/>
      <c r="X189" s="245"/>
      <c r="Y189" s="245"/>
      <c r="Z189" s="245"/>
    </row>
    <row r="190" spans="1:26">
      <c r="A190" s="245"/>
      <c r="B190" s="245"/>
      <c r="C190" s="245"/>
      <c r="D190" s="245"/>
      <c r="E190" s="245"/>
      <c r="F190" s="245"/>
      <c r="G190" s="245"/>
      <c r="H190" s="245"/>
      <c r="I190" s="245"/>
      <c r="J190" s="245"/>
      <c r="K190" s="245"/>
      <c r="L190" s="245"/>
      <c r="M190" s="245"/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  <c r="X190" s="245"/>
      <c r="Y190" s="245"/>
      <c r="Z190" s="245"/>
    </row>
    <row r="191" spans="1:26">
      <c r="A191" s="245"/>
      <c r="B191" s="245"/>
      <c r="C191" s="245"/>
      <c r="D191" s="245"/>
      <c r="E191" s="245"/>
      <c r="F191" s="245"/>
      <c r="G191" s="245"/>
      <c r="H191" s="245"/>
      <c r="I191" s="245"/>
      <c r="J191" s="245"/>
      <c r="K191" s="245"/>
      <c r="L191" s="245"/>
      <c r="M191" s="245"/>
      <c r="N191" s="245"/>
      <c r="O191" s="245"/>
      <c r="P191" s="245"/>
      <c r="Q191" s="245"/>
      <c r="R191" s="245"/>
      <c r="S191" s="245"/>
      <c r="T191" s="245"/>
      <c r="U191" s="245"/>
      <c r="V191" s="245"/>
      <c r="W191" s="245"/>
      <c r="X191" s="245"/>
      <c r="Y191" s="245"/>
      <c r="Z191" s="245"/>
    </row>
    <row r="192" spans="1:26">
      <c r="A192" s="245"/>
      <c r="B192" s="245"/>
      <c r="C192" s="245"/>
      <c r="D192" s="245"/>
      <c r="E192" s="245"/>
      <c r="F192" s="245"/>
      <c r="G192" s="245"/>
      <c r="H192" s="245"/>
      <c r="I192" s="245"/>
      <c r="J192" s="245"/>
      <c r="K192" s="245"/>
      <c r="L192" s="245"/>
      <c r="M192" s="245"/>
      <c r="N192" s="245"/>
      <c r="O192" s="245"/>
      <c r="P192" s="245"/>
      <c r="Q192" s="245"/>
      <c r="R192" s="245"/>
      <c r="S192" s="245"/>
      <c r="T192" s="245"/>
      <c r="U192" s="245"/>
      <c r="V192" s="245"/>
      <c r="W192" s="245"/>
      <c r="X192" s="245"/>
      <c r="Y192" s="245"/>
      <c r="Z192" s="245"/>
    </row>
    <row r="193" spans="1:26">
      <c r="A193" s="245"/>
      <c r="B193" s="245"/>
      <c r="C193" s="245"/>
      <c r="D193" s="245"/>
      <c r="E193" s="245"/>
      <c r="F193" s="245"/>
      <c r="G193" s="245"/>
      <c r="H193" s="245"/>
      <c r="I193" s="245"/>
      <c r="J193" s="245"/>
      <c r="K193" s="245"/>
      <c r="L193" s="245"/>
      <c r="M193" s="245"/>
      <c r="N193" s="245"/>
      <c r="O193" s="245"/>
      <c r="P193" s="245"/>
      <c r="Q193" s="245"/>
      <c r="R193" s="245"/>
      <c r="S193" s="245"/>
      <c r="T193" s="245"/>
      <c r="U193" s="245"/>
      <c r="V193" s="245"/>
      <c r="W193" s="245"/>
      <c r="X193" s="245"/>
      <c r="Y193" s="245"/>
      <c r="Z193" s="245"/>
    </row>
    <row r="194" spans="1:26">
      <c r="A194" s="245"/>
      <c r="B194" s="245"/>
      <c r="C194" s="245"/>
      <c r="D194" s="245"/>
      <c r="E194" s="245"/>
      <c r="F194" s="245"/>
      <c r="G194" s="245"/>
      <c r="H194" s="245"/>
      <c r="I194" s="245"/>
      <c r="J194" s="245"/>
      <c r="K194" s="245"/>
      <c r="L194" s="245"/>
      <c r="M194" s="245"/>
      <c r="N194" s="245"/>
      <c r="O194" s="245"/>
      <c r="P194" s="245"/>
      <c r="Q194" s="245"/>
      <c r="R194" s="245"/>
      <c r="S194" s="245"/>
      <c r="T194" s="245"/>
      <c r="U194" s="245"/>
      <c r="V194" s="245"/>
      <c r="W194" s="245"/>
      <c r="X194" s="245"/>
      <c r="Y194" s="245"/>
      <c r="Z194" s="245"/>
    </row>
    <row r="195" spans="1:26">
      <c r="A195" s="245"/>
      <c r="B195" s="245"/>
      <c r="C195" s="245"/>
      <c r="D195" s="245"/>
      <c r="E195" s="245"/>
      <c r="F195" s="245"/>
      <c r="G195" s="245"/>
      <c r="H195" s="245"/>
      <c r="I195" s="245"/>
      <c r="J195" s="245"/>
      <c r="K195" s="245"/>
      <c r="L195" s="245"/>
      <c r="M195" s="245"/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  <c r="X195" s="245"/>
      <c r="Y195" s="245"/>
      <c r="Z195" s="245"/>
    </row>
    <row r="196" spans="1:26">
      <c r="A196" s="245"/>
      <c r="B196" s="245"/>
      <c r="C196" s="245"/>
      <c r="D196" s="245"/>
      <c r="E196" s="245"/>
      <c r="F196" s="245"/>
      <c r="G196" s="245"/>
      <c r="H196" s="245"/>
      <c r="I196" s="245"/>
      <c r="J196" s="245"/>
      <c r="K196" s="245"/>
      <c r="L196" s="245"/>
      <c r="M196" s="245"/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  <c r="X196" s="245"/>
      <c r="Y196" s="245"/>
      <c r="Z196" s="245"/>
    </row>
    <row r="197" spans="1:26">
      <c r="A197" s="245"/>
      <c r="B197" s="245"/>
      <c r="C197" s="245"/>
      <c r="D197" s="245"/>
      <c r="E197" s="245"/>
      <c r="F197" s="245"/>
      <c r="G197" s="245"/>
      <c r="H197" s="245"/>
      <c r="I197" s="245"/>
      <c r="J197" s="245"/>
      <c r="K197" s="245"/>
      <c r="L197" s="245"/>
      <c r="M197" s="245"/>
      <c r="N197" s="245"/>
      <c r="O197" s="245"/>
      <c r="P197" s="245"/>
      <c r="Q197" s="245"/>
      <c r="R197" s="245"/>
      <c r="S197" s="245"/>
      <c r="T197" s="245"/>
      <c r="U197" s="245"/>
      <c r="V197" s="245"/>
      <c r="W197" s="245"/>
      <c r="X197" s="245"/>
      <c r="Y197" s="245"/>
      <c r="Z197" s="245"/>
    </row>
    <row r="198" spans="1:26">
      <c r="A198" s="245"/>
      <c r="B198" s="245"/>
      <c r="C198" s="245"/>
      <c r="D198" s="245"/>
      <c r="E198" s="245"/>
      <c r="F198" s="245"/>
      <c r="G198" s="245"/>
      <c r="H198" s="245"/>
      <c r="I198" s="245"/>
      <c r="J198" s="245"/>
      <c r="K198" s="245"/>
      <c r="L198" s="245"/>
      <c r="M198" s="245"/>
      <c r="N198" s="245"/>
      <c r="O198" s="245"/>
      <c r="P198" s="245"/>
      <c r="Q198" s="245"/>
      <c r="R198" s="245"/>
      <c r="S198" s="245"/>
      <c r="T198" s="245"/>
      <c r="U198" s="245"/>
      <c r="V198" s="245"/>
      <c r="W198" s="245"/>
      <c r="X198" s="245"/>
      <c r="Y198" s="245"/>
      <c r="Z198" s="245"/>
    </row>
    <row r="199" spans="1:26">
      <c r="A199" s="245"/>
      <c r="B199" s="245"/>
      <c r="C199" s="245"/>
      <c r="D199" s="245"/>
      <c r="E199" s="245"/>
      <c r="F199" s="245"/>
      <c r="G199" s="245"/>
      <c r="H199" s="245"/>
      <c r="I199" s="245"/>
      <c r="J199" s="245"/>
      <c r="K199" s="245"/>
      <c r="L199" s="245"/>
      <c r="M199" s="245"/>
      <c r="N199" s="245"/>
      <c r="O199" s="245"/>
      <c r="P199" s="245"/>
      <c r="Q199" s="245"/>
      <c r="R199" s="245"/>
      <c r="S199" s="245"/>
      <c r="T199" s="245"/>
      <c r="U199" s="245"/>
      <c r="V199" s="245"/>
      <c r="W199" s="245"/>
      <c r="X199" s="245"/>
      <c r="Y199" s="245"/>
      <c r="Z199" s="245"/>
    </row>
    <row r="200" spans="1:26">
      <c r="A200" s="245"/>
      <c r="B200" s="245"/>
      <c r="C200" s="245"/>
      <c r="D200" s="245"/>
      <c r="E200" s="245"/>
      <c r="F200" s="245"/>
      <c r="G200" s="245"/>
      <c r="H200" s="245"/>
      <c r="I200" s="245"/>
      <c r="J200" s="245"/>
      <c r="K200" s="245"/>
      <c r="L200" s="245"/>
      <c r="M200" s="245"/>
      <c r="N200" s="245"/>
      <c r="O200" s="245"/>
      <c r="P200" s="245"/>
      <c r="Q200" s="245"/>
      <c r="R200" s="245"/>
      <c r="S200" s="245"/>
      <c r="T200" s="245"/>
      <c r="U200" s="245"/>
      <c r="V200" s="245"/>
      <c r="W200" s="245"/>
      <c r="X200" s="245"/>
      <c r="Y200" s="245"/>
      <c r="Z200" s="245"/>
    </row>
    <row r="201" spans="1:26">
      <c r="A201" s="245"/>
      <c r="B201" s="245"/>
      <c r="C201" s="245"/>
      <c r="D201" s="245"/>
      <c r="E201" s="245"/>
      <c r="F201" s="245"/>
      <c r="G201" s="245"/>
      <c r="H201" s="245"/>
      <c r="I201" s="245"/>
      <c r="J201" s="245"/>
      <c r="K201" s="245"/>
      <c r="L201" s="245"/>
      <c r="M201" s="245"/>
      <c r="N201" s="245"/>
      <c r="O201" s="245"/>
      <c r="P201" s="245"/>
      <c r="Q201" s="245"/>
      <c r="R201" s="245"/>
      <c r="S201" s="245"/>
      <c r="T201" s="245"/>
      <c r="U201" s="245"/>
      <c r="V201" s="245"/>
      <c r="W201" s="245"/>
      <c r="X201" s="245"/>
      <c r="Y201" s="245"/>
      <c r="Z201" s="245"/>
    </row>
    <row r="202" spans="1:26">
      <c r="A202" s="245"/>
      <c r="B202" s="245"/>
      <c r="C202" s="245"/>
      <c r="D202" s="245"/>
      <c r="E202" s="245"/>
      <c r="F202" s="245"/>
      <c r="G202" s="245"/>
      <c r="H202" s="245"/>
      <c r="I202" s="245"/>
      <c r="J202" s="245"/>
      <c r="K202" s="245"/>
      <c r="L202" s="245"/>
      <c r="M202" s="245"/>
      <c r="N202" s="245"/>
      <c r="O202" s="245"/>
      <c r="P202" s="245"/>
      <c r="Q202" s="245"/>
      <c r="R202" s="245"/>
      <c r="S202" s="245"/>
      <c r="T202" s="245"/>
      <c r="U202" s="245"/>
      <c r="V202" s="245"/>
      <c r="W202" s="245"/>
      <c r="X202" s="245"/>
      <c r="Y202" s="245"/>
      <c r="Z202" s="245"/>
    </row>
    <row r="203" spans="1:26">
      <c r="A203" s="245"/>
      <c r="B203" s="245"/>
      <c r="C203" s="245"/>
      <c r="D203" s="245"/>
      <c r="E203" s="245"/>
      <c r="F203" s="245"/>
      <c r="G203" s="245"/>
      <c r="H203" s="245"/>
      <c r="I203" s="245"/>
      <c r="J203" s="245"/>
      <c r="K203" s="245"/>
      <c r="L203" s="245"/>
      <c r="M203" s="245"/>
      <c r="N203" s="245"/>
      <c r="O203" s="245"/>
      <c r="P203" s="245"/>
      <c r="Q203" s="245"/>
      <c r="R203" s="245"/>
      <c r="S203" s="245"/>
      <c r="T203" s="245"/>
      <c r="U203" s="245"/>
      <c r="V203" s="245"/>
      <c r="W203" s="245"/>
      <c r="X203" s="245"/>
      <c r="Y203" s="245"/>
      <c r="Z203" s="245"/>
    </row>
    <row r="204" spans="1:26">
      <c r="A204" s="245"/>
      <c r="B204" s="245"/>
      <c r="C204" s="245"/>
      <c r="D204" s="245"/>
      <c r="E204" s="245"/>
      <c r="F204" s="245"/>
      <c r="G204" s="245"/>
      <c r="H204" s="245"/>
      <c r="I204" s="245"/>
      <c r="J204" s="245"/>
      <c r="K204" s="245"/>
      <c r="L204" s="245"/>
      <c r="M204" s="245"/>
      <c r="N204" s="245"/>
      <c r="O204" s="245"/>
      <c r="P204" s="245"/>
      <c r="Q204" s="245"/>
      <c r="R204" s="245"/>
      <c r="S204" s="245"/>
      <c r="T204" s="245"/>
      <c r="U204" s="245"/>
      <c r="V204" s="245"/>
      <c r="W204" s="245"/>
      <c r="X204" s="245"/>
      <c r="Y204" s="245"/>
      <c r="Z204" s="245"/>
    </row>
    <row r="205" spans="1:26">
      <c r="A205" s="245"/>
      <c r="B205" s="245"/>
      <c r="C205" s="245"/>
      <c r="D205" s="245"/>
      <c r="E205" s="245"/>
      <c r="F205" s="245"/>
      <c r="G205" s="245"/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  <c r="X205" s="245"/>
      <c r="Y205" s="245"/>
      <c r="Z205" s="245"/>
    </row>
    <row r="206" spans="1:26">
      <c r="A206" s="245"/>
      <c r="B206" s="245"/>
      <c r="C206" s="245"/>
      <c r="D206" s="245"/>
      <c r="E206" s="245"/>
      <c r="F206" s="245"/>
      <c r="G206" s="245"/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  <c r="X206" s="245"/>
      <c r="Y206" s="245"/>
      <c r="Z206" s="245"/>
    </row>
    <row r="207" spans="1:26">
      <c r="A207" s="245"/>
      <c r="B207" s="245"/>
      <c r="C207" s="245"/>
      <c r="D207" s="245"/>
      <c r="E207" s="245"/>
      <c r="F207" s="245"/>
      <c r="G207" s="245"/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/>
      <c r="S207" s="245"/>
      <c r="T207" s="245"/>
      <c r="U207" s="245"/>
      <c r="V207" s="245"/>
      <c r="W207" s="245"/>
      <c r="X207" s="245"/>
      <c r="Y207" s="245"/>
      <c r="Z207" s="245"/>
    </row>
    <row r="208" spans="1:26">
      <c r="A208" s="245"/>
      <c r="B208" s="245"/>
      <c r="C208" s="245"/>
      <c r="D208" s="245"/>
      <c r="E208" s="245"/>
      <c r="F208" s="245"/>
      <c r="G208" s="245"/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  <c r="X208" s="245"/>
      <c r="Y208" s="245"/>
      <c r="Z208" s="245"/>
    </row>
    <row r="209" spans="1:26">
      <c r="A209" s="245"/>
      <c r="B209" s="245"/>
      <c r="C209" s="245"/>
      <c r="D209" s="245"/>
      <c r="E209" s="245"/>
      <c r="F209" s="245"/>
      <c r="G209" s="245"/>
      <c r="H209" s="245"/>
      <c r="I209" s="245"/>
      <c r="J209" s="245"/>
      <c r="K209" s="245"/>
      <c r="L209" s="245"/>
      <c r="M209" s="245"/>
      <c r="N209" s="245"/>
      <c r="O209" s="245"/>
      <c r="P209" s="245"/>
      <c r="Q209" s="245"/>
      <c r="R209" s="245"/>
      <c r="S209" s="245"/>
      <c r="T209" s="245"/>
      <c r="U209" s="245"/>
      <c r="V209" s="245"/>
      <c r="W209" s="245"/>
      <c r="X209" s="245"/>
      <c r="Y209" s="245"/>
      <c r="Z209" s="245"/>
    </row>
    <row r="210" spans="1:26">
      <c r="A210" s="245"/>
      <c r="B210" s="245"/>
      <c r="C210" s="245"/>
      <c r="D210" s="245"/>
      <c r="E210" s="245"/>
      <c r="F210" s="245"/>
      <c r="G210" s="245"/>
      <c r="H210" s="245"/>
      <c r="I210" s="245"/>
      <c r="J210" s="245"/>
      <c r="K210" s="245"/>
      <c r="L210" s="245"/>
      <c r="M210" s="245"/>
      <c r="N210" s="245"/>
      <c r="O210" s="245"/>
      <c r="P210" s="245"/>
      <c r="Q210" s="245"/>
      <c r="R210" s="245"/>
      <c r="S210" s="245"/>
      <c r="T210" s="245"/>
      <c r="U210" s="245"/>
      <c r="V210" s="245"/>
      <c r="W210" s="245"/>
      <c r="X210" s="245"/>
      <c r="Y210" s="245"/>
      <c r="Z210" s="245"/>
    </row>
    <row r="211" spans="1:26">
      <c r="A211" s="245"/>
      <c r="B211" s="245"/>
      <c r="C211" s="245"/>
      <c r="D211" s="245"/>
      <c r="E211" s="245"/>
      <c r="F211" s="245"/>
      <c r="G211" s="245"/>
      <c r="H211" s="245"/>
      <c r="I211" s="245"/>
      <c r="J211" s="245"/>
      <c r="K211" s="245"/>
      <c r="L211" s="245"/>
      <c r="M211" s="245"/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  <c r="X211" s="245"/>
      <c r="Y211" s="245"/>
      <c r="Z211" s="245"/>
    </row>
    <row r="212" spans="1:26">
      <c r="A212" s="245"/>
      <c r="B212" s="245"/>
      <c r="C212" s="245"/>
      <c r="D212" s="245"/>
      <c r="E212" s="245"/>
      <c r="F212" s="245"/>
      <c r="G212" s="245"/>
      <c r="H212" s="245"/>
      <c r="I212" s="245"/>
      <c r="J212" s="245"/>
      <c r="K212" s="245"/>
      <c r="L212" s="245"/>
      <c r="M212" s="245"/>
      <c r="N212" s="245"/>
      <c r="O212" s="245"/>
      <c r="P212" s="245"/>
      <c r="Q212" s="245"/>
      <c r="R212" s="245"/>
      <c r="S212" s="245"/>
      <c r="T212" s="245"/>
      <c r="U212" s="245"/>
      <c r="V212" s="245"/>
      <c r="W212" s="245"/>
      <c r="X212" s="245"/>
      <c r="Y212" s="245"/>
      <c r="Z212" s="245"/>
    </row>
    <row r="213" spans="1:26">
      <c r="A213" s="245"/>
      <c r="B213" s="245"/>
      <c r="C213" s="245"/>
      <c r="D213" s="245"/>
      <c r="E213" s="245"/>
      <c r="F213" s="245"/>
      <c r="G213" s="245"/>
      <c r="H213" s="245"/>
      <c r="I213" s="245"/>
      <c r="J213" s="245"/>
      <c r="K213" s="245"/>
      <c r="L213" s="245"/>
      <c r="M213" s="245"/>
      <c r="N213" s="245"/>
      <c r="O213" s="245"/>
      <c r="P213" s="245"/>
      <c r="Q213" s="245"/>
      <c r="R213" s="245"/>
      <c r="S213" s="245"/>
      <c r="T213" s="245"/>
      <c r="U213" s="245"/>
      <c r="V213" s="245"/>
      <c r="W213" s="245"/>
      <c r="X213" s="245"/>
      <c r="Y213" s="245"/>
      <c r="Z213" s="245"/>
    </row>
    <row r="214" spans="1:26">
      <c r="A214" s="245"/>
      <c r="B214" s="245"/>
      <c r="C214" s="245"/>
      <c r="D214" s="245"/>
      <c r="E214" s="245"/>
      <c r="F214" s="245"/>
      <c r="G214" s="245"/>
      <c r="H214" s="245"/>
      <c r="I214" s="245"/>
      <c r="J214" s="245"/>
      <c r="K214" s="245"/>
      <c r="L214" s="245"/>
      <c r="M214" s="245"/>
      <c r="N214" s="245"/>
      <c r="O214" s="245"/>
      <c r="P214" s="245"/>
      <c r="Q214" s="245"/>
      <c r="R214" s="245"/>
      <c r="S214" s="245"/>
      <c r="T214" s="245"/>
      <c r="U214" s="245"/>
      <c r="V214" s="245"/>
      <c r="W214" s="245"/>
      <c r="X214" s="245"/>
      <c r="Y214" s="245"/>
      <c r="Z214" s="245"/>
    </row>
    <row r="215" spans="1:26">
      <c r="A215" s="245"/>
      <c r="B215" s="245"/>
      <c r="C215" s="245"/>
      <c r="D215" s="245"/>
      <c r="E215" s="245"/>
      <c r="F215" s="245"/>
      <c r="G215" s="245"/>
      <c r="H215" s="245"/>
      <c r="I215" s="245"/>
      <c r="J215" s="245"/>
      <c r="K215" s="245"/>
      <c r="L215" s="245"/>
      <c r="M215" s="245"/>
      <c r="N215" s="245"/>
      <c r="O215" s="245"/>
      <c r="P215" s="245"/>
      <c r="Q215" s="245"/>
      <c r="R215" s="245"/>
      <c r="S215" s="245"/>
      <c r="T215" s="245"/>
      <c r="U215" s="245"/>
      <c r="V215" s="245"/>
      <c r="W215" s="245"/>
      <c r="X215" s="245"/>
      <c r="Y215" s="245"/>
      <c r="Z215" s="245"/>
    </row>
    <row r="216" spans="1:26">
      <c r="A216" s="245"/>
      <c r="B216" s="245"/>
      <c r="C216" s="245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</row>
    <row r="217" spans="1:26">
      <c r="A217" s="245"/>
      <c r="B217" s="245"/>
      <c r="C217" s="245"/>
      <c r="D217" s="245"/>
      <c r="E217" s="245"/>
      <c r="F217" s="245"/>
      <c r="G217" s="245"/>
      <c r="H217" s="245"/>
      <c r="I217" s="245"/>
      <c r="J217" s="245"/>
      <c r="K217" s="245"/>
      <c r="L217" s="245"/>
      <c r="M217" s="245"/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  <c r="X217" s="245"/>
      <c r="Y217" s="245"/>
      <c r="Z217" s="245"/>
    </row>
    <row r="218" spans="1:26">
      <c r="A218" s="245"/>
      <c r="B218" s="245"/>
      <c r="C218" s="245"/>
      <c r="D218" s="245"/>
      <c r="E218" s="245"/>
      <c r="F218" s="245"/>
      <c r="G218" s="245"/>
      <c r="H218" s="245"/>
      <c r="I218" s="245"/>
      <c r="J218" s="245"/>
      <c r="K218" s="245"/>
      <c r="L218" s="245"/>
      <c r="M218" s="245"/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  <c r="X218" s="245"/>
      <c r="Y218" s="245"/>
      <c r="Z218" s="245"/>
    </row>
    <row r="219" spans="1:26">
      <c r="A219" s="245"/>
      <c r="B219" s="245"/>
      <c r="C219" s="245"/>
      <c r="D219" s="245"/>
      <c r="E219" s="245"/>
      <c r="F219" s="245"/>
      <c r="G219" s="245"/>
      <c r="H219" s="245"/>
      <c r="I219" s="245"/>
      <c r="J219" s="245"/>
      <c r="K219" s="245"/>
      <c r="L219" s="245"/>
      <c r="M219" s="245"/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  <c r="X219" s="245"/>
      <c r="Y219" s="245"/>
      <c r="Z219" s="245"/>
    </row>
    <row r="220" spans="1:26">
      <c r="A220" s="245"/>
      <c r="B220" s="245"/>
      <c r="C220" s="245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  <c r="X220" s="245"/>
      <c r="Y220" s="245"/>
      <c r="Z220" s="245"/>
    </row>
    <row r="221" spans="1:26">
      <c r="A221" s="245"/>
      <c r="B221" s="245"/>
      <c r="C221" s="245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5"/>
      <c r="S221" s="245"/>
      <c r="T221" s="245"/>
      <c r="U221" s="245"/>
      <c r="V221" s="245"/>
      <c r="W221" s="245"/>
      <c r="X221" s="245"/>
      <c r="Y221" s="245"/>
      <c r="Z221" s="245"/>
    </row>
    <row r="222" spans="1:26">
      <c r="A222" s="245"/>
      <c r="B222" s="245"/>
      <c r="C222" s="245"/>
      <c r="D222" s="245"/>
      <c r="E222" s="245"/>
      <c r="F222" s="245"/>
      <c r="G222" s="245"/>
      <c r="H222" s="245"/>
      <c r="I222" s="245"/>
      <c r="J222" s="245"/>
      <c r="K222" s="245"/>
      <c r="L222" s="245"/>
      <c r="M222" s="245"/>
      <c r="N222" s="245"/>
      <c r="O222" s="245"/>
      <c r="P222" s="245"/>
      <c r="Q222" s="245"/>
      <c r="R222" s="245"/>
      <c r="S222" s="245"/>
      <c r="T222" s="245"/>
      <c r="U222" s="245"/>
      <c r="V222" s="245"/>
      <c r="W222" s="245"/>
      <c r="X222" s="245"/>
      <c r="Y222" s="245"/>
      <c r="Z222" s="245"/>
    </row>
    <row r="223" spans="1:26">
      <c r="A223" s="245"/>
      <c r="B223" s="245"/>
      <c r="C223" s="245"/>
      <c r="D223" s="245"/>
      <c r="E223" s="245"/>
      <c r="F223" s="245"/>
      <c r="G223" s="245"/>
      <c r="H223" s="245"/>
      <c r="I223" s="245"/>
      <c r="J223" s="245"/>
      <c r="K223" s="245"/>
      <c r="L223" s="245"/>
      <c r="M223" s="245"/>
      <c r="N223" s="245"/>
      <c r="O223" s="245"/>
      <c r="P223" s="245"/>
      <c r="Q223" s="245"/>
      <c r="R223" s="245"/>
      <c r="S223" s="245"/>
      <c r="T223" s="245"/>
      <c r="U223" s="245"/>
      <c r="V223" s="245"/>
      <c r="W223" s="245"/>
      <c r="X223" s="245"/>
      <c r="Y223" s="245"/>
      <c r="Z223" s="245"/>
    </row>
    <row r="224" spans="1:26">
      <c r="A224" s="245"/>
      <c r="B224" s="245"/>
      <c r="C224" s="245"/>
      <c r="D224" s="245"/>
      <c r="E224" s="245"/>
      <c r="F224" s="245"/>
      <c r="G224" s="245"/>
      <c r="H224" s="245"/>
      <c r="I224" s="245"/>
      <c r="J224" s="245"/>
      <c r="K224" s="245"/>
      <c r="L224" s="245"/>
      <c r="M224" s="245"/>
      <c r="N224" s="245"/>
      <c r="O224" s="245"/>
      <c r="P224" s="245"/>
      <c r="Q224" s="245"/>
      <c r="R224" s="245"/>
      <c r="S224" s="245"/>
      <c r="T224" s="245"/>
      <c r="U224" s="245"/>
      <c r="V224" s="245"/>
      <c r="W224" s="245"/>
      <c r="X224" s="245"/>
      <c r="Y224" s="245"/>
      <c r="Z224" s="245"/>
    </row>
    <row r="225" spans="1:26">
      <c r="A225" s="245"/>
      <c r="B225" s="245"/>
      <c r="C225" s="245"/>
      <c r="D225" s="245"/>
      <c r="E225" s="245"/>
      <c r="F225" s="245"/>
      <c r="G225" s="245"/>
      <c r="H225" s="245"/>
      <c r="I225" s="245"/>
      <c r="J225" s="245"/>
      <c r="K225" s="245"/>
      <c r="L225" s="245"/>
      <c r="M225" s="245"/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  <c r="X225" s="245"/>
      <c r="Y225" s="245"/>
      <c r="Z225" s="245"/>
    </row>
    <row r="226" spans="1:26">
      <c r="A226" s="245"/>
      <c r="B226" s="245"/>
      <c r="C226" s="245"/>
      <c r="D226" s="245"/>
      <c r="E226" s="245"/>
      <c r="F226" s="245"/>
      <c r="G226" s="245"/>
      <c r="H226" s="245"/>
      <c r="I226" s="245"/>
      <c r="J226" s="245"/>
      <c r="K226" s="245"/>
      <c r="L226" s="245"/>
      <c r="M226" s="245"/>
      <c r="N226" s="245"/>
      <c r="O226" s="245"/>
      <c r="P226" s="245"/>
      <c r="Q226" s="245"/>
      <c r="R226" s="245"/>
      <c r="S226" s="245"/>
      <c r="T226" s="245"/>
      <c r="U226" s="245"/>
      <c r="V226" s="245"/>
      <c r="W226" s="245"/>
      <c r="X226" s="245"/>
      <c r="Y226" s="245"/>
      <c r="Z226" s="245"/>
    </row>
    <row r="227" spans="1:26">
      <c r="A227" s="245"/>
      <c r="B227" s="245"/>
      <c r="C227" s="245"/>
      <c r="D227" s="245"/>
      <c r="E227" s="245"/>
      <c r="F227" s="245"/>
      <c r="G227" s="245"/>
      <c r="H227" s="245"/>
      <c r="I227" s="245"/>
      <c r="J227" s="245"/>
      <c r="K227" s="245"/>
      <c r="L227" s="245"/>
      <c r="M227" s="245"/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  <c r="X227" s="245"/>
      <c r="Y227" s="245"/>
      <c r="Z227" s="245"/>
    </row>
    <row r="228" spans="1:26">
      <c r="A228" s="245"/>
      <c r="B228" s="245"/>
      <c r="C228" s="245"/>
      <c r="D228" s="245"/>
      <c r="E228" s="245"/>
      <c r="F228" s="245"/>
      <c r="G228" s="245"/>
      <c r="H228" s="245"/>
      <c r="I228" s="245"/>
      <c r="J228" s="245"/>
      <c r="K228" s="245"/>
      <c r="L228" s="245"/>
      <c r="M228" s="245"/>
      <c r="N228" s="245"/>
      <c r="O228" s="245"/>
      <c r="P228" s="245"/>
      <c r="Q228" s="245"/>
      <c r="R228" s="245"/>
      <c r="S228" s="245"/>
      <c r="T228" s="245"/>
      <c r="U228" s="245"/>
      <c r="V228" s="245"/>
      <c r="W228" s="245"/>
      <c r="X228" s="245"/>
      <c r="Y228" s="245"/>
      <c r="Z228" s="245"/>
    </row>
    <row r="229" spans="1:26">
      <c r="A229" s="245"/>
      <c r="B229" s="245"/>
      <c r="C229" s="245"/>
      <c r="D229" s="245"/>
      <c r="E229" s="245"/>
      <c r="F229" s="245"/>
      <c r="G229" s="245"/>
      <c r="H229" s="245"/>
      <c r="I229" s="245"/>
      <c r="J229" s="245"/>
      <c r="K229" s="245"/>
      <c r="L229" s="245"/>
      <c r="M229" s="245"/>
      <c r="N229" s="245"/>
      <c r="O229" s="245"/>
      <c r="P229" s="245"/>
      <c r="Q229" s="245"/>
      <c r="R229" s="245"/>
      <c r="S229" s="245"/>
      <c r="T229" s="245"/>
      <c r="U229" s="245"/>
      <c r="V229" s="245"/>
      <c r="W229" s="245"/>
      <c r="X229" s="245"/>
      <c r="Y229" s="245"/>
      <c r="Z229" s="245"/>
    </row>
    <row r="230" spans="1:26">
      <c r="A230" s="245"/>
      <c r="B230" s="245"/>
      <c r="C230" s="245"/>
      <c r="D230" s="245"/>
      <c r="E230" s="245"/>
      <c r="F230" s="245"/>
      <c r="G230" s="245"/>
      <c r="H230" s="245"/>
      <c r="I230" s="245"/>
      <c r="J230" s="245"/>
      <c r="K230" s="245"/>
      <c r="L230" s="245"/>
      <c r="M230" s="245"/>
      <c r="N230" s="245"/>
      <c r="O230" s="245"/>
      <c r="P230" s="245"/>
      <c r="Q230" s="245"/>
      <c r="R230" s="245"/>
      <c r="S230" s="245"/>
      <c r="T230" s="245"/>
      <c r="U230" s="245"/>
      <c r="V230" s="245"/>
      <c r="W230" s="245"/>
      <c r="X230" s="245"/>
      <c r="Y230" s="245"/>
      <c r="Z230" s="245"/>
    </row>
    <row r="231" spans="1:26">
      <c r="A231" s="245"/>
      <c r="B231" s="245"/>
      <c r="C231" s="245"/>
      <c r="D231" s="245"/>
      <c r="E231" s="245"/>
      <c r="F231" s="245"/>
      <c r="G231" s="245"/>
      <c r="H231" s="245"/>
      <c r="I231" s="245"/>
      <c r="J231" s="245"/>
      <c r="K231" s="245"/>
      <c r="L231" s="245"/>
      <c r="M231" s="245"/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  <c r="X231" s="245"/>
      <c r="Y231" s="245"/>
      <c r="Z231" s="245"/>
    </row>
    <row r="232" spans="1:26">
      <c r="A232" s="245"/>
      <c r="B232" s="245"/>
      <c r="C232" s="245"/>
      <c r="D232" s="245"/>
      <c r="E232" s="245"/>
      <c r="F232" s="245"/>
      <c r="G232" s="245"/>
      <c r="H232" s="245"/>
      <c r="I232" s="245"/>
      <c r="J232" s="245"/>
      <c r="K232" s="245"/>
      <c r="L232" s="245"/>
      <c r="M232" s="245"/>
      <c r="N232" s="245"/>
      <c r="O232" s="245"/>
      <c r="P232" s="245"/>
      <c r="Q232" s="245"/>
      <c r="R232" s="245"/>
      <c r="S232" s="245"/>
      <c r="T232" s="245"/>
      <c r="U232" s="245"/>
      <c r="V232" s="245"/>
      <c r="W232" s="245"/>
      <c r="X232" s="245"/>
      <c r="Y232" s="245"/>
      <c r="Z232" s="245"/>
    </row>
    <row r="233" spans="1:26">
      <c r="A233" s="245"/>
      <c r="B233" s="245"/>
      <c r="C233" s="245"/>
      <c r="D233" s="245"/>
      <c r="E233" s="245"/>
      <c r="F233" s="245"/>
      <c r="G233" s="245"/>
      <c r="H233" s="245"/>
      <c r="I233" s="245"/>
      <c r="J233" s="245"/>
      <c r="K233" s="245"/>
      <c r="L233" s="245"/>
      <c r="M233" s="245"/>
      <c r="N233" s="245"/>
      <c r="O233" s="245"/>
      <c r="P233" s="245"/>
      <c r="Q233" s="245"/>
      <c r="R233" s="245"/>
      <c r="S233" s="245"/>
      <c r="T233" s="245"/>
      <c r="U233" s="245"/>
      <c r="V233" s="245"/>
      <c r="W233" s="245"/>
      <c r="X233" s="245"/>
      <c r="Y233" s="245"/>
      <c r="Z233" s="245"/>
    </row>
    <row r="234" spans="1:26">
      <c r="A234" s="245"/>
      <c r="B234" s="245"/>
      <c r="C234" s="245"/>
      <c r="D234" s="245"/>
      <c r="E234" s="245"/>
      <c r="F234" s="245"/>
      <c r="G234" s="245"/>
      <c r="H234" s="245"/>
      <c r="I234" s="245"/>
      <c r="J234" s="245"/>
      <c r="K234" s="245"/>
      <c r="L234" s="245"/>
      <c r="M234" s="245"/>
      <c r="N234" s="245"/>
      <c r="O234" s="245"/>
      <c r="P234" s="245"/>
      <c r="Q234" s="245"/>
      <c r="R234" s="245"/>
      <c r="S234" s="245"/>
      <c r="T234" s="245"/>
      <c r="U234" s="245"/>
      <c r="V234" s="245"/>
      <c r="W234" s="245"/>
      <c r="X234" s="245"/>
      <c r="Y234" s="245"/>
      <c r="Z234" s="245"/>
    </row>
    <row r="235" spans="1:26">
      <c r="A235" s="245"/>
      <c r="B235" s="245"/>
      <c r="C235" s="245"/>
      <c r="D235" s="245"/>
      <c r="E235" s="245"/>
      <c r="F235" s="245"/>
      <c r="G235" s="245"/>
      <c r="H235" s="245"/>
      <c r="I235" s="245"/>
      <c r="J235" s="245"/>
      <c r="K235" s="245"/>
      <c r="L235" s="245"/>
      <c r="M235" s="245"/>
      <c r="N235" s="245"/>
      <c r="O235" s="245"/>
      <c r="P235" s="245"/>
      <c r="Q235" s="245"/>
      <c r="R235" s="245"/>
      <c r="S235" s="245"/>
      <c r="T235" s="245"/>
      <c r="U235" s="245"/>
      <c r="V235" s="245"/>
      <c r="W235" s="245"/>
      <c r="X235" s="245"/>
      <c r="Y235" s="245"/>
      <c r="Z235" s="245"/>
    </row>
    <row r="236" spans="1:26">
      <c r="A236" s="245"/>
      <c r="B236" s="245"/>
      <c r="C236" s="245"/>
      <c r="D236" s="245"/>
      <c r="E236" s="245"/>
      <c r="F236" s="245"/>
      <c r="G236" s="245"/>
      <c r="H236" s="245"/>
      <c r="I236" s="245"/>
      <c r="J236" s="245"/>
      <c r="K236" s="245"/>
      <c r="L236" s="245"/>
      <c r="M236" s="245"/>
      <c r="N236" s="245"/>
      <c r="O236" s="245"/>
      <c r="P236" s="245"/>
      <c r="Q236" s="245"/>
      <c r="R236" s="245"/>
      <c r="S236" s="245"/>
      <c r="T236" s="245"/>
      <c r="U236" s="245"/>
      <c r="V236" s="245"/>
      <c r="W236" s="245"/>
      <c r="X236" s="245"/>
      <c r="Y236" s="245"/>
      <c r="Z236" s="245"/>
    </row>
    <row r="237" spans="1:26">
      <c r="A237" s="245"/>
      <c r="B237" s="245"/>
      <c r="C237" s="245"/>
      <c r="D237" s="245"/>
      <c r="E237" s="245"/>
      <c r="F237" s="245"/>
      <c r="G237" s="245"/>
      <c r="H237" s="245"/>
      <c r="I237" s="245"/>
      <c r="J237" s="245"/>
      <c r="K237" s="245"/>
      <c r="L237" s="245"/>
      <c r="M237" s="245"/>
      <c r="N237" s="245"/>
      <c r="O237" s="245"/>
      <c r="P237" s="245"/>
      <c r="Q237" s="245"/>
      <c r="R237" s="245"/>
      <c r="S237" s="245"/>
      <c r="T237" s="245"/>
      <c r="U237" s="245"/>
      <c r="V237" s="245"/>
      <c r="W237" s="245"/>
      <c r="X237" s="245"/>
      <c r="Y237" s="245"/>
      <c r="Z237" s="245"/>
    </row>
    <row r="238" spans="1:26">
      <c r="A238" s="245"/>
      <c r="B238" s="245"/>
      <c r="C238" s="245"/>
      <c r="D238" s="245"/>
      <c r="E238" s="245"/>
      <c r="F238" s="245"/>
      <c r="G238" s="245"/>
      <c r="H238" s="245"/>
      <c r="I238" s="245"/>
      <c r="J238" s="245"/>
      <c r="K238" s="245"/>
      <c r="L238" s="245"/>
      <c r="M238" s="245"/>
      <c r="N238" s="245"/>
      <c r="O238" s="245"/>
      <c r="P238" s="245"/>
      <c r="Q238" s="245"/>
      <c r="R238" s="245"/>
      <c r="S238" s="245"/>
      <c r="T238" s="245"/>
      <c r="U238" s="245"/>
      <c r="V238" s="245"/>
      <c r="W238" s="245"/>
      <c r="X238" s="245"/>
      <c r="Y238" s="245"/>
      <c r="Z238" s="245"/>
    </row>
    <row r="239" spans="1:26">
      <c r="A239" s="245"/>
      <c r="B239" s="245"/>
      <c r="C239" s="245"/>
      <c r="D239" s="245"/>
      <c r="E239" s="245"/>
      <c r="F239" s="245"/>
      <c r="G239" s="245"/>
      <c r="H239" s="245"/>
      <c r="I239" s="245"/>
      <c r="J239" s="245"/>
      <c r="K239" s="245"/>
      <c r="L239" s="245"/>
      <c r="M239" s="245"/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  <c r="X239" s="245"/>
      <c r="Y239" s="245"/>
      <c r="Z239" s="245"/>
    </row>
    <row r="240" spans="1:26">
      <c r="A240" s="245"/>
      <c r="B240" s="245"/>
      <c r="C240" s="245"/>
      <c r="D240" s="245"/>
      <c r="E240" s="245"/>
      <c r="F240" s="245"/>
      <c r="G240" s="245"/>
      <c r="H240" s="245"/>
      <c r="I240" s="245"/>
      <c r="J240" s="245"/>
      <c r="K240" s="245"/>
      <c r="L240" s="245"/>
      <c r="M240" s="245"/>
      <c r="N240" s="245"/>
      <c r="O240" s="245"/>
      <c r="P240" s="245"/>
      <c r="Q240" s="245"/>
      <c r="R240" s="245"/>
      <c r="S240" s="245"/>
      <c r="T240" s="245"/>
      <c r="U240" s="245"/>
      <c r="V240" s="245"/>
      <c r="W240" s="245"/>
      <c r="X240" s="245"/>
      <c r="Y240" s="245"/>
      <c r="Z240" s="245"/>
    </row>
    <row r="241" spans="1:26">
      <c r="A241" s="245"/>
      <c r="B241" s="245"/>
      <c r="C241" s="245"/>
      <c r="D241" s="245"/>
      <c r="E241" s="245"/>
      <c r="F241" s="245"/>
      <c r="G241" s="245"/>
      <c r="H241" s="245"/>
      <c r="I241" s="245"/>
      <c r="J241" s="245"/>
      <c r="K241" s="245"/>
      <c r="L241" s="245"/>
      <c r="M241" s="245"/>
      <c r="N241" s="245"/>
      <c r="O241" s="245"/>
      <c r="P241" s="245"/>
      <c r="Q241" s="245"/>
      <c r="R241" s="245"/>
      <c r="S241" s="245"/>
      <c r="T241" s="245"/>
      <c r="U241" s="245"/>
      <c r="V241" s="245"/>
      <c r="W241" s="245"/>
      <c r="X241" s="245"/>
      <c r="Y241" s="245"/>
      <c r="Z241" s="245"/>
    </row>
    <row r="242" spans="1:26">
      <c r="A242" s="245"/>
      <c r="B242" s="245"/>
      <c r="C242" s="245"/>
      <c r="D242" s="245"/>
      <c r="E242" s="245"/>
      <c r="F242" s="245"/>
      <c r="G242" s="245"/>
      <c r="H242" s="245"/>
      <c r="I242" s="245"/>
      <c r="J242" s="245"/>
      <c r="K242" s="245"/>
      <c r="L242" s="245"/>
      <c r="M242" s="245"/>
      <c r="N242" s="245"/>
      <c r="O242" s="245"/>
      <c r="P242" s="245"/>
      <c r="Q242" s="245"/>
      <c r="R242" s="245"/>
      <c r="S242" s="245"/>
      <c r="T242" s="245"/>
      <c r="U242" s="245"/>
      <c r="V242" s="245"/>
      <c r="W242" s="245"/>
      <c r="X242" s="245"/>
      <c r="Y242" s="245"/>
      <c r="Z242" s="245"/>
    </row>
    <row r="243" spans="1:26">
      <c r="A243" s="245"/>
      <c r="B243" s="245"/>
      <c r="C243" s="245"/>
      <c r="D243" s="245"/>
      <c r="E243" s="245"/>
      <c r="F243" s="245"/>
      <c r="G243" s="245"/>
      <c r="H243" s="245"/>
      <c r="I243" s="245"/>
      <c r="J243" s="245"/>
      <c r="K243" s="245"/>
      <c r="L243" s="245"/>
      <c r="M243" s="245"/>
      <c r="N243" s="245"/>
      <c r="O243" s="245"/>
      <c r="P243" s="245"/>
      <c r="Q243" s="245"/>
      <c r="R243" s="245"/>
      <c r="S243" s="245"/>
      <c r="T243" s="245"/>
      <c r="U243" s="245"/>
      <c r="V243" s="245"/>
      <c r="W243" s="245"/>
      <c r="X243" s="245"/>
      <c r="Y243" s="245"/>
      <c r="Z243" s="245"/>
    </row>
    <row r="244" spans="1:26">
      <c r="A244" s="245"/>
      <c r="B244" s="245"/>
      <c r="C244" s="245"/>
      <c r="D244" s="245"/>
      <c r="E244" s="245"/>
      <c r="F244" s="245"/>
      <c r="G244" s="245"/>
      <c r="H244" s="245"/>
      <c r="I244" s="245"/>
      <c r="J244" s="245"/>
      <c r="K244" s="245"/>
      <c r="L244" s="245"/>
      <c r="M244" s="245"/>
      <c r="N244" s="245"/>
      <c r="O244" s="245"/>
      <c r="P244" s="245"/>
      <c r="Q244" s="245"/>
      <c r="R244" s="245"/>
      <c r="S244" s="245"/>
      <c r="T244" s="245"/>
      <c r="U244" s="245"/>
      <c r="V244" s="245"/>
      <c r="W244" s="245"/>
      <c r="X244" s="245"/>
      <c r="Y244" s="245"/>
      <c r="Z244" s="245"/>
    </row>
    <row r="245" spans="1:26">
      <c r="A245" s="245"/>
      <c r="B245" s="245"/>
      <c r="C245" s="245"/>
      <c r="D245" s="245"/>
      <c r="E245" s="245"/>
      <c r="F245" s="245"/>
      <c r="G245" s="245"/>
      <c r="H245" s="245"/>
      <c r="I245" s="245"/>
      <c r="J245" s="245"/>
      <c r="K245" s="245"/>
      <c r="L245" s="245"/>
      <c r="M245" s="245"/>
      <c r="N245" s="245"/>
      <c r="O245" s="245"/>
      <c r="P245" s="245"/>
      <c r="Q245" s="245"/>
      <c r="R245" s="245"/>
      <c r="S245" s="245"/>
      <c r="T245" s="245"/>
      <c r="U245" s="245"/>
      <c r="V245" s="245"/>
      <c r="W245" s="245"/>
      <c r="X245" s="245"/>
      <c r="Y245" s="245"/>
      <c r="Z245" s="245"/>
    </row>
    <row r="246" spans="1:26">
      <c r="A246" s="245"/>
      <c r="B246" s="245"/>
      <c r="C246" s="245"/>
      <c r="D246" s="245"/>
      <c r="E246" s="245"/>
      <c r="F246" s="245"/>
      <c r="G246" s="245"/>
      <c r="H246" s="245"/>
      <c r="I246" s="245"/>
      <c r="J246" s="245"/>
      <c r="K246" s="245"/>
      <c r="L246" s="245"/>
      <c r="M246" s="245"/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  <c r="X246" s="245"/>
      <c r="Y246" s="245"/>
      <c r="Z246" s="245"/>
    </row>
    <row r="247" spans="1:26">
      <c r="A247" s="245"/>
      <c r="B247" s="245"/>
      <c r="C247" s="245"/>
      <c r="D247" s="245"/>
      <c r="E247" s="245"/>
      <c r="F247" s="245"/>
      <c r="G247" s="245"/>
      <c r="H247" s="245"/>
      <c r="I247" s="245"/>
      <c r="J247" s="245"/>
      <c r="K247" s="245"/>
      <c r="L247" s="245"/>
      <c r="M247" s="245"/>
      <c r="N247" s="245"/>
      <c r="O247" s="245"/>
      <c r="P247" s="245"/>
      <c r="Q247" s="245"/>
      <c r="R247" s="245"/>
      <c r="S247" s="245"/>
      <c r="T247" s="245"/>
      <c r="U247" s="245"/>
      <c r="V247" s="245"/>
      <c r="W247" s="245"/>
      <c r="X247" s="245"/>
      <c r="Y247" s="245"/>
      <c r="Z247" s="245"/>
    </row>
    <row r="248" spans="1:26">
      <c r="A248" s="245"/>
      <c r="B248" s="245"/>
      <c r="C248" s="245"/>
      <c r="D248" s="245"/>
      <c r="E248" s="245"/>
      <c r="F248" s="245"/>
      <c r="G248" s="245"/>
      <c r="H248" s="245"/>
      <c r="I248" s="245"/>
      <c r="J248" s="245"/>
      <c r="K248" s="245"/>
      <c r="L248" s="245"/>
      <c r="M248" s="245"/>
      <c r="N248" s="245"/>
      <c r="O248" s="245"/>
      <c r="P248" s="245"/>
      <c r="Q248" s="245"/>
      <c r="R248" s="245"/>
      <c r="S248" s="245"/>
      <c r="T248" s="245"/>
      <c r="U248" s="245"/>
      <c r="V248" s="245"/>
      <c r="W248" s="245"/>
      <c r="X248" s="245"/>
      <c r="Y248" s="245"/>
      <c r="Z248" s="245"/>
    </row>
    <row r="249" spans="1:26">
      <c r="A249" s="245"/>
      <c r="B249" s="245"/>
      <c r="C249" s="245"/>
      <c r="D249" s="245"/>
      <c r="E249" s="245"/>
      <c r="F249" s="245"/>
      <c r="G249" s="245"/>
      <c r="H249" s="245"/>
      <c r="I249" s="245"/>
      <c r="J249" s="245"/>
      <c r="K249" s="245"/>
      <c r="L249" s="245"/>
      <c r="M249" s="245"/>
      <c r="N249" s="245"/>
      <c r="O249" s="245"/>
      <c r="P249" s="245"/>
      <c r="Q249" s="245"/>
      <c r="R249" s="245"/>
      <c r="S249" s="245"/>
      <c r="T249" s="245"/>
      <c r="U249" s="245"/>
      <c r="V249" s="245"/>
      <c r="W249" s="245"/>
      <c r="X249" s="245"/>
      <c r="Y249" s="245"/>
      <c r="Z249" s="245"/>
    </row>
    <row r="250" spans="1:26">
      <c r="A250" s="245"/>
      <c r="B250" s="245"/>
      <c r="C250" s="245"/>
      <c r="D250" s="245"/>
      <c r="E250" s="245"/>
      <c r="F250" s="245"/>
      <c r="G250" s="245"/>
      <c r="H250" s="245"/>
      <c r="I250" s="245"/>
      <c r="J250" s="245"/>
      <c r="K250" s="245"/>
      <c r="L250" s="245"/>
      <c r="M250" s="245"/>
      <c r="N250" s="245"/>
      <c r="O250" s="245"/>
      <c r="P250" s="245"/>
      <c r="Q250" s="245"/>
      <c r="R250" s="245"/>
      <c r="S250" s="245"/>
      <c r="T250" s="245"/>
      <c r="U250" s="245"/>
      <c r="V250" s="245"/>
      <c r="W250" s="245"/>
      <c r="X250" s="245"/>
      <c r="Y250" s="245"/>
      <c r="Z250" s="245"/>
    </row>
    <row r="251" spans="1:26">
      <c r="A251" s="245"/>
      <c r="B251" s="245"/>
      <c r="C251" s="245"/>
      <c r="D251" s="245"/>
      <c r="E251" s="245"/>
      <c r="F251" s="245"/>
      <c r="G251" s="245"/>
      <c r="H251" s="245"/>
      <c r="I251" s="245"/>
      <c r="J251" s="245"/>
      <c r="K251" s="245"/>
      <c r="L251" s="245"/>
      <c r="M251" s="245"/>
      <c r="N251" s="245"/>
      <c r="O251" s="245"/>
      <c r="P251" s="245"/>
      <c r="Q251" s="245"/>
      <c r="R251" s="245"/>
      <c r="S251" s="245"/>
      <c r="T251" s="245"/>
      <c r="U251" s="245"/>
      <c r="V251" s="245"/>
      <c r="W251" s="245"/>
      <c r="X251" s="245"/>
      <c r="Y251" s="245"/>
      <c r="Z251" s="245"/>
    </row>
    <row r="252" spans="1:26">
      <c r="A252" s="245"/>
      <c r="B252" s="245"/>
      <c r="C252" s="245"/>
      <c r="D252" s="245"/>
      <c r="E252" s="245"/>
      <c r="F252" s="245"/>
      <c r="G252" s="245"/>
      <c r="H252" s="245"/>
      <c r="I252" s="245"/>
      <c r="J252" s="245"/>
      <c r="K252" s="245"/>
      <c r="L252" s="245"/>
      <c r="M252" s="245"/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  <c r="X252" s="245"/>
      <c r="Y252" s="245"/>
      <c r="Z252" s="245"/>
    </row>
    <row r="253" spans="1:26">
      <c r="A253" s="245"/>
      <c r="B253" s="245"/>
      <c r="C253" s="245"/>
      <c r="D253" s="245"/>
      <c r="E253" s="245"/>
      <c r="F253" s="245"/>
      <c r="G253" s="245"/>
      <c r="H253" s="245"/>
      <c r="I253" s="245"/>
      <c r="J253" s="245"/>
      <c r="K253" s="245"/>
      <c r="L253" s="245"/>
      <c r="M253" s="245"/>
      <c r="N253" s="245"/>
      <c r="O253" s="245"/>
      <c r="P253" s="245"/>
      <c r="Q253" s="245"/>
      <c r="R253" s="245"/>
      <c r="S253" s="245"/>
      <c r="T253" s="245"/>
      <c r="U253" s="245"/>
      <c r="V253" s="245"/>
      <c r="W253" s="245"/>
      <c r="X253" s="245"/>
      <c r="Y253" s="245"/>
      <c r="Z253" s="245"/>
    </row>
    <row r="254" spans="1:26">
      <c r="A254" s="245"/>
      <c r="B254" s="245"/>
      <c r="C254" s="245"/>
      <c r="D254" s="245"/>
      <c r="E254" s="245"/>
      <c r="F254" s="245"/>
      <c r="G254" s="245"/>
      <c r="H254" s="245"/>
      <c r="I254" s="245"/>
      <c r="J254" s="245"/>
      <c r="K254" s="245"/>
      <c r="L254" s="245"/>
      <c r="M254" s="245"/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  <c r="X254" s="245"/>
      <c r="Y254" s="245"/>
      <c r="Z254" s="245"/>
    </row>
    <row r="255" spans="1:26">
      <c r="A255" s="245"/>
      <c r="B255" s="245"/>
      <c r="C255" s="245"/>
      <c r="D255" s="245"/>
      <c r="E255" s="245"/>
      <c r="F255" s="245"/>
      <c r="G255" s="245"/>
      <c r="H255" s="245"/>
      <c r="I255" s="245"/>
      <c r="J255" s="245"/>
      <c r="K255" s="245"/>
      <c r="L255" s="245"/>
      <c r="M255" s="245"/>
      <c r="N255" s="245"/>
      <c r="O255" s="245"/>
      <c r="P255" s="245"/>
      <c r="Q255" s="245"/>
      <c r="R255" s="245"/>
      <c r="S255" s="245"/>
      <c r="T255" s="245"/>
      <c r="U255" s="245"/>
      <c r="V255" s="245"/>
      <c r="W255" s="245"/>
      <c r="X255" s="245"/>
      <c r="Y255" s="245"/>
      <c r="Z255" s="245"/>
    </row>
    <row r="256" spans="1:26">
      <c r="A256" s="245"/>
      <c r="B256" s="245"/>
      <c r="C256" s="245"/>
      <c r="D256" s="245"/>
      <c r="E256" s="245"/>
      <c r="F256" s="245"/>
      <c r="G256" s="245"/>
      <c r="H256" s="245"/>
      <c r="I256" s="245"/>
      <c r="J256" s="245"/>
      <c r="K256" s="245"/>
      <c r="L256" s="245"/>
      <c r="M256" s="245"/>
      <c r="N256" s="245"/>
      <c r="O256" s="245"/>
      <c r="P256" s="245"/>
      <c r="Q256" s="245"/>
      <c r="R256" s="245"/>
      <c r="S256" s="245"/>
      <c r="T256" s="245"/>
      <c r="U256" s="245"/>
      <c r="V256" s="245"/>
      <c r="W256" s="245"/>
      <c r="X256" s="245"/>
      <c r="Y256" s="245"/>
      <c r="Z256" s="245"/>
    </row>
    <row r="257" spans="1:26">
      <c r="A257" s="245"/>
      <c r="B257" s="245"/>
      <c r="C257" s="245"/>
      <c r="D257" s="245"/>
      <c r="E257" s="245"/>
      <c r="F257" s="245"/>
      <c r="G257" s="245"/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/>
      <c r="S257" s="245"/>
      <c r="T257" s="245"/>
      <c r="U257" s="245"/>
      <c r="V257" s="245"/>
      <c r="W257" s="245"/>
      <c r="X257" s="245"/>
      <c r="Y257" s="245"/>
      <c r="Z257" s="245"/>
    </row>
    <row r="258" spans="1:26">
      <c r="A258" s="245"/>
      <c r="B258" s="245"/>
      <c r="C258" s="245"/>
      <c r="D258" s="245"/>
      <c r="E258" s="245"/>
      <c r="F258" s="245"/>
      <c r="G258" s="245"/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/>
      <c r="S258" s="245"/>
      <c r="T258" s="245"/>
      <c r="U258" s="245"/>
      <c r="V258" s="245"/>
      <c r="W258" s="245"/>
      <c r="X258" s="245"/>
      <c r="Y258" s="245"/>
      <c r="Z258" s="245"/>
    </row>
    <row r="259" spans="1:26">
      <c r="A259" s="245"/>
      <c r="B259" s="245"/>
      <c r="C259" s="245"/>
      <c r="D259" s="245"/>
      <c r="E259" s="245"/>
      <c r="F259" s="245"/>
      <c r="G259" s="245"/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/>
      <c r="S259" s="245"/>
      <c r="T259" s="245"/>
      <c r="U259" s="245"/>
      <c r="V259" s="245"/>
      <c r="W259" s="245"/>
      <c r="X259" s="245"/>
      <c r="Y259" s="245"/>
      <c r="Z259" s="245"/>
    </row>
    <row r="260" spans="1:26">
      <c r="A260" s="245"/>
      <c r="B260" s="245"/>
      <c r="C260" s="245"/>
      <c r="D260" s="245"/>
      <c r="E260" s="245"/>
      <c r="F260" s="245"/>
      <c r="G260" s="245"/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/>
      <c r="S260" s="245"/>
      <c r="T260" s="245"/>
      <c r="U260" s="245"/>
      <c r="V260" s="245"/>
      <c r="W260" s="245"/>
      <c r="X260" s="245"/>
      <c r="Y260" s="245"/>
      <c r="Z260" s="245"/>
    </row>
    <row r="261" spans="1:26">
      <c r="A261" s="245"/>
      <c r="B261" s="245"/>
      <c r="C261" s="245"/>
      <c r="D261" s="245"/>
      <c r="E261" s="245"/>
      <c r="F261" s="245"/>
      <c r="G261" s="245"/>
      <c r="H261" s="245"/>
      <c r="I261" s="245"/>
      <c r="J261" s="245"/>
      <c r="K261" s="245"/>
      <c r="L261" s="245"/>
      <c r="M261" s="245"/>
      <c r="N261" s="245"/>
      <c r="O261" s="245"/>
      <c r="P261" s="245"/>
      <c r="Q261" s="245"/>
      <c r="R261" s="245"/>
      <c r="S261" s="245"/>
      <c r="T261" s="245"/>
      <c r="U261" s="245"/>
      <c r="V261" s="245"/>
      <c r="W261" s="245"/>
      <c r="X261" s="245"/>
      <c r="Y261" s="245"/>
      <c r="Z261" s="245"/>
    </row>
    <row r="262" spans="1:26">
      <c r="A262" s="245"/>
      <c r="B262" s="245"/>
      <c r="C262" s="245"/>
      <c r="D262" s="245"/>
      <c r="E262" s="245"/>
      <c r="F262" s="245"/>
      <c r="G262" s="245"/>
      <c r="H262" s="245"/>
      <c r="I262" s="245"/>
      <c r="J262" s="245"/>
      <c r="K262" s="245"/>
      <c r="L262" s="245"/>
      <c r="M262" s="245"/>
      <c r="N262" s="245"/>
      <c r="O262" s="245"/>
      <c r="P262" s="245"/>
      <c r="Q262" s="245"/>
      <c r="R262" s="245"/>
      <c r="S262" s="245"/>
      <c r="T262" s="245"/>
      <c r="U262" s="245"/>
      <c r="V262" s="245"/>
      <c r="W262" s="245"/>
      <c r="X262" s="245"/>
      <c r="Y262" s="245"/>
      <c r="Z262" s="245"/>
    </row>
    <row r="263" spans="1:26">
      <c r="A263" s="245"/>
      <c r="B263" s="245"/>
      <c r="C263" s="245"/>
      <c r="D263" s="245"/>
      <c r="E263" s="245"/>
      <c r="F263" s="245"/>
      <c r="G263" s="245"/>
      <c r="H263" s="245"/>
      <c r="I263" s="245"/>
      <c r="J263" s="245"/>
      <c r="K263" s="245"/>
      <c r="L263" s="245"/>
      <c r="M263" s="245"/>
      <c r="N263" s="245"/>
      <c r="O263" s="245"/>
      <c r="P263" s="245"/>
      <c r="Q263" s="245"/>
      <c r="R263" s="245"/>
      <c r="S263" s="245"/>
      <c r="T263" s="245"/>
      <c r="U263" s="245"/>
      <c r="V263" s="245"/>
      <c r="W263" s="245"/>
      <c r="X263" s="245"/>
      <c r="Y263" s="245"/>
      <c r="Z263" s="245"/>
    </row>
    <row r="264" spans="1:26">
      <c r="A264" s="245"/>
      <c r="B264" s="245"/>
      <c r="C264" s="245"/>
      <c r="D264" s="245"/>
      <c r="E264" s="245"/>
      <c r="F264" s="245"/>
      <c r="G264" s="245"/>
      <c r="H264" s="245"/>
      <c r="I264" s="245"/>
      <c r="J264" s="245"/>
      <c r="K264" s="245"/>
      <c r="L264" s="245"/>
      <c r="M264" s="245"/>
      <c r="N264" s="245"/>
      <c r="O264" s="245"/>
      <c r="P264" s="245"/>
      <c r="Q264" s="245"/>
      <c r="R264" s="245"/>
      <c r="S264" s="245"/>
      <c r="T264" s="245"/>
      <c r="U264" s="245"/>
      <c r="V264" s="245"/>
      <c r="W264" s="245"/>
      <c r="X264" s="245"/>
      <c r="Y264" s="245"/>
      <c r="Z264" s="245"/>
    </row>
    <row r="265" spans="1:26">
      <c r="A265" s="245"/>
      <c r="B265" s="245"/>
      <c r="C265" s="245"/>
      <c r="D265" s="245"/>
      <c r="E265" s="245"/>
      <c r="F265" s="245"/>
      <c r="G265" s="245"/>
      <c r="H265" s="245"/>
      <c r="I265" s="245"/>
      <c r="J265" s="245"/>
      <c r="K265" s="245"/>
      <c r="L265" s="245"/>
      <c r="M265" s="245"/>
      <c r="N265" s="245"/>
      <c r="O265" s="245"/>
      <c r="P265" s="245"/>
      <c r="Q265" s="245"/>
      <c r="R265" s="245"/>
      <c r="S265" s="245"/>
      <c r="T265" s="245"/>
      <c r="U265" s="245"/>
      <c r="V265" s="245"/>
      <c r="W265" s="245"/>
      <c r="X265" s="245"/>
      <c r="Y265" s="245"/>
      <c r="Z265" s="245"/>
    </row>
    <row r="266" spans="1:26">
      <c r="A266" s="245"/>
      <c r="B266" s="245"/>
      <c r="C266" s="245"/>
      <c r="D266" s="245"/>
      <c r="E266" s="245"/>
      <c r="F266" s="245"/>
      <c r="G266" s="245"/>
      <c r="H266" s="245"/>
      <c r="I266" s="245"/>
      <c r="J266" s="245"/>
      <c r="K266" s="245"/>
      <c r="L266" s="245"/>
      <c r="M266" s="245"/>
      <c r="N266" s="245"/>
      <c r="O266" s="245"/>
      <c r="P266" s="245"/>
      <c r="Q266" s="245"/>
      <c r="R266" s="245"/>
      <c r="S266" s="245"/>
      <c r="T266" s="245"/>
      <c r="U266" s="245"/>
      <c r="V266" s="245"/>
      <c r="W266" s="245"/>
      <c r="X266" s="245"/>
      <c r="Y266" s="245"/>
      <c r="Z266" s="245"/>
    </row>
    <row r="267" spans="1:26">
      <c r="A267" s="245"/>
      <c r="B267" s="245"/>
      <c r="C267" s="245"/>
      <c r="D267" s="245"/>
      <c r="E267" s="245"/>
      <c r="F267" s="245"/>
      <c r="G267" s="245"/>
      <c r="H267" s="245"/>
      <c r="I267" s="245"/>
      <c r="J267" s="245"/>
      <c r="K267" s="245"/>
      <c r="L267" s="245"/>
      <c r="M267" s="245"/>
      <c r="N267" s="245"/>
      <c r="O267" s="245"/>
      <c r="P267" s="245"/>
      <c r="Q267" s="245"/>
      <c r="R267" s="245"/>
      <c r="S267" s="245"/>
      <c r="T267" s="245"/>
      <c r="U267" s="245"/>
      <c r="V267" s="245"/>
      <c r="W267" s="245"/>
      <c r="X267" s="245"/>
      <c r="Y267" s="245"/>
      <c r="Z267" s="245"/>
    </row>
    <row r="268" spans="1:26">
      <c r="A268" s="245"/>
      <c r="B268" s="245"/>
      <c r="C268" s="245"/>
      <c r="D268" s="245"/>
      <c r="E268" s="245"/>
      <c r="F268" s="245"/>
      <c r="G268" s="245"/>
      <c r="H268" s="245"/>
      <c r="I268" s="245"/>
      <c r="J268" s="245"/>
      <c r="K268" s="245"/>
      <c r="L268" s="245"/>
      <c r="M268" s="245"/>
      <c r="N268" s="245"/>
      <c r="O268" s="245"/>
      <c r="P268" s="245"/>
      <c r="Q268" s="245"/>
      <c r="R268" s="245"/>
      <c r="S268" s="245"/>
      <c r="T268" s="245"/>
      <c r="U268" s="245"/>
      <c r="V268" s="245"/>
      <c r="W268" s="245"/>
      <c r="X268" s="245"/>
      <c r="Y268" s="245"/>
      <c r="Z268" s="245"/>
    </row>
    <row r="269" spans="1:26">
      <c r="A269" s="245"/>
      <c r="B269" s="245"/>
      <c r="C269" s="245"/>
      <c r="D269" s="245"/>
      <c r="E269" s="245"/>
      <c r="F269" s="245"/>
      <c r="G269" s="245"/>
      <c r="H269" s="245"/>
      <c r="I269" s="245"/>
      <c r="J269" s="245"/>
      <c r="K269" s="245"/>
      <c r="L269" s="245"/>
      <c r="M269" s="245"/>
      <c r="N269" s="245"/>
      <c r="O269" s="245"/>
      <c r="P269" s="245"/>
      <c r="Q269" s="245"/>
      <c r="R269" s="245"/>
      <c r="S269" s="245"/>
      <c r="T269" s="245"/>
      <c r="U269" s="245"/>
      <c r="V269" s="245"/>
      <c r="W269" s="245"/>
      <c r="X269" s="245"/>
      <c r="Y269" s="245"/>
      <c r="Z269" s="245"/>
    </row>
    <row r="270" spans="1:26">
      <c r="A270" s="245"/>
      <c r="B270" s="245"/>
      <c r="C270" s="245"/>
      <c r="D270" s="245"/>
      <c r="E270" s="245"/>
      <c r="F270" s="245"/>
      <c r="G270" s="245"/>
      <c r="H270" s="245"/>
      <c r="I270" s="245"/>
      <c r="J270" s="245"/>
      <c r="K270" s="245"/>
      <c r="L270" s="245"/>
      <c r="M270" s="245"/>
      <c r="N270" s="245"/>
      <c r="O270" s="245"/>
      <c r="P270" s="245"/>
      <c r="Q270" s="245"/>
      <c r="R270" s="245"/>
      <c r="S270" s="245"/>
      <c r="T270" s="245"/>
      <c r="U270" s="245"/>
      <c r="V270" s="245"/>
      <c r="W270" s="245"/>
      <c r="X270" s="245"/>
      <c r="Y270" s="245"/>
      <c r="Z270" s="245"/>
    </row>
    <row r="271" spans="1:26">
      <c r="A271" s="245"/>
      <c r="B271" s="245"/>
      <c r="C271" s="245"/>
      <c r="D271" s="245"/>
      <c r="E271" s="245"/>
      <c r="F271" s="245"/>
      <c r="G271" s="245"/>
      <c r="H271" s="245"/>
      <c r="I271" s="245"/>
      <c r="J271" s="245"/>
      <c r="K271" s="245"/>
      <c r="L271" s="245"/>
      <c r="M271" s="245"/>
      <c r="N271" s="245"/>
      <c r="O271" s="245"/>
      <c r="P271" s="245"/>
      <c r="Q271" s="245"/>
      <c r="R271" s="245"/>
      <c r="S271" s="245"/>
      <c r="T271" s="245"/>
      <c r="U271" s="245"/>
      <c r="V271" s="245"/>
      <c r="W271" s="245"/>
      <c r="X271" s="245"/>
      <c r="Y271" s="245"/>
      <c r="Z271" s="245"/>
    </row>
    <row r="272" spans="1:26">
      <c r="A272" s="245"/>
      <c r="B272" s="245"/>
      <c r="C272" s="245"/>
      <c r="D272" s="245"/>
      <c r="E272" s="245"/>
      <c r="F272" s="245"/>
      <c r="G272" s="245"/>
      <c r="H272" s="245"/>
      <c r="I272" s="245"/>
      <c r="J272" s="245"/>
      <c r="K272" s="245"/>
      <c r="L272" s="245"/>
      <c r="M272" s="245"/>
      <c r="N272" s="245"/>
      <c r="O272" s="245"/>
      <c r="P272" s="245"/>
      <c r="Q272" s="245"/>
      <c r="R272" s="245"/>
      <c r="S272" s="245"/>
      <c r="T272" s="245"/>
      <c r="U272" s="245"/>
      <c r="V272" s="245"/>
      <c r="W272" s="245"/>
      <c r="X272" s="245"/>
      <c r="Y272" s="245"/>
      <c r="Z272" s="245"/>
    </row>
    <row r="273" spans="1:26">
      <c r="A273" s="245"/>
      <c r="B273" s="245"/>
      <c r="C273" s="245"/>
      <c r="D273" s="245"/>
      <c r="E273" s="245"/>
      <c r="F273" s="245"/>
      <c r="G273" s="245"/>
      <c r="H273" s="245"/>
      <c r="I273" s="245"/>
      <c r="J273" s="245"/>
      <c r="K273" s="245"/>
      <c r="L273" s="245"/>
      <c r="M273" s="245"/>
      <c r="N273" s="245"/>
      <c r="O273" s="245"/>
      <c r="P273" s="245"/>
      <c r="Q273" s="245"/>
      <c r="R273" s="245"/>
      <c r="S273" s="245"/>
      <c r="T273" s="245"/>
      <c r="U273" s="245"/>
      <c r="V273" s="245"/>
      <c r="W273" s="245"/>
      <c r="X273" s="245"/>
      <c r="Y273" s="245"/>
      <c r="Z273" s="245"/>
    </row>
    <row r="274" spans="1:26">
      <c r="A274" s="245"/>
      <c r="B274" s="245"/>
      <c r="C274" s="245"/>
      <c r="D274" s="245"/>
      <c r="E274" s="245"/>
      <c r="F274" s="245"/>
      <c r="G274" s="245"/>
      <c r="H274" s="245"/>
      <c r="I274" s="245"/>
      <c r="J274" s="245"/>
      <c r="K274" s="245"/>
      <c r="L274" s="245"/>
      <c r="M274" s="245"/>
      <c r="N274" s="245"/>
      <c r="O274" s="245"/>
      <c r="P274" s="245"/>
      <c r="Q274" s="245"/>
      <c r="R274" s="245"/>
      <c r="S274" s="245"/>
      <c r="T274" s="245"/>
      <c r="U274" s="245"/>
      <c r="V274" s="245"/>
      <c r="W274" s="245"/>
      <c r="X274" s="245"/>
      <c r="Y274" s="245"/>
      <c r="Z274" s="245"/>
    </row>
    <row r="275" spans="1:26">
      <c r="A275" s="245"/>
      <c r="B275" s="245"/>
      <c r="C275" s="245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</row>
    <row r="276" spans="1:26">
      <c r="A276" s="245"/>
      <c r="B276" s="245"/>
      <c r="C276" s="245"/>
      <c r="D276" s="245"/>
      <c r="E276" s="245"/>
      <c r="F276" s="245"/>
      <c r="G276" s="245"/>
      <c r="H276" s="245"/>
      <c r="I276" s="245"/>
      <c r="J276" s="245"/>
      <c r="K276" s="245"/>
      <c r="L276" s="245"/>
      <c r="M276" s="245"/>
      <c r="N276" s="245"/>
      <c r="O276" s="245"/>
      <c r="P276" s="245"/>
      <c r="Q276" s="245"/>
      <c r="R276" s="245"/>
      <c r="S276" s="245"/>
      <c r="T276" s="245"/>
      <c r="U276" s="245"/>
      <c r="V276" s="245"/>
      <c r="W276" s="245"/>
      <c r="X276" s="245"/>
      <c r="Y276" s="245"/>
      <c r="Z276" s="245"/>
    </row>
    <row r="277" spans="1:26">
      <c r="A277" s="245"/>
      <c r="B277" s="245"/>
      <c r="C277" s="245"/>
      <c r="D277" s="245"/>
      <c r="E277" s="245"/>
      <c r="F277" s="245"/>
      <c r="G277" s="245"/>
      <c r="H277" s="245"/>
      <c r="I277" s="245"/>
      <c r="J277" s="245"/>
      <c r="K277" s="245"/>
      <c r="L277" s="245"/>
      <c r="M277" s="245"/>
      <c r="N277" s="245"/>
      <c r="O277" s="245"/>
      <c r="P277" s="245"/>
      <c r="Q277" s="245"/>
      <c r="R277" s="245"/>
      <c r="S277" s="245"/>
      <c r="T277" s="245"/>
      <c r="U277" s="245"/>
      <c r="V277" s="245"/>
      <c r="W277" s="245"/>
      <c r="X277" s="245"/>
      <c r="Y277" s="245"/>
      <c r="Z277" s="245"/>
    </row>
    <row r="278" spans="1:26">
      <c r="A278" s="245"/>
      <c r="B278" s="245"/>
      <c r="C278" s="245"/>
      <c r="D278" s="245"/>
      <c r="E278" s="245"/>
      <c r="F278" s="245"/>
      <c r="G278" s="245"/>
      <c r="H278" s="245"/>
      <c r="I278" s="245"/>
      <c r="J278" s="245"/>
      <c r="K278" s="245"/>
      <c r="L278" s="245"/>
      <c r="M278" s="245"/>
      <c r="N278" s="245"/>
      <c r="O278" s="245"/>
      <c r="P278" s="245"/>
      <c r="Q278" s="245"/>
      <c r="R278" s="245"/>
      <c r="S278" s="245"/>
      <c r="T278" s="245"/>
      <c r="U278" s="245"/>
      <c r="V278" s="245"/>
      <c r="W278" s="245"/>
      <c r="X278" s="245"/>
      <c r="Y278" s="245"/>
      <c r="Z278" s="245"/>
    </row>
    <row r="279" spans="1:26">
      <c r="A279" s="245"/>
      <c r="B279" s="245"/>
      <c r="C279" s="245"/>
      <c r="D279" s="245"/>
      <c r="E279" s="245"/>
      <c r="F279" s="245"/>
      <c r="G279" s="245"/>
      <c r="H279" s="245"/>
      <c r="I279" s="245"/>
      <c r="J279" s="245"/>
      <c r="K279" s="245"/>
      <c r="L279" s="245"/>
      <c r="M279" s="245"/>
      <c r="N279" s="245"/>
      <c r="O279" s="245"/>
      <c r="P279" s="245"/>
      <c r="Q279" s="245"/>
      <c r="R279" s="245"/>
      <c r="S279" s="245"/>
      <c r="T279" s="245"/>
      <c r="U279" s="245"/>
      <c r="V279" s="245"/>
      <c r="W279" s="245"/>
      <c r="X279" s="245"/>
      <c r="Y279" s="245"/>
      <c r="Z279" s="245"/>
    </row>
    <row r="280" spans="1:26">
      <c r="A280" s="245"/>
      <c r="B280" s="245"/>
      <c r="C280" s="245"/>
      <c r="D280" s="245"/>
      <c r="E280" s="245"/>
      <c r="F280" s="245"/>
      <c r="G280" s="245"/>
      <c r="H280" s="245"/>
      <c r="I280" s="245"/>
      <c r="J280" s="245"/>
      <c r="K280" s="245"/>
      <c r="L280" s="245"/>
      <c r="M280" s="245"/>
      <c r="N280" s="245"/>
      <c r="O280" s="245"/>
      <c r="P280" s="245"/>
      <c r="Q280" s="245"/>
      <c r="R280" s="245"/>
      <c r="S280" s="245"/>
      <c r="T280" s="245"/>
      <c r="U280" s="245"/>
      <c r="V280" s="245"/>
      <c r="W280" s="245"/>
      <c r="X280" s="245"/>
      <c r="Y280" s="245"/>
      <c r="Z280" s="245"/>
    </row>
    <row r="281" spans="1:26">
      <c r="A281" s="245"/>
      <c r="B281" s="245"/>
      <c r="C281" s="245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5"/>
      <c r="S281" s="245"/>
      <c r="T281" s="245"/>
      <c r="U281" s="245"/>
      <c r="V281" s="245"/>
      <c r="W281" s="245"/>
      <c r="X281" s="245"/>
      <c r="Y281" s="245"/>
      <c r="Z281" s="245"/>
    </row>
    <row r="282" spans="1:26">
      <c r="A282" s="245"/>
      <c r="B282" s="245"/>
      <c r="C282" s="245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5"/>
      <c r="S282" s="245"/>
      <c r="T282" s="245"/>
      <c r="U282" s="245"/>
      <c r="V282" s="245"/>
      <c r="W282" s="245"/>
      <c r="X282" s="245"/>
      <c r="Y282" s="245"/>
      <c r="Z282" s="245"/>
    </row>
    <row r="283" spans="1:26">
      <c r="A283" s="245"/>
      <c r="B283" s="245"/>
      <c r="C283" s="245"/>
      <c r="D283" s="245"/>
      <c r="E283" s="245"/>
      <c r="F283" s="245"/>
      <c r="G283" s="245"/>
      <c r="H283" s="245"/>
      <c r="I283" s="245"/>
      <c r="J283" s="245"/>
      <c r="K283" s="245"/>
      <c r="L283" s="245"/>
      <c r="M283" s="245"/>
      <c r="N283" s="245"/>
      <c r="O283" s="245"/>
      <c r="P283" s="245"/>
      <c r="Q283" s="245"/>
      <c r="R283" s="245"/>
      <c r="S283" s="245"/>
      <c r="T283" s="245"/>
      <c r="U283" s="245"/>
      <c r="V283" s="245"/>
      <c r="W283" s="245"/>
      <c r="X283" s="245"/>
      <c r="Y283" s="245"/>
      <c r="Z283" s="245"/>
    </row>
    <row r="284" spans="1:26">
      <c r="A284" s="245"/>
      <c r="B284" s="245"/>
      <c r="C284" s="245"/>
      <c r="D284" s="245"/>
      <c r="E284" s="245"/>
      <c r="F284" s="245"/>
      <c r="G284" s="245"/>
      <c r="H284" s="245"/>
      <c r="I284" s="245"/>
      <c r="J284" s="245"/>
      <c r="K284" s="245"/>
      <c r="L284" s="245"/>
      <c r="M284" s="245"/>
      <c r="N284" s="245"/>
      <c r="O284" s="245"/>
      <c r="P284" s="245"/>
      <c r="Q284" s="245"/>
      <c r="R284" s="245"/>
      <c r="S284" s="245"/>
      <c r="T284" s="245"/>
      <c r="U284" s="245"/>
      <c r="V284" s="245"/>
      <c r="W284" s="245"/>
      <c r="X284" s="245"/>
      <c r="Y284" s="245"/>
      <c r="Z284" s="245"/>
    </row>
    <row r="285" spans="1:26">
      <c r="A285" s="245"/>
      <c r="B285" s="245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245"/>
      <c r="O285" s="245"/>
      <c r="P285" s="245"/>
      <c r="Q285" s="245"/>
      <c r="R285" s="245"/>
      <c r="S285" s="245"/>
      <c r="T285" s="245"/>
      <c r="U285" s="245"/>
      <c r="V285" s="245"/>
      <c r="W285" s="245"/>
      <c r="X285" s="245"/>
      <c r="Y285" s="245"/>
      <c r="Z285" s="245"/>
    </row>
    <row r="286" spans="1:26">
      <c r="A286" s="245"/>
      <c r="B286" s="245"/>
      <c r="C286" s="245"/>
      <c r="D286" s="245"/>
      <c r="E286" s="245"/>
      <c r="F286" s="245"/>
      <c r="G286" s="245"/>
      <c r="H286" s="245"/>
      <c r="I286" s="245"/>
      <c r="J286" s="245"/>
      <c r="K286" s="245"/>
      <c r="L286" s="245"/>
      <c r="M286" s="245"/>
      <c r="N286" s="245"/>
      <c r="O286" s="245"/>
      <c r="P286" s="245"/>
      <c r="Q286" s="245"/>
      <c r="R286" s="245"/>
      <c r="S286" s="245"/>
      <c r="T286" s="245"/>
      <c r="U286" s="245"/>
      <c r="V286" s="245"/>
      <c r="W286" s="245"/>
      <c r="X286" s="245"/>
      <c r="Y286" s="245"/>
      <c r="Z286" s="245"/>
    </row>
    <row r="287" spans="1:26">
      <c r="A287" s="245"/>
      <c r="B287" s="245"/>
      <c r="C287" s="245"/>
      <c r="D287" s="245"/>
      <c r="E287" s="245"/>
      <c r="F287" s="245"/>
      <c r="G287" s="245"/>
      <c r="H287" s="245"/>
      <c r="I287" s="245"/>
      <c r="J287" s="245"/>
      <c r="K287" s="245"/>
      <c r="L287" s="245"/>
      <c r="M287" s="245"/>
      <c r="N287" s="245"/>
      <c r="O287" s="245"/>
      <c r="P287" s="245"/>
      <c r="Q287" s="245"/>
      <c r="R287" s="245"/>
      <c r="S287" s="245"/>
      <c r="T287" s="245"/>
      <c r="U287" s="245"/>
      <c r="V287" s="245"/>
      <c r="W287" s="245"/>
      <c r="X287" s="245"/>
      <c r="Y287" s="245"/>
      <c r="Z287" s="245"/>
    </row>
    <row r="288" spans="1:26">
      <c r="A288" s="245"/>
      <c r="B288" s="245"/>
      <c r="C288" s="245"/>
      <c r="D288" s="245"/>
      <c r="E288" s="245"/>
      <c r="F288" s="245"/>
      <c r="G288" s="245"/>
      <c r="H288" s="245"/>
      <c r="I288" s="245"/>
      <c r="J288" s="245"/>
      <c r="K288" s="245"/>
      <c r="L288" s="245"/>
      <c r="M288" s="245"/>
      <c r="N288" s="245"/>
      <c r="O288" s="245"/>
      <c r="P288" s="245"/>
      <c r="Q288" s="245"/>
      <c r="R288" s="245"/>
      <c r="S288" s="245"/>
      <c r="T288" s="245"/>
      <c r="U288" s="245"/>
      <c r="V288" s="245"/>
      <c r="W288" s="245"/>
      <c r="X288" s="245"/>
      <c r="Y288" s="245"/>
      <c r="Z288" s="245"/>
    </row>
    <row r="289" spans="1:26">
      <c r="A289" s="245"/>
      <c r="B289" s="245"/>
      <c r="C289" s="245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5"/>
      <c r="S289" s="245"/>
      <c r="T289" s="245"/>
      <c r="U289" s="245"/>
      <c r="V289" s="245"/>
      <c r="W289" s="245"/>
      <c r="X289" s="245"/>
      <c r="Y289" s="245"/>
      <c r="Z289" s="245"/>
    </row>
    <row r="290" spans="1:26">
      <c r="A290" s="245"/>
      <c r="B290" s="245"/>
      <c r="C290" s="245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5"/>
      <c r="S290" s="245"/>
      <c r="T290" s="245"/>
      <c r="U290" s="245"/>
      <c r="V290" s="245"/>
      <c r="W290" s="245"/>
      <c r="X290" s="245"/>
      <c r="Y290" s="245"/>
      <c r="Z290" s="245"/>
    </row>
    <row r="291" spans="1:26">
      <c r="A291" s="245"/>
      <c r="B291" s="245"/>
      <c r="C291" s="245"/>
      <c r="D291" s="245"/>
      <c r="E291" s="245"/>
      <c r="F291" s="245"/>
      <c r="G291" s="245"/>
      <c r="H291" s="245"/>
      <c r="I291" s="245"/>
      <c r="J291" s="245"/>
      <c r="K291" s="245"/>
      <c r="L291" s="245"/>
      <c r="M291" s="245"/>
      <c r="N291" s="245"/>
      <c r="O291" s="245"/>
      <c r="P291" s="245"/>
      <c r="Q291" s="245"/>
      <c r="R291" s="245"/>
      <c r="S291" s="245"/>
      <c r="T291" s="245"/>
      <c r="U291" s="245"/>
      <c r="V291" s="245"/>
      <c r="W291" s="245"/>
      <c r="X291" s="245"/>
      <c r="Y291" s="245"/>
      <c r="Z291" s="245"/>
    </row>
    <row r="292" spans="1:26">
      <c r="A292" s="245"/>
      <c r="B292" s="245"/>
      <c r="C292" s="245"/>
      <c r="D292" s="245"/>
      <c r="E292" s="245"/>
      <c r="F292" s="245"/>
      <c r="G292" s="245"/>
      <c r="H292" s="245"/>
      <c r="I292" s="245"/>
      <c r="J292" s="245"/>
      <c r="K292" s="245"/>
      <c r="L292" s="245"/>
      <c r="M292" s="245"/>
      <c r="N292" s="245"/>
      <c r="O292" s="245"/>
      <c r="P292" s="245"/>
      <c r="Q292" s="245"/>
      <c r="R292" s="245"/>
      <c r="S292" s="245"/>
      <c r="T292" s="245"/>
      <c r="U292" s="245"/>
      <c r="V292" s="245"/>
      <c r="W292" s="245"/>
      <c r="X292" s="245"/>
      <c r="Y292" s="245"/>
      <c r="Z292" s="245"/>
    </row>
    <row r="293" spans="1:26">
      <c r="A293" s="245"/>
      <c r="B293" s="245"/>
      <c r="C293" s="245"/>
      <c r="D293" s="245"/>
      <c r="E293" s="245"/>
      <c r="F293" s="245"/>
      <c r="G293" s="245"/>
      <c r="H293" s="245"/>
      <c r="I293" s="245"/>
      <c r="J293" s="245"/>
      <c r="K293" s="245"/>
      <c r="L293" s="245"/>
      <c r="M293" s="245"/>
      <c r="N293" s="245"/>
      <c r="O293" s="245"/>
      <c r="P293" s="245"/>
      <c r="Q293" s="245"/>
      <c r="R293" s="245"/>
      <c r="S293" s="245"/>
      <c r="T293" s="245"/>
      <c r="U293" s="245"/>
      <c r="V293" s="245"/>
      <c r="W293" s="245"/>
      <c r="X293" s="245"/>
      <c r="Y293" s="245"/>
      <c r="Z293" s="245"/>
    </row>
    <row r="294" spans="1:26">
      <c r="A294" s="245"/>
      <c r="B294" s="245"/>
      <c r="C294" s="245"/>
      <c r="D294" s="245"/>
      <c r="E294" s="245"/>
      <c r="F294" s="245"/>
      <c r="G294" s="245"/>
      <c r="H294" s="245"/>
      <c r="I294" s="245"/>
      <c r="J294" s="245"/>
      <c r="K294" s="245"/>
      <c r="L294" s="245"/>
      <c r="M294" s="245"/>
      <c r="N294" s="245"/>
      <c r="O294" s="245"/>
      <c r="P294" s="245"/>
      <c r="Q294" s="245"/>
      <c r="R294" s="245"/>
      <c r="S294" s="245"/>
      <c r="T294" s="245"/>
      <c r="U294" s="245"/>
      <c r="V294" s="245"/>
      <c r="W294" s="245"/>
      <c r="X294" s="245"/>
      <c r="Y294" s="245"/>
      <c r="Z294" s="245"/>
    </row>
    <row r="295" spans="1:26">
      <c r="A295" s="245"/>
      <c r="B295" s="245"/>
      <c r="C295" s="245"/>
      <c r="D295" s="245"/>
      <c r="E295" s="245"/>
      <c r="F295" s="245"/>
      <c r="G295" s="245"/>
      <c r="H295" s="245"/>
      <c r="I295" s="245"/>
      <c r="J295" s="245"/>
      <c r="K295" s="245"/>
      <c r="L295" s="245"/>
      <c r="M295" s="245"/>
      <c r="N295" s="245"/>
      <c r="O295" s="245"/>
      <c r="P295" s="245"/>
      <c r="Q295" s="245"/>
      <c r="R295" s="245"/>
      <c r="S295" s="245"/>
      <c r="T295" s="245"/>
      <c r="U295" s="245"/>
      <c r="V295" s="245"/>
      <c r="W295" s="245"/>
      <c r="X295" s="245"/>
      <c r="Y295" s="245"/>
      <c r="Z295" s="245"/>
    </row>
    <row r="296" spans="1:26">
      <c r="A296" s="245"/>
      <c r="B296" s="245"/>
      <c r="C296" s="245"/>
      <c r="D296" s="245"/>
      <c r="E296" s="245"/>
      <c r="F296" s="245"/>
      <c r="G296" s="245"/>
      <c r="H296" s="245"/>
      <c r="I296" s="245"/>
      <c r="J296" s="245"/>
      <c r="K296" s="245"/>
      <c r="L296" s="245"/>
      <c r="M296" s="245"/>
      <c r="N296" s="245"/>
      <c r="O296" s="245"/>
      <c r="P296" s="245"/>
      <c r="Q296" s="245"/>
      <c r="R296" s="245"/>
      <c r="S296" s="245"/>
      <c r="T296" s="245"/>
      <c r="U296" s="245"/>
      <c r="V296" s="245"/>
      <c r="W296" s="245"/>
      <c r="X296" s="245"/>
      <c r="Y296" s="245"/>
      <c r="Z296" s="245"/>
    </row>
    <row r="297" spans="1:26">
      <c r="A297" s="245"/>
      <c r="B297" s="245"/>
      <c r="C297" s="245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5"/>
      <c r="S297" s="245"/>
      <c r="T297" s="245"/>
      <c r="U297" s="245"/>
      <c r="V297" s="245"/>
      <c r="W297" s="245"/>
      <c r="X297" s="245"/>
      <c r="Y297" s="245"/>
      <c r="Z297" s="245"/>
    </row>
    <row r="298" spans="1:26">
      <c r="A298" s="245"/>
      <c r="B298" s="245"/>
      <c r="C298" s="245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5"/>
      <c r="S298" s="245"/>
      <c r="T298" s="245"/>
      <c r="U298" s="245"/>
      <c r="V298" s="245"/>
      <c r="W298" s="245"/>
      <c r="X298" s="245"/>
      <c r="Y298" s="245"/>
      <c r="Z298" s="245"/>
    </row>
    <row r="299" spans="1:26">
      <c r="A299" s="245"/>
      <c r="B299" s="245"/>
      <c r="C299" s="245"/>
      <c r="D299" s="245"/>
      <c r="E299" s="245"/>
      <c r="F299" s="245"/>
      <c r="G299" s="245"/>
      <c r="H299" s="245"/>
      <c r="I299" s="245"/>
      <c r="J299" s="245"/>
      <c r="K299" s="245"/>
      <c r="L299" s="245"/>
      <c r="M299" s="245"/>
      <c r="N299" s="245"/>
      <c r="O299" s="245"/>
      <c r="P299" s="245"/>
      <c r="Q299" s="245"/>
      <c r="R299" s="245"/>
      <c r="S299" s="245"/>
      <c r="T299" s="245"/>
      <c r="U299" s="245"/>
      <c r="V299" s="245"/>
      <c r="W299" s="245"/>
      <c r="X299" s="245"/>
      <c r="Y299" s="245"/>
      <c r="Z299" s="245"/>
    </row>
    <row r="300" spans="1:26">
      <c r="A300" s="245"/>
      <c r="B300" s="245"/>
      <c r="C300" s="245"/>
      <c r="D300" s="245"/>
      <c r="E300" s="245"/>
      <c r="F300" s="245"/>
      <c r="G300" s="245"/>
      <c r="H300" s="245"/>
      <c r="I300" s="245"/>
      <c r="J300" s="245"/>
      <c r="K300" s="245"/>
      <c r="L300" s="245"/>
      <c r="M300" s="245"/>
      <c r="N300" s="245"/>
      <c r="O300" s="245"/>
      <c r="P300" s="245"/>
      <c r="Q300" s="245"/>
      <c r="R300" s="245"/>
      <c r="S300" s="245"/>
      <c r="T300" s="245"/>
      <c r="U300" s="245"/>
      <c r="V300" s="245"/>
      <c r="W300" s="245"/>
      <c r="X300" s="245"/>
      <c r="Y300" s="245"/>
      <c r="Z300" s="245"/>
    </row>
    <row r="301" spans="1:26">
      <c r="A301" s="245"/>
      <c r="B301" s="245"/>
      <c r="C301" s="245"/>
      <c r="D301" s="245"/>
      <c r="E301" s="245"/>
      <c r="F301" s="245"/>
      <c r="G301" s="245"/>
      <c r="H301" s="245"/>
      <c r="I301" s="245"/>
      <c r="J301" s="245"/>
      <c r="K301" s="245"/>
      <c r="L301" s="245"/>
      <c r="M301" s="245"/>
      <c r="N301" s="245"/>
      <c r="O301" s="245"/>
      <c r="P301" s="245"/>
      <c r="Q301" s="245"/>
      <c r="R301" s="245"/>
      <c r="S301" s="245"/>
      <c r="T301" s="245"/>
      <c r="U301" s="245"/>
      <c r="V301" s="245"/>
      <c r="W301" s="245"/>
      <c r="X301" s="245"/>
      <c r="Y301" s="245"/>
      <c r="Z301" s="245"/>
    </row>
    <row r="302" spans="1:26">
      <c r="A302" s="245"/>
      <c r="B302" s="245"/>
      <c r="C302" s="245"/>
      <c r="D302" s="245"/>
      <c r="E302" s="245"/>
      <c r="F302" s="245"/>
      <c r="G302" s="245"/>
      <c r="H302" s="245"/>
      <c r="I302" s="245"/>
      <c r="J302" s="245"/>
      <c r="K302" s="245"/>
      <c r="L302" s="245"/>
      <c r="M302" s="245"/>
      <c r="N302" s="245"/>
      <c r="O302" s="245"/>
      <c r="P302" s="245"/>
      <c r="Q302" s="245"/>
      <c r="R302" s="245"/>
      <c r="S302" s="245"/>
      <c r="T302" s="245"/>
      <c r="U302" s="245"/>
      <c r="V302" s="245"/>
      <c r="W302" s="245"/>
      <c r="X302" s="245"/>
      <c r="Y302" s="245"/>
      <c r="Z302" s="245"/>
    </row>
    <row r="303" spans="1:26">
      <c r="A303" s="245"/>
      <c r="B303" s="245"/>
      <c r="C303" s="245"/>
      <c r="D303" s="245"/>
      <c r="E303" s="245"/>
      <c r="F303" s="245"/>
      <c r="G303" s="245"/>
      <c r="H303" s="245"/>
      <c r="I303" s="245"/>
      <c r="J303" s="245"/>
      <c r="K303" s="245"/>
      <c r="L303" s="245"/>
      <c r="M303" s="245"/>
      <c r="N303" s="245"/>
      <c r="O303" s="245"/>
      <c r="P303" s="245"/>
      <c r="Q303" s="245"/>
      <c r="R303" s="245"/>
      <c r="S303" s="245"/>
      <c r="T303" s="245"/>
      <c r="U303" s="245"/>
      <c r="V303" s="245"/>
      <c r="W303" s="245"/>
      <c r="X303" s="245"/>
      <c r="Y303" s="245"/>
      <c r="Z303" s="245"/>
    </row>
    <row r="304" spans="1:26">
      <c r="A304" s="245"/>
      <c r="B304" s="245"/>
      <c r="C304" s="245"/>
      <c r="D304" s="245"/>
      <c r="E304" s="245"/>
      <c r="F304" s="245"/>
      <c r="G304" s="245"/>
      <c r="H304" s="245"/>
      <c r="I304" s="245"/>
      <c r="J304" s="245"/>
      <c r="K304" s="245"/>
      <c r="L304" s="245"/>
      <c r="M304" s="245"/>
      <c r="N304" s="245"/>
      <c r="O304" s="245"/>
      <c r="P304" s="245"/>
      <c r="Q304" s="245"/>
      <c r="R304" s="245"/>
      <c r="S304" s="245"/>
      <c r="T304" s="245"/>
      <c r="U304" s="245"/>
      <c r="V304" s="245"/>
      <c r="W304" s="245"/>
      <c r="X304" s="245"/>
      <c r="Y304" s="245"/>
      <c r="Z304" s="245"/>
    </row>
    <row r="305" spans="1:26">
      <c r="A305" s="245"/>
      <c r="B305" s="245"/>
      <c r="C305" s="245"/>
      <c r="D305" s="245"/>
      <c r="E305" s="245"/>
      <c r="F305" s="245"/>
      <c r="G305" s="245"/>
      <c r="H305" s="245"/>
      <c r="I305" s="245"/>
      <c r="J305" s="245"/>
      <c r="K305" s="245"/>
      <c r="L305" s="245"/>
      <c r="M305" s="245"/>
      <c r="N305" s="245"/>
      <c r="O305" s="245"/>
      <c r="P305" s="245"/>
      <c r="Q305" s="245"/>
      <c r="R305" s="245"/>
      <c r="S305" s="245"/>
      <c r="T305" s="245"/>
      <c r="U305" s="245"/>
      <c r="V305" s="245"/>
      <c r="W305" s="245"/>
      <c r="X305" s="245"/>
      <c r="Y305" s="245"/>
      <c r="Z305" s="245"/>
    </row>
    <row r="306" spans="1:26">
      <c r="A306" s="245"/>
      <c r="B306" s="245"/>
      <c r="C306" s="245"/>
      <c r="D306" s="245"/>
      <c r="E306" s="245"/>
      <c r="F306" s="245"/>
      <c r="G306" s="245"/>
      <c r="H306" s="245"/>
      <c r="I306" s="245"/>
      <c r="J306" s="245"/>
      <c r="K306" s="245"/>
      <c r="L306" s="245"/>
      <c r="M306" s="245"/>
      <c r="N306" s="245"/>
      <c r="O306" s="245"/>
      <c r="P306" s="245"/>
      <c r="Q306" s="245"/>
      <c r="R306" s="245"/>
      <c r="S306" s="245"/>
      <c r="T306" s="245"/>
      <c r="U306" s="245"/>
      <c r="V306" s="245"/>
      <c r="W306" s="245"/>
      <c r="X306" s="245"/>
      <c r="Y306" s="245"/>
      <c r="Z306" s="245"/>
    </row>
    <row r="307" spans="1:26">
      <c r="A307" s="245"/>
      <c r="B307" s="245"/>
      <c r="C307" s="245"/>
      <c r="D307" s="245"/>
      <c r="E307" s="245"/>
      <c r="F307" s="245"/>
      <c r="G307" s="245"/>
      <c r="H307" s="245"/>
      <c r="I307" s="245"/>
      <c r="J307" s="245"/>
      <c r="K307" s="245"/>
      <c r="L307" s="245"/>
      <c r="M307" s="245"/>
      <c r="N307" s="245"/>
      <c r="O307" s="245"/>
      <c r="P307" s="245"/>
      <c r="Q307" s="245"/>
      <c r="R307" s="245"/>
      <c r="S307" s="245"/>
      <c r="T307" s="245"/>
      <c r="U307" s="245"/>
      <c r="V307" s="245"/>
      <c r="W307" s="245"/>
      <c r="X307" s="245"/>
      <c r="Y307" s="245"/>
      <c r="Z307" s="245"/>
    </row>
    <row r="308" spans="1:26">
      <c r="A308" s="245"/>
      <c r="B308" s="245"/>
      <c r="C308" s="245"/>
      <c r="D308" s="245"/>
      <c r="E308" s="245"/>
      <c r="F308" s="245"/>
      <c r="G308" s="245"/>
      <c r="H308" s="245"/>
      <c r="I308" s="245"/>
      <c r="J308" s="245"/>
      <c r="K308" s="245"/>
      <c r="L308" s="245"/>
      <c r="M308" s="245"/>
      <c r="N308" s="245"/>
      <c r="O308" s="245"/>
      <c r="P308" s="245"/>
      <c r="Q308" s="245"/>
      <c r="R308" s="245"/>
      <c r="S308" s="245"/>
      <c r="T308" s="245"/>
      <c r="U308" s="245"/>
      <c r="V308" s="245"/>
      <c r="W308" s="245"/>
      <c r="X308" s="245"/>
      <c r="Y308" s="245"/>
      <c r="Z308" s="245"/>
    </row>
    <row r="309" spans="1:26">
      <c r="A309" s="245"/>
      <c r="B309" s="245"/>
      <c r="C309" s="245"/>
      <c r="D309" s="245"/>
      <c r="E309" s="245"/>
      <c r="F309" s="245"/>
      <c r="G309" s="245"/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/>
      <c r="S309" s="245"/>
      <c r="T309" s="245"/>
      <c r="U309" s="245"/>
      <c r="V309" s="245"/>
      <c r="W309" s="245"/>
      <c r="X309" s="245"/>
      <c r="Y309" s="245"/>
      <c r="Z309" s="245"/>
    </row>
    <row r="310" spans="1:26">
      <c r="A310" s="245"/>
      <c r="B310" s="245"/>
      <c r="C310" s="245"/>
      <c r="D310" s="245"/>
      <c r="E310" s="245"/>
      <c r="F310" s="245"/>
      <c r="G310" s="245"/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/>
      <c r="S310" s="245"/>
      <c r="T310" s="245"/>
      <c r="U310" s="245"/>
      <c r="V310" s="245"/>
      <c r="W310" s="245"/>
      <c r="X310" s="245"/>
      <c r="Y310" s="245"/>
      <c r="Z310" s="245"/>
    </row>
    <row r="311" spans="1:26">
      <c r="A311" s="245"/>
      <c r="B311" s="245"/>
      <c r="C311" s="245"/>
      <c r="D311" s="245"/>
      <c r="E311" s="245"/>
      <c r="F311" s="245"/>
      <c r="G311" s="245"/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/>
      <c r="S311" s="245"/>
      <c r="T311" s="245"/>
      <c r="U311" s="245"/>
      <c r="V311" s="245"/>
      <c r="W311" s="245"/>
      <c r="X311" s="245"/>
      <c r="Y311" s="245"/>
      <c r="Z311" s="245"/>
    </row>
    <row r="312" spans="1:26">
      <c r="A312" s="245"/>
      <c r="B312" s="245"/>
      <c r="C312" s="245"/>
      <c r="D312" s="245"/>
      <c r="E312" s="245"/>
      <c r="F312" s="245"/>
      <c r="G312" s="245"/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/>
      <c r="S312" s="245"/>
      <c r="T312" s="245"/>
      <c r="U312" s="245"/>
      <c r="V312" s="245"/>
      <c r="W312" s="245"/>
      <c r="X312" s="245"/>
      <c r="Y312" s="245"/>
      <c r="Z312" s="245"/>
    </row>
    <row r="313" spans="1:26">
      <c r="A313" s="245"/>
      <c r="B313" s="245"/>
      <c r="C313" s="245"/>
      <c r="D313" s="245"/>
      <c r="E313" s="245"/>
      <c r="F313" s="245"/>
      <c r="G313" s="245"/>
      <c r="H313" s="245"/>
      <c r="I313" s="245"/>
      <c r="J313" s="245"/>
      <c r="K313" s="245"/>
      <c r="L313" s="245"/>
      <c r="M313" s="245"/>
      <c r="N313" s="245"/>
      <c r="O313" s="245"/>
      <c r="P313" s="245"/>
      <c r="Q313" s="245"/>
      <c r="R313" s="245"/>
      <c r="S313" s="245"/>
      <c r="T313" s="245"/>
      <c r="U313" s="245"/>
      <c r="V313" s="245"/>
      <c r="W313" s="245"/>
      <c r="X313" s="245"/>
      <c r="Y313" s="245"/>
      <c r="Z313" s="245"/>
    </row>
    <row r="314" spans="1:26">
      <c r="A314" s="245"/>
      <c r="B314" s="245"/>
      <c r="C314" s="245"/>
      <c r="D314" s="245"/>
      <c r="E314" s="245"/>
      <c r="F314" s="245"/>
      <c r="G314" s="245"/>
      <c r="H314" s="245"/>
      <c r="I314" s="245"/>
      <c r="J314" s="245"/>
      <c r="K314" s="245"/>
      <c r="L314" s="245"/>
      <c r="M314" s="245"/>
      <c r="N314" s="245"/>
      <c r="O314" s="245"/>
      <c r="P314" s="245"/>
      <c r="Q314" s="245"/>
      <c r="R314" s="245"/>
      <c r="S314" s="245"/>
      <c r="T314" s="245"/>
      <c r="U314" s="245"/>
      <c r="V314" s="245"/>
      <c r="W314" s="245"/>
      <c r="X314" s="245"/>
      <c r="Y314" s="245"/>
      <c r="Z314" s="245"/>
    </row>
    <row r="315" spans="1:26">
      <c r="A315" s="245"/>
      <c r="B315" s="245"/>
      <c r="C315" s="245"/>
      <c r="D315" s="245"/>
      <c r="E315" s="245"/>
      <c r="F315" s="245"/>
      <c r="G315" s="245"/>
      <c r="H315" s="245"/>
      <c r="I315" s="245"/>
      <c r="J315" s="245"/>
      <c r="K315" s="245"/>
      <c r="L315" s="245"/>
      <c r="M315" s="245"/>
      <c r="N315" s="245"/>
      <c r="O315" s="245"/>
      <c r="P315" s="245"/>
      <c r="Q315" s="245"/>
      <c r="R315" s="245"/>
      <c r="S315" s="245"/>
      <c r="T315" s="245"/>
      <c r="U315" s="245"/>
      <c r="V315" s="245"/>
      <c r="W315" s="245"/>
      <c r="X315" s="245"/>
      <c r="Y315" s="245"/>
      <c r="Z315" s="245"/>
    </row>
    <row r="316" spans="1:26">
      <c r="A316" s="245"/>
      <c r="B316" s="245"/>
      <c r="C316" s="245"/>
      <c r="D316" s="245"/>
      <c r="E316" s="245"/>
      <c r="F316" s="245"/>
      <c r="G316" s="245"/>
      <c r="H316" s="245"/>
      <c r="I316" s="245"/>
      <c r="J316" s="245"/>
      <c r="K316" s="245"/>
      <c r="L316" s="245"/>
      <c r="M316" s="245"/>
      <c r="N316" s="245"/>
      <c r="O316" s="245"/>
      <c r="P316" s="245"/>
      <c r="Q316" s="245"/>
      <c r="R316" s="245"/>
      <c r="S316" s="245"/>
      <c r="T316" s="245"/>
      <c r="U316" s="245"/>
      <c r="V316" s="245"/>
      <c r="W316" s="245"/>
      <c r="X316" s="245"/>
      <c r="Y316" s="245"/>
      <c r="Z316" s="245"/>
    </row>
    <row r="317" spans="1:26">
      <c r="A317" s="245"/>
      <c r="B317" s="245"/>
      <c r="C317" s="245"/>
      <c r="D317" s="245"/>
      <c r="E317" s="245"/>
      <c r="F317" s="245"/>
      <c r="G317" s="245"/>
      <c r="H317" s="245"/>
      <c r="I317" s="245"/>
      <c r="J317" s="245"/>
      <c r="K317" s="245"/>
      <c r="L317" s="245"/>
      <c r="M317" s="245"/>
      <c r="N317" s="245"/>
      <c r="O317" s="245"/>
      <c r="P317" s="245"/>
      <c r="Q317" s="245"/>
      <c r="R317" s="245"/>
      <c r="S317" s="245"/>
      <c r="T317" s="245"/>
      <c r="U317" s="245"/>
      <c r="V317" s="245"/>
      <c r="W317" s="245"/>
      <c r="X317" s="245"/>
      <c r="Y317" s="245"/>
      <c r="Z317" s="245"/>
    </row>
    <row r="318" spans="1:26">
      <c r="A318" s="245"/>
      <c r="B318" s="245"/>
      <c r="C318" s="245"/>
      <c r="D318" s="245"/>
      <c r="E318" s="245"/>
      <c r="F318" s="245"/>
      <c r="G318" s="245"/>
      <c r="H318" s="245"/>
      <c r="I318" s="245"/>
      <c r="J318" s="245"/>
      <c r="K318" s="245"/>
      <c r="L318" s="245"/>
      <c r="M318" s="245"/>
      <c r="N318" s="245"/>
      <c r="O318" s="245"/>
      <c r="P318" s="245"/>
      <c r="Q318" s="245"/>
      <c r="R318" s="245"/>
      <c r="S318" s="245"/>
      <c r="T318" s="245"/>
      <c r="U318" s="245"/>
      <c r="V318" s="245"/>
      <c r="W318" s="245"/>
      <c r="X318" s="245"/>
      <c r="Y318" s="245"/>
      <c r="Z318" s="245"/>
    </row>
    <row r="319" spans="1:26">
      <c r="A319" s="245"/>
      <c r="B319" s="245"/>
      <c r="C319" s="245"/>
      <c r="D319" s="245"/>
      <c r="E319" s="245"/>
      <c r="F319" s="245"/>
      <c r="G319" s="245"/>
      <c r="H319" s="245"/>
      <c r="I319" s="245"/>
      <c r="J319" s="245"/>
      <c r="K319" s="245"/>
      <c r="L319" s="245"/>
      <c r="M319" s="245"/>
      <c r="N319" s="245"/>
      <c r="O319" s="245"/>
      <c r="P319" s="245"/>
      <c r="Q319" s="245"/>
      <c r="R319" s="245"/>
      <c r="S319" s="245"/>
      <c r="T319" s="245"/>
      <c r="U319" s="245"/>
      <c r="V319" s="245"/>
      <c r="W319" s="245"/>
      <c r="X319" s="245"/>
      <c r="Y319" s="245"/>
      <c r="Z319" s="245"/>
    </row>
    <row r="320" spans="1:26">
      <c r="A320" s="245"/>
      <c r="B320" s="245"/>
      <c r="C320" s="245"/>
      <c r="D320" s="245"/>
      <c r="E320" s="245"/>
      <c r="F320" s="245"/>
      <c r="G320" s="245"/>
      <c r="H320" s="245"/>
      <c r="I320" s="245"/>
      <c r="J320" s="245"/>
      <c r="K320" s="245"/>
      <c r="L320" s="245"/>
      <c r="M320" s="245"/>
      <c r="N320" s="245"/>
      <c r="O320" s="245"/>
      <c r="P320" s="245"/>
      <c r="Q320" s="245"/>
      <c r="R320" s="245"/>
      <c r="S320" s="245"/>
      <c r="T320" s="245"/>
      <c r="U320" s="245"/>
      <c r="V320" s="245"/>
      <c r="W320" s="245"/>
      <c r="X320" s="245"/>
      <c r="Y320" s="245"/>
      <c r="Z320" s="245"/>
    </row>
    <row r="321" spans="1:26">
      <c r="A321" s="245"/>
      <c r="B321" s="245"/>
      <c r="C321" s="245"/>
      <c r="D321" s="245"/>
      <c r="E321" s="245"/>
      <c r="F321" s="245"/>
      <c r="G321" s="245"/>
      <c r="H321" s="245"/>
      <c r="I321" s="245"/>
      <c r="J321" s="245"/>
      <c r="K321" s="245"/>
      <c r="L321" s="245"/>
      <c r="M321" s="245"/>
      <c r="N321" s="245"/>
      <c r="O321" s="245"/>
      <c r="P321" s="245"/>
      <c r="Q321" s="245"/>
      <c r="R321" s="245"/>
      <c r="S321" s="245"/>
      <c r="T321" s="245"/>
      <c r="U321" s="245"/>
      <c r="V321" s="245"/>
      <c r="W321" s="245"/>
      <c r="X321" s="245"/>
      <c r="Y321" s="245"/>
      <c r="Z321" s="245"/>
    </row>
    <row r="322" spans="1:26">
      <c r="A322" s="245"/>
      <c r="B322" s="245"/>
      <c r="C322" s="245"/>
      <c r="D322" s="245"/>
      <c r="E322" s="245"/>
      <c r="F322" s="245"/>
      <c r="G322" s="245"/>
      <c r="H322" s="245"/>
      <c r="I322" s="245"/>
      <c r="J322" s="245"/>
      <c r="K322" s="245"/>
      <c r="L322" s="245"/>
      <c r="M322" s="245"/>
      <c r="N322" s="245"/>
      <c r="O322" s="245"/>
      <c r="P322" s="245"/>
      <c r="Q322" s="245"/>
      <c r="R322" s="245"/>
      <c r="S322" s="245"/>
      <c r="T322" s="245"/>
      <c r="U322" s="245"/>
      <c r="V322" s="245"/>
      <c r="W322" s="245"/>
      <c r="X322" s="245"/>
      <c r="Y322" s="245"/>
      <c r="Z322" s="245"/>
    </row>
    <row r="323" spans="1:26">
      <c r="A323" s="245"/>
      <c r="B323" s="245"/>
      <c r="C323" s="245"/>
      <c r="D323" s="245"/>
      <c r="E323" s="245"/>
      <c r="F323" s="245"/>
      <c r="G323" s="245"/>
      <c r="H323" s="245"/>
      <c r="I323" s="245"/>
      <c r="J323" s="245"/>
      <c r="K323" s="245"/>
      <c r="L323" s="245"/>
      <c r="M323" s="245"/>
      <c r="N323" s="245"/>
      <c r="O323" s="245"/>
      <c r="P323" s="245"/>
      <c r="Q323" s="245"/>
      <c r="R323" s="245"/>
      <c r="S323" s="245"/>
      <c r="T323" s="245"/>
      <c r="U323" s="245"/>
      <c r="V323" s="245"/>
      <c r="W323" s="245"/>
      <c r="X323" s="245"/>
      <c r="Y323" s="245"/>
      <c r="Z323" s="245"/>
    </row>
    <row r="324" spans="1:26">
      <c r="A324" s="245"/>
      <c r="B324" s="245"/>
      <c r="C324" s="245"/>
      <c r="D324" s="245"/>
      <c r="E324" s="245"/>
      <c r="F324" s="245"/>
      <c r="G324" s="245"/>
      <c r="H324" s="245"/>
      <c r="I324" s="245"/>
      <c r="J324" s="245"/>
      <c r="K324" s="245"/>
      <c r="L324" s="245"/>
      <c r="M324" s="245"/>
      <c r="N324" s="245"/>
      <c r="O324" s="245"/>
      <c r="P324" s="245"/>
      <c r="Q324" s="245"/>
      <c r="R324" s="245"/>
      <c r="S324" s="245"/>
      <c r="T324" s="245"/>
      <c r="U324" s="245"/>
      <c r="V324" s="245"/>
      <c r="W324" s="245"/>
      <c r="X324" s="245"/>
      <c r="Y324" s="245"/>
      <c r="Z324" s="245"/>
    </row>
    <row r="325" spans="1:26">
      <c r="A325" s="245"/>
      <c r="B325" s="245"/>
      <c r="C325" s="245"/>
      <c r="D325" s="245"/>
      <c r="E325" s="245"/>
      <c r="F325" s="245"/>
      <c r="G325" s="245"/>
      <c r="H325" s="245"/>
      <c r="I325" s="245"/>
      <c r="J325" s="245"/>
      <c r="K325" s="245"/>
      <c r="L325" s="245"/>
      <c r="M325" s="245"/>
      <c r="N325" s="245"/>
      <c r="O325" s="245"/>
      <c r="P325" s="245"/>
      <c r="Q325" s="245"/>
      <c r="R325" s="245"/>
      <c r="S325" s="245"/>
      <c r="T325" s="245"/>
      <c r="U325" s="245"/>
      <c r="V325" s="245"/>
      <c r="W325" s="245"/>
      <c r="X325" s="245"/>
      <c r="Y325" s="245"/>
      <c r="Z325" s="245"/>
    </row>
    <row r="326" spans="1:26">
      <c r="A326" s="245"/>
      <c r="B326" s="245"/>
      <c r="C326" s="245"/>
      <c r="D326" s="245"/>
      <c r="E326" s="245"/>
      <c r="F326" s="245"/>
      <c r="G326" s="245"/>
      <c r="H326" s="245"/>
      <c r="I326" s="245"/>
      <c r="J326" s="245"/>
      <c r="K326" s="245"/>
      <c r="L326" s="245"/>
      <c r="M326" s="245"/>
      <c r="N326" s="245"/>
      <c r="O326" s="245"/>
      <c r="P326" s="245"/>
      <c r="Q326" s="245"/>
      <c r="R326" s="245"/>
      <c r="S326" s="245"/>
      <c r="T326" s="245"/>
      <c r="U326" s="245"/>
      <c r="V326" s="245"/>
      <c r="W326" s="245"/>
      <c r="X326" s="245"/>
      <c r="Y326" s="245"/>
      <c r="Z326" s="245"/>
    </row>
    <row r="327" spans="1:26">
      <c r="A327" s="245"/>
      <c r="B327" s="245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5"/>
      <c r="P327" s="245"/>
      <c r="Q327" s="245"/>
      <c r="R327" s="245"/>
      <c r="S327" s="245"/>
      <c r="T327" s="245"/>
      <c r="U327" s="245"/>
      <c r="V327" s="245"/>
      <c r="W327" s="245"/>
      <c r="X327" s="245"/>
      <c r="Y327" s="245"/>
      <c r="Z327" s="245"/>
    </row>
    <row r="328" spans="1:26">
      <c r="A328" s="245"/>
      <c r="B328" s="245"/>
      <c r="C328" s="245"/>
      <c r="D328" s="245"/>
      <c r="E328" s="245"/>
      <c r="F328" s="245"/>
      <c r="G328" s="245"/>
      <c r="H328" s="245"/>
      <c r="I328" s="245"/>
      <c r="J328" s="245"/>
      <c r="K328" s="245"/>
      <c r="L328" s="245"/>
      <c r="M328" s="245"/>
      <c r="N328" s="245"/>
      <c r="O328" s="245"/>
      <c r="P328" s="245"/>
      <c r="Q328" s="245"/>
      <c r="R328" s="245"/>
      <c r="S328" s="245"/>
      <c r="T328" s="245"/>
      <c r="U328" s="245"/>
      <c r="V328" s="245"/>
      <c r="W328" s="245"/>
      <c r="X328" s="245"/>
      <c r="Y328" s="245"/>
      <c r="Z328" s="245"/>
    </row>
    <row r="329" spans="1:26">
      <c r="A329" s="245"/>
      <c r="B329" s="245"/>
      <c r="C329" s="245"/>
      <c r="D329" s="245"/>
      <c r="E329" s="245"/>
      <c r="F329" s="245"/>
      <c r="G329" s="245"/>
      <c r="H329" s="245"/>
      <c r="I329" s="245"/>
      <c r="J329" s="245"/>
      <c r="K329" s="245"/>
      <c r="L329" s="245"/>
      <c r="M329" s="245"/>
      <c r="N329" s="245"/>
      <c r="O329" s="245"/>
      <c r="P329" s="245"/>
      <c r="Q329" s="245"/>
      <c r="R329" s="245"/>
      <c r="S329" s="245"/>
      <c r="T329" s="245"/>
      <c r="U329" s="245"/>
      <c r="V329" s="245"/>
      <c r="W329" s="245"/>
      <c r="X329" s="245"/>
      <c r="Y329" s="245"/>
      <c r="Z329" s="245"/>
    </row>
    <row r="330" spans="1:26">
      <c r="A330" s="245"/>
      <c r="B330" s="245"/>
      <c r="C330" s="245"/>
      <c r="D330" s="245"/>
      <c r="E330" s="245"/>
      <c r="F330" s="245"/>
      <c r="G330" s="245"/>
      <c r="H330" s="245"/>
      <c r="I330" s="245"/>
      <c r="J330" s="245"/>
      <c r="K330" s="245"/>
      <c r="L330" s="245"/>
      <c r="M330" s="245"/>
      <c r="N330" s="245"/>
      <c r="O330" s="245"/>
      <c r="P330" s="245"/>
      <c r="Q330" s="245"/>
      <c r="R330" s="245"/>
      <c r="S330" s="245"/>
      <c r="T330" s="245"/>
      <c r="U330" s="245"/>
      <c r="V330" s="245"/>
      <c r="W330" s="245"/>
      <c r="X330" s="245"/>
      <c r="Y330" s="245"/>
      <c r="Z330" s="245"/>
    </row>
    <row r="331" spans="1:26">
      <c r="A331" s="245"/>
      <c r="B331" s="245"/>
      <c r="C331" s="245"/>
      <c r="D331" s="245"/>
      <c r="E331" s="245"/>
      <c r="F331" s="245"/>
      <c r="G331" s="245"/>
      <c r="H331" s="245"/>
      <c r="I331" s="245"/>
      <c r="J331" s="245"/>
      <c r="K331" s="245"/>
      <c r="L331" s="245"/>
      <c r="M331" s="245"/>
      <c r="N331" s="245"/>
      <c r="O331" s="245"/>
      <c r="P331" s="245"/>
      <c r="Q331" s="245"/>
      <c r="R331" s="245"/>
      <c r="S331" s="245"/>
      <c r="T331" s="245"/>
      <c r="U331" s="245"/>
      <c r="V331" s="245"/>
      <c r="W331" s="245"/>
      <c r="X331" s="245"/>
      <c r="Y331" s="245"/>
      <c r="Z331" s="245"/>
    </row>
    <row r="332" spans="1:26">
      <c r="A332" s="245"/>
      <c r="B332" s="245"/>
      <c r="C332" s="245"/>
      <c r="D332" s="245"/>
      <c r="E332" s="245"/>
      <c r="F332" s="245"/>
      <c r="G332" s="245"/>
      <c r="H332" s="245"/>
      <c r="I332" s="245"/>
      <c r="J332" s="245"/>
      <c r="K332" s="245"/>
      <c r="L332" s="245"/>
      <c r="M332" s="245"/>
      <c r="N332" s="245"/>
      <c r="O332" s="245"/>
      <c r="P332" s="245"/>
      <c r="Q332" s="245"/>
      <c r="R332" s="245"/>
      <c r="S332" s="245"/>
      <c r="T332" s="245"/>
      <c r="U332" s="245"/>
      <c r="V332" s="245"/>
      <c r="W332" s="245"/>
      <c r="X332" s="245"/>
      <c r="Y332" s="245"/>
      <c r="Z332" s="245"/>
    </row>
    <row r="333" spans="1:26">
      <c r="A333" s="245"/>
      <c r="B333" s="245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5"/>
      <c r="P333" s="245"/>
      <c r="Q333" s="245"/>
      <c r="R333" s="245"/>
      <c r="S333" s="245"/>
      <c r="T333" s="245"/>
      <c r="U333" s="245"/>
      <c r="V333" s="245"/>
      <c r="W333" s="245"/>
      <c r="X333" s="245"/>
      <c r="Y333" s="245"/>
      <c r="Z333" s="245"/>
    </row>
    <row r="334" spans="1:26">
      <c r="A334" s="245"/>
      <c r="B334" s="245"/>
      <c r="C334" s="245"/>
      <c r="D334" s="245"/>
      <c r="E334" s="245"/>
      <c r="F334" s="245"/>
      <c r="G334" s="245"/>
      <c r="H334" s="245"/>
      <c r="I334" s="245"/>
      <c r="J334" s="245"/>
      <c r="K334" s="245"/>
      <c r="L334" s="245"/>
      <c r="M334" s="245"/>
      <c r="N334" s="245"/>
      <c r="O334" s="245"/>
      <c r="P334" s="245"/>
      <c r="Q334" s="245"/>
      <c r="R334" s="245"/>
      <c r="S334" s="245"/>
      <c r="T334" s="245"/>
      <c r="U334" s="245"/>
      <c r="V334" s="245"/>
      <c r="W334" s="245"/>
      <c r="X334" s="245"/>
      <c r="Y334" s="245"/>
      <c r="Z334" s="245"/>
    </row>
    <row r="335" spans="1:26">
      <c r="A335" s="245"/>
      <c r="B335" s="245"/>
      <c r="C335" s="245"/>
      <c r="D335" s="245"/>
      <c r="E335" s="245"/>
      <c r="F335" s="245"/>
      <c r="G335" s="245"/>
      <c r="H335" s="245"/>
      <c r="I335" s="245"/>
      <c r="J335" s="245"/>
      <c r="K335" s="245"/>
      <c r="L335" s="245"/>
      <c r="M335" s="245"/>
      <c r="N335" s="245"/>
      <c r="O335" s="245"/>
      <c r="P335" s="245"/>
      <c r="Q335" s="245"/>
      <c r="R335" s="245"/>
      <c r="S335" s="245"/>
      <c r="T335" s="245"/>
      <c r="U335" s="245"/>
      <c r="V335" s="245"/>
      <c r="W335" s="245"/>
      <c r="X335" s="245"/>
      <c r="Y335" s="245"/>
      <c r="Z335" s="245"/>
    </row>
    <row r="336" spans="1:26">
      <c r="A336" s="245"/>
      <c r="B336" s="245"/>
      <c r="C336" s="245"/>
      <c r="D336" s="245"/>
      <c r="E336" s="245"/>
      <c r="F336" s="245"/>
      <c r="G336" s="245"/>
      <c r="H336" s="245"/>
      <c r="I336" s="245"/>
      <c r="J336" s="245"/>
      <c r="K336" s="245"/>
      <c r="L336" s="245"/>
      <c r="M336" s="245"/>
      <c r="N336" s="245"/>
      <c r="O336" s="245"/>
      <c r="P336" s="245"/>
      <c r="Q336" s="245"/>
      <c r="R336" s="245"/>
      <c r="S336" s="245"/>
      <c r="T336" s="245"/>
      <c r="U336" s="245"/>
      <c r="V336" s="245"/>
      <c r="W336" s="245"/>
      <c r="X336" s="245"/>
      <c r="Y336" s="245"/>
      <c r="Z336" s="245"/>
    </row>
    <row r="337" spans="1:26">
      <c r="A337" s="245"/>
      <c r="B337" s="245"/>
      <c r="C337" s="245"/>
      <c r="D337" s="245"/>
      <c r="E337" s="245"/>
      <c r="F337" s="245"/>
      <c r="G337" s="245"/>
      <c r="H337" s="245"/>
      <c r="I337" s="245"/>
      <c r="J337" s="245"/>
      <c r="K337" s="245"/>
      <c r="L337" s="245"/>
      <c r="M337" s="245"/>
      <c r="N337" s="245"/>
      <c r="O337" s="245"/>
      <c r="P337" s="245"/>
      <c r="Q337" s="245"/>
      <c r="R337" s="245"/>
      <c r="S337" s="245"/>
      <c r="T337" s="245"/>
      <c r="U337" s="245"/>
      <c r="V337" s="245"/>
      <c r="W337" s="245"/>
      <c r="X337" s="245"/>
      <c r="Y337" s="245"/>
      <c r="Z337" s="245"/>
    </row>
    <row r="338" spans="1:26">
      <c r="A338" s="245"/>
      <c r="B338" s="245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5"/>
      <c r="P338" s="245"/>
      <c r="Q338" s="245"/>
      <c r="R338" s="245"/>
      <c r="S338" s="245"/>
      <c r="T338" s="245"/>
      <c r="U338" s="245"/>
      <c r="V338" s="245"/>
      <c r="W338" s="245"/>
      <c r="X338" s="245"/>
      <c r="Y338" s="245"/>
      <c r="Z338" s="245"/>
    </row>
    <row r="339" spans="1:26">
      <c r="A339" s="245"/>
      <c r="B339" s="245"/>
      <c r="C339" s="245"/>
      <c r="D339" s="245"/>
      <c r="E339" s="245"/>
      <c r="F339" s="245"/>
      <c r="G339" s="245"/>
      <c r="H339" s="245"/>
      <c r="I339" s="245"/>
      <c r="J339" s="245"/>
      <c r="K339" s="245"/>
      <c r="L339" s="245"/>
      <c r="M339" s="245"/>
      <c r="N339" s="245"/>
      <c r="O339" s="245"/>
      <c r="P339" s="245"/>
      <c r="Q339" s="245"/>
      <c r="R339" s="245"/>
      <c r="S339" s="245"/>
      <c r="T339" s="245"/>
      <c r="U339" s="245"/>
      <c r="V339" s="245"/>
      <c r="W339" s="245"/>
      <c r="X339" s="245"/>
      <c r="Y339" s="245"/>
      <c r="Z339" s="245"/>
    </row>
    <row r="340" spans="1:26">
      <c r="A340" s="245"/>
      <c r="B340" s="245"/>
      <c r="C340" s="245"/>
      <c r="D340" s="245"/>
      <c r="E340" s="245"/>
      <c r="F340" s="245"/>
      <c r="G340" s="245"/>
      <c r="H340" s="245"/>
      <c r="I340" s="245"/>
      <c r="J340" s="245"/>
      <c r="K340" s="245"/>
      <c r="L340" s="245"/>
      <c r="M340" s="245"/>
      <c r="N340" s="245"/>
      <c r="O340" s="245"/>
      <c r="P340" s="245"/>
      <c r="Q340" s="245"/>
      <c r="R340" s="245"/>
      <c r="S340" s="245"/>
      <c r="T340" s="245"/>
      <c r="U340" s="245"/>
      <c r="V340" s="245"/>
      <c r="W340" s="245"/>
      <c r="X340" s="245"/>
      <c r="Y340" s="245"/>
      <c r="Z340" s="245"/>
    </row>
    <row r="341" spans="1:26">
      <c r="A341" s="245"/>
      <c r="B341" s="245"/>
      <c r="C341" s="245"/>
      <c r="D341" s="245"/>
      <c r="E341" s="245"/>
      <c r="F341" s="245"/>
      <c r="G341" s="245"/>
      <c r="H341" s="245"/>
      <c r="I341" s="245"/>
      <c r="J341" s="245"/>
      <c r="K341" s="245"/>
      <c r="L341" s="245"/>
      <c r="M341" s="245"/>
      <c r="N341" s="245"/>
      <c r="O341" s="245"/>
      <c r="P341" s="245"/>
      <c r="Q341" s="245"/>
      <c r="R341" s="245"/>
      <c r="S341" s="245"/>
      <c r="T341" s="245"/>
      <c r="U341" s="245"/>
      <c r="V341" s="245"/>
      <c r="W341" s="245"/>
      <c r="X341" s="245"/>
      <c r="Y341" s="245"/>
      <c r="Z341" s="245"/>
    </row>
    <row r="342" spans="1:26">
      <c r="A342" s="245"/>
      <c r="B342" s="245"/>
      <c r="C342" s="245"/>
      <c r="D342" s="245"/>
      <c r="E342" s="245"/>
      <c r="F342" s="245"/>
      <c r="G342" s="245"/>
      <c r="H342" s="245"/>
      <c r="I342" s="245"/>
      <c r="J342" s="245"/>
      <c r="K342" s="245"/>
      <c r="L342" s="245"/>
      <c r="M342" s="245"/>
      <c r="N342" s="245"/>
      <c r="O342" s="245"/>
      <c r="P342" s="245"/>
      <c r="Q342" s="245"/>
      <c r="R342" s="245"/>
      <c r="S342" s="245"/>
      <c r="T342" s="245"/>
      <c r="U342" s="245"/>
      <c r="V342" s="245"/>
      <c r="W342" s="245"/>
      <c r="X342" s="245"/>
      <c r="Y342" s="245"/>
      <c r="Z342" s="245"/>
    </row>
    <row r="343" spans="1:26">
      <c r="A343" s="245"/>
      <c r="B343" s="245"/>
      <c r="C343" s="245"/>
      <c r="D343" s="245"/>
      <c r="E343" s="245"/>
      <c r="F343" s="245"/>
      <c r="G343" s="245"/>
      <c r="H343" s="245"/>
      <c r="I343" s="245"/>
      <c r="J343" s="245"/>
      <c r="K343" s="245"/>
      <c r="L343" s="245"/>
      <c r="M343" s="245"/>
      <c r="N343" s="245"/>
      <c r="O343" s="245"/>
      <c r="P343" s="245"/>
      <c r="Q343" s="245"/>
      <c r="R343" s="245"/>
      <c r="S343" s="245"/>
      <c r="T343" s="245"/>
      <c r="U343" s="245"/>
      <c r="V343" s="245"/>
      <c r="W343" s="245"/>
      <c r="X343" s="245"/>
      <c r="Y343" s="245"/>
      <c r="Z343" s="245"/>
    </row>
    <row r="344" spans="1:26">
      <c r="A344" s="245"/>
      <c r="B344" s="245"/>
      <c r="C344" s="245"/>
      <c r="D344" s="245"/>
      <c r="E344" s="245"/>
      <c r="F344" s="245"/>
      <c r="G344" s="245"/>
      <c r="H344" s="245"/>
      <c r="I344" s="245"/>
      <c r="J344" s="245"/>
      <c r="K344" s="245"/>
      <c r="L344" s="245"/>
      <c r="M344" s="245"/>
      <c r="N344" s="245"/>
      <c r="O344" s="245"/>
      <c r="P344" s="245"/>
      <c r="Q344" s="245"/>
      <c r="R344" s="245"/>
      <c r="S344" s="245"/>
      <c r="T344" s="245"/>
      <c r="U344" s="245"/>
      <c r="V344" s="245"/>
      <c r="W344" s="245"/>
      <c r="X344" s="245"/>
      <c r="Y344" s="245"/>
      <c r="Z344" s="245"/>
    </row>
    <row r="345" spans="1:26">
      <c r="A345" s="245"/>
      <c r="B345" s="245"/>
      <c r="C345" s="245"/>
      <c r="D345" s="245"/>
      <c r="E345" s="245"/>
      <c r="F345" s="245"/>
      <c r="G345" s="245"/>
      <c r="H345" s="245"/>
      <c r="I345" s="245"/>
      <c r="J345" s="245"/>
      <c r="K345" s="245"/>
      <c r="L345" s="245"/>
      <c r="M345" s="245"/>
      <c r="N345" s="245"/>
      <c r="O345" s="245"/>
      <c r="P345" s="245"/>
      <c r="Q345" s="245"/>
      <c r="R345" s="245"/>
      <c r="S345" s="245"/>
      <c r="T345" s="245"/>
      <c r="U345" s="245"/>
      <c r="V345" s="245"/>
      <c r="W345" s="245"/>
      <c r="X345" s="245"/>
      <c r="Y345" s="245"/>
      <c r="Z345" s="245"/>
    </row>
    <row r="346" spans="1:26">
      <c r="A346" s="245"/>
      <c r="B346" s="245"/>
      <c r="C346" s="245"/>
      <c r="D346" s="245"/>
      <c r="E346" s="245"/>
      <c r="F346" s="245"/>
      <c r="G346" s="245"/>
      <c r="H346" s="245"/>
      <c r="I346" s="245"/>
      <c r="J346" s="245"/>
      <c r="K346" s="245"/>
      <c r="L346" s="245"/>
      <c r="M346" s="245"/>
      <c r="N346" s="245"/>
      <c r="O346" s="245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5"/>
    </row>
    <row r="347" spans="1:26">
      <c r="A347" s="245"/>
      <c r="B347" s="245"/>
      <c r="C347" s="245"/>
      <c r="D347" s="245"/>
      <c r="E347" s="245"/>
      <c r="F347" s="245"/>
      <c r="G347" s="245"/>
      <c r="H347" s="245"/>
      <c r="I347" s="245"/>
      <c r="J347" s="245"/>
      <c r="K347" s="245"/>
      <c r="L347" s="245"/>
      <c r="M347" s="245"/>
      <c r="N347" s="245"/>
      <c r="O347" s="245"/>
      <c r="P347" s="245"/>
      <c r="Q347" s="245"/>
      <c r="R347" s="245"/>
      <c r="S347" s="245"/>
      <c r="T347" s="245"/>
      <c r="U347" s="245"/>
      <c r="V347" s="245"/>
      <c r="W347" s="245"/>
      <c r="X347" s="245"/>
      <c r="Y347" s="245"/>
      <c r="Z347" s="245"/>
    </row>
    <row r="348" spans="1:26">
      <c r="A348" s="245"/>
      <c r="B348" s="245"/>
      <c r="C348" s="245"/>
      <c r="D348" s="245"/>
      <c r="E348" s="245"/>
      <c r="F348" s="245"/>
      <c r="G348" s="245"/>
      <c r="H348" s="245"/>
      <c r="I348" s="245"/>
      <c r="J348" s="245"/>
      <c r="K348" s="245"/>
      <c r="L348" s="245"/>
      <c r="M348" s="245"/>
      <c r="N348" s="245"/>
      <c r="O348" s="245"/>
      <c r="P348" s="245"/>
      <c r="Q348" s="245"/>
      <c r="R348" s="245"/>
      <c r="S348" s="245"/>
      <c r="T348" s="245"/>
      <c r="U348" s="245"/>
      <c r="V348" s="245"/>
      <c r="W348" s="245"/>
      <c r="X348" s="245"/>
      <c r="Y348" s="245"/>
      <c r="Z348" s="245"/>
    </row>
    <row r="349" spans="1:26">
      <c r="A349" s="245"/>
      <c r="B349" s="245"/>
      <c r="C349" s="245"/>
      <c r="D349" s="245"/>
      <c r="E349" s="245"/>
      <c r="F349" s="245"/>
      <c r="G349" s="245"/>
      <c r="H349" s="245"/>
      <c r="I349" s="245"/>
      <c r="J349" s="245"/>
      <c r="K349" s="245"/>
      <c r="L349" s="245"/>
      <c r="M349" s="245"/>
      <c r="N349" s="245"/>
      <c r="O349" s="245"/>
      <c r="P349" s="245"/>
      <c r="Q349" s="245"/>
      <c r="R349" s="245"/>
      <c r="S349" s="245"/>
      <c r="T349" s="245"/>
      <c r="U349" s="245"/>
      <c r="V349" s="245"/>
      <c r="W349" s="245"/>
      <c r="X349" s="245"/>
      <c r="Y349" s="245"/>
      <c r="Z349" s="245"/>
    </row>
    <row r="350" spans="1:26">
      <c r="A350" s="245"/>
      <c r="B350" s="245"/>
      <c r="C350" s="245"/>
      <c r="D350" s="245"/>
      <c r="E350" s="245"/>
      <c r="F350" s="245"/>
      <c r="G350" s="245"/>
      <c r="H350" s="245"/>
      <c r="I350" s="245"/>
      <c r="J350" s="245"/>
      <c r="K350" s="245"/>
      <c r="L350" s="245"/>
      <c r="M350" s="245"/>
      <c r="N350" s="245"/>
      <c r="O350" s="245"/>
      <c r="P350" s="245"/>
      <c r="Q350" s="245"/>
      <c r="R350" s="245"/>
      <c r="S350" s="245"/>
      <c r="T350" s="245"/>
      <c r="U350" s="245"/>
      <c r="V350" s="245"/>
      <c r="W350" s="245"/>
      <c r="X350" s="245"/>
      <c r="Y350" s="245"/>
      <c r="Z350" s="245"/>
    </row>
    <row r="351" spans="1:26">
      <c r="A351" s="245"/>
      <c r="B351" s="245"/>
      <c r="C351" s="245"/>
      <c r="D351" s="245"/>
      <c r="E351" s="245"/>
      <c r="F351" s="245"/>
      <c r="G351" s="245"/>
      <c r="H351" s="245"/>
      <c r="I351" s="245"/>
      <c r="J351" s="245"/>
      <c r="K351" s="245"/>
      <c r="L351" s="245"/>
      <c r="M351" s="245"/>
      <c r="N351" s="245"/>
      <c r="O351" s="245"/>
      <c r="P351" s="245"/>
      <c r="Q351" s="245"/>
      <c r="R351" s="245"/>
      <c r="S351" s="245"/>
      <c r="T351" s="245"/>
      <c r="U351" s="245"/>
      <c r="V351" s="245"/>
      <c r="W351" s="245"/>
      <c r="X351" s="245"/>
      <c r="Y351" s="245"/>
      <c r="Z351" s="245"/>
    </row>
    <row r="352" spans="1:26">
      <c r="A352" s="245"/>
      <c r="B352" s="245"/>
      <c r="C352" s="245"/>
      <c r="D352" s="245"/>
      <c r="E352" s="245"/>
      <c r="F352" s="245"/>
      <c r="G352" s="245"/>
      <c r="H352" s="245"/>
      <c r="I352" s="245"/>
      <c r="J352" s="245"/>
      <c r="K352" s="245"/>
      <c r="L352" s="245"/>
      <c r="M352" s="245"/>
      <c r="N352" s="245"/>
      <c r="O352" s="245"/>
      <c r="P352" s="245"/>
      <c r="Q352" s="245"/>
      <c r="R352" s="245"/>
      <c r="S352" s="245"/>
      <c r="T352" s="245"/>
      <c r="U352" s="245"/>
      <c r="V352" s="245"/>
      <c r="W352" s="245"/>
      <c r="X352" s="245"/>
      <c r="Y352" s="245"/>
      <c r="Z352" s="245"/>
    </row>
    <row r="353" spans="1:26">
      <c r="A353" s="245"/>
      <c r="B353" s="245"/>
      <c r="C353" s="245"/>
      <c r="D353" s="245"/>
      <c r="E353" s="245"/>
      <c r="F353" s="245"/>
      <c r="G353" s="245"/>
      <c r="H353" s="245"/>
      <c r="I353" s="245"/>
      <c r="J353" s="245"/>
      <c r="K353" s="245"/>
      <c r="L353" s="245"/>
      <c r="M353" s="245"/>
      <c r="N353" s="245"/>
      <c r="O353" s="245"/>
      <c r="P353" s="245"/>
      <c r="Q353" s="245"/>
      <c r="R353" s="245"/>
      <c r="S353" s="245"/>
      <c r="T353" s="245"/>
      <c r="U353" s="245"/>
      <c r="V353" s="245"/>
      <c r="W353" s="245"/>
      <c r="X353" s="245"/>
      <c r="Y353" s="245"/>
      <c r="Z353" s="245"/>
    </row>
    <row r="354" spans="1:26">
      <c r="A354" s="245"/>
      <c r="B354" s="245"/>
      <c r="C354" s="245"/>
      <c r="D354" s="245"/>
      <c r="E354" s="245"/>
      <c r="F354" s="245"/>
      <c r="G354" s="245"/>
      <c r="H354" s="245"/>
      <c r="I354" s="245"/>
      <c r="J354" s="245"/>
      <c r="K354" s="245"/>
      <c r="L354" s="245"/>
      <c r="M354" s="245"/>
      <c r="N354" s="245"/>
      <c r="O354" s="245"/>
      <c r="P354" s="245"/>
      <c r="Q354" s="245"/>
      <c r="R354" s="245"/>
      <c r="S354" s="245"/>
      <c r="T354" s="245"/>
      <c r="U354" s="245"/>
      <c r="V354" s="245"/>
      <c r="W354" s="245"/>
      <c r="X354" s="245"/>
      <c r="Y354" s="245"/>
      <c r="Z354" s="245"/>
    </row>
    <row r="355" spans="1:26">
      <c r="A355" s="245"/>
      <c r="B355" s="245"/>
      <c r="C355" s="245"/>
      <c r="D355" s="245"/>
      <c r="E355" s="245"/>
      <c r="F355" s="245"/>
      <c r="G355" s="245"/>
      <c r="H355" s="245"/>
      <c r="I355" s="245"/>
      <c r="J355" s="245"/>
      <c r="K355" s="245"/>
      <c r="L355" s="245"/>
      <c r="M355" s="245"/>
      <c r="N355" s="245"/>
      <c r="O355" s="245"/>
      <c r="P355" s="245"/>
      <c r="Q355" s="245"/>
      <c r="R355" s="245"/>
      <c r="S355" s="245"/>
      <c r="T355" s="245"/>
      <c r="U355" s="245"/>
      <c r="V355" s="245"/>
      <c r="W355" s="245"/>
      <c r="X355" s="245"/>
      <c r="Y355" s="245"/>
      <c r="Z355" s="245"/>
    </row>
    <row r="356" spans="1:26">
      <c r="A356" s="245"/>
      <c r="B356" s="245"/>
      <c r="C356" s="245"/>
      <c r="D356" s="245"/>
      <c r="E356" s="245"/>
      <c r="F356" s="245"/>
      <c r="G356" s="245"/>
      <c r="H356" s="245"/>
      <c r="I356" s="245"/>
      <c r="J356" s="245"/>
      <c r="K356" s="245"/>
      <c r="L356" s="245"/>
      <c r="M356" s="245"/>
      <c r="N356" s="245"/>
      <c r="O356" s="245"/>
      <c r="P356" s="245"/>
      <c r="Q356" s="245"/>
      <c r="R356" s="245"/>
      <c r="S356" s="245"/>
      <c r="T356" s="245"/>
      <c r="U356" s="245"/>
      <c r="V356" s="245"/>
      <c r="W356" s="245"/>
      <c r="X356" s="245"/>
      <c r="Y356" s="245"/>
      <c r="Z356" s="245"/>
    </row>
    <row r="357" spans="1:26">
      <c r="A357" s="245"/>
      <c r="B357" s="245"/>
      <c r="C357" s="245"/>
      <c r="D357" s="245"/>
      <c r="E357" s="245"/>
      <c r="F357" s="245"/>
      <c r="G357" s="245"/>
      <c r="H357" s="245"/>
      <c r="I357" s="245"/>
      <c r="J357" s="245"/>
      <c r="K357" s="245"/>
      <c r="L357" s="245"/>
      <c r="M357" s="245"/>
      <c r="N357" s="245"/>
      <c r="O357" s="245"/>
      <c r="P357" s="245"/>
      <c r="Q357" s="245"/>
      <c r="R357" s="245"/>
      <c r="S357" s="245"/>
      <c r="T357" s="245"/>
      <c r="U357" s="245"/>
      <c r="V357" s="245"/>
      <c r="W357" s="245"/>
      <c r="X357" s="245"/>
      <c r="Y357" s="245"/>
      <c r="Z357" s="245"/>
    </row>
    <row r="358" spans="1:26">
      <c r="A358" s="245"/>
      <c r="B358" s="245"/>
      <c r="C358" s="245"/>
      <c r="D358" s="245"/>
      <c r="E358" s="245"/>
      <c r="F358" s="245"/>
      <c r="G358" s="245"/>
      <c r="H358" s="245"/>
      <c r="I358" s="245"/>
      <c r="J358" s="245"/>
      <c r="K358" s="245"/>
      <c r="L358" s="245"/>
      <c r="M358" s="245"/>
      <c r="N358" s="245"/>
      <c r="O358" s="245"/>
      <c r="P358" s="245"/>
      <c r="Q358" s="245"/>
      <c r="R358" s="245"/>
      <c r="S358" s="245"/>
      <c r="T358" s="245"/>
      <c r="U358" s="245"/>
      <c r="V358" s="245"/>
      <c r="W358" s="245"/>
      <c r="X358" s="245"/>
      <c r="Y358" s="245"/>
      <c r="Z358" s="245"/>
    </row>
    <row r="359" spans="1:26">
      <c r="A359" s="245"/>
      <c r="B359" s="245"/>
      <c r="C359" s="245"/>
      <c r="D359" s="245"/>
      <c r="E359" s="245"/>
      <c r="F359" s="245"/>
      <c r="G359" s="245"/>
      <c r="H359" s="245"/>
      <c r="I359" s="245"/>
      <c r="J359" s="245"/>
      <c r="K359" s="245"/>
      <c r="L359" s="245"/>
      <c r="M359" s="245"/>
      <c r="N359" s="245"/>
      <c r="O359" s="245"/>
      <c r="P359" s="245"/>
      <c r="Q359" s="245"/>
      <c r="R359" s="245"/>
      <c r="S359" s="245"/>
      <c r="T359" s="245"/>
      <c r="U359" s="245"/>
      <c r="V359" s="245"/>
      <c r="W359" s="245"/>
      <c r="X359" s="245"/>
      <c r="Y359" s="245"/>
      <c r="Z359" s="245"/>
    </row>
    <row r="360" spans="1:26">
      <c r="A360" s="245"/>
      <c r="B360" s="245"/>
      <c r="C360" s="245"/>
      <c r="D360" s="245"/>
      <c r="E360" s="245"/>
      <c r="F360" s="245"/>
      <c r="G360" s="245"/>
      <c r="H360" s="245"/>
      <c r="I360" s="245"/>
      <c r="J360" s="245"/>
      <c r="K360" s="245"/>
      <c r="L360" s="245"/>
      <c r="M360" s="245"/>
      <c r="N360" s="245"/>
      <c r="O360" s="245"/>
      <c r="P360" s="245"/>
      <c r="Q360" s="245"/>
      <c r="R360" s="245"/>
      <c r="S360" s="245"/>
      <c r="T360" s="245"/>
      <c r="U360" s="245"/>
      <c r="V360" s="245"/>
      <c r="W360" s="245"/>
      <c r="X360" s="245"/>
      <c r="Y360" s="245"/>
      <c r="Z360" s="245"/>
    </row>
    <row r="361" spans="1:26">
      <c r="A361" s="245"/>
      <c r="B361" s="245"/>
      <c r="C361" s="245"/>
      <c r="D361" s="245"/>
      <c r="E361" s="245"/>
      <c r="F361" s="245"/>
      <c r="G361" s="245"/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/>
      <c r="S361" s="245"/>
      <c r="T361" s="245"/>
      <c r="U361" s="245"/>
      <c r="V361" s="245"/>
      <c r="W361" s="245"/>
      <c r="X361" s="245"/>
      <c r="Y361" s="245"/>
      <c r="Z361" s="245"/>
    </row>
    <row r="362" spans="1:26">
      <c r="A362" s="245"/>
      <c r="B362" s="245"/>
      <c r="C362" s="245"/>
      <c r="D362" s="245"/>
      <c r="E362" s="245"/>
      <c r="F362" s="245"/>
      <c r="G362" s="245"/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/>
      <c r="S362" s="245"/>
      <c r="T362" s="245"/>
      <c r="U362" s="245"/>
      <c r="V362" s="245"/>
      <c r="W362" s="245"/>
      <c r="X362" s="245"/>
      <c r="Y362" s="245"/>
      <c r="Z362" s="245"/>
    </row>
    <row r="363" spans="1:26">
      <c r="A363" s="245"/>
      <c r="B363" s="245"/>
      <c r="C363" s="245"/>
      <c r="D363" s="245"/>
      <c r="E363" s="245"/>
      <c r="F363" s="245"/>
      <c r="G363" s="245"/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/>
      <c r="S363" s="245"/>
      <c r="T363" s="245"/>
      <c r="U363" s="245"/>
      <c r="V363" s="245"/>
      <c r="W363" s="245"/>
      <c r="X363" s="245"/>
      <c r="Y363" s="245"/>
      <c r="Z363" s="245"/>
    </row>
    <row r="364" spans="1:26">
      <c r="A364" s="245"/>
      <c r="B364" s="245"/>
      <c r="C364" s="245"/>
      <c r="D364" s="245"/>
      <c r="E364" s="245"/>
      <c r="F364" s="245"/>
      <c r="G364" s="245"/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/>
      <c r="S364" s="245"/>
      <c r="T364" s="245"/>
      <c r="U364" s="245"/>
      <c r="V364" s="245"/>
      <c r="W364" s="245"/>
      <c r="X364" s="245"/>
      <c r="Y364" s="245"/>
      <c r="Z364" s="245"/>
    </row>
    <row r="365" spans="1:26">
      <c r="A365" s="245"/>
      <c r="B365" s="245"/>
      <c r="C365" s="245"/>
      <c r="D365" s="245"/>
      <c r="E365" s="245"/>
      <c r="F365" s="245"/>
      <c r="G365" s="245"/>
      <c r="H365" s="245"/>
      <c r="I365" s="245"/>
      <c r="J365" s="245"/>
      <c r="K365" s="245"/>
      <c r="L365" s="245"/>
      <c r="M365" s="245"/>
      <c r="N365" s="245"/>
      <c r="O365" s="245"/>
      <c r="P365" s="245"/>
      <c r="Q365" s="245"/>
      <c r="R365" s="245"/>
      <c r="S365" s="245"/>
      <c r="T365" s="245"/>
      <c r="U365" s="245"/>
      <c r="V365" s="245"/>
      <c r="W365" s="245"/>
      <c r="X365" s="245"/>
      <c r="Y365" s="245"/>
      <c r="Z365" s="245"/>
    </row>
    <row r="366" spans="1:26">
      <c r="A366" s="245"/>
      <c r="B366" s="245"/>
      <c r="C366" s="245"/>
      <c r="D366" s="245"/>
      <c r="E366" s="245"/>
      <c r="F366" s="245"/>
      <c r="G366" s="245"/>
      <c r="H366" s="245"/>
      <c r="I366" s="245"/>
      <c r="J366" s="245"/>
      <c r="K366" s="245"/>
      <c r="L366" s="245"/>
      <c r="M366" s="245"/>
      <c r="N366" s="245"/>
      <c r="O366" s="245"/>
      <c r="P366" s="245"/>
      <c r="Q366" s="245"/>
      <c r="R366" s="245"/>
      <c r="S366" s="245"/>
      <c r="T366" s="245"/>
      <c r="U366" s="245"/>
      <c r="V366" s="245"/>
      <c r="W366" s="245"/>
      <c r="X366" s="245"/>
      <c r="Y366" s="245"/>
      <c r="Z366" s="245"/>
    </row>
    <row r="367" spans="1:26">
      <c r="A367" s="245"/>
      <c r="B367" s="245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5"/>
      <c r="P367" s="245"/>
      <c r="Q367" s="245"/>
      <c r="R367" s="245"/>
      <c r="S367" s="245"/>
      <c r="T367" s="245"/>
      <c r="U367" s="245"/>
      <c r="V367" s="245"/>
      <c r="W367" s="245"/>
      <c r="X367" s="245"/>
      <c r="Y367" s="245"/>
      <c r="Z367" s="245"/>
    </row>
    <row r="368" spans="1:26">
      <c r="A368" s="245"/>
      <c r="B368" s="245"/>
      <c r="C368" s="245"/>
      <c r="D368" s="245"/>
      <c r="E368" s="245"/>
      <c r="F368" s="245"/>
      <c r="G368" s="245"/>
      <c r="H368" s="245"/>
      <c r="I368" s="245"/>
      <c r="J368" s="245"/>
      <c r="K368" s="245"/>
      <c r="L368" s="245"/>
      <c r="M368" s="245"/>
      <c r="N368" s="245"/>
      <c r="O368" s="245"/>
      <c r="P368" s="245"/>
      <c r="Q368" s="245"/>
      <c r="R368" s="245"/>
      <c r="S368" s="245"/>
      <c r="T368" s="245"/>
      <c r="U368" s="245"/>
      <c r="V368" s="245"/>
      <c r="W368" s="245"/>
      <c r="X368" s="245"/>
      <c r="Y368" s="245"/>
      <c r="Z368" s="245"/>
    </row>
    <row r="369" spans="1:26">
      <c r="A369" s="245"/>
      <c r="B369" s="245"/>
      <c r="C369" s="245"/>
      <c r="D369" s="245"/>
      <c r="E369" s="245"/>
      <c r="F369" s="245"/>
      <c r="G369" s="245"/>
      <c r="H369" s="245"/>
      <c r="I369" s="245"/>
      <c r="J369" s="245"/>
      <c r="K369" s="245"/>
      <c r="L369" s="245"/>
      <c r="M369" s="245"/>
      <c r="N369" s="245"/>
      <c r="O369" s="245"/>
      <c r="P369" s="245"/>
      <c r="Q369" s="245"/>
      <c r="R369" s="245"/>
      <c r="S369" s="245"/>
      <c r="T369" s="245"/>
      <c r="U369" s="245"/>
      <c r="V369" s="245"/>
      <c r="W369" s="245"/>
      <c r="X369" s="245"/>
      <c r="Y369" s="245"/>
      <c r="Z369" s="245"/>
    </row>
    <row r="370" spans="1:26">
      <c r="A370" s="245"/>
      <c r="B370" s="245"/>
      <c r="C370" s="245"/>
      <c r="D370" s="245"/>
      <c r="E370" s="245"/>
      <c r="F370" s="245"/>
      <c r="G370" s="245"/>
      <c r="H370" s="245"/>
      <c r="I370" s="245"/>
      <c r="J370" s="245"/>
      <c r="K370" s="245"/>
      <c r="L370" s="245"/>
      <c r="M370" s="245"/>
      <c r="N370" s="245"/>
      <c r="O370" s="245"/>
      <c r="P370" s="245"/>
      <c r="Q370" s="245"/>
      <c r="R370" s="245"/>
      <c r="S370" s="245"/>
      <c r="T370" s="245"/>
      <c r="U370" s="245"/>
      <c r="V370" s="245"/>
      <c r="W370" s="245"/>
      <c r="X370" s="245"/>
      <c r="Y370" s="245"/>
      <c r="Z370" s="245"/>
    </row>
    <row r="371" spans="1:26">
      <c r="A371" s="245"/>
      <c r="B371" s="245"/>
      <c r="C371" s="245"/>
      <c r="D371" s="245"/>
      <c r="E371" s="245"/>
      <c r="F371" s="245"/>
      <c r="G371" s="245"/>
      <c r="H371" s="245"/>
      <c r="I371" s="245"/>
      <c r="J371" s="245"/>
      <c r="K371" s="245"/>
      <c r="L371" s="245"/>
      <c r="M371" s="245"/>
      <c r="N371" s="245"/>
      <c r="O371" s="245"/>
      <c r="P371" s="245"/>
      <c r="Q371" s="245"/>
      <c r="R371" s="245"/>
      <c r="S371" s="245"/>
      <c r="T371" s="245"/>
      <c r="U371" s="245"/>
      <c r="V371" s="245"/>
      <c r="W371" s="245"/>
      <c r="X371" s="245"/>
      <c r="Y371" s="245"/>
      <c r="Z371" s="245"/>
    </row>
    <row r="372" spans="1:26">
      <c r="A372" s="245"/>
      <c r="B372" s="245"/>
      <c r="C372" s="245"/>
      <c r="D372" s="245"/>
      <c r="E372" s="245"/>
      <c r="F372" s="245"/>
      <c r="G372" s="245"/>
      <c r="H372" s="245"/>
      <c r="I372" s="245"/>
      <c r="J372" s="245"/>
      <c r="K372" s="245"/>
      <c r="L372" s="245"/>
      <c r="M372" s="245"/>
      <c r="N372" s="245"/>
      <c r="O372" s="245"/>
      <c r="P372" s="245"/>
      <c r="Q372" s="245"/>
      <c r="R372" s="245"/>
      <c r="S372" s="245"/>
      <c r="T372" s="245"/>
      <c r="U372" s="245"/>
      <c r="V372" s="245"/>
      <c r="W372" s="245"/>
      <c r="X372" s="245"/>
      <c r="Y372" s="245"/>
      <c r="Z372" s="245"/>
    </row>
    <row r="373" spans="1:26">
      <c r="A373" s="245"/>
      <c r="B373" s="245"/>
      <c r="C373" s="245"/>
      <c r="D373" s="245"/>
      <c r="E373" s="245"/>
      <c r="F373" s="245"/>
      <c r="G373" s="245"/>
      <c r="H373" s="245"/>
      <c r="I373" s="245"/>
      <c r="J373" s="245"/>
      <c r="K373" s="245"/>
      <c r="L373" s="245"/>
      <c r="M373" s="245"/>
      <c r="N373" s="245"/>
      <c r="O373" s="245"/>
      <c r="P373" s="245"/>
      <c r="Q373" s="245"/>
      <c r="R373" s="245"/>
      <c r="S373" s="245"/>
      <c r="T373" s="245"/>
      <c r="U373" s="245"/>
      <c r="V373" s="245"/>
      <c r="W373" s="245"/>
      <c r="X373" s="245"/>
      <c r="Y373" s="245"/>
      <c r="Z373" s="245"/>
    </row>
    <row r="374" spans="1:26">
      <c r="A374" s="245"/>
      <c r="B374" s="245"/>
      <c r="C374" s="245"/>
      <c r="D374" s="245"/>
      <c r="E374" s="245"/>
      <c r="F374" s="245"/>
      <c r="G374" s="245"/>
      <c r="H374" s="245"/>
      <c r="I374" s="245"/>
      <c r="J374" s="245"/>
      <c r="K374" s="245"/>
      <c r="L374" s="245"/>
      <c r="M374" s="245"/>
      <c r="N374" s="245"/>
      <c r="O374" s="245"/>
      <c r="P374" s="245"/>
      <c r="Q374" s="245"/>
      <c r="R374" s="245"/>
      <c r="S374" s="245"/>
      <c r="T374" s="245"/>
      <c r="U374" s="245"/>
      <c r="V374" s="245"/>
      <c r="W374" s="245"/>
      <c r="X374" s="245"/>
      <c r="Y374" s="245"/>
      <c r="Z374" s="245"/>
    </row>
    <row r="375" spans="1:26">
      <c r="A375" s="245"/>
      <c r="B375" s="245"/>
      <c r="C375" s="245"/>
      <c r="D375" s="245"/>
      <c r="E375" s="245"/>
      <c r="F375" s="245"/>
      <c r="G375" s="245"/>
      <c r="H375" s="245"/>
      <c r="I375" s="245"/>
      <c r="J375" s="245"/>
      <c r="K375" s="245"/>
      <c r="L375" s="245"/>
      <c r="M375" s="245"/>
      <c r="N375" s="245"/>
      <c r="O375" s="245"/>
      <c r="P375" s="245"/>
      <c r="Q375" s="245"/>
      <c r="R375" s="245"/>
      <c r="S375" s="245"/>
      <c r="T375" s="245"/>
      <c r="U375" s="245"/>
      <c r="V375" s="245"/>
      <c r="W375" s="245"/>
      <c r="X375" s="245"/>
      <c r="Y375" s="245"/>
      <c r="Z375" s="245"/>
    </row>
    <row r="376" spans="1:26">
      <c r="A376" s="245"/>
      <c r="B376" s="245"/>
      <c r="C376" s="245"/>
      <c r="D376" s="245"/>
      <c r="E376" s="245"/>
      <c r="F376" s="245"/>
      <c r="G376" s="245"/>
      <c r="H376" s="245"/>
      <c r="I376" s="245"/>
      <c r="J376" s="245"/>
      <c r="K376" s="245"/>
      <c r="L376" s="245"/>
      <c r="M376" s="245"/>
      <c r="N376" s="245"/>
      <c r="O376" s="245"/>
      <c r="P376" s="245"/>
      <c r="Q376" s="245"/>
      <c r="R376" s="245"/>
      <c r="S376" s="245"/>
      <c r="T376" s="245"/>
      <c r="U376" s="245"/>
      <c r="V376" s="245"/>
      <c r="W376" s="245"/>
      <c r="X376" s="245"/>
      <c r="Y376" s="245"/>
      <c r="Z376" s="245"/>
    </row>
    <row r="377" spans="1:26">
      <c r="A377" s="245"/>
      <c r="B377" s="245"/>
      <c r="C377" s="245"/>
      <c r="D377" s="245"/>
      <c r="E377" s="245"/>
      <c r="F377" s="245"/>
      <c r="G377" s="245"/>
      <c r="H377" s="245"/>
      <c r="I377" s="245"/>
      <c r="J377" s="245"/>
      <c r="K377" s="245"/>
      <c r="L377" s="245"/>
      <c r="M377" s="245"/>
      <c r="N377" s="245"/>
      <c r="O377" s="245"/>
      <c r="P377" s="245"/>
      <c r="Q377" s="245"/>
      <c r="R377" s="245"/>
      <c r="S377" s="245"/>
      <c r="T377" s="245"/>
      <c r="U377" s="245"/>
      <c r="V377" s="245"/>
      <c r="W377" s="245"/>
      <c r="X377" s="245"/>
      <c r="Y377" s="245"/>
      <c r="Z377" s="245"/>
    </row>
    <row r="378" spans="1:26">
      <c r="A378" s="245"/>
      <c r="B378" s="245"/>
      <c r="C378" s="245"/>
      <c r="D378" s="245"/>
      <c r="E378" s="245"/>
      <c r="F378" s="245"/>
      <c r="G378" s="245"/>
      <c r="H378" s="245"/>
      <c r="I378" s="245"/>
      <c r="J378" s="245"/>
      <c r="K378" s="245"/>
      <c r="L378" s="245"/>
      <c r="M378" s="245"/>
      <c r="N378" s="245"/>
      <c r="O378" s="245"/>
      <c r="P378" s="245"/>
      <c r="Q378" s="245"/>
      <c r="R378" s="245"/>
      <c r="S378" s="245"/>
      <c r="T378" s="245"/>
      <c r="U378" s="245"/>
      <c r="V378" s="245"/>
      <c r="W378" s="245"/>
      <c r="X378" s="245"/>
      <c r="Y378" s="245"/>
      <c r="Z378" s="245"/>
    </row>
    <row r="379" spans="1:26">
      <c r="A379" s="245"/>
      <c r="B379" s="245"/>
      <c r="C379" s="245"/>
      <c r="D379" s="245"/>
      <c r="E379" s="245"/>
      <c r="F379" s="245"/>
      <c r="G379" s="245"/>
      <c r="H379" s="245"/>
      <c r="I379" s="245"/>
      <c r="J379" s="245"/>
      <c r="K379" s="245"/>
      <c r="L379" s="245"/>
      <c r="M379" s="245"/>
      <c r="N379" s="245"/>
      <c r="O379" s="245"/>
      <c r="P379" s="245"/>
      <c r="Q379" s="245"/>
      <c r="R379" s="245"/>
      <c r="S379" s="245"/>
      <c r="T379" s="245"/>
      <c r="U379" s="245"/>
      <c r="V379" s="245"/>
      <c r="W379" s="245"/>
      <c r="X379" s="245"/>
      <c r="Y379" s="245"/>
      <c r="Z379" s="245"/>
    </row>
    <row r="380" spans="1:26">
      <c r="A380" s="245"/>
      <c r="B380" s="245"/>
      <c r="C380" s="245"/>
      <c r="D380" s="245"/>
      <c r="E380" s="245"/>
      <c r="F380" s="245"/>
      <c r="G380" s="245"/>
      <c r="H380" s="245"/>
      <c r="I380" s="245"/>
      <c r="J380" s="245"/>
      <c r="K380" s="245"/>
      <c r="L380" s="245"/>
      <c r="M380" s="245"/>
      <c r="N380" s="245"/>
      <c r="O380" s="245"/>
      <c r="P380" s="245"/>
      <c r="Q380" s="245"/>
      <c r="R380" s="245"/>
      <c r="S380" s="245"/>
      <c r="T380" s="245"/>
      <c r="U380" s="245"/>
      <c r="V380" s="245"/>
      <c r="W380" s="245"/>
      <c r="X380" s="245"/>
      <c r="Y380" s="245"/>
      <c r="Z380" s="245"/>
    </row>
    <row r="381" spans="1:26">
      <c r="A381" s="245"/>
      <c r="B381" s="245"/>
      <c r="C381" s="245"/>
      <c r="D381" s="245"/>
      <c r="E381" s="245"/>
      <c r="F381" s="245"/>
      <c r="G381" s="245"/>
      <c r="H381" s="245"/>
      <c r="I381" s="245"/>
      <c r="J381" s="245"/>
      <c r="K381" s="245"/>
      <c r="L381" s="245"/>
      <c r="M381" s="245"/>
      <c r="N381" s="245"/>
      <c r="O381" s="245"/>
      <c r="P381" s="245"/>
      <c r="Q381" s="245"/>
      <c r="R381" s="245"/>
      <c r="S381" s="245"/>
      <c r="T381" s="245"/>
      <c r="U381" s="245"/>
      <c r="V381" s="245"/>
      <c r="W381" s="245"/>
      <c r="X381" s="245"/>
      <c r="Y381" s="245"/>
      <c r="Z381" s="245"/>
    </row>
    <row r="382" spans="1:26">
      <c r="A382" s="245"/>
      <c r="B382" s="245"/>
      <c r="C382" s="245"/>
      <c r="D382" s="245"/>
      <c r="E382" s="245"/>
      <c r="F382" s="245"/>
      <c r="G382" s="245"/>
      <c r="H382" s="245"/>
      <c r="I382" s="245"/>
      <c r="J382" s="245"/>
      <c r="K382" s="245"/>
      <c r="L382" s="245"/>
      <c r="M382" s="245"/>
      <c r="N382" s="245"/>
      <c r="O382" s="245"/>
      <c r="P382" s="245"/>
      <c r="Q382" s="245"/>
      <c r="R382" s="245"/>
      <c r="S382" s="245"/>
      <c r="T382" s="245"/>
      <c r="U382" s="245"/>
      <c r="V382" s="245"/>
      <c r="W382" s="245"/>
      <c r="X382" s="245"/>
      <c r="Y382" s="245"/>
      <c r="Z382" s="245"/>
    </row>
    <row r="383" spans="1:26">
      <c r="A383" s="245"/>
      <c r="B383" s="245"/>
      <c r="C383" s="245"/>
      <c r="D383" s="245"/>
      <c r="E383" s="245"/>
      <c r="F383" s="245"/>
      <c r="G383" s="245"/>
      <c r="H383" s="245"/>
      <c r="I383" s="245"/>
      <c r="J383" s="245"/>
      <c r="K383" s="245"/>
      <c r="L383" s="245"/>
      <c r="M383" s="245"/>
      <c r="N383" s="245"/>
      <c r="O383" s="245"/>
      <c r="P383" s="245"/>
      <c r="Q383" s="245"/>
      <c r="R383" s="245"/>
      <c r="S383" s="245"/>
      <c r="T383" s="245"/>
      <c r="U383" s="245"/>
      <c r="V383" s="245"/>
      <c r="W383" s="245"/>
      <c r="X383" s="245"/>
      <c r="Y383" s="245"/>
      <c r="Z383" s="245"/>
    </row>
    <row r="384" spans="1:26">
      <c r="A384" s="245"/>
      <c r="B384" s="245"/>
      <c r="C384" s="245"/>
      <c r="D384" s="245"/>
      <c r="E384" s="245"/>
      <c r="F384" s="245"/>
      <c r="G384" s="245"/>
      <c r="H384" s="245"/>
      <c r="I384" s="245"/>
      <c r="J384" s="245"/>
      <c r="K384" s="245"/>
      <c r="L384" s="245"/>
      <c r="M384" s="245"/>
      <c r="N384" s="245"/>
      <c r="O384" s="245"/>
      <c r="P384" s="245"/>
      <c r="Q384" s="245"/>
      <c r="R384" s="245"/>
      <c r="S384" s="245"/>
      <c r="T384" s="245"/>
      <c r="U384" s="245"/>
      <c r="V384" s="245"/>
      <c r="W384" s="245"/>
      <c r="X384" s="245"/>
      <c r="Y384" s="245"/>
      <c r="Z384" s="245"/>
    </row>
    <row r="385" spans="1:26">
      <c r="A385" s="245"/>
      <c r="B385" s="245"/>
      <c r="C385" s="245"/>
      <c r="D385" s="245"/>
      <c r="E385" s="245"/>
      <c r="F385" s="245"/>
      <c r="G385" s="245"/>
      <c r="H385" s="245"/>
      <c r="I385" s="245"/>
      <c r="J385" s="245"/>
      <c r="K385" s="245"/>
      <c r="L385" s="245"/>
      <c r="M385" s="245"/>
      <c r="N385" s="245"/>
      <c r="O385" s="245"/>
      <c r="P385" s="245"/>
      <c r="Q385" s="245"/>
      <c r="R385" s="245"/>
      <c r="S385" s="245"/>
      <c r="T385" s="245"/>
      <c r="U385" s="245"/>
      <c r="V385" s="245"/>
      <c r="W385" s="245"/>
      <c r="X385" s="245"/>
      <c r="Y385" s="245"/>
      <c r="Z385" s="245"/>
    </row>
    <row r="386" spans="1:26">
      <c r="A386" s="245"/>
      <c r="B386" s="245"/>
      <c r="C386" s="245"/>
      <c r="D386" s="245"/>
      <c r="E386" s="245"/>
      <c r="F386" s="245"/>
      <c r="G386" s="245"/>
      <c r="H386" s="245"/>
      <c r="I386" s="245"/>
      <c r="J386" s="245"/>
      <c r="K386" s="245"/>
      <c r="L386" s="245"/>
      <c r="M386" s="245"/>
      <c r="N386" s="245"/>
      <c r="O386" s="245"/>
      <c r="P386" s="245"/>
      <c r="Q386" s="245"/>
      <c r="R386" s="245"/>
      <c r="S386" s="245"/>
      <c r="T386" s="245"/>
      <c r="U386" s="245"/>
      <c r="V386" s="245"/>
      <c r="W386" s="245"/>
      <c r="X386" s="245"/>
      <c r="Y386" s="245"/>
      <c r="Z386" s="245"/>
    </row>
    <row r="387" spans="1:26">
      <c r="A387" s="245"/>
      <c r="B387" s="245"/>
      <c r="C387" s="245"/>
      <c r="D387" s="245"/>
      <c r="E387" s="245"/>
      <c r="F387" s="245"/>
      <c r="G387" s="245"/>
      <c r="H387" s="245"/>
      <c r="I387" s="245"/>
      <c r="J387" s="245"/>
      <c r="K387" s="245"/>
      <c r="L387" s="245"/>
      <c r="M387" s="245"/>
      <c r="N387" s="245"/>
      <c r="O387" s="245"/>
      <c r="P387" s="245"/>
      <c r="Q387" s="245"/>
      <c r="R387" s="245"/>
      <c r="S387" s="245"/>
      <c r="T387" s="245"/>
      <c r="U387" s="245"/>
      <c r="V387" s="245"/>
      <c r="W387" s="245"/>
      <c r="X387" s="245"/>
      <c r="Y387" s="245"/>
      <c r="Z387" s="245"/>
    </row>
    <row r="388" spans="1:26">
      <c r="A388" s="245"/>
      <c r="B388" s="245"/>
      <c r="C388" s="245"/>
      <c r="D388" s="245"/>
      <c r="E388" s="245"/>
      <c r="F388" s="245"/>
      <c r="G388" s="245"/>
      <c r="H388" s="245"/>
      <c r="I388" s="245"/>
      <c r="J388" s="245"/>
      <c r="K388" s="245"/>
      <c r="L388" s="245"/>
      <c r="M388" s="245"/>
      <c r="N388" s="245"/>
      <c r="O388" s="245"/>
      <c r="P388" s="245"/>
      <c r="Q388" s="245"/>
      <c r="R388" s="245"/>
      <c r="S388" s="245"/>
      <c r="T388" s="245"/>
      <c r="U388" s="245"/>
      <c r="V388" s="245"/>
      <c r="W388" s="245"/>
      <c r="X388" s="245"/>
      <c r="Y388" s="245"/>
      <c r="Z388" s="245"/>
    </row>
    <row r="389" spans="1:26">
      <c r="A389" s="245"/>
      <c r="B389" s="245"/>
      <c r="C389" s="245"/>
      <c r="D389" s="245"/>
      <c r="E389" s="245"/>
      <c r="F389" s="245"/>
      <c r="G389" s="245"/>
      <c r="H389" s="245"/>
      <c r="I389" s="245"/>
      <c r="J389" s="245"/>
      <c r="K389" s="245"/>
      <c r="L389" s="245"/>
      <c r="M389" s="245"/>
      <c r="N389" s="245"/>
      <c r="O389" s="245"/>
      <c r="P389" s="245"/>
      <c r="Q389" s="245"/>
      <c r="R389" s="245"/>
      <c r="S389" s="245"/>
      <c r="T389" s="245"/>
      <c r="U389" s="245"/>
      <c r="V389" s="245"/>
      <c r="W389" s="245"/>
      <c r="X389" s="245"/>
      <c r="Y389" s="245"/>
      <c r="Z389" s="245"/>
    </row>
    <row r="390" spans="1:26">
      <c r="A390" s="245"/>
      <c r="B390" s="245"/>
      <c r="C390" s="245"/>
      <c r="D390" s="245"/>
      <c r="E390" s="245"/>
      <c r="F390" s="245"/>
      <c r="G390" s="245"/>
      <c r="H390" s="245"/>
      <c r="I390" s="245"/>
      <c r="J390" s="245"/>
      <c r="K390" s="245"/>
      <c r="L390" s="245"/>
      <c r="M390" s="245"/>
      <c r="N390" s="245"/>
      <c r="O390" s="245"/>
      <c r="P390" s="245"/>
      <c r="Q390" s="245"/>
      <c r="R390" s="245"/>
      <c r="S390" s="245"/>
      <c r="T390" s="245"/>
      <c r="U390" s="245"/>
      <c r="V390" s="245"/>
      <c r="W390" s="245"/>
      <c r="X390" s="245"/>
      <c r="Y390" s="245"/>
      <c r="Z390" s="245"/>
    </row>
    <row r="391" spans="1:26">
      <c r="A391" s="245"/>
      <c r="B391" s="245"/>
      <c r="C391" s="245"/>
      <c r="D391" s="245"/>
      <c r="E391" s="245"/>
      <c r="F391" s="245"/>
      <c r="G391" s="245"/>
      <c r="H391" s="245"/>
      <c r="I391" s="245"/>
      <c r="J391" s="245"/>
      <c r="K391" s="245"/>
      <c r="L391" s="245"/>
      <c r="M391" s="245"/>
      <c r="N391" s="245"/>
      <c r="O391" s="245"/>
      <c r="P391" s="245"/>
      <c r="Q391" s="245"/>
      <c r="R391" s="245"/>
      <c r="S391" s="245"/>
      <c r="T391" s="245"/>
      <c r="U391" s="245"/>
      <c r="V391" s="245"/>
      <c r="W391" s="245"/>
      <c r="X391" s="245"/>
      <c r="Y391" s="245"/>
      <c r="Z391" s="245"/>
    </row>
    <row r="392" spans="1:26">
      <c r="A392" s="245"/>
      <c r="B392" s="245"/>
      <c r="C392" s="245"/>
      <c r="D392" s="245"/>
      <c r="E392" s="245"/>
      <c r="F392" s="245"/>
      <c r="G392" s="245"/>
      <c r="H392" s="245"/>
      <c r="I392" s="245"/>
      <c r="J392" s="245"/>
      <c r="K392" s="245"/>
      <c r="L392" s="245"/>
      <c r="M392" s="245"/>
      <c r="N392" s="245"/>
      <c r="O392" s="245"/>
      <c r="P392" s="245"/>
      <c r="Q392" s="245"/>
      <c r="R392" s="245"/>
      <c r="S392" s="245"/>
      <c r="T392" s="245"/>
      <c r="U392" s="245"/>
      <c r="V392" s="245"/>
      <c r="W392" s="245"/>
      <c r="X392" s="245"/>
      <c r="Y392" s="245"/>
      <c r="Z392" s="245"/>
    </row>
    <row r="393" spans="1:26">
      <c r="A393" s="245"/>
      <c r="B393" s="245"/>
      <c r="C393" s="245"/>
      <c r="D393" s="245"/>
      <c r="E393" s="245"/>
      <c r="F393" s="245"/>
      <c r="G393" s="245"/>
      <c r="H393" s="245"/>
      <c r="I393" s="245"/>
      <c r="J393" s="245"/>
      <c r="K393" s="245"/>
      <c r="L393" s="245"/>
      <c r="M393" s="245"/>
      <c r="N393" s="245"/>
      <c r="O393" s="245"/>
      <c r="P393" s="245"/>
      <c r="Q393" s="245"/>
      <c r="R393" s="245"/>
      <c r="S393" s="245"/>
      <c r="T393" s="245"/>
      <c r="U393" s="245"/>
      <c r="V393" s="245"/>
      <c r="W393" s="245"/>
      <c r="X393" s="245"/>
      <c r="Y393" s="245"/>
      <c r="Z393" s="245"/>
    </row>
    <row r="394" spans="1:26">
      <c r="A394" s="245"/>
      <c r="B394" s="245"/>
      <c r="C394" s="245"/>
      <c r="D394" s="245"/>
      <c r="E394" s="245"/>
      <c r="F394" s="245"/>
      <c r="G394" s="245"/>
      <c r="H394" s="245"/>
      <c r="I394" s="245"/>
      <c r="J394" s="245"/>
      <c r="K394" s="245"/>
      <c r="L394" s="245"/>
      <c r="M394" s="245"/>
      <c r="N394" s="245"/>
      <c r="O394" s="245"/>
      <c r="P394" s="245"/>
      <c r="Q394" s="245"/>
      <c r="R394" s="245"/>
      <c r="S394" s="245"/>
      <c r="T394" s="245"/>
      <c r="U394" s="245"/>
      <c r="V394" s="245"/>
      <c r="W394" s="245"/>
      <c r="X394" s="245"/>
      <c r="Y394" s="245"/>
      <c r="Z394" s="245"/>
    </row>
    <row r="395" spans="1:26">
      <c r="A395" s="245"/>
      <c r="B395" s="245"/>
      <c r="C395" s="245"/>
      <c r="D395" s="245"/>
      <c r="E395" s="245"/>
      <c r="F395" s="245"/>
      <c r="G395" s="245"/>
      <c r="H395" s="245"/>
      <c r="I395" s="245"/>
      <c r="J395" s="245"/>
      <c r="K395" s="245"/>
      <c r="L395" s="245"/>
      <c r="M395" s="245"/>
      <c r="N395" s="245"/>
      <c r="O395" s="245"/>
      <c r="P395" s="245"/>
      <c r="Q395" s="245"/>
      <c r="R395" s="245"/>
      <c r="S395" s="245"/>
      <c r="T395" s="245"/>
      <c r="U395" s="245"/>
      <c r="V395" s="245"/>
      <c r="W395" s="245"/>
      <c r="X395" s="245"/>
      <c r="Y395" s="245"/>
      <c r="Z395" s="245"/>
    </row>
    <row r="396" spans="1:26">
      <c r="A396" s="245"/>
      <c r="B396" s="245"/>
      <c r="C396" s="245"/>
      <c r="D396" s="245"/>
      <c r="E396" s="245"/>
      <c r="F396" s="245"/>
      <c r="G396" s="245"/>
      <c r="H396" s="245"/>
      <c r="I396" s="245"/>
      <c r="J396" s="245"/>
      <c r="K396" s="245"/>
      <c r="L396" s="245"/>
      <c r="M396" s="245"/>
      <c r="N396" s="245"/>
      <c r="O396" s="245"/>
      <c r="P396" s="245"/>
      <c r="Q396" s="245"/>
      <c r="R396" s="245"/>
      <c r="S396" s="245"/>
      <c r="T396" s="245"/>
      <c r="U396" s="245"/>
      <c r="V396" s="245"/>
      <c r="W396" s="245"/>
      <c r="X396" s="245"/>
      <c r="Y396" s="245"/>
      <c r="Z396" s="245"/>
    </row>
    <row r="397" spans="1:26">
      <c r="A397" s="245"/>
      <c r="B397" s="245"/>
      <c r="C397" s="245"/>
      <c r="D397" s="245"/>
      <c r="E397" s="245"/>
      <c r="F397" s="245"/>
      <c r="G397" s="245"/>
      <c r="H397" s="245"/>
      <c r="I397" s="245"/>
      <c r="J397" s="245"/>
      <c r="K397" s="245"/>
      <c r="L397" s="245"/>
      <c r="M397" s="245"/>
      <c r="N397" s="245"/>
      <c r="O397" s="245"/>
      <c r="P397" s="245"/>
      <c r="Q397" s="245"/>
      <c r="R397" s="245"/>
      <c r="S397" s="245"/>
      <c r="T397" s="245"/>
      <c r="U397" s="245"/>
      <c r="V397" s="245"/>
      <c r="W397" s="245"/>
      <c r="X397" s="245"/>
      <c r="Y397" s="245"/>
      <c r="Z397" s="245"/>
    </row>
    <row r="398" spans="1:26">
      <c r="A398" s="245"/>
      <c r="B398" s="245"/>
      <c r="C398" s="245"/>
      <c r="D398" s="245"/>
      <c r="E398" s="245"/>
      <c r="F398" s="245"/>
      <c r="G398" s="245"/>
      <c r="H398" s="245"/>
      <c r="I398" s="245"/>
      <c r="J398" s="245"/>
      <c r="K398" s="245"/>
      <c r="L398" s="245"/>
      <c r="M398" s="245"/>
      <c r="N398" s="245"/>
      <c r="O398" s="245"/>
      <c r="P398" s="245"/>
      <c r="Q398" s="245"/>
      <c r="R398" s="245"/>
      <c r="S398" s="245"/>
      <c r="T398" s="245"/>
      <c r="U398" s="245"/>
      <c r="V398" s="245"/>
      <c r="W398" s="245"/>
      <c r="X398" s="245"/>
      <c r="Y398" s="245"/>
      <c r="Z398" s="245"/>
    </row>
    <row r="399" spans="1:26">
      <c r="A399" s="245"/>
      <c r="B399" s="245"/>
      <c r="C399" s="245"/>
      <c r="D399" s="245"/>
      <c r="E399" s="245"/>
      <c r="F399" s="245"/>
      <c r="G399" s="245"/>
      <c r="H399" s="245"/>
      <c r="I399" s="245"/>
      <c r="J399" s="245"/>
      <c r="K399" s="245"/>
      <c r="L399" s="245"/>
      <c r="M399" s="245"/>
      <c r="N399" s="245"/>
      <c r="O399" s="245"/>
      <c r="P399" s="245"/>
      <c r="Q399" s="245"/>
      <c r="R399" s="245"/>
      <c r="S399" s="245"/>
      <c r="T399" s="245"/>
      <c r="U399" s="245"/>
      <c r="V399" s="245"/>
      <c r="W399" s="245"/>
      <c r="X399" s="245"/>
      <c r="Y399" s="245"/>
      <c r="Z399" s="245"/>
    </row>
    <row r="400" spans="1:26">
      <c r="A400" s="245"/>
      <c r="B400" s="245"/>
      <c r="C400" s="245"/>
      <c r="D400" s="245"/>
      <c r="E400" s="245"/>
      <c r="F400" s="245"/>
      <c r="G400" s="245"/>
      <c r="H400" s="245"/>
      <c r="I400" s="245"/>
      <c r="J400" s="245"/>
      <c r="K400" s="245"/>
      <c r="L400" s="245"/>
      <c r="M400" s="245"/>
      <c r="N400" s="245"/>
      <c r="O400" s="245"/>
      <c r="P400" s="245"/>
      <c r="Q400" s="245"/>
      <c r="R400" s="245"/>
      <c r="S400" s="245"/>
      <c r="T400" s="245"/>
      <c r="U400" s="245"/>
      <c r="V400" s="245"/>
      <c r="W400" s="245"/>
      <c r="X400" s="245"/>
      <c r="Y400" s="245"/>
      <c r="Z400" s="245"/>
    </row>
    <row r="401" spans="1:26">
      <c r="A401" s="245"/>
      <c r="B401" s="245"/>
      <c r="C401" s="245"/>
      <c r="D401" s="245"/>
      <c r="E401" s="245"/>
      <c r="F401" s="245"/>
      <c r="G401" s="245"/>
      <c r="H401" s="245"/>
      <c r="I401" s="245"/>
      <c r="J401" s="245"/>
      <c r="K401" s="245"/>
      <c r="L401" s="245"/>
      <c r="M401" s="245"/>
      <c r="N401" s="245"/>
      <c r="O401" s="245"/>
      <c r="P401" s="245"/>
      <c r="Q401" s="245"/>
      <c r="R401" s="245"/>
      <c r="S401" s="245"/>
      <c r="T401" s="245"/>
      <c r="U401" s="245"/>
      <c r="V401" s="245"/>
      <c r="W401" s="245"/>
      <c r="X401" s="245"/>
      <c r="Y401" s="245"/>
      <c r="Z401" s="245"/>
    </row>
    <row r="402" spans="1:26">
      <c r="A402" s="245"/>
      <c r="B402" s="245"/>
      <c r="C402" s="245"/>
      <c r="D402" s="245"/>
      <c r="E402" s="245"/>
      <c r="F402" s="245"/>
      <c r="G402" s="245"/>
      <c r="H402" s="245"/>
      <c r="I402" s="245"/>
      <c r="J402" s="245"/>
      <c r="K402" s="245"/>
      <c r="L402" s="245"/>
      <c r="M402" s="245"/>
      <c r="N402" s="245"/>
      <c r="O402" s="245"/>
      <c r="P402" s="245"/>
      <c r="Q402" s="245"/>
      <c r="R402" s="245"/>
      <c r="S402" s="245"/>
      <c r="T402" s="245"/>
      <c r="U402" s="245"/>
      <c r="V402" s="245"/>
      <c r="W402" s="245"/>
      <c r="X402" s="245"/>
      <c r="Y402" s="245"/>
      <c r="Z402" s="245"/>
    </row>
    <row r="403" spans="1:26">
      <c r="A403" s="245"/>
      <c r="B403" s="245"/>
      <c r="C403" s="245"/>
      <c r="D403" s="245"/>
      <c r="E403" s="245"/>
      <c r="F403" s="245"/>
      <c r="G403" s="245"/>
      <c r="H403" s="245"/>
      <c r="I403" s="245"/>
      <c r="J403" s="245"/>
      <c r="K403" s="245"/>
      <c r="L403" s="245"/>
      <c r="M403" s="245"/>
      <c r="N403" s="245"/>
      <c r="O403" s="245"/>
      <c r="P403" s="245"/>
      <c r="Q403" s="245"/>
      <c r="R403" s="245"/>
      <c r="S403" s="245"/>
      <c r="T403" s="245"/>
      <c r="U403" s="245"/>
      <c r="V403" s="245"/>
      <c r="W403" s="245"/>
      <c r="X403" s="245"/>
      <c r="Y403" s="245"/>
      <c r="Z403" s="245"/>
    </row>
    <row r="404" spans="1:26">
      <c r="A404" s="245"/>
      <c r="B404" s="245"/>
      <c r="C404" s="245"/>
      <c r="D404" s="245"/>
      <c r="E404" s="245"/>
      <c r="F404" s="245"/>
      <c r="G404" s="245"/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/>
      <c r="S404" s="245"/>
      <c r="T404" s="245"/>
      <c r="U404" s="245"/>
      <c r="V404" s="245"/>
      <c r="W404" s="245"/>
      <c r="X404" s="245"/>
      <c r="Y404" s="245"/>
      <c r="Z404" s="245"/>
    </row>
    <row r="405" spans="1:26">
      <c r="A405" s="245"/>
      <c r="B405" s="245"/>
      <c r="C405" s="245"/>
      <c r="D405" s="245"/>
      <c r="E405" s="245"/>
      <c r="F405" s="245"/>
      <c r="G405" s="245"/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/>
      <c r="S405" s="245"/>
      <c r="T405" s="245"/>
      <c r="U405" s="245"/>
      <c r="V405" s="245"/>
      <c r="W405" s="245"/>
      <c r="X405" s="245"/>
      <c r="Y405" s="245"/>
      <c r="Z405" s="245"/>
    </row>
    <row r="406" spans="1:26">
      <c r="A406" s="245"/>
      <c r="B406" s="245"/>
      <c r="C406" s="245"/>
      <c r="D406" s="245"/>
      <c r="E406" s="245"/>
      <c r="F406" s="245"/>
      <c r="G406" s="245"/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/>
      <c r="S406" s="245"/>
      <c r="T406" s="245"/>
      <c r="U406" s="245"/>
      <c r="V406" s="245"/>
      <c r="W406" s="245"/>
      <c r="X406" s="245"/>
      <c r="Y406" s="245"/>
      <c r="Z406" s="245"/>
    </row>
    <row r="407" spans="1:26">
      <c r="A407" s="245"/>
      <c r="B407" s="245"/>
      <c r="C407" s="245"/>
      <c r="D407" s="245"/>
      <c r="E407" s="245"/>
      <c r="F407" s="245"/>
      <c r="G407" s="245"/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/>
      <c r="S407" s="245"/>
      <c r="T407" s="245"/>
      <c r="U407" s="245"/>
      <c r="V407" s="245"/>
      <c r="W407" s="245"/>
      <c r="X407" s="245"/>
      <c r="Y407" s="245"/>
      <c r="Z407" s="245"/>
    </row>
    <row r="408" spans="1:26">
      <c r="A408" s="245"/>
      <c r="B408" s="245"/>
      <c r="C408" s="245"/>
      <c r="D408" s="245"/>
      <c r="E408" s="245"/>
      <c r="F408" s="245"/>
      <c r="G408" s="245"/>
      <c r="H408" s="245"/>
      <c r="I408" s="245"/>
      <c r="J408" s="245"/>
      <c r="K408" s="245"/>
      <c r="L408" s="245"/>
      <c r="M408" s="245"/>
      <c r="N408" s="245"/>
      <c r="O408" s="245"/>
      <c r="P408" s="245"/>
      <c r="Q408" s="245"/>
      <c r="R408" s="245"/>
      <c r="S408" s="245"/>
      <c r="T408" s="245"/>
      <c r="U408" s="245"/>
      <c r="V408" s="245"/>
      <c r="W408" s="245"/>
      <c r="X408" s="245"/>
      <c r="Y408" s="245"/>
      <c r="Z408" s="245"/>
    </row>
    <row r="409" spans="1:26">
      <c r="A409" s="245"/>
      <c r="B409" s="245"/>
      <c r="C409" s="245"/>
      <c r="D409" s="245"/>
      <c r="E409" s="245"/>
      <c r="F409" s="245"/>
      <c r="G409" s="245"/>
      <c r="H409" s="245"/>
      <c r="I409" s="245"/>
      <c r="J409" s="245"/>
      <c r="K409" s="245"/>
      <c r="L409" s="245"/>
      <c r="M409" s="245"/>
      <c r="N409" s="245"/>
      <c r="O409" s="245"/>
      <c r="P409" s="245"/>
      <c r="Q409" s="245"/>
      <c r="R409" s="245"/>
      <c r="S409" s="245"/>
      <c r="T409" s="245"/>
      <c r="U409" s="245"/>
      <c r="V409" s="245"/>
      <c r="W409" s="245"/>
      <c r="X409" s="245"/>
      <c r="Y409" s="245"/>
      <c r="Z409" s="245"/>
    </row>
    <row r="410" spans="1:26">
      <c r="A410" s="245"/>
      <c r="B410" s="245"/>
      <c r="C410" s="245"/>
      <c r="D410" s="245"/>
      <c r="E410" s="245"/>
      <c r="F410" s="245"/>
      <c r="G410" s="245"/>
      <c r="H410" s="245"/>
      <c r="I410" s="245"/>
      <c r="J410" s="245"/>
      <c r="K410" s="245"/>
      <c r="L410" s="245"/>
      <c r="M410" s="245"/>
      <c r="N410" s="245"/>
      <c r="O410" s="245"/>
      <c r="P410" s="245"/>
      <c r="Q410" s="245"/>
      <c r="R410" s="245"/>
      <c r="S410" s="245"/>
      <c r="T410" s="245"/>
      <c r="U410" s="245"/>
      <c r="V410" s="245"/>
      <c r="W410" s="245"/>
      <c r="X410" s="245"/>
      <c r="Y410" s="245"/>
      <c r="Z410" s="245"/>
    </row>
    <row r="411" spans="1:26">
      <c r="A411" s="245"/>
      <c r="B411" s="245"/>
      <c r="C411" s="245"/>
      <c r="D411" s="245"/>
      <c r="E411" s="245"/>
      <c r="F411" s="245"/>
      <c r="G411" s="245"/>
      <c r="H411" s="245"/>
      <c r="I411" s="245"/>
      <c r="J411" s="245"/>
      <c r="K411" s="245"/>
      <c r="L411" s="245"/>
      <c r="M411" s="245"/>
      <c r="N411" s="245"/>
      <c r="O411" s="245"/>
      <c r="P411" s="245"/>
      <c r="Q411" s="245"/>
      <c r="R411" s="245"/>
      <c r="S411" s="245"/>
      <c r="T411" s="245"/>
      <c r="U411" s="245"/>
      <c r="V411" s="245"/>
      <c r="W411" s="245"/>
      <c r="X411" s="245"/>
      <c r="Y411" s="245"/>
      <c r="Z411" s="245"/>
    </row>
    <row r="412" spans="1:26">
      <c r="A412" s="245"/>
      <c r="B412" s="245"/>
      <c r="C412" s="245"/>
      <c r="D412" s="245"/>
      <c r="E412" s="245"/>
      <c r="F412" s="245"/>
      <c r="G412" s="245"/>
      <c r="H412" s="245"/>
      <c r="I412" s="245"/>
      <c r="J412" s="245"/>
      <c r="K412" s="245"/>
      <c r="L412" s="245"/>
      <c r="M412" s="245"/>
      <c r="N412" s="245"/>
      <c r="O412" s="245"/>
      <c r="P412" s="245"/>
      <c r="Q412" s="245"/>
      <c r="R412" s="245"/>
      <c r="S412" s="245"/>
      <c r="T412" s="245"/>
      <c r="U412" s="245"/>
      <c r="V412" s="245"/>
      <c r="W412" s="245"/>
      <c r="X412" s="245"/>
      <c r="Y412" s="245"/>
      <c r="Z412" s="245"/>
    </row>
    <row r="413" spans="1:26">
      <c r="A413" s="245"/>
      <c r="B413" s="245"/>
      <c r="C413" s="245"/>
      <c r="D413" s="245"/>
      <c r="E413" s="245"/>
      <c r="F413" s="245"/>
      <c r="G413" s="245"/>
      <c r="H413" s="245"/>
      <c r="I413" s="245"/>
      <c r="J413" s="245"/>
      <c r="K413" s="245"/>
      <c r="L413" s="245"/>
      <c r="M413" s="245"/>
      <c r="N413" s="245"/>
      <c r="O413" s="245"/>
      <c r="P413" s="245"/>
      <c r="Q413" s="245"/>
      <c r="R413" s="245"/>
      <c r="S413" s="245"/>
      <c r="T413" s="245"/>
      <c r="U413" s="245"/>
      <c r="V413" s="245"/>
      <c r="W413" s="245"/>
      <c r="X413" s="245"/>
      <c r="Y413" s="245"/>
      <c r="Z413" s="245"/>
    </row>
    <row r="414" spans="1:26">
      <c r="A414" s="245"/>
      <c r="B414" s="245"/>
      <c r="C414" s="245"/>
      <c r="D414" s="245"/>
      <c r="E414" s="245"/>
      <c r="F414" s="245"/>
      <c r="G414" s="245"/>
      <c r="H414" s="245"/>
      <c r="I414" s="245"/>
      <c r="J414" s="245"/>
      <c r="K414" s="245"/>
      <c r="L414" s="245"/>
      <c r="M414" s="245"/>
      <c r="N414" s="245"/>
      <c r="O414" s="245"/>
      <c r="P414" s="245"/>
      <c r="Q414" s="245"/>
      <c r="R414" s="245"/>
      <c r="S414" s="245"/>
      <c r="T414" s="245"/>
      <c r="U414" s="245"/>
      <c r="V414" s="245"/>
      <c r="W414" s="245"/>
      <c r="X414" s="245"/>
      <c r="Y414" s="245"/>
      <c r="Z414" s="245"/>
    </row>
    <row r="415" spans="1:26">
      <c r="A415" s="245"/>
      <c r="B415" s="245"/>
      <c r="C415" s="245"/>
      <c r="D415" s="245"/>
      <c r="E415" s="245"/>
      <c r="F415" s="245"/>
      <c r="G415" s="245"/>
      <c r="H415" s="245"/>
      <c r="I415" s="245"/>
      <c r="J415" s="245"/>
      <c r="K415" s="245"/>
      <c r="L415" s="245"/>
      <c r="M415" s="245"/>
      <c r="N415" s="245"/>
      <c r="O415" s="245"/>
      <c r="P415" s="245"/>
      <c r="Q415" s="245"/>
      <c r="R415" s="245"/>
      <c r="S415" s="245"/>
      <c r="T415" s="245"/>
      <c r="U415" s="245"/>
      <c r="V415" s="245"/>
      <c r="W415" s="245"/>
      <c r="X415" s="245"/>
      <c r="Y415" s="245"/>
      <c r="Z415" s="245"/>
    </row>
    <row r="416" spans="1:26">
      <c r="A416" s="245"/>
      <c r="B416" s="245"/>
      <c r="C416" s="245"/>
      <c r="D416" s="245"/>
      <c r="E416" s="245"/>
      <c r="F416" s="245"/>
      <c r="G416" s="245"/>
      <c r="H416" s="245"/>
      <c r="I416" s="245"/>
      <c r="J416" s="245"/>
      <c r="K416" s="245"/>
      <c r="L416" s="245"/>
      <c r="M416" s="245"/>
      <c r="N416" s="245"/>
      <c r="O416" s="245"/>
      <c r="P416" s="245"/>
      <c r="Q416" s="245"/>
      <c r="R416" s="245"/>
      <c r="S416" s="245"/>
      <c r="T416" s="245"/>
      <c r="U416" s="245"/>
      <c r="V416" s="245"/>
      <c r="W416" s="245"/>
      <c r="X416" s="245"/>
      <c r="Y416" s="245"/>
      <c r="Z416" s="245"/>
    </row>
    <row r="417" spans="1:26">
      <c r="A417" s="245"/>
      <c r="B417" s="245"/>
      <c r="C417" s="245"/>
      <c r="D417" s="245"/>
      <c r="E417" s="245"/>
      <c r="F417" s="245"/>
      <c r="G417" s="245"/>
      <c r="H417" s="245"/>
      <c r="I417" s="245"/>
      <c r="J417" s="245"/>
      <c r="K417" s="245"/>
      <c r="L417" s="245"/>
      <c r="M417" s="245"/>
      <c r="N417" s="245"/>
      <c r="O417" s="245"/>
      <c r="P417" s="245"/>
      <c r="Q417" s="245"/>
      <c r="R417" s="245"/>
      <c r="S417" s="245"/>
      <c r="T417" s="245"/>
      <c r="U417" s="245"/>
      <c r="V417" s="245"/>
      <c r="W417" s="245"/>
      <c r="X417" s="245"/>
      <c r="Y417" s="245"/>
      <c r="Z417" s="245"/>
    </row>
    <row r="418" spans="1:26">
      <c r="A418" s="245"/>
      <c r="B418" s="245"/>
      <c r="C418" s="245"/>
      <c r="D418" s="245"/>
      <c r="E418" s="245"/>
      <c r="F418" s="245"/>
      <c r="G418" s="245"/>
      <c r="H418" s="245"/>
      <c r="I418" s="245"/>
      <c r="J418" s="245"/>
      <c r="K418" s="245"/>
      <c r="L418" s="245"/>
      <c r="M418" s="245"/>
      <c r="N418" s="245"/>
      <c r="O418" s="245"/>
      <c r="P418" s="245"/>
      <c r="Q418" s="245"/>
      <c r="R418" s="245"/>
      <c r="S418" s="245"/>
      <c r="T418" s="245"/>
      <c r="U418" s="245"/>
      <c r="V418" s="245"/>
      <c r="W418" s="245"/>
      <c r="X418" s="245"/>
      <c r="Y418" s="245"/>
      <c r="Z418" s="245"/>
    </row>
    <row r="419" spans="1:26">
      <c r="A419" s="245"/>
      <c r="B419" s="245"/>
      <c r="C419" s="245"/>
      <c r="D419" s="245"/>
      <c r="E419" s="245"/>
      <c r="F419" s="245"/>
      <c r="G419" s="245"/>
      <c r="H419" s="245"/>
      <c r="I419" s="245"/>
      <c r="J419" s="245"/>
      <c r="K419" s="245"/>
      <c r="L419" s="245"/>
      <c r="M419" s="245"/>
      <c r="N419" s="245"/>
      <c r="O419" s="245"/>
      <c r="P419" s="245"/>
      <c r="Q419" s="245"/>
      <c r="R419" s="245"/>
      <c r="S419" s="245"/>
      <c r="T419" s="245"/>
      <c r="U419" s="245"/>
      <c r="V419" s="245"/>
      <c r="W419" s="245"/>
      <c r="X419" s="245"/>
      <c r="Y419" s="245"/>
      <c r="Z419" s="245"/>
    </row>
    <row r="420" spans="1:26">
      <c r="A420" s="245"/>
      <c r="B420" s="245"/>
      <c r="C420" s="245"/>
      <c r="D420" s="245"/>
      <c r="E420" s="245"/>
      <c r="F420" s="245"/>
      <c r="G420" s="245"/>
      <c r="H420" s="245"/>
      <c r="I420" s="245"/>
      <c r="J420" s="245"/>
      <c r="K420" s="245"/>
      <c r="L420" s="245"/>
      <c r="M420" s="245"/>
      <c r="N420" s="245"/>
      <c r="O420" s="245"/>
      <c r="P420" s="245"/>
      <c r="Q420" s="245"/>
      <c r="R420" s="245"/>
      <c r="S420" s="245"/>
      <c r="T420" s="245"/>
      <c r="U420" s="245"/>
      <c r="V420" s="245"/>
      <c r="W420" s="245"/>
      <c r="X420" s="245"/>
      <c r="Y420" s="245"/>
      <c r="Z420" s="245"/>
    </row>
    <row r="421" spans="1:26">
      <c r="A421" s="245"/>
      <c r="B421" s="245"/>
      <c r="C421" s="245"/>
      <c r="D421" s="245"/>
      <c r="E421" s="245"/>
      <c r="F421" s="245"/>
      <c r="G421" s="245"/>
      <c r="H421" s="245"/>
      <c r="I421" s="245"/>
      <c r="J421" s="245"/>
      <c r="K421" s="245"/>
      <c r="L421" s="245"/>
      <c r="M421" s="245"/>
      <c r="N421" s="245"/>
      <c r="O421" s="245"/>
      <c r="P421" s="245"/>
      <c r="Q421" s="245"/>
      <c r="R421" s="245"/>
      <c r="S421" s="245"/>
      <c r="T421" s="245"/>
      <c r="U421" s="245"/>
      <c r="V421" s="245"/>
      <c r="W421" s="245"/>
      <c r="X421" s="245"/>
      <c r="Y421" s="245"/>
      <c r="Z421" s="245"/>
    </row>
    <row r="422" spans="1:26">
      <c r="A422" s="245"/>
      <c r="B422" s="245"/>
      <c r="C422" s="245"/>
      <c r="D422" s="245"/>
      <c r="E422" s="245"/>
      <c r="F422" s="245"/>
      <c r="G422" s="245"/>
      <c r="H422" s="245"/>
      <c r="I422" s="245"/>
      <c r="J422" s="245"/>
      <c r="K422" s="245"/>
      <c r="L422" s="245"/>
      <c r="M422" s="245"/>
      <c r="N422" s="245"/>
      <c r="O422" s="245"/>
      <c r="P422" s="245"/>
      <c r="Q422" s="245"/>
      <c r="R422" s="245"/>
      <c r="S422" s="245"/>
      <c r="T422" s="245"/>
      <c r="U422" s="245"/>
      <c r="V422" s="245"/>
      <c r="W422" s="245"/>
      <c r="X422" s="245"/>
      <c r="Y422" s="245"/>
      <c r="Z422" s="245"/>
    </row>
    <row r="423" spans="1:26">
      <c r="A423" s="245"/>
      <c r="B423" s="245"/>
      <c r="C423" s="245"/>
      <c r="D423" s="245"/>
      <c r="E423" s="245"/>
      <c r="F423" s="245"/>
      <c r="G423" s="245"/>
      <c r="H423" s="245"/>
      <c r="I423" s="245"/>
      <c r="J423" s="245"/>
      <c r="K423" s="245"/>
      <c r="L423" s="245"/>
      <c r="M423" s="245"/>
      <c r="N423" s="245"/>
      <c r="O423" s="245"/>
      <c r="P423" s="245"/>
      <c r="Q423" s="245"/>
      <c r="R423" s="245"/>
      <c r="S423" s="245"/>
      <c r="T423" s="245"/>
      <c r="U423" s="245"/>
      <c r="V423" s="245"/>
      <c r="W423" s="245"/>
      <c r="X423" s="245"/>
      <c r="Y423" s="245"/>
      <c r="Z423" s="245"/>
    </row>
    <row r="424" spans="1:26">
      <c r="A424" s="245"/>
      <c r="B424" s="245"/>
      <c r="C424" s="245"/>
      <c r="D424" s="245"/>
      <c r="E424" s="245"/>
      <c r="F424" s="245"/>
      <c r="G424" s="245"/>
      <c r="H424" s="245"/>
      <c r="I424" s="245"/>
      <c r="J424" s="245"/>
      <c r="K424" s="245"/>
      <c r="L424" s="245"/>
      <c r="M424" s="245"/>
      <c r="N424" s="245"/>
      <c r="O424" s="245"/>
      <c r="P424" s="245"/>
      <c r="Q424" s="245"/>
      <c r="R424" s="245"/>
      <c r="S424" s="245"/>
      <c r="T424" s="245"/>
      <c r="U424" s="245"/>
      <c r="V424" s="245"/>
      <c r="W424" s="245"/>
      <c r="X424" s="245"/>
      <c r="Y424" s="245"/>
      <c r="Z424" s="245"/>
    </row>
    <row r="425" spans="1:26">
      <c r="A425" s="245"/>
      <c r="B425" s="245"/>
      <c r="C425" s="245"/>
      <c r="D425" s="245"/>
      <c r="E425" s="245"/>
      <c r="F425" s="245"/>
      <c r="G425" s="245"/>
      <c r="H425" s="245"/>
      <c r="I425" s="245"/>
      <c r="J425" s="245"/>
      <c r="K425" s="245"/>
      <c r="L425" s="245"/>
      <c r="M425" s="245"/>
      <c r="N425" s="245"/>
      <c r="O425" s="245"/>
      <c r="P425" s="245"/>
      <c r="Q425" s="245"/>
      <c r="R425" s="245"/>
      <c r="S425" s="245"/>
      <c r="T425" s="245"/>
      <c r="U425" s="245"/>
      <c r="V425" s="245"/>
      <c r="W425" s="245"/>
      <c r="X425" s="245"/>
      <c r="Y425" s="245"/>
      <c r="Z425" s="245"/>
    </row>
    <row r="426" spans="1:26">
      <c r="A426" s="245"/>
      <c r="B426" s="245"/>
      <c r="C426" s="245"/>
      <c r="D426" s="245"/>
      <c r="E426" s="245"/>
      <c r="F426" s="245"/>
      <c r="G426" s="245"/>
      <c r="H426" s="245"/>
      <c r="I426" s="245"/>
      <c r="J426" s="245"/>
      <c r="K426" s="245"/>
      <c r="L426" s="245"/>
      <c r="M426" s="245"/>
      <c r="N426" s="245"/>
      <c r="O426" s="245"/>
      <c r="P426" s="245"/>
      <c r="Q426" s="245"/>
      <c r="R426" s="245"/>
      <c r="S426" s="245"/>
      <c r="T426" s="245"/>
      <c r="U426" s="245"/>
      <c r="V426" s="245"/>
      <c r="W426" s="245"/>
      <c r="X426" s="245"/>
      <c r="Y426" s="245"/>
      <c r="Z426" s="245"/>
    </row>
    <row r="427" spans="1:26">
      <c r="A427" s="245"/>
      <c r="B427" s="245"/>
      <c r="C427" s="245"/>
      <c r="D427" s="245"/>
      <c r="E427" s="245"/>
      <c r="F427" s="245"/>
      <c r="G427" s="245"/>
      <c r="H427" s="245"/>
      <c r="I427" s="245"/>
      <c r="J427" s="245"/>
      <c r="K427" s="245"/>
      <c r="L427" s="245"/>
      <c r="M427" s="245"/>
      <c r="N427" s="245"/>
      <c r="O427" s="245"/>
      <c r="P427" s="245"/>
      <c r="Q427" s="245"/>
      <c r="R427" s="245"/>
      <c r="S427" s="245"/>
      <c r="T427" s="245"/>
      <c r="U427" s="245"/>
      <c r="V427" s="245"/>
      <c r="W427" s="245"/>
      <c r="X427" s="245"/>
      <c r="Y427" s="245"/>
      <c r="Z427" s="245"/>
    </row>
    <row r="428" spans="1:26">
      <c r="A428" s="245"/>
      <c r="B428" s="245"/>
      <c r="C428" s="245"/>
      <c r="D428" s="245"/>
      <c r="E428" s="245"/>
      <c r="F428" s="245"/>
      <c r="G428" s="245"/>
      <c r="H428" s="245"/>
      <c r="I428" s="245"/>
      <c r="J428" s="245"/>
      <c r="K428" s="245"/>
      <c r="L428" s="245"/>
      <c r="M428" s="245"/>
      <c r="N428" s="245"/>
      <c r="O428" s="245"/>
      <c r="P428" s="245"/>
      <c r="Q428" s="245"/>
      <c r="R428" s="245"/>
      <c r="S428" s="245"/>
      <c r="T428" s="245"/>
      <c r="U428" s="245"/>
      <c r="V428" s="245"/>
      <c r="W428" s="245"/>
      <c r="X428" s="245"/>
      <c r="Y428" s="245"/>
      <c r="Z428" s="245"/>
    </row>
    <row r="429" spans="1:26">
      <c r="A429" s="245"/>
      <c r="B429" s="245"/>
      <c r="C429" s="245"/>
      <c r="D429" s="245"/>
      <c r="E429" s="245"/>
      <c r="F429" s="245"/>
      <c r="G429" s="245"/>
      <c r="H429" s="245"/>
      <c r="I429" s="245"/>
      <c r="J429" s="245"/>
      <c r="K429" s="245"/>
      <c r="L429" s="245"/>
      <c r="M429" s="245"/>
      <c r="N429" s="245"/>
      <c r="O429" s="245"/>
      <c r="P429" s="245"/>
      <c r="Q429" s="245"/>
      <c r="R429" s="245"/>
      <c r="S429" s="245"/>
      <c r="T429" s="245"/>
      <c r="U429" s="245"/>
      <c r="V429" s="245"/>
      <c r="W429" s="245"/>
      <c r="X429" s="245"/>
      <c r="Y429" s="245"/>
      <c r="Z429" s="245"/>
    </row>
    <row r="430" spans="1:26">
      <c r="A430" s="245"/>
      <c r="B430" s="245"/>
      <c r="C430" s="245"/>
      <c r="D430" s="245"/>
      <c r="E430" s="245"/>
      <c r="F430" s="245"/>
      <c r="G430" s="245"/>
      <c r="H430" s="245"/>
      <c r="I430" s="245"/>
      <c r="J430" s="245"/>
      <c r="K430" s="245"/>
      <c r="L430" s="245"/>
      <c r="M430" s="245"/>
      <c r="N430" s="245"/>
      <c r="O430" s="245"/>
      <c r="P430" s="245"/>
      <c r="Q430" s="245"/>
      <c r="R430" s="245"/>
      <c r="S430" s="245"/>
      <c r="T430" s="245"/>
      <c r="U430" s="245"/>
      <c r="V430" s="245"/>
      <c r="W430" s="245"/>
      <c r="X430" s="245"/>
      <c r="Y430" s="245"/>
      <c r="Z430" s="245"/>
    </row>
    <row r="431" spans="1:26">
      <c r="A431" s="245"/>
      <c r="B431" s="245"/>
      <c r="C431" s="245"/>
      <c r="D431" s="245"/>
      <c r="E431" s="245"/>
      <c r="F431" s="245"/>
      <c r="G431" s="245"/>
      <c r="H431" s="245"/>
      <c r="I431" s="245"/>
      <c r="J431" s="245"/>
      <c r="K431" s="245"/>
      <c r="L431" s="245"/>
      <c r="M431" s="245"/>
      <c r="N431" s="245"/>
      <c r="O431" s="245"/>
      <c r="P431" s="245"/>
      <c r="Q431" s="245"/>
      <c r="R431" s="245"/>
      <c r="S431" s="245"/>
      <c r="T431" s="245"/>
      <c r="U431" s="245"/>
      <c r="V431" s="245"/>
      <c r="W431" s="245"/>
      <c r="X431" s="245"/>
      <c r="Y431" s="245"/>
      <c r="Z431" s="245"/>
    </row>
    <row r="432" spans="1:26">
      <c r="A432" s="245"/>
      <c r="B432" s="245"/>
      <c r="C432" s="245"/>
      <c r="D432" s="245"/>
      <c r="E432" s="245"/>
      <c r="F432" s="245"/>
      <c r="G432" s="245"/>
      <c r="H432" s="245"/>
      <c r="I432" s="245"/>
      <c r="J432" s="245"/>
      <c r="K432" s="245"/>
      <c r="L432" s="245"/>
      <c r="M432" s="245"/>
      <c r="N432" s="245"/>
      <c r="O432" s="245"/>
      <c r="P432" s="245"/>
      <c r="Q432" s="245"/>
      <c r="R432" s="245"/>
      <c r="S432" s="245"/>
      <c r="T432" s="245"/>
      <c r="U432" s="245"/>
      <c r="V432" s="245"/>
      <c r="W432" s="245"/>
      <c r="X432" s="245"/>
      <c r="Y432" s="245"/>
      <c r="Z432" s="245"/>
    </row>
    <row r="433" spans="1:26">
      <c r="A433" s="245"/>
      <c r="B433" s="245"/>
      <c r="C433" s="245"/>
      <c r="D433" s="245"/>
      <c r="E433" s="245"/>
      <c r="F433" s="245"/>
      <c r="G433" s="245"/>
      <c r="H433" s="245"/>
      <c r="I433" s="245"/>
      <c r="J433" s="245"/>
      <c r="K433" s="245"/>
      <c r="L433" s="245"/>
      <c r="M433" s="245"/>
      <c r="N433" s="245"/>
      <c r="O433" s="245"/>
      <c r="P433" s="245"/>
      <c r="Q433" s="245"/>
      <c r="R433" s="245"/>
      <c r="S433" s="245"/>
      <c r="T433" s="245"/>
      <c r="U433" s="245"/>
      <c r="V433" s="245"/>
      <c r="W433" s="245"/>
      <c r="X433" s="245"/>
      <c r="Y433" s="245"/>
      <c r="Z433" s="245"/>
    </row>
    <row r="434" spans="1:26">
      <c r="A434" s="245"/>
      <c r="B434" s="245"/>
      <c r="C434" s="245"/>
      <c r="D434" s="245"/>
      <c r="E434" s="245"/>
      <c r="F434" s="245"/>
      <c r="G434" s="245"/>
      <c r="H434" s="245"/>
      <c r="I434" s="245"/>
      <c r="J434" s="245"/>
      <c r="K434" s="245"/>
      <c r="L434" s="245"/>
      <c r="M434" s="245"/>
      <c r="N434" s="245"/>
      <c r="O434" s="245"/>
      <c r="P434" s="245"/>
      <c r="Q434" s="245"/>
      <c r="R434" s="245"/>
      <c r="S434" s="245"/>
      <c r="T434" s="245"/>
      <c r="U434" s="245"/>
      <c r="V434" s="245"/>
      <c r="W434" s="245"/>
      <c r="X434" s="245"/>
      <c r="Y434" s="245"/>
      <c r="Z434" s="245"/>
    </row>
    <row r="435" spans="1:26">
      <c r="A435" s="245"/>
      <c r="B435" s="245"/>
      <c r="C435" s="245"/>
      <c r="D435" s="245"/>
      <c r="E435" s="245"/>
      <c r="F435" s="245"/>
      <c r="G435" s="245"/>
      <c r="H435" s="245"/>
      <c r="I435" s="245"/>
      <c r="J435" s="245"/>
      <c r="K435" s="245"/>
      <c r="L435" s="245"/>
      <c r="M435" s="245"/>
      <c r="N435" s="245"/>
      <c r="O435" s="245"/>
      <c r="P435" s="245"/>
      <c r="Q435" s="245"/>
      <c r="R435" s="245"/>
      <c r="S435" s="245"/>
      <c r="T435" s="245"/>
      <c r="U435" s="245"/>
      <c r="V435" s="245"/>
      <c r="W435" s="245"/>
      <c r="X435" s="245"/>
      <c r="Y435" s="245"/>
      <c r="Z435" s="245"/>
    </row>
    <row r="436" spans="1:26">
      <c r="A436" s="245"/>
      <c r="B436" s="245"/>
      <c r="C436" s="245"/>
      <c r="D436" s="245"/>
      <c r="E436" s="245"/>
      <c r="F436" s="245"/>
      <c r="G436" s="245"/>
      <c r="H436" s="245"/>
      <c r="I436" s="245"/>
      <c r="J436" s="245"/>
      <c r="K436" s="245"/>
      <c r="L436" s="245"/>
      <c r="M436" s="245"/>
      <c r="N436" s="245"/>
      <c r="O436" s="245"/>
      <c r="P436" s="245"/>
      <c r="Q436" s="245"/>
      <c r="R436" s="245"/>
      <c r="S436" s="245"/>
      <c r="T436" s="245"/>
      <c r="U436" s="245"/>
      <c r="V436" s="245"/>
      <c r="W436" s="245"/>
      <c r="X436" s="245"/>
      <c r="Y436" s="245"/>
      <c r="Z436" s="245"/>
    </row>
    <row r="437" spans="1:26">
      <c r="A437" s="245"/>
      <c r="B437" s="245"/>
      <c r="C437" s="245"/>
      <c r="D437" s="245"/>
      <c r="E437" s="245"/>
      <c r="F437" s="245"/>
      <c r="G437" s="245"/>
      <c r="H437" s="245"/>
      <c r="I437" s="245"/>
      <c r="J437" s="245"/>
      <c r="K437" s="245"/>
      <c r="L437" s="245"/>
      <c r="M437" s="245"/>
      <c r="N437" s="245"/>
      <c r="O437" s="245"/>
      <c r="P437" s="245"/>
      <c r="Q437" s="245"/>
      <c r="R437" s="245"/>
      <c r="S437" s="245"/>
      <c r="T437" s="245"/>
      <c r="U437" s="245"/>
      <c r="V437" s="245"/>
      <c r="W437" s="245"/>
      <c r="X437" s="245"/>
      <c r="Y437" s="245"/>
      <c r="Z437" s="245"/>
    </row>
    <row r="438" spans="1:26">
      <c r="A438" s="245"/>
      <c r="B438" s="245"/>
      <c r="C438" s="245"/>
      <c r="D438" s="245"/>
      <c r="E438" s="245"/>
      <c r="F438" s="245"/>
      <c r="G438" s="245"/>
      <c r="H438" s="245"/>
      <c r="I438" s="245"/>
      <c r="J438" s="245"/>
      <c r="K438" s="245"/>
      <c r="L438" s="245"/>
      <c r="M438" s="245"/>
      <c r="N438" s="245"/>
      <c r="O438" s="245"/>
      <c r="P438" s="245"/>
      <c r="Q438" s="245"/>
      <c r="R438" s="245"/>
      <c r="S438" s="245"/>
      <c r="T438" s="245"/>
      <c r="U438" s="245"/>
      <c r="V438" s="245"/>
      <c r="W438" s="245"/>
      <c r="X438" s="245"/>
      <c r="Y438" s="245"/>
      <c r="Z438" s="245"/>
    </row>
    <row r="439" spans="1:26">
      <c r="A439" s="245"/>
      <c r="B439" s="245"/>
      <c r="C439" s="245"/>
      <c r="D439" s="245"/>
      <c r="E439" s="245"/>
      <c r="F439" s="245"/>
      <c r="G439" s="245"/>
      <c r="H439" s="245"/>
      <c r="I439" s="245"/>
      <c r="J439" s="245"/>
      <c r="K439" s="245"/>
      <c r="L439" s="245"/>
      <c r="M439" s="245"/>
      <c r="N439" s="245"/>
      <c r="O439" s="245"/>
      <c r="P439" s="245"/>
      <c r="Q439" s="245"/>
      <c r="R439" s="245"/>
      <c r="S439" s="245"/>
      <c r="T439" s="245"/>
      <c r="U439" s="245"/>
      <c r="V439" s="245"/>
      <c r="W439" s="245"/>
      <c r="X439" s="245"/>
      <c r="Y439" s="245"/>
      <c r="Z439" s="245"/>
    </row>
    <row r="440" spans="1:26">
      <c r="A440" s="245"/>
      <c r="B440" s="245"/>
      <c r="C440" s="245"/>
      <c r="D440" s="245"/>
      <c r="E440" s="245"/>
      <c r="F440" s="245"/>
      <c r="G440" s="245"/>
      <c r="H440" s="245"/>
      <c r="I440" s="245"/>
      <c r="J440" s="245"/>
      <c r="K440" s="245"/>
      <c r="L440" s="245"/>
      <c r="M440" s="245"/>
      <c r="N440" s="245"/>
      <c r="O440" s="245"/>
      <c r="P440" s="245"/>
      <c r="Q440" s="245"/>
      <c r="R440" s="245"/>
      <c r="S440" s="245"/>
      <c r="T440" s="245"/>
      <c r="U440" s="245"/>
      <c r="V440" s="245"/>
      <c r="W440" s="245"/>
      <c r="X440" s="245"/>
      <c r="Y440" s="245"/>
      <c r="Z440" s="245"/>
    </row>
    <row r="441" spans="1:26">
      <c r="A441" s="245"/>
      <c r="B441" s="245"/>
      <c r="C441" s="245"/>
      <c r="D441" s="245"/>
      <c r="E441" s="245"/>
      <c r="F441" s="245"/>
      <c r="G441" s="245"/>
      <c r="H441" s="245"/>
      <c r="I441" s="245"/>
      <c r="J441" s="245"/>
      <c r="K441" s="245"/>
      <c r="L441" s="245"/>
      <c r="M441" s="245"/>
      <c r="N441" s="245"/>
      <c r="O441" s="245"/>
      <c r="P441" s="245"/>
      <c r="Q441" s="245"/>
      <c r="R441" s="245"/>
      <c r="S441" s="245"/>
      <c r="T441" s="245"/>
      <c r="U441" s="245"/>
      <c r="V441" s="245"/>
      <c r="W441" s="245"/>
      <c r="X441" s="245"/>
      <c r="Y441" s="245"/>
      <c r="Z441" s="245"/>
    </row>
    <row r="442" spans="1:26">
      <c r="A442" s="245"/>
      <c r="B442" s="245"/>
      <c r="C442" s="245"/>
      <c r="D442" s="245"/>
      <c r="E442" s="245"/>
      <c r="F442" s="245"/>
      <c r="G442" s="245"/>
      <c r="H442" s="245"/>
      <c r="I442" s="245"/>
      <c r="J442" s="245"/>
      <c r="K442" s="245"/>
      <c r="L442" s="245"/>
      <c r="M442" s="245"/>
      <c r="N442" s="245"/>
      <c r="O442" s="245"/>
      <c r="P442" s="245"/>
      <c r="Q442" s="245"/>
      <c r="R442" s="245"/>
      <c r="S442" s="245"/>
      <c r="T442" s="245"/>
      <c r="U442" s="245"/>
      <c r="V442" s="245"/>
      <c r="W442" s="245"/>
      <c r="X442" s="245"/>
      <c r="Y442" s="245"/>
      <c r="Z442" s="245"/>
    </row>
    <row r="443" spans="1:26">
      <c r="A443" s="245"/>
      <c r="B443" s="245"/>
      <c r="C443" s="245"/>
      <c r="D443" s="245"/>
      <c r="E443" s="245"/>
      <c r="F443" s="245"/>
      <c r="G443" s="245"/>
      <c r="H443" s="245"/>
      <c r="I443" s="245"/>
      <c r="J443" s="245"/>
      <c r="K443" s="245"/>
      <c r="L443" s="245"/>
      <c r="M443" s="245"/>
      <c r="N443" s="245"/>
      <c r="O443" s="245"/>
      <c r="P443" s="245"/>
      <c r="Q443" s="245"/>
      <c r="R443" s="245"/>
      <c r="S443" s="245"/>
      <c r="T443" s="245"/>
      <c r="U443" s="245"/>
      <c r="V443" s="245"/>
      <c r="W443" s="245"/>
      <c r="X443" s="245"/>
      <c r="Y443" s="245"/>
      <c r="Z443" s="245"/>
    </row>
    <row r="444" spans="1:26">
      <c r="A444" s="245"/>
      <c r="B444" s="245"/>
      <c r="C444" s="245"/>
      <c r="D444" s="245"/>
      <c r="E444" s="245"/>
      <c r="F444" s="245"/>
      <c r="G444" s="245"/>
      <c r="H444" s="245"/>
      <c r="I444" s="245"/>
      <c r="J444" s="245"/>
      <c r="K444" s="245"/>
      <c r="L444" s="245"/>
      <c r="M444" s="245"/>
      <c r="N444" s="245"/>
      <c r="O444" s="245"/>
      <c r="P444" s="245"/>
      <c r="Q444" s="245"/>
      <c r="R444" s="245"/>
      <c r="S444" s="245"/>
      <c r="T444" s="245"/>
      <c r="U444" s="245"/>
      <c r="V444" s="245"/>
      <c r="W444" s="245"/>
      <c r="X444" s="245"/>
      <c r="Y444" s="245"/>
      <c r="Z444" s="245"/>
    </row>
    <row r="445" spans="1:26">
      <c r="A445" s="245"/>
      <c r="B445" s="245"/>
      <c r="C445" s="245"/>
      <c r="D445" s="245"/>
      <c r="E445" s="245"/>
      <c r="F445" s="245"/>
      <c r="G445" s="245"/>
      <c r="H445" s="245"/>
      <c r="I445" s="245"/>
      <c r="J445" s="245"/>
      <c r="K445" s="245"/>
      <c r="L445" s="245"/>
      <c r="M445" s="245"/>
      <c r="N445" s="245"/>
      <c r="O445" s="245"/>
      <c r="P445" s="245"/>
      <c r="Q445" s="245"/>
      <c r="R445" s="245"/>
      <c r="S445" s="245"/>
      <c r="T445" s="245"/>
      <c r="U445" s="245"/>
      <c r="V445" s="245"/>
      <c r="W445" s="245"/>
      <c r="X445" s="245"/>
      <c r="Y445" s="245"/>
      <c r="Z445" s="245"/>
    </row>
    <row r="446" spans="1:26">
      <c r="A446" s="245"/>
      <c r="B446" s="245"/>
      <c r="C446" s="245"/>
      <c r="D446" s="245"/>
      <c r="E446" s="245"/>
      <c r="F446" s="245"/>
      <c r="G446" s="245"/>
      <c r="H446" s="245"/>
      <c r="I446" s="245"/>
      <c r="J446" s="245"/>
      <c r="K446" s="245"/>
      <c r="L446" s="245"/>
      <c r="M446" s="245"/>
      <c r="N446" s="245"/>
      <c r="O446" s="245"/>
      <c r="P446" s="245"/>
      <c r="Q446" s="245"/>
      <c r="R446" s="245"/>
      <c r="S446" s="245"/>
      <c r="T446" s="245"/>
      <c r="U446" s="245"/>
      <c r="V446" s="245"/>
      <c r="W446" s="245"/>
      <c r="X446" s="245"/>
      <c r="Y446" s="245"/>
      <c r="Z446" s="245"/>
    </row>
    <row r="447" spans="1:26">
      <c r="A447" s="245"/>
      <c r="B447" s="245"/>
      <c r="C447" s="245"/>
      <c r="D447" s="245"/>
      <c r="E447" s="245"/>
      <c r="F447" s="245"/>
      <c r="G447" s="245"/>
      <c r="H447" s="245"/>
      <c r="I447" s="245"/>
      <c r="J447" s="245"/>
      <c r="K447" s="245"/>
      <c r="L447" s="245"/>
      <c r="M447" s="245"/>
      <c r="N447" s="245"/>
      <c r="O447" s="245"/>
      <c r="P447" s="245"/>
      <c r="Q447" s="245"/>
      <c r="R447" s="245"/>
      <c r="S447" s="245"/>
      <c r="T447" s="245"/>
      <c r="U447" s="245"/>
      <c r="V447" s="245"/>
      <c r="W447" s="245"/>
      <c r="X447" s="245"/>
      <c r="Y447" s="245"/>
      <c r="Z447" s="245"/>
    </row>
    <row r="448" spans="1:26">
      <c r="A448" s="245"/>
      <c r="B448" s="245"/>
      <c r="C448" s="245"/>
      <c r="D448" s="245"/>
      <c r="E448" s="245"/>
      <c r="F448" s="245"/>
      <c r="G448" s="245"/>
      <c r="H448" s="245"/>
      <c r="I448" s="245"/>
      <c r="J448" s="245"/>
      <c r="K448" s="245"/>
      <c r="L448" s="245"/>
      <c r="M448" s="245"/>
      <c r="N448" s="245"/>
      <c r="O448" s="245"/>
      <c r="P448" s="245"/>
      <c r="Q448" s="245"/>
      <c r="R448" s="245"/>
      <c r="S448" s="245"/>
      <c r="T448" s="245"/>
      <c r="U448" s="245"/>
      <c r="V448" s="245"/>
      <c r="W448" s="245"/>
      <c r="X448" s="245"/>
      <c r="Y448" s="245"/>
      <c r="Z448" s="245"/>
    </row>
    <row r="449" spans="1:26">
      <c r="A449" s="245"/>
      <c r="B449" s="245"/>
      <c r="C449" s="245"/>
      <c r="D449" s="245"/>
      <c r="E449" s="245"/>
      <c r="F449" s="245"/>
      <c r="G449" s="245"/>
      <c r="H449" s="245"/>
      <c r="I449" s="245"/>
      <c r="J449" s="245"/>
      <c r="K449" s="245"/>
      <c r="L449" s="245"/>
      <c r="M449" s="245"/>
      <c r="N449" s="245"/>
      <c r="O449" s="245"/>
      <c r="P449" s="245"/>
      <c r="Q449" s="245"/>
      <c r="R449" s="245"/>
      <c r="S449" s="245"/>
      <c r="T449" s="245"/>
      <c r="U449" s="245"/>
      <c r="V449" s="245"/>
      <c r="W449" s="245"/>
      <c r="X449" s="245"/>
      <c r="Y449" s="245"/>
      <c r="Z449" s="245"/>
    </row>
    <row r="450" spans="1:26">
      <c r="A450" s="245"/>
      <c r="B450" s="245"/>
      <c r="C450" s="245"/>
      <c r="D450" s="245"/>
      <c r="E450" s="245"/>
      <c r="F450" s="245"/>
      <c r="G450" s="245"/>
      <c r="H450" s="245"/>
      <c r="I450" s="245"/>
      <c r="J450" s="245"/>
      <c r="K450" s="245"/>
      <c r="L450" s="245"/>
      <c r="M450" s="245"/>
      <c r="N450" s="245"/>
      <c r="O450" s="245"/>
      <c r="P450" s="245"/>
      <c r="Q450" s="245"/>
      <c r="R450" s="245"/>
      <c r="S450" s="245"/>
      <c r="T450" s="245"/>
      <c r="U450" s="245"/>
      <c r="V450" s="245"/>
      <c r="W450" s="245"/>
      <c r="X450" s="245"/>
      <c r="Y450" s="245"/>
      <c r="Z450" s="245"/>
    </row>
    <row r="451" spans="1:26">
      <c r="A451" s="245"/>
      <c r="B451" s="245"/>
      <c r="C451" s="245"/>
      <c r="D451" s="245"/>
      <c r="E451" s="245"/>
      <c r="F451" s="245"/>
      <c r="G451" s="245"/>
      <c r="H451" s="245"/>
      <c r="I451" s="245"/>
      <c r="J451" s="245"/>
      <c r="K451" s="245"/>
      <c r="L451" s="245"/>
      <c r="M451" s="245"/>
      <c r="N451" s="245"/>
      <c r="O451" s="245"/>
      <c r="P451" s="245"/>
      <c r="Q451" s="245"/>
      <c r="R451" s="245"/>
      <c r="S451" s="245"/>
      <c r="T451" s="245"/>
      <c r="U451" s="245"/>
      <c r="V451" s="245"/>
      <c r="W451" s="245"/>
      <c r="X451" s="245"/>
      <c r="Y451" s="245"/>
      <c r="Z451" s="245"/>
    </row>
    <row r="452" spans="1:26">
      <c r="A452" s="245"/>
      <c r="B452" s="245"/>
      <c r="C452" s="245"/>
      <c r="D452" s="245"/>
      <c r="E452" s="245"/>
      <c r="F452" s="245"/>
      <c r="G452" s="245"/>
      <c r="H452" s="245"/>
      <c r="I452" s="245"/>
      <c r="J452" s="245"/>
      <c r="K452" s="245"/>
      <c r="L452" s="245"/>
      <c r="M452" s="245"/>
      <c r="N452" s="245"/>
      <c r="O452" s="245"/>
      <c r="P452" s="245"/>
      <c r="Q452" s="245"/>
      <c r="R452" s="245"/>
      <c r="S452" s="245"/>
      <c r="T452" s="245"/>
      <c r="U452" s="245"/>
      <c r="V452" s="245"/>
      <c r="W452" s="245"/>
      <c r="X452" s="245"/>
      <c r="Y452" s="245"/>
      <c r="Z452" s="245"/>
    </row>
    <row r="453" spans="1:26">
      <c r="A453" s="245"/>
      <c r="B453" s="245"/>
      <c r="C453" s="245"/>
      <c r="D453" s="245"/>
      <c r="E453" s="245"/>
      <c r="F453" s="245"/>
      <c r="G453" s="245"/>
      <c r="H453" s="245"/>
      <c r="I453" s="245"/>
      <c r="J453" s="245"/>
      <c r="K453" s="245"/>
      <c r="L453" s="245"/>
      <c r="M453" s="245"/>
      <c r="N453" s="245"/>
      <c r="O453" s="245"/>
      <c r="P453" s="245"/>
      <c r="Q453" s="245"/>
      <c r="R453" s="245"/>
      <c r="S453" s="245"/>
      <c r="T453" s="245"/>
      <c r="U453" s="245"/>
      <c r="V453" s="245"/>
      <c r="W453" s="245"/>
      <c r="X453" s="245"/>
      <c r="Y453" s="245"/>
      <c r="Z453" s="245"/>
    </row>
    <row r="454" spans="1:26">
      <c r="A454" s="245"/>
      <c r="B454" s="245"/>
      <c r="C454" s="245"/>
      <c r="D454" s="245"/>
      <c r="E454" s="245"/>
      <c r="F454" s="245"/>
      <c r="G454" s="245"/>
      <c r="H454" s="245"/>
      <c r="I454" s="245"/>
      <c r="J454" s="245"/>
      <c r="K454" s="245"/>
      <c r="L454" s="245"/>
      <c r="M454" s="245"/>
      <c r="N454" s="245"/>
      <c r="O454" s="245"/>
      <c r="P454" s="245"/>
      <c r="Q454" s="245"/>
      <c r="R454" s="245"/>
      <c r="S454" s="245"/>
      <c r="T454" s="245"/>
      <c r="U454" s="245"/>
      <c r="V454" s="245"/>
      <c r="W454" s="245"/>
      <c r="X454" s="245"/>
      <c r="Y454" s="245"/>
      <c r="Z454" s="245"/>
    </row>
    <row r="455" spans="1:26">
      <c r="A455" s="245"/>
      <c r="B455" s="245"/>
      <c r="C455" s="245"/>
      <c r="D455" s="245"/>
      <c r="E455" s="245"/>
      <c r="F455" s="245"/>
      <c r="G455" s="245"/>
      <c r="H455" s="245"/>
      <c r="I455" s="245"/>
      <c r="J455" s="245"/>
      <c r="K455" s="245"/>
      <c r="L455" s="245"/>
      <c r="M455" s="245"/>
      <c r="N455" s="245"/>
      <c r="O455" s="245"/>
      <c r="P455" s="245"/>
      <c r="Q455" s="245"/>
      <c r="R455" s="245"/>
      <c r="S455" s="245"/>
      <c r="T455" s="245"/>
      <c r="U455" s="245"/>
      <c r="V455" s="245"/>
      <c r="W455" s="245"/>
      <c r="X455" s="245"/>
      <c r="Y455" s="245"/>
      <c r="Z455" s="245"/>
    </row>
    <row r="456" spans="1:26">
      <c r="A456" s="245"/>
      <c r="B456" s="245"/>
      <c r="C456" s="245"/>
      <c r="D456" s="245"/>
      <c r="E456" s="245"/>
      <c r="F456" s="245"/>
      <c r="G456" s="245"/>
      <c r="H456" s="245"/>
      <c r="I456" s="245"/>
      <c r="J456" s="245"/>
      <c r="K456" s="245"/>
      <c r="L456" s="245"/>
      <c r="M456" s="245"/>
      <c r="N456" s="245"/>
      <c r="O456" s="245"/>
      <c r="P456" s="245"/>
      <c r="Q456" s="245"/>
      <c r="R456" s="245"/>
      <c r="S456" s="245"/>
      <c r="T456" s="245"/>
      <c r="U456" s="245"/>
      <c r="V456" s="245"/>
      <c r="W456" s="245"/>
      <c r="X456" s="245"/>
      <c r="Y456" s="245"/>
      <c r="Z456" s="245"/>
    </row>
    <row r="457" spans="1:26">
      <c r="A457" s="245"/>
      <c r="B457" s="245"/>
      <c r="C457" s="245"/>
      <c r="D457" s="245"/>
      <c r="E457" s="245"/>
      <c r="F457" s="245"/>
      <c r="G457" s="245"/>
      <c r="H457" s="245"/>
      <c r="I457" s="245"/>
      <c r="J457" s="245"/>
      <c r="K457" s="245"/>
      <c r="L457" s="245"/>
      <c r="M457" s="245"/>
      <c r="N457" s="245"/>
      <c r="O457" s="245"/>
      <c r="P457" s="245"/>
      <c r="Q457" s="245"/>
      <c r="R457" s="245"/>
      <c r="S457" s="245"/>
      <c r="T457" s="245"/>
      <c r="U457" s="245"/>
      <c r="V457" s="245"/>
      <c r="W457" s="245"/>
      <c r="X457" s="245"/>
      <c r="Y457" s="245"/>
      <c r="Z457" s="245"/>
    </row>
    <row r="458" spans="1:26">
      <c r="A458" s="245"/>
      <c r="B458" s="245"/>
      <c r="C458" s="245"/>
      <c r="D458" s="245"/>
      <c r="E458" s="245"/>
      <c r="F458" s="245"/>
      <c r="G458" s="245"/>
      <c r="H458" s="245"/>
      <c r="I458" s="245"/>
      <c r="J458" s="245"/>
      <c r="K458" s="245"/>
      <c r="L458" s="245"/>
      <c r="M458" s="245"/>
      <c r="N458" s="245"/>
      <c r="O458" s="245"/>
      <c r="P458" s="245"/>
      <c r="Q458" s="245"/>
      <c r="R458" s="245"/>
      <c r="S458" s="245"/>
      <c r="T458" s="245"/>
      <c r="U458" s="245"/>
      <c r="V458" s="245"/>
      <c r="W458" s="245"/>
      <c r="X458" s="245"/>
      <c r="Y458" s="245"/>
      <c r="Z458" s="245"/>
    </row>
    <row r="459" spans="1:26">
      <c r="A459" s="245"/>
      <c r="B459" s="245"/>
      <c r="C459" s="245"/>
      <c r="D459" s="245"/>
      <c r="E459" s="245"/>
      <c r="F459" s="245"/>
      <c r="G459" s="245"/>
      <c r="H459" s="245"/>
      <c r="I459" s="245"/>
      <c r="J459" s="245"/>
      <c r="K459" s="245"/>
      <c r="L459" s="245"/>
      <c r="M459" s="245"/>
      <c r="N459" s="245"/>
      <c r="O459" s="245"/>
      <c r="P459" s="245"/>
      <c r="Q459" s="245"/>
      <c r="R459" s="245"/>
      <c r="S459" s="245"/>
      <c r="T459" s="245"/>
      <c r="U459" s="245"/>
      <c r="V459" s="245"/>
      <c r="W459" s="245"/>
      <c r="X459" s="245"/>
      <c r="Y459" s="245"/>
      <c r="Z459" s="245"/>
    </row>
    <row r="460" spans="1:26">
      <c r="A460" s="245"/>
      <c r="B460" s="245"/>
      <c r="C460" s="245"/>
      <c r="D460" s="245"/>
      <c r="E460" s="245"/>
      <c r="F460" s="245"/>
      <c r="G460" s="245"/>
      <c r="H460" s="245"/>
      <c r="I460" s="245"/>
      <c r="J460" s="245"/>
      <c r="K460" s="245"/>
      <c r="L460" s="245"/>
      <c r="M460" s="245"/>
      <c r="N460" s="245"/>
      <c r="O460" s="245"/>
      <c r="P460" s="245"/>
      <c r="Q460" s="245"/>
      <c r="R460" s="245"/>
      <c r="S460" s="245"/>
      <c r="T460" s="245"/>
      <c r="U460" s="245"/>
      <c r="V460" s="245"/>
      <c r="W460" s="245"/>
      <c r="X460" s="245"/>
      <c r="Y460" s="245"/>
      <c r="Z460" s="245"/>
    </row>
    <row r="461" spans="1:26">
      <c r="A461" s="245"/>
      <c r="B461" s="245"/>
      <c r="C461" s="245"/>
      <c r="D461" s="245"/>
      <c r="E461" s="245"/>
      <c r="F461" s="245"/>
      <c r="G461" s="245"/>
      <c r="H461" s="245"/>
      <c r="I461" s="245"/>
      <c r="J461" s="245"/>
      <c r="K461" s="245"/>
      <c r="L461" s="245"/>
      <c r="M461" s="245"/>
      <c r="N461" s="245"/>
      <c r="O461" s="245"/>
      <c r="P461" s="245"/>
      <c r="Q461" s="245"/>
      <c r="R461" s="245"/>
      <c r="S461" s="245"/>
      <c r="T461" s="245"/>
      <c r="U461" s="245"/>
      <c r="V461" s="245"/>
      <c r="W461" s="245"/>
      <c r="X461" s="245"/>
      <c r="Y461" s="245"/>
      <c r="Z461" s="245"/>
    </row>
    <row r="462" spans="1:26">
      <c r="A462" s="245"/>
      <c r="B462" s="245"/>
      <c r="C462" s="245"/>
      <c r="D462" s="245"/>
      <c r="E462" s="245"/>
      <c r="F462" s="245"/>
      <c r="G462" s="245"/>
      <c r="H462" s="245"/>
      <c r="I462" s="245"/>
      <c r="J462" s="245"/>
      <c r="K462" s="245"/>
      <c r="L462" s="245"/>
      <c r="M462" s="245"/>
      <c r="N462" s="245"/>
      <c r="O462" s="245"/>
      <c r="P462" s="245"/>
      <c r="Q462" s="245"/>
      <c r="R462" s="245"/>
      <c r="S462" s="245"/>
      <c r="T462" s="245"/>
      <c r="U462" s="245"/>
      <c r="V462" s="245"/>
      <c r="W462" s="245"/>
      <c r="X462" s="245"/>
      <c r="Y462" s="245"/>
      <c r="Z462" s="245"/>
    </row>
    <row r="463" spans="1:26">
      <c r="A463" s="245"/>
      <c r="B463" s="245"/>
      <c r="C463" s="245"/>
      <c r="D463" s="245"/>
      <c r="E463" s="245"/>
      <c r="F463" s="245"/>
      <c r="G463" s="245"/>
      <c r="H463" s="245"/>
      <c r="I463" s="245"/>
      <c r="J463" s="245"/>
      <c r="K463" s="245"/>
      <c r="L463" s="245"/>
      <c r="M463" s="245"/>
      <c r="N463" s="245"/>
      <c r="O463" s="245"/>
      <c r="P463" s="245"/>
      <c r="Q463" s="245"/>
      <c r="R463" s="245"/>
      <c r="S463" s="245"/>
      <c r="T463" s="245"/>
      <c r="U463" s="245"/>
      <c r="V463" s="245"/>
      <c r="W463" s="245"/>
      <c r="X463" s="245"/>
      <c r="Y463" s="245"/>
      <c r="Z463" s="245"/>
    </row>
    <row r="464" spans="1:26">
      <c r="A464" s="245"/>
      <c r="B464" s="245"/>
      <c r="C464" s="245"/>
      <c r="D464" s="245"/>
      <c r="E464" s="245"/>
      <c r="F464" s="245"/>
      <c r="G464" s="245"/>
      <c r="H464" s="245"/>
      <c r="I464" s="245"/>
      <c r="J464" s="245"/>
      <c r="K464" s="245"/>
      <c r="L464" s="245"/>
      <c r="M464" s="245"/>
      <c r="N464" s="245"/>
      <c r="O464" s="245"/>
      <c r="P464" s="245"/>
      <c r="Q464" s="245"/>
      <c r="R464" s="245"/>
      <c r="S464" s="245"/>
      <c r="T464" s="245"/>
      <c r="U464" s="245"/>
      <c r="V464" s="245"/>
      <c r="W464" s="245"/>
      <c r="X464" s="245"/>
      <c r="Y464" s="245"/>
      <c r="Z464" s="245"/>
    </row>
    <row r="465" spans="1:26">
      <c r="A465" s="245"/>
      <c r="B465" s="245"/>
      <c r="C465" s="245"/>
      <c r="D465" s="245"/>
      <c r="E465" s="245"/>
      <c r="F465" s="245"/>
      <c r="G465" s="245"/>
      <c r="H465" s="245"/>
      <c r="I465" s="245"/>
      <c r="J465" s="245"/>
      <c r="K465" s="245"/>
      <c r="L465" s="245"/>
      <c r="M465" s="245"/>
      <c r="N465" s="245"/>
      <c r="O465" s="245"/>
      <c r="P465" s="245"/>
      <c r="Q465" s="245"/>
      <c r="R465" s="245"/>
      <c r="S465" s="245"/>
      <c r="T465" s="245"/>
      <c r="U465" s="245"/>
      <c r="V465" s="245"/>
      <c r="W465" s="245"/>
      <c r="X465" s="245"/>
      <c r="Y465" s="245"/>
      <c r="Z465" s="245"/>
    </row>
    <row r="466" spans="1:26">
      <c r="A466" s="245"/>
      <c r="B466" s="245"/>
      <c r="C466" s="245"/>
      <c r="D466" s="245"/>
      <c r="E466" s="245"/>
      <c r="F466" s="245"/>
      <c r="G466" s="245"/>
      <c r="H466" s="245"/>
      <c r="I466" s="245"/>
      <c r="J466" s="245"/>
      <c r="K466" s="245"/>
      <c r="L466" s="245"/>
      <c r="M466" s="245"/>
      <c r="N466" s="245"/>
      <c r="O466" s="245"/>
      <c r="P466" s="245"/>
      <c r="Q466" s="245"/>
      <c r="R466" s="245"/>
      <c r="S466" s="245"/>
      <c r="T466" s="245"/>
      <c r="U466" s="245"/>
      <c r="V466" s="245"/>
      <c r="W466" s="245"/>
      <c r="X466" s="245"/>
      <c r="Y466" s="245"/>
      <c r="Z466" s="245"/>
    </row>
    <row r="467" spans="1:26">
      <c r="A467" s="245"/>
      <c r="B467" s="245"/>
      <c r="C467" s="245"/>
      <c r="D467" s="245"/>
      <c r="E467" s="245"/>
      <c r="F467" s="245"/>
      <c r="G467" s="245"/>
      <c r="H467" s="245"/>
      <c r="I467" s="245"/>
      <c r="J467" s="245"/>
      <c r="K467" s="245"/>
      <c r="L467" s="245"/>
      <c r="M467" s="245"/>
      <c r="N467" s="245"/>
      <c r="O467" s="245"/>
      <c r="P467" s="245"/>
      <c r="Q467" s="245"/>
      <c r="R467" s="245"/>
      <c r="S467" s="245"/>
      <c r="T467" s="245"/>
      <c r="U467" s="245"/>
      <c r="V467" s="245"/>
      <c r="W467" s="245"/>
      <c r="X467" s="245"/>
      <c r="Y467" s="245"/>
      <c r="Z467" s="245"/>
    </row>
    <row r="468" spans="1:26">
      <c r="A468" s="245"/>
      <c r="B468" s="245"/>
      <c r="C468" s="245"/>
      <c r="D468" s="245"/>
      <c r="E468" s="245"/>
      <c r="F468" s="245"/>
      <c r="G468" s="245"/>
      <c r="H468" s="245"/>
      <c r="I468" s="245"/>
      <c r="J468" s="245"/>
      <c r="K468" s="245"/>
      <c r="L468" s="245"/>
      <c r="M468" s="245"/>
      <c r="N468" s="245"/>
      <c r="O468" s="245"/>
      <c r="P468" s="245"/>
      <c r="Q468" s="245"/>
      <c r="R468" s="245"/>
      <c r="S468" s="245"/>
      <c r="T468" s="245"/>
      <c r="U468" s="245"/>
      <c r="V468" s="245"/>
      <c r="W468" s="245"/>
      <c r="X468" s="245"/>
      <c r="Y468" s="245"/>
      <c r="Z468" s="245"/>
    </row>
    <row r="469" spans="1:26">
      <c r="A469" s="245"/>
      <c r="B469" s="245"/>
      <c r="C469" s="245"/>
      <c r="D469" s="245"/>
      <c r="E469" s="245"/>
      <c r="F469" s="245"/>
      <c r="G469" s="245"/>
      <c r="H469" s="245"/>
      <c r="I469" s="245"/>
      <c r="J469" s="245"/>
      <c r="K469" s="245"/>
      <c r="L469" s="245"/>
      <c r="M469" s="245"/>
      <c r="N469" s="245"/>
      <c r="O469" s="245"/>
      <c r="P469" s="245"/>
      <c r="Q469" s="245"/>
      <c r="R469" s="245"/>
      <c r="S469" s="245"/>
      <c r="T469" s="245"/>
      <c r="U469" s="245"/>
      <c r="V469" s="245"/>
      <c r="W469" s="245"/>
      <c r="X469" s="245"/>
      <c r="Y469" s="245"/>
      <c r="Z469" s="245"/>
    </row>
    <row r="470" spans="1:26">
      <c r="A470" s="245"/>
      <c r="B470" s="245"/>
      <c r="C470" s="245"/>
      <c r="D470" s="245"/>
      <c r="E470" s="245"/>
      <c r="F470" s="245"/>
      <c r="G470" s="245"/>
      <c r="H470" s="245"/>
      <c r="I470" s="245"/>
      <c r="J470" s="245"/>
      <c r="K470" s="245"/>
      <c r="L470" s="245"/>
      <c r="M470" s="245"/>
      <c r="N470" s="245"/>
      <c r="O470" s="245"/>
      <c r="P470" s="245"/>
      <c r="Q470" s="245"/>
      <c r="R470" s="245"/>
      <c r="S470" s="245"/>
      <c r="T470" s="245"/>
      <c r="U470" s="245"/>
      <c r="V470" s="245"/>
      <c r="W470" s="245"/>
      <c r="X470" s="245"/>
      <c r="Y470" s="245"/>
      <c r="Z470" s="245"/>
    </row>
    <row r="471" spans="1:26">
      <c r="A471" s="245"/>
      <c r="B471" s="245"/>
      <c r="C471" s="245"/>
      <c r="D471" s="245"/>
      <c r="E471" s="245"/>
      <c r="F471" s="245"/>
      <c r="G471" s="245"/>
      <c r="H471" s="245"/>
      <c r="I471" s="245"/>
      <c r="J471" s="245"/>
      <c r="K471" s="245"/>
      <c r="L471" s="245"/>
      <c r="M471" s="245"/>
      <c r="N471" s="245"/>
      <c r="O471" s="245"/>
      <c r="P471" s="245"/>
      <c r="Q471" s="245"/>
      <c r="R471" s="245"/>
      <c r="S471" s="245"/>
      <c r="T471" s="245"/>
      <c r="U471" s="245"/>
      <c r="V471" s="245"/>
      <c r="W471" s="245"/>
      <c r="X471" s="245"/>
      <c r="Y471" s="245"/>
      <c r="Z471" s="245"/>
    </row>
    <row r="472" spans="1:26">
      <c r="A472" s="245"/>
      <c r="B472" s="245"/>
      <c r="C472" s="245"/>
      <c r="D472" s="245"/>
      <c r="E472" s="245"/>
      <c r="F472" s="245"/>
      <c r="G472" s="245"/>
      <c r="H472" s="245"/>
      <c r="I472" s="245"/>
      <c r="J472" s="245"/>
      <c r="K472" s="245"/>
      <c r="L472" s="245"/>
      <c r="M472" s="245"/>
      <c r="N472" s="245"/>
      <c r="O472" s="245"/>
      <c r="P472" s="245"/>
      <c r="Q472" s="245"/>
      <c r="R472" s="245"/>
      <c r="S472" s="245"/>
      <c r="T472" s="245"/>
      <c r="U472" s="245"/>
      <c r="V472" s="245"/>
      <c r="W472" s="245"/>
      <c r="X472" s="245"/>
      <c r="Y472" s="245"/>
      <c r="Z472" s="245"/>
    </row>
    <row r="473" spans="1:26">
      <c r="A473" s="245"/>
      <c r="B473" s="245"/>
      <c r="C473" s="245"/>
      <c r="D473" s="245"/>
      <c r="E473" s="245"/>
      <c r="F473" s="245"/>
      <c r="G473" s="245"/>
      <c r="H473" s="245"/>
      <c r="I473" s="245"/>
      <c r="J473" s="245"/>
      <c r="K473" s="245"/>
      <c r="L473" s="245"/>
      <c r="M473" s="245"/>
      <c r="N473" s="245"/>
      <c r="O473" s="245"/>
      <c r="P473" s="245"/>
      <c r="Q473" s="245"/>
      <c r="R473" s="245"/>
      <c r="S473" s="245"/>
      <c r="T473" s="245"/>
      <c r="U473" s="245"/>
      <c r="V473" s="245"/>
      <c r="W473" s="245"/>
      <c r="X473" s="245"/>
      <c r="Y473" s="245"/>
      <c r="Z473" s="245"/>
    </row>
    <row r="474" spans="1:26">
      <c r="A474" s="245"/>
      <c r="B474" s="245"/>
      <c r="C474" s="245"/>
      <c r="D474" s="245"/>
      <c r="E474" s="245"/>
      <c r="F474" s="245"/>
      <c r="G474" s="245"/>
      <c r="H474" s="245"/>
      <c r="I474" s="245"/>
      <c r="J474" s="245"/>
      <c r="K474" s="245"/>
      <c r="L474" s="245"/>
      <c r="M474" s="245"/>
      <c r="N474" s="245"/>
      <c r="O474" s="245"/>
      <c r="P474" s="245"/>
      <c r="Q474" s="245"/>
      <c r="R474" s="245"/>
      <c r="S474" s="245"/>
      <c r="T474" s="245"/>
      <c r="U474" s="245"/>
      <c r="V474" s="245"/>
      <c r="W474" s="245"/>
      <c r="X474" s="245"/>
      <c r="Y474" s="245"/>
      <c r="Z474" s="245"/>
    </row>
    <row r="475" spans="1:26">
      <c r="A475" s="245"/>
      <c r="B475" s="245"/>
      <c r="C475" s="245"/>
      <c r="D475" s="245"/>
      <c r="E475" s="245"/>
      <c r="F475" s="245"/>
      <c r="G475" s="245"/>
      <c r="H475" s="245"/>
      <c r="I475" s="245"/>
      <c r="J475" s="245"/>
      <c r="K475" s="245"/>
      <c r="L475" s="245"/>
      <c r="M475" s="245"/>
      <c r="N475" s="245"/>
      <c r="O475" s="245"/>
      <c r="P475" s="245"/>
      <c r="Q475" s="245"/>
      <c r="R475" s="245"/>
      <c r="S475" s="245"/>
      <c r="T475" s="245"/>
      <c r="U475" s="245"/>
      <c r="V475" s="245"/>
      <c r="W475" s="245"/>
      <c r="X475" s="245"/>
      <c r="Y475" s="245"/>
      <c r="Z475" s="245"/>
    </row>
    <row r="476" spans="1:26">
      <c r="A476" s="245"/>
      <c r="B476" s="245"/>
      <c r="C476" s="245"/>
      <c r="D476" s="245"/>
      <c r="E476" s="245"/>
      <c r="F476" s="245"/>
      <c r="G476" s="245"/>
      <c r="H476" s="245"/>
      <c r="I476" s="245"/>
      <c r="J476" s="245"/>
      <c r="K476" s="245"/>
      <c r="L476" s="245"/>
      <c r="M476" s="245"/>
      <c r="N476" s="245"/>
      <c r="O476" s="245"/>
      <c r="P476" s="245"/>
      <c r="Q476" s="245"/>
      <c r="R476" s="245"/>
      <c r="S476" s="245"/>
      <c r="T476" s="245"/>
      <c r="U476" s="245"/>
      <c r="V476" s="245"/>
      <c r="W476" s="245"/>
      <c r="X476" s="245"/>
      <c r="Y476" s="245"/>
      <c r="Z476" s="245"/>
    </row>
    <row r="477" spans="1:26">
      <c r="A477" s="245"/>
      <c r="B477" s="245"/>
      <c r="C477" s="245"/>
      <c r="D477" s="245"/>
      <c r="E477" s="245"/>
      <c r="F477" s="245"/>
      <c r="G477" s="245"/>
      <c r="H477" s="245"/>
      <c r="I477" s="245"/>
      <c r="J477" s="245"/>
      <c r="K477" s="245"/>
      <c r="L477" s="245"/>
      <c r="M477" s="245"/>
      <c r="N477" s="245"/>
      <c r="O477" s="245"/>
      <c r="P477" s="245"/>
      <c r="Q477" s="245"/>
      <c r="R477" s="245"/>
      <c r="S477" s="245"/>
      <c r="T477" s="245"/>
      <c r="U477" s="245"/>
      <c r="V477" s="245"/>
      <c r="W477" s="245"/>
      <c r="X477" s="245"/>
      <c r="Y477" s="245"/>
      <c r="Z477" s="245"/>
    </row>
    <row r="478" spans="1:26">
      <c r="A478" s="245"/>
      <c r="B478" s="245"/>
      <c r="C478" s="245"/>
      <c r="D478" s="245"/>
      <c r="E478" s="245"/>
      <c r="F478" s="245"/>
      <c r="G478" s="245"/>
      <c r="H478" s="245"/>
      <c r="I478" s="245"/>
      <c r="J478" s="245"/>
      <c r="K478" s="245"/>
      <c r="L478" s="245"/>
      <c r="M478" s="245"/>
      <c r="N478" s="245"/>
      <c r="O478" s="245"/>
      <c r="P478" s="245"/>
      <c r="Q478" s="245"/>
      <c r="R478" s="245"/>
      <c r="S478" s="245"/>
      <c r="T478" s="245"/>
      <c r="U478" s="245"/>
      <c r="V478" s="245"/>
      <c r="W478" s="245"/>
      <c r="X478" s="245"/>
      <c r="Y478" s="245"/>
      <c r="Z478" s="245"/>
    </row>
    <row r="479" spans="1:26">
      <c r="A479" s="245"/>
      <c r="B479" s="245"/>
      <c r="C479" s="245"/>
      <c r="D479" s="245"/>
      <c r="E479" s="245"/>
      <c r="F479" s="245"/>
      <c r="G479" s="245"/>
      <c r="H479" s="245"/>
      <c r="I479" s="245"/>
      <c r="J479" s="245"/>
      <c r="K479" s="245"/>
      <c r="L479" s="245"/>
      <c r="M479" s="245"/>
      <c r="N479" s="245"/>
      <c r="O479" s="245"/>
      <c r="P479" s="245"/>
      <c r="Q479" s="245"/>
      <c r="R479" s="245"/>
      <c r="S479" s="245"/>
      <c r="T479" s="245"/>
      <c r="U479" s="245"/>
      <c r="V479" s="245"/>
      <c r="W479" s="245"/>
      <c r="X479" s="245"/>
      <c r="Y479" s="245"/>
      <c r="Z479" s="245"/>
    </row>
    <row r="480" spans="1:26">
      <c r="A480" s="245"/>
      <c r="B480" s="245"/>
      <c r="C480" s="245"/>
      <c r="D480" s="245"/>
      <c r="E480" s="245"/>
      <c r="F480" s="245"/>
      <c r="G480" s="245"/>
      <c r="H480" s="245"/>
      <c r="I480" s="245"/>
      <c r="J480" s="245"/>
      <c r="K480" s="245"/>
      <c r="L480" s="245"/>
      <c r="M480" s="245"/>
      <c r="N480" s="245"/>
      <c r="O480" s="245"/>
      <c r="P480" s="245"/>
      <c r="Q480" s="245"/>
      <c r="R480" s="245"/>
      <c r="S480" s="245"/>
      <c r="T480" s="245"/>
      <c r="U480" s="245"/>
      <c r="V480" s="245"/>
      <c r="W480" s="245"/>
      <c r="X480" s="245"/>
      <c r="Y480" s="245"/>
      <c r="Z480" s="245"/>
    </row>
    <row r="481" spans="1:26">
      <c r="A481" s="245"/>
      <c r="B481" s="245"/>
      <c r="C481" s="245"/>
      <c r="D481" s="245"/>
      <c r="E481" s="245"/>
      <c r="F481" s="245"/>
      <c r="G481" s="245"/>
      <c r="H481" s="245"/>
      <c r="I481" s="245"/>
      <c r="J481" s="245"/>
      <c r="K481" s="245"/>
      <c r="L481" s="245"/>
      <c r="M481" s="245"/>
      <c r="N481" s="245"/>
      <c r="O481" s="245"/>
      <c r="P481" s="245"/>
      <c r="Q481" s="245"/>
      <c r="R481" s="245"/>
      <c r="S481" s="245"/>
      <c r="T481" s="245"/>
      <c r="U481" s="245"/>
      <c r="V481" s="245"/>
      <c r="W481" s="245"/>
      <c r="X481" s="245"/>
      <c r="Y481" s="245"/>
      <c r="Z481" s="245"/>
    </row>
    <row r="482" spans="1:26">
      <c r="A482" s="245"/>
      <c r="B482" s="245"/>
      <c r="C482" s="245"/>
      <c r="D482" s="245"/>
      <c r="E482" s="245"/>
      <c r="F482" s="245"/>
      <c r="G482" s="245"/>
      <c r="H482" s="245"/>
      <c r="I482" s="245"/>
      <c r="J482" s="245"/>
      <c r="K482" s="245"/>
      <c r="L482" s="245"/>
      <c r="M482" s="245"/>
      <c r="N482" s="245"/>
      <c r="O482" s="245"/>
      <c r="P482" s="245"/>
      <c r="Q482" s="245"/>
      <c r="R482" s="245"/>
      <c r="S482" s="245"/>
      <c r="T482" s="245"/>
      <c r="U482" s="245"/>
      <c r="V482" s="245"/>
      <c r="W482" s="245"/>
      <c r="X482" s="245"/>
      <c r="Y482" s="245"/>
      <c r="Z482" s="245"/>
    </row>
    <row r="483" spans="1:26">
      <c r="A483" s="245"/>
      <c r="B483" s="245"/>
      <c r="C483" s="245"/>
      <c r="D483" s="245"/>
      <c r="E483" s="245"/>
      <c r="F483" s="245"/>
      <c r="G483" s="245"/>
      <c r="H483" s="245"/>
      <c r="I483" s="245"/>
      <c r="J483" s="245"/>
      <c r="K483" s="245"/>
      <c r="L483" s="245"/>
      <c r="M483" s="245"/>
      <c r="N483" s="245"/>
      <c r="O483" s="245"/>
      <c r="P483" s="245"/>
      <c r="Q483" s="245"/>
      <c r="R483" s="245"/>
      <c r="S483" s="245"/>
      <c r="T483" s="245"/>
      <c r="U483" s="245"/>
      <c r="V483" s="245"/>
      <c r="W483" s="245"/>
      <c r="X483" s="245"/>
      <c r="Y483" s="245"/>
      <c r="Z483" s="245"/>
    </row>
    <row r="484" spans="1:26">
      <c r="A484" s="245"/>
      <c r="B484" s="245"/>
      <c r="C484" s="245"/>
      <c r="D484" s="245"/>
      <c r="E484" s="245"/>
      <c r="F484" s="245"/>
      <c r="G484" s="245"/>
      <c r="H484" s="245"/>
      <c r="I484" s="245"/>
      <c r="J484" s="245"/>
      <c r="K484" s="245"/>
      <c r="L484" s="245"/>
      <c r="M484" s="245"/>
      <c r="N484" s="245"/>
      <c r="O484" s="245"/>
      <c r="P484" s="245"/>
      <c r="Q484" s="245"/>
      <c r="R484" s="245"/>
      <c r="S484" s="245"/>
      <c r="T484" s="245"/>
      <c r="U484" s="245"/>
      <c r="V484" s="245"/>
      <c r="W484" s="245"/>
      <c r="X484" s="245"/>
      <c r="Y484" s="245"/>
      <c r="Z484" s="245"/>
    </row>
    <row r="485" spans="1:26">
      <c r="A485" s="245"/>
      <c r="B485" s="245"/>
      <c r="C485" s="245"/>
      <c r="D485" s="245"/>
      <c r="E485" s="245"/>
      <c r="F485" s="245"/>
      <c r="G485" s="245"/>
      <c r="H485" s="245"/>
      <c r="I485" s="245"/>
      <c r="J485" s="245"/>
      <c r="K485" s="245"/>
      <c r="L485" s="245"/>
      <c r="M485" s="245"/>
      <c r="N485" s="245"/>
      <c r="O485" s="245"/>
      <c r="P485" s="245"/>
      <c r="Q485" s="245"/>
      <c r="R485" s="245"/>
      <c r="S485" s="245"/>
      <c r="T485" s="245"/>
      <c r="U485" s="245"/>
      <c r="V485" s="245"/>
      <c r="W485" s="245"/>
      <c r="X485" s="245"/>
      <c r="Y485" s="245"/>
      <c r="Z485" s="245"/>
    </row>
    <row r="486" spans="1:26">
      <c r="A486" s="245"/>
      <c r="B486" s="245"/>
      <c r="C486" s="245"/>
      <c r="D486" s="245"/>
      <c r="E486" s="245"/>
      <c r="F486" s="245"/>
      <c r="G486" s="245"/>
      <c r="H486" s="245"/>
      <c r="I486" s="245"/>
      <c r="J486" s="245"/>
      <c r="K486" s="245"/>
      <c r="L486" s="245"/>
      <c r="M486" s="245"/>
      <c r="N486" s="245"/>
      <c r="O486" s="245"/>
      <c r="P486" s="245"/>
      <c r="Q486" s="245"/>
      <c r="R486" s="245"/>
      <c r="S486" s="245"/>
      <c r="T486" s="245"/>
      <c r="U486" s="245"/>
      <c r="V486" s="245"/>
      <c r="W486" s="245"/>
      <c r="X486" s="245"/>
      <c r="Y486" s="245"/>
      <c r="Z486" s="245"/>
    </row>
    <row r="487" spans="1:26">
      <c r="A487" s="245"/>
      <c r="B487" s="245"/>
      <c r="C487" s="245"/>
      <c r="D487" s="245"/>
      <c r="E487" s="245"/>
      <c r="F487" s="245"/>
      <c r="G487" s="245"/>
      <c r="H487" s="245"/>
      <c r="I487" s="245"/>
      <c r="J487" s="245"/>
      <c r="K487" s="245"/>
      <c r="L487" s="245"/>
      <c r="M487" s="245"/>
      <c r="N487" s="245"/>
      <c r="O487" s="245"/>
      <c r="P487" s="245"/>
      <c r="Q487" s="245"/>
      <c r="R487" s="245"/>
      <c r="S487" s="245"/>
      <c r="T487" s="245"/>
      <c r="U487" s="245"/>
      <c r="V487" s="245"/>
      <c r="W487" s="245"/>
      <c r="X487" s="245"/>
      <c r="Y487" s="245"/>
      <c r="Z487" s="245"/>
    </row>
    <row r="488" spans="1:26">
      <c r="A488" s="245"/>
      <c r="B488" s="245"/>
      <c r="C488" s="245"/>
      <c r="D488" s="245"/>
      <c r="E488" s="245"/>
      <c r="F488" s="245"/>
      <c r="G488" s="245"/>
      <c r="H488" s="245"/>
      <c r="I488" s="245"/>
      <c r="J488" s="245"/>
      <c r="K488" s="245"/>
      <c r="L488" s="245"/>
      <c r="M488" s="245"/>
      <c r="N488" s="245"/>
      <c r="O488" s="245"/>
      <c r="P488" s="245"/>
      <c r="Q488" s="245"/>
      <c r="R488" s="245"/>
      <c r="S488" s="245"/>
      <c r="T488" s="245"/>
      <c r="U488" s="245"/>
      <c r="V488" s="245"/>
      <c r="W488" s="245"/>
      <c r="X488" s="245"/>
      <c r="Y488" s="245"/>
      <c r="Z488" s="245"/>
    </row>
    <row r="489" spans="1:26">
      <c r="A489" s="245"/>
      <c r="B489" s="245"/>
      <c r="C489" s="245"/>
      <c r="D489" s="245"/>
      <c r="E489" s="245"/>
      <c r="F489" s="245"/>
      <c r="G489" s="245"/>
      <c r="H489" s="245"/>
      <c r="I489" s="245"/>
      <c r="J489" s="245"/>
      <c r="K489" s="245"/>
      <c r="L489" s="245"/>
      <c r="M489" s="245"/>
      <c r="N489" s="245"/>
      <c r="O489" s="245"/>
      <c r="P489" s="245"/>
      <c r="Q489" s="245"/>
      <c r="R489" s="245"/>
      <c r="S489" s="245"/>
      <c r="T489" s="245"/>
      <c r="U489" s="245"/>
      <c r="V489" s="245"/>
      <c r="W489" s="245"/>
      <c r="X489" s="245"/>
      <c r="Y489" s="245"/>
      <c r="Z489" s="245"/>
    </row>
    <row r="490" spans="1:26">
      <c r="A490" s="245"/>
      <c r="B490" s="245"/>
      <c r="C490" s="245"/>
      <c r="D490" s="245"/>
      <c r="E490" s="245"/>
      <c r="F490" s="245"/>
      <c r="G490" s="245"/>
      <c r="H490" s="245"/>
      <c r="I490" s="245"/>
      <c r="J490" s="245"/>
      <c r="K490" s="245"/>
      <c r="L490" s="245"/>
      <c r="M490" s="245"/>
      <c r="N490" s="245"/>
      <c r="O490" s="245"/>
      <c r="P490" s="245"/>
      <c r="Q490" s="245"/>
      <c r="R490" s="245"/>
      <c r="S490" s="245"/>
      <c r="T490" s="245"/>
      <c r="U490" s="245"/>
      <c r="V490" s="245"/>
      <c r="W490" s="245"/>
      <c r="X490" s="245"/>
      <c r="Y490" s="245"/>
      <c r="Z490" s="245"/>
    </row>
    <row r="491" spans="1:26">
      <c r="A491" s="245"/>
      <c r="B491" s="245"/>
      <c r="C491" s="245"/>
      <c r="D491" s="245"/>
      <c r="E491" s="245"/>
      <c r="F491" s="245"/>
      <c r="G491" s="245"/>
      <c r="H491" s="245"/>
      <c r="I491" s="245"/>
      <c r="J491" s="245"/>
      <c r="K491" s="245"/>
      <c r="L491" s="245"/>
      <c r="M491" s="245"/>
      <c r="N491" s="245"/>
      <c r="O491" s="245"/>
      <c r="P491" s="245"/>
      <c r="Q491" s="245"/>
      <c r="R491" s="245"/>
      <c r="S491" s="245"/>
      <c r="T491" s="245"/>
      <c r="U491" s="245"/>
      <c r="V491" s="245"/>
      <c r="W491" s="245"/>
      <c r="X491" s="245"/>
      <c r="Y491" s="245"/>
      <c r="Z491" s="245"/>
    </row>
    <row r="492" spans="1:26">
      <c r="A492" s="245"/>
      <c r="B492" s="245"/>
      <c r="C492" s="245"/>
      <c r="D492" s="245"/>
      <c r="E492" s="245"/>
      <c r="F492" s="245"/>
      <c r="G492" s="245"/>
      <c r="H492" s="245"/>
      <c r="I492" s="245"/>
      <c r="J492" s="245"/>
      <c r="K492" s="245"/>
      <c r="L492" s="245"/>
      <c r="M492" s="245"/>
      <c r="N492" s="245"/>
      <c r="O492" s="245"/>
      <c r="P492" s="245"/>
      <c r="Q492" s="245"/>
      <c r="R492" s="245"/>
      <c r="S492" s="245"/>
      <c r="T492" s="245"/>
      <c r="U492" s="245"/>
      <c r="V492" s="245"/>
      <c r="W492" s="245"/>
      <c r="X492" s="245"/>
      <c r="Y492" s="245"/>
      <c r="Z492" s="245"/>
    </row>
    <row r="493" spans="1:26">
      <c r="A493" s="245"/>
      <c r="B493" s="245"/>
      <c r="C493" s="245"/>
      <c r="D493" s="245"/>
      <c r="E493" s="245"/>
      <c r="F493" s="245"/>
      <c r="G493" s="245"/>
      <c r="H493" s="245"/>
      <c r="I493" s="245"/>
      <c r="J493" s="245"/>
      <c r="K493" s="245"/>
      <c r="L493" s="245"/>
      <c r="M493" s="245"/>
      <c r="N493" s="245"/>
      <c r="O493" s="245"/>
      <c r="P493" s="245"/>
      <c r="Q493" s="245"/>
      <c r="R493" s="245"/>
      <c r="S493" s="245"/>
      <c r="T493" s="245"/>
      <c r="U493" s="245"/>
      <c r="V493" s="245"/>
      <c r="W493" s="245"/>
      <c r="X493" s="245"/>
      <c r="Y493" s="245"/>
      <c r="Z493" s="245"/>
    </row>
    <row r="494" spans="1:26">
      <c r="A494" s="245"/>
      <c r="B494" s="245"/>
      <c r="C494" s="245"/>
      <c r="D494" s="245"/>
      <c r="E494" s="245"/>
      <c r="F494" s="245"/>
      <c r="G494" s="245"/>
      <c r="H494" s="245"/>
      <c r="I494" s="245"/>
      <c r="J494" s="245"/>
      <c r="K494" s="245"/>
      <c r="L494" s="245"/>
      <c r="M494" s="245"/>
      <c r="N494" s="245"/>
      <c r="O494" s="245"/>
      <c r="P494" s="245"/>
      <c r="Q494" s="245"/>
      <c r="R494" s="245"/>
      <c r="S494" s="245"/>
      <c r="T494" s="245"/>
      <c r="U494" s="245"/>
      <c r="V494" s="245"/>
      <c r="W494" s="245"/>
      <c r="X494" s="245"/>
      <c r="Y494" s="245"/>
      <c r="Z494" s="245"/>
    </row>
    <row r="495" spans="1:26">
      <c r="A495" s="245"/>
      <c r="B495" s="245"/>
      <c r="C495" s="245"/>
      <c r="D495" s="245"/>
      <c r="E495" s="245"/>
      <c r="F495" s="245"/>
      <c r="G495" s="245"/>
      <c r="H495" s="245"/>
      <c r="I495" s="245"/>
      <c r="J495" s="245"/>
      <c r="K495" s="245"/>
      <c r="L495" s="245"/>
      <c r="M495" s="245"/>
      <c r="N495" s="245"/>
      <c r="O495" s="245"/>
      <c r="P495" s="245"/>
      <c r="Q495" s="245"/>
      <c r="R495" s="245"/>
      <c r="S495" s="245"/>
      <c r="T495" s="245"/>
      <c r="U495" s="245"/>
      <c r="V495" s="245"/>
      <c r="W495" s="245"/>
      <c r="X495" s="245"/>
      <c r="Y495" s="245"/>
      <c r="Z495" s="245"/>
    </row>
    <row r="496" spans="1:26">
      <c r="A496" s="245"/>
      <c r="B496" s="245"/>
      <c r="C496" s="245"/>
      <c r="D496" s="245"/>
      <c r="E496" s="245"/>
      <c r="F496" s="245"/>
      <c r="G496" s="245"/>
      <c r="H496" s="245"/>
      <c r="I496" s="245"/>
      <c r="J496" s="245"/>
      <c r="K496" s="245"/>
      <c r="L496" s="245"/>
      <c r="M496" s="245"/>
      <c r="N496" s="245"/>
      <c r="O496" s="245"/>
      <c r="P496" s="245"/>
      <c r="Q496" s="245"/>
      <c r="R496" s="245"/>
      <c r="S496" s="245"/>
      <c r="T496" s="245"/>
      <c r="U496" s="245"/>
      <c r="V496" s="245"/>
      <c r="W496" s="245"/>
      <c r="X496" s="245"/>
      <c r="Y496" s="245"/>
      <c r="Z496" s="245"/>
    </row>
    <row r="497" spans="1:26">
      <c r="A497" s="245"/>
      <c r="B497" s="245"/>
      <c r="C497" s="245"/>
      <c r="D497" s="245"/>
      <c r="E497" s="245"/>
      <c r="F497" s="245"/>
      <c r="G497" s="245"/>
      <c r="H497" s="245"/>
      <c r="I497" s="245"/>
      <c r="J497" s="245"/>
      <c r="K497" s="245"/>
      <c r="L497" s="245"/>
      <c r="M497" s="245"/>
      <c r="N497" s="245"/>
      <c r="O497" s="245"/>
      <c r="P497" s="245"/>
      <c r="Q497" s="245"/>
      <c r="R497" s="245"/>
      <c r="S497" s="245"/>
      <c r="T497" s="245"/>
      <c r="U497" s="245"/>
      <c r="V497" s="245"/>
      <c r="W497" s="245"/>
      <c r="X497" s="245"/>
      <c r="Y497" s="245"/>
      <c r="Z497" s="245"/>
    </row>
    <row r="498" spans="1:26">
      <c r="A498" s="245"/>
      <c r="B498" s="245"/>
      <c r="C498" s="245"/>
      <c r="D498" s="245"/>
      <c r="E498" s="245"/>
      <c r="F498" s="245"/>
      <c r="G498" s="245"/>
      <c r="H498" s="245"/>
      <c r="I498" s="245"/>
      <c r="J498" s="245"/>
      <c r="K498" s="245"/>
      <c r="L498" s="245"/>
      <c r="M498" s="245"/>
      <c r="N498" s="245"/>
      <c r="O498" s="245"/>
      <c r="P498" s="245"/>
      <c r="Q498" s="245"/>
      <c r="R498" s="245"/>
      <c r="S498" s="245"/>
      <c r="T498" s="245"/>
      <c r="U498" s="245"/>
      <c r="V498" s="245"/>
      <c r="W498" s="245"/>
      <c r="X498" s="245"/>
      <c r="Y498" s="245"/>
      <c r="Z498" s="245"/>
    </row>
    <row r="499" spans="1:26">
      <c r="A499" s="245"/>
      <c r="B499" s="245"/>
      <c r="C499" s="245"/>
      <c r="D499" s="245"/>
      <c r="E499" s="245"/>
      <c r="F499" s="245"/>
      <c r="G499" s="245"/>
      <c r="H499" s="245"/>
      <c r="I499" s="245"/>
      <c r="J499" s="245"/>
      <c r="K499" s="245"/>
      <c r="L499" s="245"/>
      <c r="M499" s="245"/>
      <c r="N499" s="245"/>
      <c r="O499" s="245"/>
      <c r="P499" s="245"/>
      <c r="Q499" s="245"/>
      <c r="R499" s="245"/>
      <c r="S499" s="245"/>
      <c r="T499" s="245"/>
      <c r="U499" s="245"/>
      <c r="V499" s="245"/>
      <c r="W499" s="245"/>
      <c r="X499" s="245"/>
      <c r="Y499" s="245"/>
      <c r="Z499" s="245"/>
    </row>
    <row r="500" spans="1:26">
      <c r="A500" s="245"/>
      <c r="B500" s="245"/>
      <c r="C500" s="245"/>
      <c r="D500" s="245"/>
      <c r="E500" s="245"/>
      <c r="F500" s="245"/>
      <c r="G500" s="245"/>
      <c r="H500" s="245"/>
      <c r="I500" s="245"/>
      <c r="J500" s="245"/>
      <c r="K500" s="245"/>
      <c r="L500" s="245"/>
      <c r="M500" s="245"/>
      <c r="N500" s="245"/>
      <c r="O500" s="245"/>
      <c r="P500" s="245"/>
      <c r="Q500" s="245"/>
      <c r="R500" s="245"/>
      <c r="S500" s="245"/>
      <c r="T500" s="245"/>
      <c r="U500" s="245"/>
      <c r="V500" s="245"/>
      <c r="W500" s="245"/>
      <c r="X500" s="245"/>
      <c r="Y500" s="245"/>
      <c r="Z500" s="245"/>
    </row>
    <row r="501" spans="1:26">
      <c r="A501" s="245"/>
      <c r="B501" s="245"/>
      <c r="C501" s="245"/>
      <c r="D501" s="245"/>
      <c r="E501" s="245"/>
      <c r="F501" s="245"/>
      <c r="G501" s="245"/>
      <c r="H501" s="245"/>
      <c r="I501" s="245"/>
      <c r="J501" s="245"/>
      <c r="K501" s="245"/>
      <c r="L501" s="245"/>
      <c r="M501" s="245"/>
      <c r="N501" s="245"/>
      <c r="O501" s="245"/>
      <c r="P501" s="245"/>
      <c r="Q501" s="245"/>
      <c r="R501" s="245"/>
      <c r="S501" s="245"/>
      <c r="T501" s="245"/>
      <c r="U501" s="245"/>
      <c r="V501" s="245"/>
      <c r="W501" s="245"/>
      <c r="X501" s="245"/>
      <c r="Y501" s="245"/>
      <c r="Z501" s="245"/>
    </row>
    <row r="502" spans="1:26">
      <c r="A502" s="245"/>
      <c r="B502" s="245"/>
      <c r="C502" s="245"/>
      <c r="D502" s="245"/>
      <c r="E502" s="245"/>
      <c r="F502" s="245"/>
      <c r="G502" s="245"/>
      <c r="H502" s="245"/>
      <c r="I502" s="245"/>
      <c r="J502" s="245"/>
      <c r="K502" s="245"/>
      <c r="L502" s="245"/>
      <c r="M502" s="245"/>
      <c r="N502" s="245"/>
      <c r="O502" s="245"/>
      <c r="P502" s="245"/>
      <c r="Q502" s="245"/>
      <c r="R502" s="245"/>
      <c r="S502" s="245"/>
      <c r="T502" s="245"/>
      <c r="U502" s="245"/>
      <c r="V502" s="245"/>
      <c r="W502" s="245"/>
      <c r="X502" s="245"/>
      <c r="Y502" s="245"/>
      <c r="Z502" s="245"/>
    </row>
    <row r="503" spans="1:26">
      <c r="A503" s="245"/>
      <c r="B503" s="245"/>
      <c r="C503" s="245"/>
      <c r="D503" s="245"/>
      <c r="E503" s="245"/>
      <c r="F503" s="245"/>
      <c r="G503" s="245"/>
      <c r="H503" s="245"/>
      <c r="I503" s="245"/>
      <c r="J503" s="245"/>
      <c r="K503" s="245"/>
      <c r="L503" s="245"/>
      <c r="M503" s="245"/>
      <c r="N503" s="245"/>
      <c r="O503" s="245"/>
      <c r="P503" s="245"/>
      <c r="Q503" s="245"/>
      <c r="R503" s="245"/>
      <c r="S503" s="245"/>
      <c r="T503" s="245"/>
      <c r="U503" s="245"/>
      <c r="V503" s="245"/>
      <c r="W503" s="245"/>
      <c r="X503" s="245"/>
      <c r="Y503" s="245"/>
      <c r="Z503" s="245"/>
    </row>
    <row r="504" spans="1:26">
      <c r="A504" s="245"/>
      <c r="B504" s="245"/>
      <c r="C504" s="245"/>
      <c r="D504" s="245"/>
      <c r="E504" s="245"/>
      <c r="F504" s="245"/>
      <c r="G504" s="245"/>
      <c r="H504" s="245"/>
      <c r="I504" s="245"/>
      <c r="J504" s="245"/>
      <c r="K504" s="245"/>
      <c r="L504" s="245"/>
      <c r="M504" s="245"/>
      <c r="N504" s="245"/>
      <c r="O504" s="245"/>
      <c r="P504" s="245"/>
      <c r="Q504" s="245"/>
      <c r="R504" s="245"/>
      <c r="S504" s="245"/>
      <c r="T504" s="245"/>
      <c r="U504" s="245"/>
      <c r="V504" s="245"/>
      <c r="W504" s="245"/>
      <c r="X504" s="245"/>
      <c r="Y504" s="245"/>
      <c r="Z504" s="245"/>
    </row>
    <row r="505" spans="1:26">
      <c r="A505" s="245"/>
      <c r="B505" s="245"/>
      <c r="C505" s="245"/>
      <c r="D505" s="245"/>
      <c r="E505" s="245"/>
      <c r="F505" s="245"/>
      <c r="G505" s="245"/>
      <c r="H505" s="245"/>
      <c r="I505" s="245"/>
      <c r="J505" s="245"/>
      <c r="K505" s="245"/>
      <c r="L505" s="245"/>
      <c r="M505" s="245"/>
      <c r="N505" s="245"/>
      <c r="O505" s="245"/>
      <c r="P505" s="245"/>
      <c r="Q505" s="245"/>
      <c r="R505" s="245"/>
      <c r="S505" s="245"/>
      <c r="T505" s="245"/>
      <c r="U505" s="245"/>
      <c r="V505" s="245"/>
      <c r="W505" s="245"/>
      <c r="X505" s="245"/>
      <c r="Y505" s="245"/>
      <c r="Z505" s="245"/>
    </row>
    <row r="506" spans="1:26">
      <c r="A506" s="245"/>
      <c r="B506" s="245"/>
      <c r="C506" s="245"/>
      <c r="D506" s="245"/>
      <c r="E506" s="245"/>
      <c r="F506" s="245"/>
      <c r="G506" s="245"/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/>
      <c r="S506" s="245"/>
      <c r="T506" s="245"/>
      <c r="U506" s="245"/>
      <c r="V506" s="245"/>
      <c r="W506" s="245"/>
      <c r="X506" s="245"/>
      <c r="Y506" s="245"/>
      <c r="Z506" s="245"/>
    </row>
    <row r="507" spans="1:26">
      <c r="A507" s="245"/>
      <c r="B507" s="245"/>
      <c r="C507" s="245"/>
      <c r="D507" s="245"/>
      <c r="E507" s="245"/>
      <c r="F507" s="245"/>
      <c r="G507" s="245"/>
      <c r="H507" s="245"/>
      <c r="I507" s="245"/>
      <c r="J507" s="245"/>
      <c r="K507" s="245"/>
      <c r="L507" s="245"/>
      <c r="M507" s="245"/>
      <c r="N507" s="245"/>
      <c r="O507" s="245"/>
      <c r="P507" s="245"/>
      <c r="Q507" s="245"/>
      <c r="R507" s="245"/>
      <c r="S507" s="245"/>
      <c r="T507" s="245"/>
      <c r="U507" s="245"/>
      <c r="V507" s="245"/>
      <c r="W507" s="245"/>
      <c r="X507" s="245"/>
      <c r="Y507" s="245"/>
      <c r="Z507" s="245"/>
    </row>
    <row r="508" spans="1:26">
      <c r="A508" s="245"/>
      <c r="B508" s="245"/>
      <c r="C508" s="245"/>
      <c r="D508" s="245"/>
      <c r="E508" s="245"/>
      <c r="F508" s="245"/>
      <c r="G508" s="245"/>
      <c r="H508" s="245"/>
      <c r="I508" s="245"/>
      <c r="J508" s="245"/>
      <c r="K508" s="245"/>
      <c r="L508" s="245"/>
      <c r="M508" s="245"/>
      <c r="N508" s="245"/>
      <c r="O508" s="245"/>
      <c r="P508" s="245"/>
      <c r="Q508" s="245"/>
      <c r="R508" s="245"/>
      <c r="S508" s="245"/>
      <c r="T508" s="245"/>
      <c r="U508" s="245"/>
      <c r="V508" s="245"/>
      <c r="W508" s="245"/>
      <c r="X508" s="245"/>
      <c r="Y508" s="245"/>
      <c r="Z508" s="245"/>
    </row>
    <row r="509" spans="1:26">
      <c r="A509" s="245"/>
      <c r="B509" s="245"/>
      <c r="C509" s="245"/>
      <c r="D509" s="245"/>
      <c r="E509" s="245"/>
      <c r="F509" s="245"/>
      <c r="G509" s="245"/>
      <c r="H509" s="245"/>
      <c r="I509" s="245"/>
      <c r="J509" s="245"/>
      <c r="K509" s="245"/>
      <c r="L509" s="245"/>
      <c r="M509" s="245"/>
      <c r="N509" s="245"/>
      <c r="O509" s="245"/>
      <c r="P509" s="245"/>
      <c r="Q509" s="245"/>
      <c r="R509" s="245"/>
      <c r="S509" s="245"/>
      <c r="T509" s="245"/>
      <c r="U509" s="245"/>
      <c r="V509" s="245"/>
      <c r="W509" s="245"/>
      <c r="X509" s="245"/>
      <c r="Y509" s="245"/>
      <c r="Z509" s="245"/>
    </row>
    <row r="510" spans="1:26">
      <c r="A510" s="245"/>
      <c r="B510" s="245"/>
      <c r="C510" s="245"/>
      <c r="D510" s="245"/>
      <c r="E510" s="245"/>
      <c r="F510" s="245"/>
      <c r="G510" s="245"/>
      <c r="H510" s="245"/>
      <c r="I510" s="245"/>
      <c r="J510" s="245"/>
      <c r="K510" s="245"/>
      <c r="L510" s="245"/>
      <c r="M510" s="245"/>
      <c r="N510" s="245"/>
      <c r="O510" s="245"/>
      <c r="P510" s="245"/>
      <c r="Q510" s="245"/>
      <c r="R510" s="245"/>
      <c r="S510" s="245"/>
      <c r="T510" s="245"/>
      <c r="U510" s="245"/>
      <c r="V510" s="245"/>
      <c r="W510" s="245"/>
      <c r="X510" s="245"/>
      <c r="Y510" s="245"/>
      <c r="Z510" s="245"/>
    </row>
    <row r="511" spans="1:26">
      <c r="A511" s="245"/>
      <c r="B511" s="245"/>
      <c r="C511" s="245"/>
      <c r="D511" s="245"/>
      <c r="E511" s="245"/>
      <c r="F511" s="245"/>
      <c r="G511" s="245"/>
      <c r="H511" s="245"/>
      <c r="I511" s="245"/>
      <c r="J511" s="245"/>
      <c r="K511" s="245"/>
      <c r="L511" s="245"/>
      <c r="M511" s="245"/>
      <c r="N511" s="245"/>
      <c r="O511" s="245"/>
      <c r="P511" s="245"/>
      <c r="Q511" s="245"/>
      <c r="R511" s="245"/>
      <c r="S511" s="245"/>
      <c r="T511" s="245"/>
      <c r="U511" s="245"/>
      <c r="V511" s="245"/>
      <c r="W511" s="245"/>
      <c r="X511" s="245"/>
      <c r="Y511" s="245"/>
      <c r="Z511" s="245"/>
    </row>
    <row r="512" spans="1:26">
      <c r="A512" s="245"/>
      <c r="B512" s="245"/>
      <c r="C512" s="245"/>
      <c r="D512" s="245"/>
      <c r="E512" s="245"/>
      <c r="F512" s="245"/>
      <c r="G512" s="245"/>
      <c r="H512" s="245"/>
      <c r="I512" s="245"/>
      <c r="J512" s="245"/>
      <c r="K512" s="245"/>
      <c r="L512" s="245"/>
      <c r="M512" s="245"/>
      <c r="N512" s="245"/>
      <c r="O512" s="245"/>
      <c r="P512" s="245"/>
      <c r="Q512" s="245"/>
      <c r="R512" s="245"/>
      <c r="S512" s="245"/>
      <c r="T512" s="245"/>
      <c r="U512" s="245"/>
      <c r="V512" s="245"/>
      <c r="W512" s="245"/>
      <c r="X512" s="245"/>
      <c r="Y512" s="245"/>
      <c r="Z512" s="245"/>
    </row>
    <row r="513" spans="1:26">
      <c r="A513" s="245"/>
      <c r="B513" s="245"/>
      <c r="C513" s="245"/>
      <c r="D513" s="245"/>
      <c r="E513" s="245"/>
      <c r="F513" s="245"/>
      <c r="G513" s="245"/>
      <c r="H513" s="245"/>
      <c r="I513" s="245"/>
      <c r="J513" s="245"/>
      <c r="K513" s="245"/>
      <c r="L513" s="245"/>
      <c r="M513" s="245"/>
      <c r="N513" s="245"/>
      <c r="O513" s="245"/>
      <c r="P513" s="245"/>
      <c r="Q513" s="245"/>
      <c r="R513" s="245"/>
      <c r="S513" s="245"/>
      <c r="T513" s="245"/>
      <c r="U513" s="245"/>
      <c r="V513" s="245"/>
      <c r="W513" s="245"/>
      <c r="X513" s="245"/>
      <c r="Y513" s="245"/>
      <c r="Z513" s="245"/>
    </row>
    <row r="514" spans="1:26">
      <c r="A514" s="245"/>
      <c r="B514" s="245"/>
      <c r="C514" s="245"/>
      <c r="D514" s="245"/>
      <c r="E514" s="245"/>
      <c r="F514" s="245"/>
      <c r="G514" s="245"/>
      <c r="H514" s="245"/>
      <c r="I514" s="245"/>
      <c r="J514" s="245"/>
      <c r="K514" s="245"/>
      <c r="L514" s="245"/>
      <c r="M514" s="245"/>
      <c r="N514" s="245"/>
      <c r="O514" s="245"/>
      <c r="P514" s="245"/>
      <c r="Q514" s="245"/>
      <c r="R514" s="245"/>
      <c r="S514" s="245"/>
      <c r="T514" s="245"/>
      <c r="U514" s="245"/>
      <c r="V514" s="245"/>
      <c r="W514" s="245"/>
      <c r="X514" s="245"/>
      <c r="Y514" s="245"/>
      <c r="Z514" s="245"/>
    </row>
    <row r="515" spans="1:26">
      <c r="A515" s="245"/>
      <c r="B515" s="245"/>
      <c r="C515" s="245"/>
      <c r="D515" s="245"/>
      <c r="E515" s="245"/>
      <c r="F515" s="245"/>
      <c r="G515" s="245"/>
      <c r="H515" s="245"/>
      <c r="I515" s="245"/>
      <c r="J515" s="245"/>
      <c r="K515" s="245"/>
      <c r="L515" s="245"/>
      <c r="M515" s="245"/>
      <c r="N515" s="245"/>
      <c r="O515" s="245"/>
      <c r="P515" s="245"/>
      <c r="Q515" s="245"/>
      <c r="R515" s="245"/>
      <c r="S515" s="245"/>
      <c r="T515" s="245"/>
      <c r="U515" s="245"/>
      <c r="V515" s="245"/>
      <c r="W515" s="245"/>
      <c r="X515" s="245"/>
      <c r="Y515" s="245"/>
      <c r="Z515" s="245"/>
    </row>
    <row r="516" spans="1:26">
      <c r="A516" s="245"/>
      <c r="B516" s="245"/>
      <c r="C516" s="245"/>
      <c r="D516" s="245"/>
      <c r="E516" s="245"/>
      <c r="F516" s="245"/>
      <c r="G516" s="245"/>
      <c r="H516" s="245"/>
      <c r="I516" s="245"/>
      <c r="J516" s="245"/>
      <c r="K516" s="245"/>
      <c r="L516" s="245"/>
      <c r="M516" s="245"/>
      <c r="N516" s="245"/>
      <c r="O516" s="245"/>
      <c r="P516" s="245"/>
      <c r="Q516" s="245"/>
      <c r="R516" s="245"/>
      <c r="S516" s="245"/>
      <c r="T516" s="245"/>
      <c r="U516" s="245"/>
      <c r="V516" s="245"/>
      <c r="W516" s="245"/>
      <c r="X516" s="245"/>
      <c r="Y516" s="245"/>
      <c r="Z516" s="245"/>
    </row>
    <row r="517" spans="1:26">
      <c r="A517" s="245"/>
      <c r="B517" s="245"/>
      <c r="C517" s="245"/>
      <c r="D517" s="245"/>
      <c r="E517" s="245"/>
      <c r="F517" s="245"/>
      <c r="G517" s="245"/>
      <c r="H517" s="245"/>
      <c r="I517" s="245"/>
      <c r="J517" s="245"/>
      <c r="K517" s="245"/>
      <c r="L517" s="245"/>
      <c r="M517" s="245"/>
      <c r="N517" s="245"/>
      <c r="O517" s="245"/>
      <c r="P517" s="245"/>
      <c r="Q517" s="245"/>
      <c r="R517" s="245"/>
      <c r="S517" s="245"/>
      <c r="T517" s="245"/>
      <c r="U517" s="245"/>
      <c r="V517" s="245"/>
      <c r="W517" s="245"/>
      <c r="X517" s="245"/>
      <c r="Y517" s="245"/>
      <c r="Z517" s="245"/>
    </row>
    <row r="518" spans="1:26">
      <c r="A518" s="245"/>
      <c r="B518" s="245"/>
      <c r="C518" s="245"/>
      <c r="D518" s="245"/>
      <c r="E518" s="245"/>
      <c r="F518" s="245"/>
      <c r="G518" s="245"/>
      <c r="H518" s="245"/>
      <c r="I518" s="245"/>
      <c r="J518" s="245"/>
      <c r="K518" s="245"/>
      <c r="L518" s="245"/>
      <c r="M518" s="245"/>
      <c r="N518" s="245"/>
      <c r="O518" s="245"/>
      <c r="P518" s="245"/>
      <c r="Q518" s="245"/>
      <c r="R518" s="245"/>
      <c r="S518" s="245"/>
      <c r="T518" s="245"/>
      <c r="U518" s="245"/>
      <c r="V518" s="245"/>
      <c r="W518" s="245"/>
      <c r="X518" s="245"/>
      <c r="Y518" s="245"/>
      <c r="Z518" s="245"/>
    </row>
    <row r="519" spans="1:26">
      <c r="A519" s="245"/>
      <c r="B519" s="245"/>
      <c r="C519" s="245"/>
      <c r="D519" s="245"/>
      <c r="E519" s="245"/>
      <c r="F519" s="245"/>
      <c r="G519" s="245"/>
      <c r="H519" s="245"/>
      <c r="I519" s="245"/>
      <c r="J519" s="245"/>
      <c r="K519" s="245"/>
      <c r="L519" s="245"/>
      <c r="M519" s="245"/>
      <c r="N519" s="245"/>
      <c r="O519" s="245"/>
      <c r="P519" s="245"/>
      <c r="Q519" s="245"/>
      <c r="R519" s="245"/>
      <c r="S519" s="245"/>
      <c r="T519" s="245"/>
      <c r="U519" s="245"/>
      <c r="V519" s="245"/>
      <c r="W519" s="245"/>
      <c r="X519" s="245"/>
      <c r="Y519" s="245"/>
      <c r="Z519" s="245"/>
    </row>
    <row r="520" spans="1:26">
      <c r="A520" s="245"/>
      <c r="B520" s="245"/>
      <c r="C520" s="245"/>
      <c r="D520" s="245"/>
      <c r="E520" s="245"/>
      <c r="F520" s="245"/>
      <c r="G520" s="245"/>
      <c r="H520" s="245"/>
      <c r="I520" s="245"/>
      <c r="J520" s="245"/>
      <c r="K520" s="245"/>
      <c r="L520" s="245"/>
      <c r="M520" s="245"/>
      <c r="N520" s="245"/>
      <c r="O520" s="245"/>
      <c r="P520" s="245"/>
      <c r="Q520" s="245"/>
      <c r="R520" s="245"/>
      <c r="S520" s="245"/>
      <c r="T520" s="245"/>
      <c r="U520" s="245"/>
      <c r="V520" s="245"/>
      <c r="W520" s="245"/>
      <c r="X520" s="245"/>
      <c r="Y520" s="245"/>
      <c r="Z520" s="245"/>
    </row>
    <row r="521" spans="1:26">
      <c r="A521" s="245"/>
      <c r="B521" s="245"/>
      <c r="C521" s="245"/>
      <c r="D521" s="245"/>
      <c r="E521" s="245"/>
      <c r="F521" s="245"/>
      <c r="G521" s="245"/>
      <c r="H521" s="245"/>
      <c r="I521" s="245"/>
      <c r="J521" s="245"/>
      <c r="K521" s="245"/>
      <c r="L521" s="245"/>
      <c r="M521" s="245"/>
      <c r="N521" s="245"/>
      <c r="O521" s="245"/>
      <c r="P521" s="245"/>
      <c r="Q521" s="245"/>
      <c r="R521" s="245"/>
      <c r="S521" s="245"/>
      <c r="T521" s="245"/>
      <c r="U521" s="245"/>
      <c r="V521" s="245"/>
      <c r="W521" s="245"/>
      <c r="X521" s="245"/>
      <c r="Y521" s="245"/>
      <c r="Z521" s="245"/>
    </row>
    <row r="522" spans="1:26">
      <c r="A522" s="245"/>
      <c r="B522" s="245"/>
      <c r="C522" s="245"/>
      <c r="D522" s="245"/>
      <c r="E522" s="245"/>
      <c r="F522" s="245"/>
      <c r="G522" s="245"/>
      <c r="H522" s="245"/>
      <c r="I522" s="245"/>
      <c r="J522" s="245"/>
      <c r="K522" s="245"/>
      <c r="L522" s="245"/>
      <c r="M522" s="245"/>
      <c r="N522" s="245"/>
      <c r="O522" s="245"/>
      <c r="P522" s="245"/>
      <c r="Q522" s="245"/>
      <c r="R522" s="245"/>
      <c r="S522" s="245"/>
      <c r="T522" s="245"/>
      <c r="U522" s="245"/>
      <c r="V522" s="245"/>
      <c r="W522" s="245"/>
      <c r="X522" s="245"/>
      <c r="Y522" s="245"/>
      <c r="Z522" s="245"/>
    </row>
    <row r="523" spans="1:26">
      <c r="A523" s="245"/>
      <c r="B523" s="245"/>
      <c r="C523" s="245"/>
      <c r="D523" s="245"/>
      <c r="E523" s="245"/>
      <c r="F523" s="245"/>
      <c r="G523" s="245"/>
      <c r="H523" s="245"/>
      <c r="I523" s="245"/>
      <c r="J523" s="245"/>
      <c r="K523" s="245"/>
      <c r="L523" s="245"/>
      <c r="M523" s="245"/>
      <c r="N523" s="245"/>
      <c r="O523" s="245"/>
      <c r="P523" s="245"/>
      <c r="Q523" s="245"/>
      <c r="R523" s="245"/>
      <c r="S523" s="245"/>
      <c r="T523" s="245"/>
      <c r="U523" s="245"/>
      <c r="V523" s="245"/>
      <c r="W523" s="245"/>
      <c r="X523" s="245"/>
      <c r="Y523" s="245"/>
      <c r="Z523" s="245"/>
    </row>
    <row r="524" spans="1:26">
      <c r="A524" s="245"/>
      <c r="B524" s="245"/>
      <c r="C524" s="245"/>
      <c r="D524" s="245"/>
      <c r="E524" s="245"/>
      <c r="F524" s="245"/>
      <c r="G524" s="245"/>
      <c r="H524" s="245"/>
      <c r="I524" s="245"/>
      <c r="J524" s="245"/>
      <c r="K524" s="245"/>
      <c r="L524" s="245"/>
      <c r="M524" s="245"/>
      <c r="N524" s="245"/>
      <c r="O524" s="245"/>
      <c r="P524" s="245"/>
      <c r="Q524" s="245"/>
      <c r="R524" s="245"/>
      <c r="S524" s="245"/>
      <c r="T524" s="245"/>
      <c r="U524" s="245"/>
      <c r="V524" s="245"/>
      <c r="W524" s="245"/>
      <c r="X524" s="245"/>
      <c r="Y524" s="245"/>
      <c r="Z524" s="245"/>
    </row>
    <row r="525" spans="1:26">
      <c r="A525" s="245"/>
      <c r="B525" s="245"/>
      <c r="C525" s="245"/>
      <c r="D525" s="245"/>
      <c r="E525" s="245"/>
      <c r="F525" s="245"/>
      <c r="G525" s="245"/>
      <c r="H525" s="245"/>
      <c r="I525" s="245"/>
      <c r="J525" s="245"/>
      <c r="K525" s="245"/>
      <c r="L525" s="245"/>
      <c r="M525" s="245"/>
      <c r="N525" s="245"/>
      <c r="O525" s="245"/>
      <c r="P525" s="245"/>
      <c r="Q525" s="245"/>
      <c r="R525" s="245"/>
      <c r="S525" s="245"/>
      <c r="T525" s="245"/>
      <c r="U525" s="245"/>
      <c r="V525" s="245"/>
      <c r="W525" s="245"/>
      <c r="X525" s="245"/>
      <c r="Y525" s="245"/>
      <c r="Z525" s="245"/>
    </row>
    <row r="526" spans="1:26">
      <c r="A526" s="245"/>
      <c r="B526" s="245"/>
      <c r="C526" s="245"/>
      <c r="D526" s="245"/>
      <c r="E526" s="245"/>
      <c r="F526" s="245"/>
      <c r="G526" s="245"/>
      <c r="H526" s="245"/>
      <c r="I526" s="245"/>
      <c r="J526" s="245"/>
      <c r="K526" s="245"/>
      <c r="L526" s="245"/>
      <c r="M526" s="245"/>
      <c r="N526" s="245"/>
      <c r="O526" s="245"/>
      <c r="P526" s="245"/>
      <c r="Q526" s="245"/>
      <c r="R526" s="245"/>
      <c r="S526" s="245"/>
      <c r="T526" s="245"/>
      <c r="U526" s="245"/>
      <c r="V526" s="245"/>
      <c r="W526" s="245"/>
      <c r="X526" s="245"/>
      <c r="Y526" s="245"/>
      <c r="Z526" s="245"/>
    </row>
    <row r="527" spans="1:26">
      <c r="A527" s="245"/>
      <c r="B527" s="245"/>
      <c r="C527" s="245"/>
      <c r="D527" s="245"/>
      <c r="E527" s="245"/>
      <c r="F527" s="245"/>
      <c r="G527" s="245"/>
      <c r="H527" s="245"/>
      <c r="I527" s="245"/>
      <c r="J527" s="245"/>
      <c r="K527" s="245"/>
      <c r="L527" s="245"/>
      <c r="M527" s="245"/>
      <c r="N527" s="245"/>
      <c r="O527" s="245"/>
      <c r="P527" s="245"/>
      <c r="Q527" s="245"/>
      <c r="R527" s="245"/>
      <c r="S527" s="245"/>
      <c r="T527" s="245"/>
      <c r="U527" s="245"/>
      <c r="V527" s="245"/>
      <c r="W527" s="245"/>
      <c r="X527" s="245"/>
      <c r="Y527" s="245"/>
      <c r="Z527" s="245"/>
    </row>
    <row r="528" spans="1:26">
      <c r="A528" s="245"/>
      <c r="B528" s="245"/>
      <c r="C528" s="245"/>
      <c r="D528" s="245"/>
      <c r="E528" s="245"/>
      <c r="F528" s="245"/>
      <c r="G528" s="245"/>
      <c r="H528" s="245"/>
      <c r="I528" s="245"/>
      <c r="J528" s="245"/>
      <c r="K528" s="245"/>
      <c r="L528" s="245"/>
      <c r="M528" s="245"/>
      <c r="N528" s="245"/>
      <c r="O528" s="245"/>
      <c r="P528" s="245"/>
      <c r="Q528" s="245"/>
      <c r="R528" s="245"/>
      <c r="S528" s="245"/>
      <c r="T528" s="245"/>
      <c r="U528" s="245"/>
      <c r="V528" s="245"/>
      <c r="W528" s="245"/>
      <c r="X528" s="245"/>
      <c r="Y528" s="245"/>
      <c r="Z528" s="245"/>
    </row>
    <row r="529" spans="1:26">
      <c r="A529" s="245"/>
      <c r="B529" s="245"/>
      <c r="C529" s="245"/>
      <c r="D529" s="245"/>
      <c r="E529" s="245"/>
      <c r="F529" s="245"/>
      <c r="G529" s="245"/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/>
      <c r="S529" s="245"/>
      <c r="T529" s="245"/>
      <c r="U529" s="245"/>
      <c r="V529" s="245"/>
      <c r="W529" s="245"/>
      <c r="X529" s="245"/>
      <c r="Y529" s="245"/>
      <c r="Z529" s="245"/>
    </row>
    <row r="530" spans="1:26">
      <c r="A530" s="245"/>
      <c r="B530" s="245"/>
      <c r="C530" s="245"/>
      <c r="D530" s="245"/>
      <c r="E530" s="245"/>
      <c r="F530" s="245"/>
      <c r="G530" s="245"/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/>
      <c r="S530" s="245"/>
      <c r="T530" s="245"/>
      <c r="U530" s="245"/>
      <c r="V530" s="245"/>
      <c r="W530" s="245"/>
      <c r="X530" s="245"/>
      <c r="Y530" s="245"/>
      <c r="Z530" s="245"/>
    </row>
    <row r="531" spans="1:26">
      <c r="A531" s="245"/>
      <c r="B531" s="245"/>
      <c r="C531" s="245"/>
      <c r="D531" s="245"/>
      <c r="E531" s="245"/>
      <c r="F531" s="245"/>
      <c r="G531" s="245"/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/>
      <c r="S531" s="245"/>
      <c r="T531" s="245"/>
      <c r="U531" s="245"/>
      <c r="V531" s="245"/>
      <c r="W531" s="245"/>
      <c r="X531" s="245"/>
      <c r="Y531" s="245"/>
      <c r="Z531" s="245"/>
    </row>
    <row r="532" spans="1:26">
      <c r="A532" s="245"/>
      <c r="B532" s="245"/>
      <c r="C532" s="245"/>
      <c r="D532" s="245"/>
      <c r="E532" s="245"/>
      <c r="F532" s="245"/>
      <c r="G532" s="245"/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/>
      <c r="S532" s="245"/>
      <c r="T532" s="245"/>
      <c r="U532" s="245"/>
      <c r="V532" s="245"/>
      <c r="W532" s="245"/>
      <c r="X532" s="245"/>
      <c r="Y532" s="245"/>
      <c r="Z532" s="245"/>
    </row>
    <row r="533" spans="1:26">
      <c r="A533" s="245"/>
      <c r="B533" s="245"/>
      <c r="C533" s="245"/>
      <c r="D533" s="245"/>
      <c r="E533" s="245"/>
      <c r="F533" s="245"/>
      <c r="G533" s="245"/>
      <c r="H533" s="245"/>
      <c r="I533" s="245"/>
      <c r="J533" s="245"/>
      <c r="K533" s="245"/>
      <c r="L533" s="245"/>
      <c r="M533" s="245"/>
      <c r="N533" s="245"/>
      <c r="O533" s="245"/>
      <c r="P533" s="245"/>
      <c r="Q533" s="245"/>
      <c r="R533" s="245"/>
      <c r="S533" s="245"/>
      <c r="T533" s="245"/>
      <c r="U533" s="245"/>
      <c r="V533" s="245"/>
      <c r="W533" s="245"/>
      <c r="X533" s="245"/>
      <c r="Y533" s="245"/>
      <c r="Z533" s="245"/>
    </row>
    <row r="534" spans="1:26">
      <c r="A534" s="245"/>
      <c r="B534" s="245"/>
      <c r="C534" s="245"/>
      <c r="D534" s="245"/>
      <c r="E534" s="245"/>
      <c r="F534" s="245"/>
      <c r="G534" s="245"/>
      <c r="H534" s="245"/>
      <c r="I534" s="245"/>
      <c r="J534" s="245"/>
      <c r="K534" s="245"/>
      <c r="L534" s="245"/>
      <c r="M534" s="245"/>
      <c r="N534" s="245"/>
      <c r="O534" s="245"/>
      <c r="P534" s="245"/>
      <c r="Q534" s="245"/>
      <c r="R534" s="245"/>
      <c r="S534" s="245"/>
      <c r="T534" s="245"/>
      <c r="U534" s="245"/>
      <c r="V534" s="245"/>
      <c r="W534" s="245"/>
      <c r="X534" s="245"/>
      <c r="Y534" s="245"/>
      <c r="Z534" s="245"/>
    </row>
    <row r="535" spans="1:26">
      <c r="A535" s="245"/>
      <c r="B535" s="245"/>
      <c r="C535" s="245"/>
      <c r="D535" s="245"/>
      <c r="E535" s="245"/>
      <c r="F535" s="245"/>
      <c r="G535" s="245"/>
      <c r="H535" s="245"/>
      <c r="I535" s="245"/>
      <c r="J535" s="245"/>
      <c r="K535" s="245"/>
      <c r="L535" s="245"/>
      <c r="M535" s="245"/>
      <c r="N535" s="245"/>
      <c r="O535" s="245"/>
      <c r="P535" s="245"/>
      <c r="Q535" s="245"/>
      <c r="R535" s="245"/>
      <c r="S535" s="245"/>
      <c r="T535" s="245"/>
      <c r="U535" s="245"/>
      <c r="V535" s="245"/>
      <c r="W535" s="245"/>
      <c r="X535" s="245"/>
      <c r="Y535" s="245"/>
      <c r="Z535" s="245"/>
    </row>
    <row r="536" spans="1:26">
      <c r="A536" s="245"/>
      <c r="B536" s="245"/>
      <c r="C536" s="245"/>
      <c r="D536" s="245"/>
      <c r="E536" s="245"/>
      <c r="F536" s="245"/>
      <c r="G536" s="245"/>
      <c r="H536" s="245"/>
      <c r="I536" s="245"/>
      <c r="J536" s="245"/>
      <c r="K536" s="245"/>
      <c r="L536" s="245"/>
      <c r="M536" s="245"/>
      <c r="N536" s="245"/>
      <c r="O536" s="245"/>
      <c r="P536" s="245"/>
      <c r="Q536" s="245"/>
      <c r="R536" s="245"/>
      <c r="S536" s="245"/>
      <c r="T536" s="245"/>
      <c r="U536" s="245"/>
      <c r="V536" s="245"/>
      <c r="W536" s="245"/>
      <c r="X536" s="245"/>
      <c r="Y536" s="245"/>
      <c r="Z536" s="245"/>
    </row>
    <row r="537" spans="1:26">
      <c r="A537" s="245"/>
      <c r="B537" s="245"/>
      <c r="C537" s="245"/>
      <c r="D537" s="245"/>
      <c r="E537" s="245"/>
      <c r="F537" s="245"/>
      <c r="G537" s="245"/>
      <c r="H537" s="245"/>
      <c r="I537" s="245"/>
      <c r="J537" s="245"/>
      <c r="K537" s="245"/>
      <c r="L537" s="245"/>
      <c r="M537" s="245"/>
      <c r="N537" s="245"/>
      <c r="O537" s="245"/>
      <c r="P537" s="245"/>
      <c r="Q537" s="245"/>
      <c r="R537" s="245"/>
      <c r="S537" s="245"/>
      <c r="T537" s="245"/>
      <c r="U537" s="245"/>
      <c r="V537" s="245"/>
      <c r="W537" s="245"/>
      <c r="X537" s="245"/>
      <c r="Y537" s="245"/>
      <c r="Z537" s="245"/>
    </row>
    <row r="538" spans="1:26">
      <c r="A538" s="245"/>
      <c r="B538" s="245"/>
      <c r="C538" s="245"/>
      <c r="D538" s="245"/>
      <c r="E538" s="245"/>
      <c r="F538" s="245"/>
      <c r="G538" s="245"/>
      <c r="H538" s="245"/>
      <c r="I538" s="245"/>
      <c r="J538" s="245"/>
      <c r="K538" s="245"/>
      <c r="L538" s="245"/>
      <c r="M538" s="245"/>
      <c r="N538" s="245"/>
      <c r="O538" s="245"/>
      <c r="P538" s="245"/>
      <c r="Q538" s="245"/>
      <c r="R538" s="245"/>
      <c r="S538" s="245"/>
      <c r="T538" s="245"/>
      <c r="U538" s="245"/>
      <c r="V538" s="245"/>
      <c r="W538" s="245"/>
      <c r="X538" s="245"/>
      <c r="Y538" s="245"/>
      <c r="Z538" s="245"/>
    </row>
    <row r="539" spans="1:26">
      <c r="A539" s="245"/>
      <c r="B539" s="245"/>
      <c r="C539" s="245"/>
      <c r="D539" s="245"/>
      <c r="E539" s="245"/>
      <c r="F539" s="245"/>
      <c r="G539" s="245"/>
      <c r="H539" s="245"/>
      <c r="I539" s="245"/>
      <c r="J539" s="245"/>
      <c r="K539" s="245"/>
      <c r="L539" s="245"/>
      <c r="M539" s="245"/>
      <c r="N539" s="245"/>
      <c r="O539" s="245"/>
      <c r="P539" s="245"/>
      <c r="Q539" s="245"/>
      <c r="R539" s="245"/>
      <c r="S539" s="245"/>
      <c r="T539" s="245"/>
      <c r="U539" s="245"/>
      <c r="V539" s="245"/>
      <c r="W539" s="245"/>
      <c r="X539" s="245"/>
      <c r="Y539" s="245"/>
      <c r="Z539" s="245"/>
    </row>
    <row r="540" spans="1:26">
      <c r="A540" s="245"/>
      <c r="B540" s="245"/>
      <c r="C540" s="245"/>
      <c r="D540" s="245"/>
      <c r="E540" s="245"/>
      <c r="F540" s="245"/>
      <c r="G540" s="245"/>
      <c r="H540" s="245"/>
      <c r="I540" s="245"/>
      <c r="J540" s="245"/>
      <c r="K540" s="245"/>
      <c r="L540" s="245"/>
      <c r="M540" s="245"/>
      <c r="N540" s="245"/>
      <c r="O540" s="245"/>
      <c r="P540" s="245"/>
      <c r="Q540" s="245"/>
      <c r="R540" s="245"/>
      <c r="S540" s="245"/>
      <c r="T540" s="245"/>
      <c r="U540" s="245"/>
      <c r="V540" s="245"/>
      <c r="W540" s="245"/>
      <c r="X540" s="245"/>
      <c r="Y540" s="245"/>
      <c r="Z540" s="245"/>
    </row>
    <row r="541" spans="1:26">
      <c r="A541" s="245"/>
      <c r="B541" s="245"/>
      <c r="C541" s="245"/>
      <c r="D541" s="245"/>
      <c r="E541" s="245"/>
      <c r="F541" s="245"/>
      <c r="G541" s="245"/>
      <c r="H541" s="245"/>
      <c r="I541" s="245"/>
      <c r="J541" s="245"/>
      <c r="K541" s="245"/>
      <c r="L541" s="245"/>
      <c r="M541" s="245"/>
      <c r="N541" s="245"/>
      <c r="O541" s="245"/>
      <c r="P541" s="245"/>
      <c r="Q541" s="245"/>
      <c r="R541" s="245"/>
      <c r="S541" s="245"/>
      <c r="T541" s="245"/>
      <c r="U541" s="245"/>
      <c r="V541" s="245"/>
      <c r="W541" s="245"/>
      <c r="X541" s="245"/>
      <c r="Y541" s="245"/>
      <c r="Z541" s="245"/>
    </row>
    <row r="542" spans="1:26">
      <c r="A542" s="245"/>
      <c r="B542" s="245"/>
      <c r="C542" s="245"/>
      <c r="D542" s="245"/>
      <c r="E542" s="245"/>
      <c r="F542" s="245"/>
      <c r="G542" s="245"/>
      <c r="H542" s="245"/>
      <c r="I542" s="245"/>
      <c r="J542" s="245"/>
      <c r="K542" s="245"/>
      <c r="L542" s="245"/>
      <c r="M542" s="245"/>
      <c r="N542" s="245"/>
      <c r="O542" s="245"/>
      <c r="P542" s="245"/>
      <c r="Q542" s="245"/>
      <c r="R542" s="245"/>
      <c r="S542" s="245"/>
      <c r="T542" s="245"/>
      <c r="U542" s="245"/>
      <c r="V542" s="245"/>
      <c r="W542" s="245"/>
      <c r="X542" s="245"/>
      <c r="Y542" s="245"/>
      <c r="Z542" s="245"/>
    </row>
    <row r="543" spans="1:26">
      <c r="A543" s="245"/>
      <c r="B543" s="245"/>
      <c r="C543" s="245"/>
      <c r="D543" s="245"/>
      <c r="E543" s="245"/>
      <c r="F543" s="245"/>
      <c r="G543" s="245"/>
      <c r="H543" s="245"/>
      <c r="I543" s="245"/>
      <c r="J543" s="245"/>
      <c r="K543" s="245"/>
      <c r="L543" s="245"/>
      <c r="M543" s="245"/>
      <c r="N543" s="245"/>
      <c r="O543" s="245"/>
      <c r="P543" s="245"/>
      <c r="Q543" s="245"/>
      <c r="R543" s="245"/>
      <c r="S543" s="245"/>
      <c r="T543" s="245"/>
      <c r="U543" s="245"/>
      <c r="V543" s="245"/>
      <c r="W543" s="245"/>
      <c r="X543" s="245"/>
      <c r="Y543" s="245"/>
      <c r="Z543" s="245"/>
    </row>
    <row r="544" spans="1:26">
      <c r="A544" s="245"/>
      <c r="B544" s="245"/>
      <c r="C544" s="245"/>
      <c r="D544" s="245"/>
      <c r="E544" s="245"/>
      <c r="F544" s="245"/>
      <c r="G544" s="245"/>
      <c r="H544" s="245"/>
      <c r="I544" s="245"/>
      <c r="J544" s="245"/>
      <c r="K544" s="245"/>
      <c r="L544" s="245"/>
      <c r="M544" s="245"/>
      <c r="N544" s="245"/>
      <c r="O544" s="245"/>
      <c r="P544" s="245"/>
      <c r="Q544" s="245"/>
      <c r="R544" s="245"/>
      <c r="S544" s="245"/>
      <c r="T544" s="245"/>
      <c r="U544" s="245"/>
      <c r="V544" s="245"/>
      <c r="W544" s="245"/>
      <c r="X544" s="245"/>
      <c r="Y544" s="245"/>
      <c r="Z544" s="245"/>
    </row>
    <row r="545" spans="1:26">
      <c r="A545" s="245"/>
      <c r="B545" s="245"/>
      <c r="C545" s="245"/>
      <c r="D545" s="245"/>
      <c r="E545" s="245"/>
      <c r="F545" s="245"/>
      <c r="G545" s="245"/>
      <c r="H545" s="245"/>
      <c r="I545" s="245"/>
      <c r="J545" s="245"/>
      <c r="K545" s="245"/>
      <c r="L545" s="245"/>
      <c r="M545" s="245"/>
      <c r="N545" s="245"/>
      <c r="O545" s="245"/>
      <c r="P545" s="245"/>
      <c r="Q545" s="245"/>
      <c r="R545" s="245"/>
      <c r="S545" s="245"/>
      <c r="T545" s="245"/>
      <c r="U545" s="245"/>
      <c r="V545" s="245"/>
      <c r="W545" s="245"/>
      <c r="X545" s="245"/>
      <c r="Y545" s="245"/>
      <c r="Z545" s="245"/>
    </row>
    <row r="546" spans="1:26">
      <c r="A546" s="245"/>
      <c r="B546" s="245"/>
      <c r="C546" s="245"/>
      <c r="D546" s="245"/>
      <c r="E546" s="245"/>
      <c r="F546" s="245"/>
      <c r="G546" s="245"/>
      <c r="H546" s="245"/>
      <c r="I546" s="245"/>
      <c r="J546" s="245"/>
      <c r="K546" s="245"/>
      <c r="L546" s="245"/>
      <c r="M546" s="245"/>
      <c r="N546" s="245"/>
      <c r="O546" s="245"/>
      <c r="P546" s="245"/>
      <c r="Q546" s="245"/>
      <c r="R546" s="245"/>
      <c r="S546" s="245"/>
      <c r="T546" s="245"/>
      <c r="U546" s="245"/>
      <c r="V546" s="245"/>
      <c r="W546" s="245"/>
      <c r="X546" s="245"/>
      <c r="Y546" s="245"/>
      <c r="Z546" s="245"/>
    </row>
    <row r="547" spans="1:26">
      <c r="A547" s="245"/>
      <c r="B547" s="245"/>
      <c r="C547" s="245"/>
      <c r="D547" s="245"/>
      <c r="E547" s="245"/>
      <c r="F547" s="245"/>
      <c r="G547" s="245"/>
      <c r="H547" s="245"/>
      <c r="I547" s="245"/>
      <c r="J547" s="245"/>
      <c r="K547" s="245"/>
      <c r="L547" s="245"/>
      <c r="M547" s="245"/>
      <c r="N547" s="245"/>
      <c r="O547" s="245"/>
      <c r="P547" s="245"/>
      <c r="Q547" s="245"/>
      <c r="R547" s="245"/>
      <c r="S547" s="245"/>
      <c r="T547" s="245"/>
      <c r="U547" s="245"/>
      <c r="V547" s="245"/>
      <c r="W547" s="245"/>
      <c r="X547" s="245"/>
      <c r="Y547" s="245"/>
      <c r="Z547" s="245"/>
    </row>
    <row r="548" spans="1:26">
      <c r="A548" s="245"/>
      <c r="B548" s="245"/>
      <c r="C548" s="245"/>
      <c r="D548" s="245"/>
      <c r="E548" s="245"/>
      <c r="F548" s="245"/>
      <c r="G548" s="245"/>
      <c r="H548" s="245"/>
      <c r="I548" s="245"/>
      <c r="J548" s="245"/>
      <c r="K548" s="245"/>
      <c r="L548" s="245"/>
      <c r="M548" s="245"/>
      <c r="N548" s="245"/>
      <c r="O548" s="245"/>
      <c r="P548" s="245"/>
      <c r="Q548" s="245"/>
      <c r="R548" s="245"/>
      <c r="S548" s="245"/>
      <c r="T548" s="245"/>
      <c r="U548" s="245"/>
      <c r="V548" s="245"/>
      <c r="W548" s="245"/>
      <c r="X548" s="245"/>
      <c r="Y548" s="245"/>
      <c r="Z548" s="245"/>
    </row>
    <row r="549" spans="1:26">
      <c r="A549" s="245"/>
      <c r="B549" s="245"/>
      <c r="C549" s="245"/>
      <c r="D549" s="245"/>
      <c r="E549" s="245"/>
      <c r="F549" s="245"/>
      <c r="G549" s="245"/>
      <c r="H549" s="245"/>
      <c r="I549" s="245"/>
      <c r="J549" s="245"/>
      <c r="K549" s="245"/>
      <c r="L549" s="245"/>
      <c r="M549" s="245"/>
      <c r="N549" s="245"/>
      <c r="O549" s="245"/>
      <c r="P549" s="245"/>
      <c r="Q549" s="245"/>
      <c r="R549" s="245"/>
      <c r="S549" s="245"/>
      <c r="T549" s="245"/>
      <c r="U549" s="245"/>
      <c r="V549" s="245"/>
      <c r="W549" s="245"/>
      <c r="X549" s="245"/>
      <c r="Y549" s="245"/>
      <c r="Z549" s="245"/>
    </row>
    <row r="550" spans="1:26">
      <c r="A550" s="245"/>
      <c r="B550" s="245"/>
      <c r="C550" s="245"/>
      <c r="D550" s="245"/>
      <c r="E550" s="245"/>
      <c r="F550" s="245"/>
      <c r="G550" s="245"/>
      <c r="H550" s="245"/>
      <c r="I550" s="245"/>
      <c r="J550" s="245"/>
      <c r="K550" s="245"/>
      <c r="L550" s="245"/>
      <c r="M550" s="245"/>
      <c r="N550" s="245"/>
      <c r="O550" s="245"/>
      <c r="P550" s="245"/>
      <c r="Q550" s="245"/>
      <c r="R550" s="245"/>
      <c r="S550" s="245"/>
      <c r="T550" s="245"/>
      <c r="U550" s="245"/>
      <c r="V550" s="245"/>
      <c r="W550" s="245"/>
      <c r="X550" s="245"/>
      <c r="Y550" s="245"/>
      <c r="Z550" s="245"/>
    </row>
    <row r="551" spans="1:26">
      <c r="A551" s="245"/>
      <c r="B551" s="245"/>
      <c r="C551" s="245"/>
      <c r="D551" s="245"/>
      <c r="E551" s="245"/>
      <c r="F551" s="245"/>
      <c r="G551" s="245"/>
      <c r="H551" s="245"/>
      <c r="I551" s="245"/>
      <c r="J551" s="245"/>
      <c r="K551" s="245"/>
      <c r="L551" s="245"/>
      <c r="M551" s="245"/>
      <c r="N551" s="245"/>
      <c r="O551" s="245"/>
      <c r="P551" s="245"/>
      <c r="Q551" s="245"/>
      <c r="R551" s="245"/>
      <c r="S551" s="245"/>
      <c r="T551" s="245"/>
      <c r="U551" s="245"/>
      <c r="V551" s="245"/>
      <c r="W551" s="245"/>
      <c r="X551" s="245"/>
      <c r="Y551" s="245"/>
      <c r="Z551" s="245"/>
    </row>
    <row r="552" spans="1:26">
      <c r="A552" s="245"/>
      <c r="B552" s="245"/>
      <c r="C552" s="245"/>
      <c r="D552" s="245"/>
      <c r="E552" s="245"/>
      <c r="F552" s="245"/>
      <c r="G552" s="245"/>
      <c r="H552" s="245"/>
      <c r="I552" s="245"/>
      <c r="J552" s="245"/>
      <c r="K552" s="245"/>
      <c r="L552" s="245"/>
      <c r="M552" s="245"/>
      <c r="N552" s="245"/>
      <c r="O552" s="245"/>
      <c r="P552" s="245"/>
      <c r="Q552" s="245"/>
      <c r="R552" s="245"/>
      <c r="S552" s="245"/>
      <c r="T552" s="245"/>
      <c r="U552" s="245"/>
      <c r="V552" s="245"/>
      <c r="W552" s="245"/>
      <c r="X552" s="245"/>
      <c r="Y552" s="245"/>
      <c r="Z552" s="245"/>
    </row>
    <row r="553" spans="1:26">
      <c r="A553" s="245"/>
      <c r="B553" s="245"/>
      <c r="C553" s="245"/>
      <c r="D553" s="245"/>
      <c r="E553" s="245"/>
      <c r="F553" s="245"/>
      <c r="G553" s="245"/>
      <c r="H553" s="245"/>
      <c r="I553" s="245"/>
      <c r="J553" s="245"/>
      <c r="K553" s="245"/>
      <c r="L553" s="245"/>
      <c r="M553" s="245"/>
      <c r="N553" s="245"/>
      <c r="O553" s="245"/>
      <c r="P553" s="245"/>
      <c r="Q553" s="245"/>
      <c r="R553" s="245"/>
      <c r="S553" s="245"/>
      <c r="T553" s="245"/>
      <c r="U553" s="245"/>
      <c r="V553" s="245"/>
      <c r="W553" s="245"/>
      <c r="X553" s="245"/>
      <c r="Y553" s="245"/>
      <c r="Z553" s="245"/>
    </row>
    <row r="554" spans="1:26">
      <c r="A554" s="245"/>
      <c r="B554" s="245"/>
      <c r="C554" s="245"/>
      <c r="D554" s="245"/>
      <c r="E554" s="245"/>
      <c r="F554" s="245"/>
      <c r="G554" s="245"/>
      <c r="H554" s="245"/>
      <c r="I554" s="245"/>
      <c r="J554" s="245"/>
      <c r="K554" s="245"/>
      <c r="L554" s="245"/>
      <c r="M554" s="245"/>
      <c r="N554" s="245"/>
      <c r="O554" s="245"/>
      <c r="P554" s="245"/>
      <c r="Q554" s="245"/>
      <c r="R554" s="245"/>
      <c r="S554" s="245"/>
      <c r="T554" s="245"/>
      <c r="U554" s="245"/>
      <c r="V554" s="245"/>
      <c r="W554" s="245"/>
      <c r="X554" s="245"/>
      <c r="Y554" s="245"/>
      <c r="Z554" s="245"/>
    </row>
    <row r="555" spans="1:26">
      <c r="A555" s="245"/>
      <c r="B555" s="245"/>
      <c r="C555" s="245"/>
      <c r="D555" s="245"/>
      <c r="E555" s="245"/>
      <c r="F555" s="245"/>
      <c r="G555" s="245"/>
      <c r="H555" s="245"/>
      <c r="I555" s="245"/>
      <c r="J555" s="245"/>
      <c r="K555" s="245"/>
      <c r="L555" s="245"/>
      <c r="M555" s="245"/>
      <c r="N555" s="245"/>
      <c r="O555" s="245"/>
      <c r="P555" s="245"/>
      <c r="Q555" s="245"/>
      <c r="R555" s="245"/>
      <c r="S555" s="245"/>
      <c r="T555" s="245"/>
      <c r="U555" s="245"/>
      <c r="V555" s="245"/>
      <c r="W555" s="245"/>
      <c r="X555" s="245"/>
      <c r="Y555" s="245"/>
      <c r="Z555" s="245"/>
    </row>
    <row r="556" spans="1:26">
      <c r="A556" s="245"/>
      <c r="B556" s="245"/>
      <c r="C556" s="245"/>
      <c r="D556" s="245"/>
      <c r="E556" s="245"/>
      <c r="F556" s="245"/>
      <c r="G556" s="245"/>
      <c r="H556" s="245"/>
      <c r="I556" s="245"/>
      <c r="J556" s="245"/>
      <c r="K556" s="245"/>
      <c r="L556" s="245"/>
      <c r="M556" s="245"/>
      <c r="N556" s="245"/>
      <c r="O556" s="245"/>
      <c r="P556" s="245"/>
      <c r="Q556" s="245"/>
      <c r="R556" s="245"/>
      <c r="S556" s="245"/>
      <c r="T556" s="245"/>
      <c r="U556" s="245"/>
      <c r="V556" s="245"/>
      <c r="W556" s="245"/>
      <c r="X556" s="245"/>
      <c r="Y556" s="245"/>
      <c r="Z556" s="245"/>
    </row>
    <row r="557" spans="1:26">
      <c r="A557" s="245"/>
      <c r="B557" s="245"/>
      <c r="C557" s="245"/>
      <c r="D557" s="245"/>
      <c r="E557" s="245"/>
      <c r="F557" s="245"/>
      <c r="G557" s="245"/>
      <c r="H557" s="245"/>
      <c r="I557" s="245"/>
      <c r="J557" s="245"/>
      <c r="K557" s="245"/>
      <c r="L557" s="245"/>
      <c r="M557" s="245"/>
      <c r="N557" s="245"/>
      <c r="O557" s="245"/>
      <c r="P557" s="245"/>
      <c r="Q557" s="245"/>
      <c r="R557" s="245"/>
      <c r="S557" s="245"/>
      <c r="T557" s="245"/>
      <c r="U557" s="245"/>
      <c r="V557" s="245"/>
      <c r="W557" s="245"/>
      <c r="X557" s="245"/>
      <c r="Y557" s="245"/>
      <c r="Z557" s="245"/>
    </row>
    <row r="558" spans="1:26">
      <c r="A558" s="245"/>
      <c r="B558" s="245"/>
      <c r="C558" s="245"/>
      <c r="D558" s="245"/>
      <c r="E558" s="245"/>
      <c r="F558" s="245"/>
      <c r="G558" s="245"/>
      <c r="H558" s="245"/>
      <c r="I558" s="245"/>
      <c r="J558" s="245"/>
      <c r="K558" s="245"/>
      <c r="L558" s="245"/>
      <c r="M558" s="245"/>
      <c r="N558" s="245"/>
      <c r="O558" s="245"/>
      <c r="P558" s="245"/>
      <c r="Q558" s="245"/>
      <c r="R558" s="245"/>
      <c r="S558" s="245"/>
      <c r="T558" s="245"/>
      <c r="U558" s="245"/>
      <c r="V558" s="245"/>
      <c r="W558" s="245"/>
      <c r="X558" s="245"/>
      <c r="Y558" s="245"/>
      <c r="Z558" s="245"/>
    </row>
    <row r="559" spans="1:26">
      <c r="A559" s="245"/>
      <c r="B559" s="245"/>
      <c r="C559" s="245"/>
      <c r="D559" s="245"/>
      <c r="E559" s="245"/>
      <c r="F559" s="245"/>
      <c r="G559" s="245"/>
      <c r="H559" s="245"/>
      <c r="I559" s="245"/>
      <c r="J559" s="245"/>
      <c r="K559" s="245"/>
      <c r="L559" s="245"/>
      <c r="M559" s="245"/>
      <c r="N559" s="245"/>
      <c r="O559" s="245"/>
      <c r="P559" s="245"/>
      <c r="Q559" s="245"/>
      <c r="R559" s="245"/>
      <c r="S559" s="245"/>
      <c r="T559" s="245"/>
      <c r="U559" s="245"/>
      <c r="V559" s="245"/>
      <c r="W559" s="245"/>
      <c r="X559" s="245"/>
      <c r="Y559" s="245"/>
      <c r="Z559" s="245"/>
    </row>
    <row r="560" spans="1:26">
      <c r="A560" s="245"/>
      <c r="B560" s="245"/>
      <c r="C560" s="245"/>
      <c r="D560" s="245"/>
      <c r="E560" s="245"/>
      <c r="F560" s="245"/>
      <c r="G560" s="245"/>
      <c r="H560" s="245"/>
      <c r="I560" s="245"/>
      <c r="J560" s="245"/>
      <c r="K560" s="245"/>
      <c r="L560" s="245"/>
      <c r="M560" s="245"/>
      <c r="N560" s="245"/>
      <c r="O560" s="245"/>
      <c r="P560" s="245"/>
      <c r="Q560" s="245"/>
      <c r="R560" s="245"/>
      <c r="S560" s="245"/>
      <c r="T560" s="245"/>
      <c r="U560" s="245"/>
      <c r="V560" s="245"/>
      <c r="W560" s="245"/>
      <c r="X560" s="245"/>
      <c r="Y560" s="245"/>
      <c r="Z560" s="245"/>
    </row>
    <row r="561" spans="1:26">
      <c r="A561" s="245"/>
      <c r="B561" s="245"/>
      <c r="C561" s="245"/>
      <c r="D561" s="245"/>
      <c r="E561" s="245"/>
      <c r="F561" s="245"/>
      <c r="G561" s="245"/>
      <c r="H561" s="245"/>
      <c r="I561" s="245"/>
      <c r="J561" s="245"/>
      <c r="K561" s="245"/>
      <c r="L561" s="245"/>
      <c r="M561" s="245"/>
      <c r="N561" s="245"/>
      <c r="O561" s="245"/>
      <c r="P561" s="245"/>
      <c r="Q561" s="245"/>
      <c r="R561" s="245"/>
      <c r="S561" s="245"/>
      <c r="T561" s="245"/>
      <c r="U561" s="245"/>
      <c r="V561" s="245"/>
      <c r="W561" s="245"/>
      <c r="X561" s="245"/>
      <c r="Y561" s="245"/>
      <c r="Z561" s="245"/>
    </row>
    <row r="562" spans="1:26">
      <c r="A562" s="245"/>
      <c r="B562" s="245"/>
      <c r="C562" s="245"/>
      <c r="D562" s="245"/>
      <c r="E562" s="245"/>
      <c r="F562" s="245"/>
      <c r="G562" s="245"/>
      <c r="H562" s="245"/>
      <c r="I562" s="245"/>
      <c r="J562" s="245"/>
      <c r="K562" s="245"/>
      <c r="L562" s="245"/>
      <c r="M562" s="245"/>
      <c r="N562" s="245"/>
      <c r="O562" s="245"/>
      <c r="P562" s="245"/>
      <c r="Q562" s="245"/>
      <c r="R562" s="245"/>
      <c r="S562" s="245"/>
      <c r="T562" s="245"/>
      <c r="U562" s="245"/>
      <c r="V562" s="245"/>
      <c r="W562" s="245"/>
      <c r="X562" s="245"/>
      <c r="Y562" s="245"/>
      <c r="Z562" s="245"/>
    </row>
    <row r="563" spans="1:26">
      <c r="A563" s="245"/>
      <c r="B563" s="245"/>
      <c r="C563" s="245"/>
      <c r="D563" s="245"/>
      <c r="E563" s="245"/>
      <c r="F563" s="245"/>
      <c r="G563" s="245"/>
      <c r="H563" s="245"/>
      <c r="I563" s="245"/>
      <c r="J563" s="245"/>
      <c r="K563" s="245"/>
      <c r="L563" s="245"/>
      <c r="M563" s="245"/>
      <c r="N563" s="245"/>
      <c r="O563" s="245"/>
      <c r="P563" s="245"/>
      <c r="Q563" s="245"/>
      <c r="R563" s="245"/>
      <c r="S563" s="245"/>
      <c r="T563" s="245"/>
      <c r="U563" s="245"/>
      <c r="V563" s="245"/>
      <c r="W563" s="245"/>
      <c r="X563" s="245"/>
      <c r="Y563" s="245"/>
      <c r="Z563" s="245"/>
    </row>
    <row r="564" spans="1:26">
      <c r="A564" s="245"/>
      <c r="B564" s="245"/>
      <c r="C564" s="245"/>
      <c r="D564" s="245"/>
      <c r="E564" s="245"/>
      <c r="F564" s="245"/>
      <c r="G564" s="245"/>
      <c r="H564" s="245"/>
      <c r="I564" s="245"/>
      <c r="J564" s="245"/>
      <c r="K564" s="245"/>
      <c r="L564" s="245"/>
      <c r="M564" s="245"/>
      <c r="N564" s="245"/>
      <c r="O564" s="245"/>
      <c r="P564" s="245"/>
      <c r="Q564" s="245"/>
      <c r="R564" s="245"/>
      <c r="S564" s="245"/>
      <c r="T564" s="245"/>
      <c r="U564" s="245"/>
      <c r="V564" s="245"/>
      <c r="W564" s="245"/>
      <c r="X564" s="245"/>
      <c r="Y564" s="245"/>
      <c r="Z564" s="245"/>
    </row>
    <row r="565" spans="1:26">
      <c r="A565" s="245"/>
      <c r="B565" s="245"/>
      <c r="C565" s="245"/>
      <c r="D565" s="245"/>
      <c r="E565" s="245"/>
      <c r="F565" s="245"/>
      <c r="G565" s="245"/>
      <c r="H565" s="245"/>
      <c r="I565" s="245"/>
      <c r="J565" s="245"/>
      <c r="K565" s="245"/>
      <c r="L565" s="245"/>
      <c r="M565" s="245"/>
      <c r="N565" s="245"/>
      <c r="O565" s="245"/>
      <c r="P565" s="245"/>
      <c r="Q565" s="245"/>
      <c r="R565" s="245"/>
      <c r="S565" s="245"/>
      <c r="T565" s="245"/>
      <c r="U565" s="245"/>
      <c r="V565" s="245"/>
      <c r="W565" s="245"/>
      <c r="X565" s="245"/>
      <c r="Y565" s="245"/>
      <c r="Z565" s="245"/>
    </row>
    <row r="566" spans="1:26">
      <c r="A566" s="245"/>
      <c r="B566" s="245"/>
      <c r="C566" s="245"/>
      <c r="D566" s="245"/>
      <c r="E566" s="245"/>
      <c r="F566" s="245"/>
      <c r="G566" s="245"/>
      <c r="H566" s="245"/>
      <c r="I566" s="245"/>
      <c r="J566" s="245"/>
      <c r="K566" s="245"/>
      <c r="L566" s="245"/>
      <c r="M566" s="245"/>
      <c r="N566" s="245"/>
      <c r="O566" s="245"/>
      <c r="P566" s="245"/>
      <c r="Q566" s="245"/>
      <c r="R566" s="245"/>
      <c r="S566" s="245"/>
      <c r="T566" s="245"/>
      <c r="U566" s="245"/>
      <c r="V566" s="245"/>
      <c r="W566" s="245"/>
      <c r="X566" s="245"/>
      <c r="Y566" s="245"/>
      <c r="Z566" s="245"/>
    </row>
    <row r="567" spans="1:26">
      <c r="A567" s="245"/>
      <c r="B567" s="245"/>
      <c r="C567" s="245"/>
      <c r="D567" s="245"/>
      <c r="E567" s="245"/>
      <c r="F567" s="245"/>
      <c r="G567" s="245"/>
      <c r="H567" s="245"/>
      <c r="I567" s="245"/>
      <c r="J567" s="245"/>
      <c r="K567" s="245"/>
      <c r="L567" s="245"/>
      <c r="M567" s="245"/>
      <c r="N567" s="245"/>
      <c r="O567" s="245"/>
      <c r="P567" s="245"/>
      <c r="Q567" s="245"/>
      <c r="R567" s="245"/>
      <c r="S567" s="245"/>
      <c r="T567" s="245"/>
      <c r="U567" s="245"/>
      <c r="V567" s="245"/>
      <c r="W567" s="245"/>
      <c r="X567" s="245"/>
      <c r="Y567" s="245"/>
      <c r="Z567" s="245"/>
    </row>
    <row r="568" spans="1:26">
      <c r="A568" s="245"/>
      <c r="B568" s="245"/>
      <c r="C568" s="245"/>
      <c r="D568" s="245"/>
      <c r="E568" s="245"/>
      <c r="F568" s="245"/>
      <c r="G568" s="245"/>
      <c r="H568" s="245"/>
      <c r="I568" s="245"/>
      <c r="J568" s="245"/>
      <c r="K568" s="245"/>
      <c r="L568" s="245"/>
      <c r="M568" s="245"/>
      <c r="N568" s="245"/>
      <c r="O568" s="245"/>
      <c r="P568" s="245"/>
      <c r="Q568" s="245"/>
      <c r="R568" s="245"/>
      <c r="S568" s="245"/>
      <c r="T568" s="245"/>
      <c r="U568" s="245"/>
      <c r="V568" s="245"/>
      <c r="W568" s="245"/>
      <c r="X568" s="245"/>
      <c r="Y568" s="245"/>
      <c r="Z568" s="245"/>
    </row>
    <row r="569" spans="1:26">
      <c r="A569" s="245"/>
      <c r="B569" s="245"/>
      <c r="C569" s="245"/>
      <c r="D569" s="245"/>
      <c r="E569" s="245"/>
      <c r="F569" s="245"/>
      <c r="G569" s="245"/>
      <c r="H569" s="245"/>
      <c r="I569" s="245"/>
      <c r="J569" s="245"/>
      <c r="K569" s="245"/>
      <c r="L569" s="245"/>
      <c r="M569" s="245"/>
      <c r="N569" s="245"/>
      <c r="O569" s="245"/>
      <c r="P569" s="245"/>
      <c r="Q569" s="245"/>
      <c r="R569" s="245"/>
      <c r="S569" s="245"/>
      <c r="T569" s="245"/>
      <c r="U569" s="245"/>
      <c r="V569" s="245"/>
      <c r="W569" s="245"/>
      <c r="X569" s="245"/>
      <c r="Y569" s="245"/>
      <c r="Z569" s="245"/>
    </row>
    <row r="570" spans="1:26">
      <c r="A570" s="245"/>
      <c r="B570" s="245"/>
      <c r="C570" s="245"/>
      <c r="D570" s="245"/>
      <c r="E570" s="245"/>
      <c r="F570" s="245"/>
      <c r="G570" s="245"/>
      <c r="H570" s="245"/>
      <c r="I570" s="245"/>
      <c r="J570" s="245"/>
      <c r="K570" s="245"/>
      <c r="L570" s="245"/>
      <c r="M570" s="245"/>
      <c r="N570" s="245"/>
      <c r="O570" s="245"/>
      <c r="P570" s="245"/>
      <c r="Q570" s="245"/>
      <c r="R570" s="245"/>
      <c r="S570" s="245"/>
      <c r="T570" s="245"/>
      <c r="U570" s="245"/>
      <c r="V570" s="245"/>
      <c r="W570" s="245"/>
      <c r="X570" s="245"/>
      <c r="Y570" s="245"/>
      <c r="Z570" s="245"/>
    </row>
    <row r="571" spans="1:26">
      <c r="A571" s="245"/>
      <c r="B571" s="245"/>
      <c r="C571" s="245"/>
      <c r="D571" s="245"/>
      <c r="E571" s="245"/>
      <c r="F571" s="245"/>
      <c r="G571" s="245"/>
      <c r="H571" s="245"/>
      <c r="I571" s="245"/>
      <c r="J571" s="245"/>
      <c r="K571" s="245"/>
      <c r="L571" s="245"/>
      <c r="M571" s="245"/>
      <c r="N571" s="245"/>
      <c r="O571" s="245"/>
      <c r="P571" s="245"/>
      <c r="Q571" s="245"/>
      <c r="R571" s="245"/>
      <c r="S571" s="245"/>
      <c r="T571" s="245"/>
      <c r="U571" s="245"/>
      <c r="V571" s="245"/>
      <c r="W571" s="245"/>
      <c r="X571" s="245"/>
      <c r="Y571" s="245"/>
      <c r="Z571" s="245"/>
    </row>
    <row r="572" spans="1:26">
      <c r="A572" s="245"/>
      <c r="B572" s="245"/>
      <c r="C572" s="245"/>
      <c r="D572" s="245"/>
      <c r="E572" s="245"/>
      <c r="F572" s="245"/>
      <c r="G572" s="245"/>
      <c r="H572" s="245"/>
      <c r="I572" s="245"/>
      <c r="J572" s="245"/>
      <c r="K572" s="245"/>
      <c r="L572" s="245"/>
      <c r="M572" s="245"/>
      <c r="N572" s="245"/>
      <c r="O572" s="245"/>
      <c r="P572" s="245"/>
      <c r="Q572" s="245"/>
      <c r="R572" s="245"/>
      <c r="S572" s="245"/>
      <c r="T572" s="245"/>
      <c r="U572" s="245"/>
      <c r="V572" s="245"/>
      <c r="W572" s="245"/>
      <c r="X572" s="245"/>
      <c r="Y572" s="245"/>
      <c r="Z572" s="245"/>
    </row>
    <row r="573" spans="1:26">
      <c r="A573" s="245"/>
      <c r="B573" s="245"/>
      <c r="C573" s="245"/>
      <c r="D573" s="245"/>
      <c r="E573" s="245"/>
      <c r="F573" s="245"/>
      <c r="G573" s="245"/>
      <c r="H573" s="245"/>
      <c r="I573" s="245"/>
      <c r="J573" s="245"/>
      <c r="K573" s="245"/>
      <c r="L573" s="245"/>
      <c r="M573" s="245"/>
      <c r="N573" s="245"/>
      <c r="O573" s="245"/>
      <c r="P573" s="245"/>
      <c r="Q573" s="245"/>
      <c r="R573" s="245"/>
      <c r="S573" s="245"/>
      <c r="T573" s="245"/>
      <c r="U573" s="245"/>
      <c r="V573" s="245"/>
      <c r="W573" s="245"/>
      <c r="X573" s="245"/>
      <c r="Y573" s="245"/>
      <c r="Z573" s="245"/>
    </row>
    <row r="574" spans="1:26">
      <c r="A574" s="245"/>
      <c r="B574" s="245"/>
      <c r="C574" s="245"/>
      <c r="D574" s="245"/>
      <c r="E574" s="245"/>
      <c r="F574" s="245"/>
      <c r="G574" s="245"/>
      <c r="H574" s="245"/>
      <c r="I574" s="245"/>
      <c r="J574" s="245"/>
      <c r="K574" s="245"/>
      <c r="L574" s="245"/>
      <c r="M574" s="245"/>
      <c r="N574" s="245"/>
      <c r="O574" s="245"/>
      <c r="P574" s="245"/>
      <c r="Q574" s="245"/>
      <c r="R574" s="245"/>
      <c r="S574" s="245"/>
      <c r="T574" s="245"/>
      <c r="U574" s="245"/>
      <c r="V574" s="245"/>
      <c r="W574" s="245"/>
      <c r="X574" s="245"/>
      <c r="Y574" s="245"/>
      <c r="Z574" s="245"/>
    </row>
    <row r="575" spans="1:26">
      <c r="A575" s="245"/>
      <c r="B575" s="245"/>
      <c r="C575" s="245"/>
      <c r="D575" s="245"/>
      <c r="E575" s="245"/>
      <c r="F575" s="245"/>
      <c r="G575" s="245"/>
      <c r="H575" s="245"/>
      <c r="I575" s="245"/>
      <c r="J575" s="245"/>
      <c r="K575" s="245"/>
      <c r="L575" s="245"/>
      <c r="M575" s="245"/>
      <c r="N575" s="245"/>
      <c r="O575" s="245"/>
      <c r="P575" s="245"/>
      <c r="Q575" s="245"/>
      <c r="R575" s="245"/>
      <c r="S575" s="245"/>
      <c r="T575" s="245"/>
      <c r="U575" s="245"/>
      <c r="V575" s="245"/>
      <c r="W575" s="245"/>
      <c r="X575" s="245"/>
      <c r="Y575" s="245"/>
      <c r="Z575" s="245"/>
    </row>
    <row r="576" spans="1:26">
      <c r="A576" s="245"/>
      <c r="B576" s="245"/>
      <c r="C576" s="245"/>
      <c r="D576" s="245"/>
      <c r="E576" s="245"/>
      <c r="F576" s="245"/>
      <c r="G576" s="245"/>
      <c r="H576" s="245"/>
      <c r="I576" s="245"/>
      <c r="J576" s="245"/>
      <c r="K576" s="245"/>
      <c r="L576" s="245"/>
      <c r="M576" s="245"/>
      <c r="N576" s="245"/>
      <c r="O576" s="245"/>
      <c r="P576" s="245"/>
      <c r="Q576" s="245"/>
      <c r="R576" s="245"/>
      <c r="S576" s="245"/>
      <c r="T576" s="245"/>
      <c r="U576" s="245"/>
      <c r="V576" s="245"/>
      <c r="W576" s="245"/>
      <c r="X576" s="245"/>
      <c r="Y576" s="245"/>
      <c r="Z576" s="245"/>
    </row>
    <row r="577" spans="1:26">
      <c r="A577" s="245"/>
      <c r="B577" s="245"/>
      <c r="C577" s="245"/>
      <c r="D577" s="245"/>
      <c r="E577" s="245"/>
      <c r="F577" s="245"/>
      <c r="G577" s="245"/>
      <c r="H577" s="245"/>
      <c r="I577" s="245"/>
      <c r="J577" s="245"/>
      <c r="K577" s="245"/>
      <c r="L577" s="245"/>
      <c r="M577" s="245"/>
      <c r="N577" s="245"/>
      <c r="O577" s="245"/>
      <c r="P577" s="245"/>
      <c r="Q577" s="245"/>
      <c r="R577" s="245"/>
      <c r="S577" s="245"/>
      <c r="T577" s="245"/>
      <c r="U577" s="245"/>
      <c r="V577" s="245"/>
      <c r="W577" s="245"/>
      <c r="X577" s="245"/>
      <c r="Y577" s="245"/>
      <c r="Z577" s="245"/>
    </row>
    <row r="578" spans="1:26">
      <c r="A578" s="245"/>
      <c r="B578" s="245"/>
      <c r="C578" s="245"/>
      <c r="D578" s="245"/>
      <c r="E578" s="245"/>
      <c r="F578" s="245"/>
      <c r="G578" s="245"/>
      <c r="H578" s="245"/>
      <c r="I578" s="245"/>
      <c r="J578" s="245"/>
      <c r="K578" s="245"/>
      <c r="L578" s="245"/>
      <c r="M578" s="245"/>
      <c r="N578" s="245"/>
      <c r="O578" s="245"/>
      <c r="P578" s="245"/>
      <c r="Q578" s="245"/>
      <c r="R578" s="245"/>
      <c r="S578" s="245"/>
      <c r="T578" s="245"/>
      <c r="U578" s="245"/>
      <c r="V578" s="245"/>
      <c r="W578" s="245"/>
      <c r="X578" s="245"/>
      <c r="Y578" s="245"/>
      <c r="Z578" s="245"/>
    </row>
    <row r="579" spans="1:26">
      <c r="A579" s="245"/>
      <c r="B579" s="245"/>
      <c r="C579" s="245"/>
      <c r="D579" s="245"/>
      <c r="E579" s="245"/>
      <c r="F579" s="245"/>
      <c r="G579" s="245"/>
      <c r="H579" s="245"/>
      <c r="I579" s="245"/>
      <c r="J579" s="245"/>
      <c r="K579" s="245"/>
      <c r="L579" s="245"/>
      <c r="M579" s="245"/>
      <c r="N579" s="245"/>
      <c r="O579" s="245"/>
      <c r="P579" s="245"/>
      <c r="Q579" s="245"/>
      <c r="R579" s="245"/>
      <c r="S579" s="245"/>
      <c r="T579" s="245"/>
      <c r="U579" s="245"/>
      <c r="V579" s="245"/>
      <c r="W579" s="245"/>
      <c r="X579" s="245"/>
      <c r="Y579" s="245"/>
      <c r="Z579" s="245"/>
    </row>
    <row r="580" spans="1:26">
      <c r="A580" s="245"/>
      <c r="B580" s="245"/>
      <c r="C580" s="245"/>
      <c r="D580" s="245"/>
      <c r="E580" s="245"/>
      <c r="F580" s="245"/>
      <c r="G580" s="245"/>
      <c r="H580" s="245"/>
      <c r="I580" s="245"/>
      <c r="J580" s="245"/>
      <c r="K580" s="245"/>
      <c r="L580" s="245"/>
      <c r="M580" s="245"/>
      <c r="N580" s="245"/>
      <c r="O580" s="245"/>
      <c r="P580" s="245"/>
      <c r="Q580" s="245"/>
      <c r="R580" s="245"/>
      <c r="S580" s="245"/>
      <c r="T580" s="245"/>
      <c r="U580" s="245"/>
      <c r="V580" s="245"/>
      <c r="W580" s="245"/>
      <c r="X580" s="245"/>
      <c r="Y580" s="245"/>
      <c r="Z580" s="245"/>
    </row>
    <row r="581" spans="1:26">
      <c r="A581" s="245"/>
      <c r="B581" s="245"/>
      <c r="C581" s="245"/>
      <c r="D581" s="245"/>
      <c r="E581" s="245"/>
      <c r="F581" s="245"/>
      <c r="G581" s="245"/>
      <c r="H581" s="245"/>
      <c r="I581" s="245"/>
      <c r="J581" s="245"/>
      <c r="K581" s="245"/>
      <c r="L581" s="245"/>
      <c r="M581" s="245"/>
      <c r="N581" s="245"/>
      <c r="O581" s="245"/>
      <c r="P581" s="245"/>
      <c r="Q581" s="245"/>
      <c r="R581" s="245"/>
      <c r="S581" s="245"/>
      <c r="T581" s="245"/>
      <c r="U581" s="245"/>
      <c r="V581" s="245"/>
      <c r="W581" s="245"/>
      <c r="X581" s="245"/>
      <c r="Y581" s="245"/>
      <c r="Z581" s="245"/>
    </row>
    <row r="582" spans="1:26">
      <c r="A582" s="245"/>
      <c r="B582" s="245"/>
      <c r="C582" s="245"/>
      <c r="D582" s="245"/>
      <c r="E582" s="245"/>
      <c r="F582" s="245"/>
      <c r="G582" s="245"/>
      <c r="H582" s="245"/>
      <c r="I582" s="245"/>
      <c r="J582" s="245"/>
      <c r="K582" s="245"/>
      <c r="L582" s="245"/>
      <c r="M582" s="245"/>
      <c r="N582" s="245"/>
      <c r="O582" s="245"/>
      <c r="P582" s="245"/>
      <c r="Q582" s="245"/>
      <c r="R582" s="245"/>
      <c r="S582" s="245"/>
      <c r="T582" s="245"/>
      <c r="U582" s="245"/>
      <c r="V582" s="245"/>
      <c r="W582" s="245"/>
      <c r="X582" s="245"/>
      <c r="Y582" s="245"/>
      <c r="Z582" s="245"/>
    </row>
    <row r="583" spans="1:26">
      <c r="A583" s="245"/>
      <c r="B583" s="245"/>
      <c r="C583" s="245"/>
      <c r="D583" s="245"/>
      <c r="E583" s="245"/>
      <c r="F583" s="245"/>
      <c r="G583" s="245"/>
      <c r="H583" s="245"/>
      <c r="I583" s="245"/>
      <c r="J583" s="245"/>
      <c r="K583" s="245"/>
      <c r="L583" s="245"/>
      <c r="M583" s="245"/>
      <c r="N583" s="245"/>
      <c r="O583" s="245"/>
      <c r="P583" s="245"/>
      <c r="Q583" s="245"/>
      <c r="R583" s="245"/>
      <c r="S583" s="245"/>
      <c r="T583" s="245"/>
      <c r="U583" s="245"/>
      <c r="V583" s="245"/>
      <c r="W583" s="245"/>
      <c r="X583" s="245"/>
      <c r="Y583" s="245"/>
      <c r="Z583" s="245"/>
    </row>
    <row r="584" spans="1:26">
      <c r="A584" s="245"/>
      <c r="B584" s="245"/>
      <c r="C584" s="245"/>
      <c r="D584" s="245"/>
      <c r="E584" s="245"/>
      <c r="F584" s="245"/>
      <c r="G584" s="245"/>
      <c r="H584" s="245"/>
      <c r="I584" s="245"/>
      <c r="J584" s="245"/>
      <c r="K584" s="245"/>
      <c r="L584" s="245"/>
      <c r="M584" s="245"/>
      <c r="N584" s="245"/>
      <c r="O584" s="245"/>
      <c r="P584" s="245"/>
      <c r="Q584" s="245"/>
      <c r="R584" s="245"/>
      <c r="S584" s="245"/>
      <c r="T584" s="245"/>
      <c r="U584" s="245"/>
      <c r="V584" s="245"/>
      <c r="W584" s="245"/>
      <c r="X584" s="245"/>
      <c r="Y584" s="245"/>
      <c r="Z584" s="245"/>
    </row>
    <row r="585" spans="1:26">
      <c r="A585" s="245"/>
      <c r="B585" s="245"/>
      <c r="C585" s="245"/>
      <c r="D585" s="245"/>
      <c r="E585" s="245"/>
      <c r="F585" s="245"/>
      <c r="G585" s="245"/>
      <c r="H585" s="245"/>
      <c r="I585" s="245"/>
      <c r="J585" s="245"/>
      <c r="K585" s="245"/>
      <c r="L585" s="245"/>
      <c r="M585" s="245"/>
      <c r="N585" s="245"/>
      <c r="O585" s="245"/>
      <c r="P585" s="245"/>
      <c r="Q585" s="245"/>
      <c r="R585" s="245"/>
      <c r="S585" s="245"/>
      <c r="T585" s="245"/>
      <c r="U585" s="245"/>
      <c r="V585" s="245"/>
      <c r="W585" s="245"/>
      <c r="X585" s="245"/>
      <c r="Y585" s="245"/>
      <c r="Z585" s="245"/>
    </row>
    <row r="586" spans="1:26">
      <c r="A586" s="245"/>
      <c r="B586" s="245"/>
      <c r="C586" s="245"/>
      <c r="D586" s="245"/>
      <c r="E586" s="245"/>
      <c r="F586" s="245"/>
      <c r="G586" s="245"/>
      <c r="H586" s="245"/>
      <c r="I586" s="245"/>
      <c r="J586" s="245"/>
      <c r="K586" s="245"/>
      <c r="L586" s="245"/>
      <c r="M586" s="245"/>
      <c r="N586" s="245"/>
      <c r="O586" s="245"/>
      <c r="P586" s="245"/>
      <c r="Q586" s="245"/>
      <c r="R586" s="245"/>
      <c r="S586" s="245"/>
      <c r="T586" s="245"/>
      <c r="U586" s="245"/>
      <c r="V586" s="245"/>
      <c r="W586" s="245"/>
      <c r="X586" s="245"/>
      <c r="Y586" s="245"/>
      <c r="Z586" s="245"/>
    </row>
    <row r="587" spans="1:26">
      <c r="A587" s="245"/>
      <c r="B587" s="245"/>
      <c r="C587" s="245"/>
      <c r="D587" s="245"/>
      <c r="E587" s="245"/>
      <c r="F587" s="245"/>
      <c r="G587" s="245"/>
      <c r="H587" s="245"/>
      <c r="I587" s="245"/>
      <c r="J587" s="245"/>
      <c r="K587" s="245"/>
      <c r="L587" s="245"/>
      <c r="M587" s="245"/>
      <c r="N587" s="245"/>
      <c r="O587" s="245"/>
      <c r="P587" s="245"/>
      <c r="Q587" s="245"/>
      <c r="R587" s="245"/>
      <c r="S587" s="245"/>
      <c r="T587" s="245"/>
      <c r="U587" s="245"/>
      <c r="V587" s="245"/>
      <c r="W587" s="245"/>
      <c r="X587" s="245"/>
      <c r="Y587" s="245"/>
      <c r="Z587" s="245"/>
    </row>
    <row r="588" spans="1:26">
      <c r="A588" s="245"/>
      <c r="B588" s="245"/>
      <c r="C588" s="245"/>
      <c r="D588" s="245"/>
      <c r="E588" s="245"/>
      <c r="F588" s="245"/>
      <c r="G588" s="245"/>
      <c r="H588" s="245"/>
      <c r="I588" s="245"/>
      <c r="J588" s="245"/>
      <c r="K588" s="245"/>
      <c r="L588" s="245"/>
      <c r="M588" s="245"/>
      <c r="N588" s="245"/>
      <c r="O588" s="245"/>
      <c r="P588" s="245"/>
      <c r="Q588" s="245"/>
      <c r="R588" s="245"/>
      <c r="S588" s="245"/>
      <c r="T588" s="245"/>
      <c r="U588" s="245"/>
      <c r="V588" s="245"/>
      <c r="W588" s="245"/>
      <c r="X588" s="245"/>
      <c r="Y588" s="245"/>
      <c r="Z588" s="245"/>
    </row>
    <row r="589" spans="1:26">
      <c r="A589" s="245"/>
      <c r="B589" s="245"/>
      <c r="C589" s="245"/>
      <c r="D589" s="245"/>
      <c r="E589" s="245"/>
      <c r="F589" s="245"/>
      <c r="G589" s="245"/>
      <c r="H589" s="245"/>
      <c r="I589" s="245"/>
      <c r="J589" s="245"/>
      <c r="K589" s="245"/>
      <c r="L589" s="245"/>
      <c r="M589" s="245"/>
      <c r="N589" s="245"/>
      <c r="O589" s="245"/>
      <c r="P589" s="245"/>
      <c r="Q589" s="245"/>
      <c r="R589" s="245"/>
      <c r="S589" s="245"/>
      <c r="T589" s="245"/>
      <c r="U589" s="245"/>
      <c r="V589" s="245"/>
      <c r="W589" s="245"/>
      <c r="X589" s="245"/>
      <c r="Y589" s="245"/>
      <c r="Z589" s="245"/>
    </row>
    <row r="590" spans="1:26">
      <c r="A590" s="245"/>
      <c r="B590" s="245"/>
      <c r="C590" s="245"/>
      <c r="D590" s="245"/>
      <c r="E590" s="245"/>
      <c r="F590" s="245"/>
      <c r="G590" s="245"/>
      <c r="H590" s="245"/>
      <c r="I590" s="245"/>
      <c r="J590" s="245"/>
      <c r="K590" s="245"/>
      <c r="L590" s="245"/>
      <c r="M590" s="245"/>
      <c r="N590" s="245"/>
      <c r="O590" s="245"/>
      <c r="P590" s="245"/>
      <c r="Q590" s="245"/>
      <c r="R590" s="245"/>
      <c r="S590" s="245"/>
      <c r="T590" s="245"/>
      <c r="U590" s="245"/>
      <c r="V590" s="245"/>
      <c r="W590" s="245"/>
      <c r="X590" s="245"/>
      <c r="Y590" s="245"/>
      <c r="Z590" s="245"/>
    </row>
    <row r="591" spans="1:26">
      <c r="A591" s="245"/>
      <c r="B591" s="245"/>
      <c r="C591" s="245"/>
      <c r="D591" s="245"/>
      <c r="E591" s="245"/>
      <c r="F591" s="245"/>
      <c r="G591" s="245"/>
      <c r="H591" s="245"/>
      <c r="I591" s="245"/>
      <c r="J591" s="245"/>
      <c r="K591" s="245"/>
      <c r="L591" s="245"/>
      <c r="M591" s="245"/>
      <c r="N591" s="245"/>
      <c r="O591" s="245"/>
      <c r="P591" s="245"/>
      <c r="Q591" s="245"/>
      <c r="R591" s="245"/>
      <c r="S591" s="245"/>
      <c r="T591" s="245"/>
      <c r="U591" s="245"/>
      <c r="V591" s="245"/>
      <c r="W591" s="245"/>
      <c r="X591" s="245"/>
      <c r="Y591" s="245"/>
      <c r="Z591" s="245"/>
    </row>
    <row r="592" spans="1:26">
      <c r="A592" s="245"/>
      <c r="B592" s="245"/>
      <c r="C592" s="245"/>
      <c r="D592" s="245"/>
      <c r="E592" s="245"/>
      <c r="F592" s="245"/>
      <c r="G592" s="245"/>
      <c r="H592" s="245"/>
      <c r="I592" s="245"/>
      <c r="J592" s="245"/>
      <c r="K592" s="245"/>
      <c r="L592" s="245"/>
      <c r="M592" s="245"/>
      <c r="N592" s="245"/>
      <c r="O592" s="245"/>
      <c r="P592" s="245"/>
      <c r="Q592" s="245"/>
      <c r="R592" s="245"/>
      <c r="S592" s="245"/>
      <c r="T592" s="245"/>
      <c r="U592" s="245"/>
      <c r="V592" s="245"/>
      <c r="W592" s="245"/>
      <c r="X592" s="245"/>
      <c r="Y592" s="245"/>
      <c r="Z592" s="245"/>
    </row>
    <row r="593" spans="1:26">
      <c r="A593" s="245"/>
      <c r="B593" s="245"/>
      <c r="C593" s="245"/>
      <c r="D593" s="245"/>
      <c r="E593" s="245"/>
      <c r="F593" s="245"/>
      <c r="G593" s="245"/>
      <c r="H593" s="245"/>
      <c r="I593" s="245"/>
      <c r="J593" s="245"/>
      <c r="K593" s="245"/>
      <c r="L593" s="245"/>
      <c r="M593" s="245"/>
      <c r="N593" s="245"/>
      <c r="O593" s="245"/>
      <c r="P593" s="245"/>
      <c r="Q593" s="245"/>
      <c r="R593" s="245"/>
      <c r="S593" s="245"/>
      <c r="T593" s="245"/>
      <c r="U593" s="245"/>
      <c r="V593" s="245"/>
      <c r="W593" s="245"/>
      <c r="X593" s="245"/>
      <c r="Y593" s="245"/>
      <c r="Z593" s="245"/>
    </row>
    <row r="594" spans="1:26">
      <c r="A594" s="245"/>
      <c r="B594" s="245"/>
      <c r="C594" s="245"/>
      <c r="D594" s="245"/>
      <c r="E594" s="245"/>
      <c r="F594" s="245"/>
      <c r="G594" s="245"/>
      <c r="H594" s="245"/>
      <c r="I594" s="245"/>
      <c r="J594" s="245"/>
      <c r="K594" s="245"/>
      <c r="L594" s="245"/>
      <c r="M594" s="245"/>
      <c r="N594" s="245"/>
      <c r="O594" s="245"/>
      <c r="P594" s="245"/>
      <c r="Q594" s="245"/>
      <c r="R594" s="245"/>
      <c r="S594" s="245"/>
      <c r="T594" s="245"/>
      <c r="U594" s="245"/>
      <c r="V594" s="245"/>
      <c r="W594" s="245"/>
      <c r="X594" s="245"/>
      <c r="Y594" s="245"/>
      <c r="Z594" s="245"/>
    </row>
    <row r="595" spans="1:26">
      <c r="A595" s="245"/>
      <c r="B595" s="245"/>
      <c r="C595" s="245"/>
      <c r="D595" s="245"/>
      <c r="E595" s="245"/>
      <c r="F595" s="245"/>
      <c r="G595" s="245"/>
      <c r="H595" s="245"/>
      <c r="I595" s="245"/>
      <c r="J595" s="245"/>
      <c r="K595" s="245"/>
      <c r="L595" s="245"/>
      <c r="M595" s="245"/>
      <c r="N595" s="245"/>
      <c r="O595" s="245"/>
      <c r="P595" s="245"/>
      <c r="Q595" s="245"/>
      <c r="R595" s="245"/>
      <c r="S595" s="245"/>
      <c r="T595" s="245"/>
      <c r="U595" s="245"/>
      <c r="V595" s="245"/>
      <c r="W595" s="245"/>
      <c r="X595" s="245"/>
      <c r="Y595" s="245"/>
      <c r="Z595" s="245"/>
    </row>
    <row r="596" spans="1:26">
      <c r="A596" s="245"/>
      <c r="B596" s="245"/>
      <c r="C596" s="245"/>
      <c r="D596" s="245"/>
      <c r="E596" s="245"/>
      <c r="F596" s="245"/>
      <c r="G596" s="245"/>
      <c r="H596" s="245"/>
      <c r="I596" s="245"/>
      <c r="J596" s="245"/>
      <c r="K596" s="245"/>
      <c r="L596" s="245"/>
      <c r="M596" s="245"/>
      <c r="N596" s="245"/>
      <c r="O596" s="245"/>
      <c r="P596" s="245"/>
      <c r="Q596" s="245"/>
      <c r="R596" s="245"/>
      <c r="S596" s="245"/>
      <c r="T596" s="245"/>
      <c r="U596" s="245"/>
      <c r="V596" s="245"/>
      <c r="W596" s="245"/>
      <c r="X596" s="245"/>
      <c r="Y596" s="245"/>
      <c r="Z596" s="245"/>
    </row>
    <row r="597" spans="1:26">
      <c r="A597" s="245"/>
      <c r="B597" s="245"/>
      <c r="C597" s="245"/>
      <c r="D597" s="245"/>
      <c r="E597" s="245"/>
      <c r="F597" s="245"/>
      <c r="G597" s="245"/>
      <c r="H597" s="245"/>
      <c r="I597" s="245"/>
      <c r="J597" s="245"/>
      <c r="K597" s="245"/>
      <c r="L597" s="245"/>
      <c r="M597" s="245"/>
      <c r="N597" s="245"/>
      <c r="O597" s="245"/>
      <c r="P597" s="245"/>
      <c r="Q597" s="245"/>
      <c r="R597" s="245"/>
      <c r="S597" s="245"/>
      <c r="T597" s="245"/>
      <c r="U597" s="245"/>
      <c r="V597" s="245"/>
      <c r="W597" s="245"/>
      <c r="X597" s="245"/>
      <c r="Y597" s="245"/>
      <c r="Z597" s="245"/>
    </row>
    <row r="598" spans="1:26">
      <c r="A598" s="245"/>
      <c r="B598" s="245"/>
      <c r="C598" s="245"/>
      <c r="D598" s="245"/>
      <c r="E598" s="245"/>
      <c r="F598" s="245"/>
      <c r="G598" s="245"/>
      <c r="H598" s="245"/>
      <c r="I598" s="245"/>
      <c r="J598" s="245"/>
      <c r="K598" s="245"/>
      <c r="L598" s="245"/>
      <c r="M598" s="245"/>
      <c r="N598" s="245"/>
      <c r="O598" s="245"/>
      <c r="P598" s="245"/>
      <c r="Q598" s="245"/>
      <c r="R598" s="245"/>
      <c r="S598" s="245"/>
      <c r="T598" s="245"/>
      <c r="U598" s="245"/>
      <c r="V598" s="245"/>
      <c r="W598" s="245"/>
      <c r="X598" s="245"/>
      <c r="Y598" s="245"/>
      <c r="Z598" s="245"/>
    </row>
    <row r="599" spans="1:26">
      <c r="A599" s="245"/>
      <c r="B599" s="245"/>
      <c r="C599" s="245"/>
      <c r="D599" s="245"/>
      <c r="E599" s="245"/>
      <c r="F599" s="245"/>
      <c r="G599" s="245"/>
      <c r="H599" s="245"/>
      <c r="I599" s="245"/>
      <c r="J599" s="245"/>
      <c r="K599" s="245"/>
      <c r="L599" s="245"/>
      <c r="M599" s="245"/>
      <c r="N599" s="245"/>
      <c r="O599" s="245"/>
      <c r="P599" s="245"/>
      <c r="Q599" s="245"/>
      <c r="R599" s="245"/>
      <c r="S599" s="245"/>
      <c r="T599" s="245"/>
      <c r="U599" s="245"/>
      <c r="V599" s="245"/>
      <c r="W599" s="245"/>
      <c r="X599" s="245"/>
      <c r="Y599" s="245"/>
      <c r="Z599" s="245"/>
    </row>
    <row r="600" spans="1:26">
      <c r="A600" s="245"/>
      <c r="B600" s="245"/>
      <c r="C600" s="245"/>
      <c r="D600" s="245"/>
      <c r="E600" s="245"/>
      <c r="F600" s="245"/>
      <c r="G600" s="245"/>
      <c r="H600" s="245"/>
      <c r="I600" s="245"/>
      <c r="J600" s="245"/>
      <c r="K600" s="245"/>
      <c r="L600" s="245"/>
      <c r="M600" s="245"/>
      <c r="N600" s="245"/>
      <c r="O600" s="245"/>
      <c r="P600" s="245"/>
      <c r="Q600" s="245"/>
      <c r="R600" s="245"/>
      <c r="S600" s="245"/>
      <c r="T600" s="245"/>
      <c r="U600" s="245"/>
      <c r="V600" s="245"/>
      <c r="W600" s="245"/>
      <c r="X600" s="245"/>
      <c r="Y600" s="245"/>
      <c r="Z600" s="245"/>
    </row>
    <row r="601" spans="1:26">
      <c r="A601" s="245"/>
      <c r="B601" s="245"/>
      <c r="C601" s="245"/>
      <c r="D601" s="245"/>
      <c r="E601" s="245"/>
      <c r="F601" s="245"/>
      <c r="G601" s="245"/>
      <c r="H601" s="245"/>
      <c r="I601" s="245"/>
      <c r="J601" s="245"/>
      <c r="K601" s="245"/>
      <c r="L601" s="245"/>
      <c r="M601" s="245"/>
      <c r="N601" s="245"/>
      <c r="O601" s="245"/>
      <c r="P601" s="245"/>
      <c r="Q601" s="245"/>
      <c r="R601" s="245"/>
      <c r="S601" s="245"/>
      <c r="T601" s="245"/>
      <c r="U601" s="245"/>
      <c r="V601" s="245"/>
      <c r="W601" s="245"/>
      <c r="X601" s="245"/>
      <c r="Y601" s="245"/>
      <c r="Z601" s="245"/>
    </row>
    <row r="602" spans="1:26">
      <c r="A602" s="245"/>
      <c r="B602" s="245"/>
      <c r="C602" s="245"/>
      <c r="D602" s="245"/>
      <c r="E602" s="245"/>
      <c r="F602" s="245"/>
      <c r="G602" s="245"/>
      <c r="H602" s="245"/>
      <c r="I602" s="245"/>
      <c r="J602" s="245"/>
      <c r="K602" s="245"/>
      <c r="L602" s="245"/>
      <c r="M602" s="245"/>
      <c r="N602" s="245"/>
      <c r="O602" s="245"/>
      <c r="P602" s="245"/>
      <c r="Q602" s="245"/>
      <c r="R602" s="245"/>
      <c r="S602" s="245"/>
      <c r="T602" s="245"/>
      <c r="U602" s="245"/>
      <c r="V602" s="245"/>
      <c r="W602" s="245"/>
      <c r="X602" s="245"/>
      <c r="Y602" s="245"/>
      <c r="Z602" s="245"/>
    </row>
    <row r="603" spans="1:26">
      <c r="A603" s="245"/>
      <c r="B603" s="245"/>
      <c r="C603" s="245"/>
      <c r="D603" s="245"/>
      <c r="E603" s="245"/>
      <c r="F603" s="245"/>
      <c r="G603" s="245"/>
      <c r="H603" s="245"/>
      <c r="I603" s="245"/>
      <c r="J603" s="245"/>
      <c r="K603" s="245"/>
      <c r="L603" s="245"/>
      <c r="M603" s="245"/>
      <c r="N603" s="245"/>
      <c r="O603" s="245"/>
      <c r="P603" s="245"/>
      <c r="Q603" s="245"/>
      <c r="R603" s="245"/>
      <c r="S603" s="245"/>
      <c r="T603" s="245"/>
      <c r="U603" s="245"/>
      <c r="V603" s="245"/>
      <c r="W603" s="245"/>
      <c r="X603" s="245"/>
      <c r="Y603" s="245"/>
      <c r="Z603" s="245"/>
    </row>
    <row r="604" spans="1:26">
      <c r="A604" s="245"/>
      <c r="B604" s="245"/>
      <c r="C604" s="245"/>
      <c r="D604" s="245"/>
      <c r="E604" s="245"/>
      <c r="F604" s="245"/>
      <c r="G604" s="245"/>
      <c r="H604" s="245"/>
      <c r="I604" s="245"/>
      <c r="J604" s="245"/>
      <c r="K604" s="245"/>
      <c r="L604" s="245"/>
      <c r="M604" s="245"/>
      <c r="N604" s="245"/>
      <c r="O604" s="245"/>
      <c r="P604" s="245"/>
      <c r="Q604" s="245"/>
      <c r="R604" s="245"/>
      <c r="S604" s="245"/>
      <c r="T604" s="245"/>
      <c r="U604" s="245"/>
      <c r="V604" s="245"/>
      <c r="W604" s="245"/>
      <c r="X604" s="245"/>
      <c r="Y604" s="245"/>
      <c r="Z604" s="245"/>
    </row>
    <row r="605" spans="1:26">
      <c r="A605" s="245"/>
      <c r="B605" s="245"/>
      <c r="C605" s="245"/>
      <c r="D605" s="245"/>
      <c r="E605" s="245"/>
      <c r="F605" s="245"/>
      <c r="G605" s="245"/>
      <c r="H605" s="245"/>
      <c r="I605" s="245"/>
      <c r="J605" s="245"/>
      <c r="K605" s="245"/>
      <c r="L605" s="245"/>
      <c r="M605" s="245"/>
      <c r="N605" s="245"/>
      <c r="O605" s="245"/>
      <c r="P605" s="245"/>
      <c r="Q605" s="245"/>
      <c r="R605" s="245"/>
      <c r="S605" s="245"/>
      <c r="T605" s="245"/>
      <c r="U605" s="245"/>
      <c r="V605" s="245"/>
      <c r="W605" s="245"/>
      <c r="X605" s="245"/>
      <c r="Y605" s="245"/>
      <c r="Z605" s="245"/>
    </row>
    <row r="606" spans="1:26">
      <c r="A606" s="245"/>
      <c r="B606" s="245"/>
      <c r="C606" s="245"/>
      <c r="D606" s="245"/>
      <c r="E606" s="245"/>
      <c r="F606" s="245"/>
      <c r="G606" s="245"/>
      <c r="H606" s="245"/>
      <c r="I606" s="245"/>
      <c r="J606" s="245"/>
      <c r="K606" s="245"/>
      <c r="L606" s="245"/>
      <c r="M606" s="245"/>
      <c r="N606" s="245"/>
      <c r="O606" s="245"/>
      <c r="P606" s="245"/>
      <c r="Q606" s="245"/>
      <c r="R606" s="245"/>
      <c r="S606" s="245"/>
      <c r="T606" s="245"/>
      <c r="U606" s="245"/>
      <c r="V606" s="245"/>
      <c r="W606" s="245"/>
      <c r="X606" s="245"/>
      <c r="Y606" s="245"/>
      <c r="Z606" s="245"/>
    </row>
    <row r="607" spans="1:26">
      <c r="A607" s="245"/>
      <c r="B607" s="245"/>
      <c r="C607" s="245"/>
      <c r="D607" s="245"/>
      <c r="E607" s="245"/>
      <c r="F607" s="245"/>
      <c r="G607" s="245"/>
      <c r="H607" s="245"/>
      <c r="I607" s="245"/>
      <c r="J607" s="245"/>
      <c r="K607" s="245"/>
      <c r="L607" s="245"/>
      <c r="M607" s="245"/>
      <c r="N607" s="245"/>
      <c r="O607" s="245"/>
      <c r="P607" s="245"/>
      <c r="Q607" s="245"/>
      <c r="R607" s="245"/>
      <c r="S607" s="245"/>
      <c r="T607" s="245"/>
      <c r="U607" s="245"/>
      <c r="V607" s="245"/>
      <c r="W607" s="245"/>
      <c r="X607" s="245"/>
      <c r="Y607" s="245"/>
      <c r="Z607" s="245"/>
    </row>
    <row r="608" spans="1:26">
      <c r="A608" s="245"/>
      <c r="B608" s="245"/>
      <c r="C608" s="245"/>
      <c r="D608" s="245"/>
      <c r="E608" s="245"/>
      <c r="F608" s="245"/>
      <c r="G608" s="245"/>
      <c r="H608" s="245"/>
      <c r="I608" s="245"/>
      <c r="J608" s="245"/>
      <c r="K608" s="245"/>
      <c r="L608" s="245"/>
      <c r="M608" s="245"/>
      <c r="N608" s="245"/>
      <c r="O608" s="245"/>
      <c r="P608" s="245"/>
      <c r="Q608" s="245"/>
      <c r="R608" s="245"/>
      <c r="S608" s="245"/>
      <c r="T608" s="245"/>
      <c r="U608" s="245"/>
      <c r="V608" s="245"/>
      <c r="W608" s="245"/>
      <c r="X608" s="245"/>
      <c r="Y608" s="245"/>
      <c r="Z608" s="245"/>
    </row>
    <row r="609" spans="1:26">
      <c r="A609" s="245"/>
      <c r="B609" s="245"/>
      <c r="C609" s="245"/>
      <c r="D609" s="245"/>
      <c r="E609" s="245"/>
      <c r="F609" s="245"/>
      <c r="G609" s="245"/>
      <c r="H609" s="245"/>
      <c r="I609" s="245"/>
      <c r="J609" s="245"/>
      <c r="K609" s="245"/>
      <c r="L609" s="245"/>
      <c r="M609" s="245"/>
      <c r="N609" s="245"/>
      <c r="O609" s="245"/>
      <c r="P609" s="245"/>
      <c r="Q609" s="245"/>
      <c r="R609" s="245"/>
      <c r="S609" s="245"/>
      <c r="T609" s="245"/>
      <c r="U609" s="245"/>
      <c r="V609" s="245"/>
      <c r="W609" s="245"/>
      <c r="X609" s="245"/>
      <c r="Y609" s="245"/>
      <c r="Z609" s="245"/>
    </row>
    <row r="610" spans="1:26">
      <c r="A610" s="245"/>
      <c r="B610" s="245"/>
      <c r="C610" s="245"/>
      <c r="D610" s="245"/>
      <c r="E610" s="245"/>
      <c r="F610" s="245"/>
      <c r="G610" s="245"/>
      <c r="H610" s="245"/>
      <c r="I610" s="245"/>
      <c r="J610" s="245"/>
      <c r="K610" s="245"/>
      <c r="L610" s="245"/>
      <c r="M610" s="245"/>
      <c r="N610" s="245"/>
      <c r="O610" s="245"/>
      <c r="P610" s="245"/>
      <c r="Q610" s="245"/>
      <c r="R610" s="245"/>
      <c r="S610" s="245"/>
      <c r="T610" s="245"/>
      <c r="U610" s="245"/>
      <c r="V610" s="245"/>
      <c r="W610" s="245"/>
      <c r="X610" s="245"/>
      <c r="Y610" s="245"/>
      <c r="Z610" s="245"/>
    </row>
    <row r="611" spans="1:26">
      <c r="A611" s="245"/>
      <c r="B611" s="245"/>
      <c r="C611" s="245"/>
      <c r="D611" s="245"/>
      <c r="E611" s="245"/>
      <c r="F611" s="245"/>
      <c r="G611" s="245"/>
      <c r="H611" s="245"/>
      <c r="I611" s="245"/>
      <c r="J611" s="245"/>
      <c r="K611" s="245"/>
      <c r="L611" s="245"/>
      <c r="M611" s="245"/>
      <c r="N611" s="245"/>
      <c r="O611" s="245"/>
      <c r="P611" s="245"/>
      <c r="Q611" s="245"/>
      <c r="R611" s="245"/>
      <c r="S611" s="245"/>
      <c r="T611" s="245"/>
      <c r="U611" s="245"/>
      <c r="V611" s="245"/>
      <c r="W611" s="245"/>
      <c r="X611" s="245"/>
      <c r="Y611" s="245"/>
      <c r="Z611" s="245"/>
    </row>
    <row r="612" spans="1:26">
      <c r="A612" s="245"/>
      <c r="B612" s="245"/>
      <c r="C612" s="245"/>
      <c r="D612" s="245"/>
      <c r="E612" s="245"/>
      <c r="F612" s="245"/>
      <c r="G612" s="245"/>
      <c r="H612" s="245"/>
      <c r="I612" s="245"/>
      <c r="J612" s="245"/>
      <c r="K612" s="245"/>
      <c r="L612" s="245"/>
      <c r="M612" s="245"/>
      <c r="N612" s="245"/>
      <c r="O612" s="245"/>
      <c r="P612" s="245"/>
      <c r="Q612" s="245"/>
      <c r="R612" s="245"/>
      <c r="S612" s="245"/>
      <c r="T612" s="245"/>
      <c r="U612" s="245"/>
      <c r="V612" s="245"/>
      <c r="W612" s="245"/>
      <c r="X612" s="245"/>
      <c r="Y612" s="245"/>
      <c r="Z612" s="245"/>
    </row>
    <row r="613" spans="1:26">
      <c r="A613" s="245"/>
      <c r="B613" s="245"/>
      <c r="C613" s="245"/>
      <c r="D613" s="245"/>
      <c r="E613" s="245"/>
      <c r="F613" s="245"/>
      <c r="G613" s="245"/>
      <c r="H613" s="245"/>
      <c r="I613" s="245"/>
      <c r="J613" s="245"/>
      <c r="K613" s="245"/>
      <c r="L613" s="245"/>
      <c r="M613" s="245"/>
      <c r="N613" s="245"/>
      <c r="O613" s="245"/>
      <c r="P613" s="245"/>
      <c r="Q613" s="245"/>
      <c r="R613" s="245"/>
      <c r="S613" s="245"/>
      <c r="T613" s="245"/>
      <c r="U613" s="245"/>
      <c r="V613" s="245"/>
      <c r="W613" s="245"/>
      <c r="X613" s="245"/>
      <c r="Y613" s="245"/>
      <c r="Z613" s="245"/>
    </row>
    <row r="614" spans="1:26">
      <c r="A614" s="245"/>
      <c r="B614" s="245"/>
      <c r="C614" s="245"/>
      <c r="D614" s="245"/>
      <c r="E614" s="245"/>
      <c r="F614" s="245"/>
      <c r="G614" s="245"/>
      <c r="H614" s="245"/>
      <c r="I614" s="245"/>
      <c r="J614" s="245"/>
      <c r="K614" s="245"/>
      <c r="L614" s="245"/>
      <c r="M614" s="245"/>
      <c r="N614" s="245"/>
      <c r="O614" s="245"/>
      <c r="P614" s="245"/>
      <c r="Q614" s="245"/>
      <c r="R614" s="245"/>
      <c r="S614" s="245"/>
      <c r="T614" s="245"/>
      <c r="U614" s="245"/>
      <c r="V614" s="245"/>
      <c r="W614" s="245"/>
      <c r="X614" s="245"/>
      <c r="Y614" s="245"/>
      <c r="Z614" s="245"/>
    </row>
    <row r="615" spans="1:26">
      <c r="A615" s="245"/>
      <c r="B615" s="245"/>
      <c r="C615" s="245"/>
      <c r="D615" s="245"/>
      <c r="E615" s="245"/>
      <c r="F615" s="245"/>
      <c r="G615" s="245"/>
      <c r="H615" s="245"/>
      <c r="I615" s="245"/>
      <c r="J615" s="245"/>
      <c r="K615" s="245"/>
      <c r="L615" s="245"/>
      <c r="M615" s="245"/>
      <c r="N615" s="245"/>
      <c r="O615" s="245"/>
      <c r="P615" s="245"/>
      <c r="Q615" s="245"/>
      <c r="R615" s="245"/>
      <c r="S615" s="245"/>
      <c r="T615" s="245"/>
      <c r="U615" s="245"/>
      <c r="V615" s="245"/>
      <c r="W615" s="245"/>
      <c r="X615" s="245"/>
      <c r="Y615" s="245"/>
      <c r="Z615" s="245"/>
    </row>
    <row r="616" spans="1:26">
      <c r="A616" s="245"/>
      <c r="B616" s="245"/>
      <c r="C616" s="245"/>
      <c r="D616" s="245"/>
      <c r="E616" s="245"/>
      <c r="F616" s="245"/>
      <c r="G616" s="245"/>
      <c r="H616" s="245"/>
      <c r="I616" s="245"/>
      <c r="J616" s="245"/>
      <c r="K616" s="245"/>
      <c r="L616" s="245"/>
      <c r="M616" s="245"/>
      <c r="N616" s="245"/>
      <c r="O616" s="245"/>
      <c r="P616" s="245"/>
      <c r="Q616" s="245"/>
      <c r="R616" s="245"/>
      <c r="S616" s="245"/>
      <c r="T616" s="245"/>
      <c r="U616" s="245"/>
      <c r="V616" s="245"/>
      <c r="W616" s="245"/>
      <c r="X616" s="245"/>
      <c r="Y616" s="245"/>
      <c r="Z616" s="245"/>
    </row>
    <row r="617" spans="1:26">
      <c r="A617" s="245"/>
      <c r="B617" s="245"/>
      <c r="C617" s="245"/>
      <c r="D617" s="245"/>
      <c r="E617" s="245"/>
      <c r="F617" s="245"/>
      <c r="G617" s="245"/>
      <c r="H617" s="245"/>
      <c r="I617" s="245"/>
      <c r="J617" s="245"/>
      <c r="K617" s="245"/>
      <c r="L617" s="245"/>
      <c r="M617" s="245"/>
      <c r="N617" s="245"/>
      <c r="O617" s="245"/>
      <c r="P617" s="245"/>
      <c r="Q617" s="245"/>
      <c r="R617" s="245"/>
      <c r="S617" s="245"/>
      <c r="T617" s="245"/>
      <c r="U617" s="245"/>
      <c r="V617" s="245"/>
      <c r="W617" s="245"/>
      <c r="X617" s="245"/>
      <c r="Y617" s="245"/>
      <c r="Z617" s="245"/>
    </row>
    <row r="618" spans="1:26">
      <c r="A618" s="245"/>
      <c r="B618" s="245"/>
      <c r="C618" s="245"/>
      <c r="D618" s="245"/>
      <c r="E618" s="245"/>
      <c r="F618" s="245"/>
      <c r="G618" s="245"/>
      <c r="H618" s="245"/>
      <c r="I618" s="245"/>
      <c r="J618" s="245"/>
      <c r="K618" s="245"/>
      <c r="L618" s="245"/>
      <c r="M618" s="245"/>
      <c r="N618" s="245"/>
      <c r="O618" s="245"/>
      <c r="P618" s="245"/>
      <c r="Q618" s="245"/>
      <c r="R618" s="245"/>
      <c r="S618" s="245"/>
      <c r="T618" s="245"/>
      <c r="U618" s="245"/>
      <c r="V618" s="245"/>
      <c r="W618" s="245"/>
      <c r="X618" s="245"/>
      <c r="Y618" s="245"/>
      <c r="Z618" s="245"/>
    </row>
    <row r="619" spans="1:26">
      <c r="A619" s="245"/>
      <c r="B619" s="245"/>
      <c r="C619" s="245"/>
      <c r="D619" s="245"/>
      <c r="E619" s="245"/>
      <c r="F619" s="245"/>
      <c r="G619" s="245"/>
      <c r="H619" s="245"/>
      <c r="I619" s="245"/>
      <c r="J619" s="245"/>
      <c r="K619" s="245"/>
      <c r="L619" s="245"/>
      <c r="M619" s="245"/>
      <c r="N619" s="245"/>
      <c r="O619" s="245"/>
      <c r="P619" s="245"/>
      <c r="Q619" s="245"/>
      <c r="R619" s="245"/>
      <c r="S619" s="245"/>
      <c r="T619" s="245"/>
      <c r="U619" s="245"/>
      <c r="V619" s="245"/>
      <c r="W619" s="245"/>
      <c r="X619" s="245"/>
      <c r="Y619" s="245"/>
      <c r="Z619" s="245"/>
    </row>
    <row r="620" spans="1:26">
      <c r="A620" s="245"/>
      <c r="B620" s="245"/>
      <c r="C620" s="245"/>
      <c r="D620" s="245"/>
      <c r="E620" s="245"/>
      <c r="F620" s="245"/>
      <c r="G620" s="245"/>
      <c r="H620" s="245"/>
      <c r="I620" s="245"/>
      <c r="J620" s="245"/>
      <c r="K620" s="245"/>
      <c r="L620" s="245"/>
      <c r="M620" s="245"/>
      <c r="N620" s="245"/>
      <c r="O620" s="245"/>
      <c r="P620" s="245"/>
      <c r="Q620" s="245"/>
      <c r="R620" s="245"/>
      <c r="S620" s="245"/>
      <c r="T620" s="245"/>
      <c r="U620" s="245"/>
      <c r="V620" s="245"/>
      <c r="W620" s="245"/>
      <c r="X620" s="245"/>
      <c r="Y620" s="245"/>
      <c r="Z620" s="245"/>
    </row>
    <row r="621" spans="1:26">
      <c r="A621" s="245"/>
      <c r="B621" s="245"/>
      <c r="C621" s="245"/>
      <c r="D621" s="245"/>
      <c r="E621" s="245"/>
      <c r="F621" s="245"/>
      <c r="G621" s="245"/>
      <c r="H621" s="245"/>
      <c r="I621" s="245"/>
      <c r="J621" s="245"/>
      <c r="K621" s="245"/>
      <c r="L621" s="245"/>
      <c r="M621" s="245"/>
      <c r="N621" s="245"/>
      <c r="O621" s="245"/>
      <c r="P621" s="245"/>
      <c r="Q621" s="245"/>
      <c r="R621" s="245"/>
      <c r="S621" s="245"/>
      <c r="T621" s="245"/>
      <c r="U621" s="245"/>
      <c r="V621" s="245"/>
      <c r="W621" s="245"/>
      <c r="X621" s="245"/>
      <c r="Y621" s="245"/>
      <c r="Z621" s="245"/>
    </row>
    <row r="622" spans="1:26">
      <c r="A622" s="245"/>
      <c r="B622" s="245"/>
      <c r="C622" s="245"/>
      <c r="D622" s="245"/>
      <c r="E622" s="245"/>
      <c r="F622" s="245"/>
      <c r="G622" s="245"/>
      <c r="H622" s="245"/>
      <c r="I622" s="245"/>
      <c r="J622" s="245"/>
      <c r="K622" s="245"/>
      <c r="L622" s="245"/>
      <c r="M622" s="245"/>
      <c r="N622" s="245"/>
      <c r="O622" s="245"/>
      <c r="P622" s="245"/>
      <c r="Q622" s="245"/>
      <c r="R622" s="245"/>
      <c r="S622" s="245"/>
      <c r="T622" s="245"/>
      <c r="U622" s="245"/>
      <c r="V622" s="245"/>
      <c r="W622" s="245"/>
      <c r="X622" s="245"/>
      <c r="Y622" s="245"/>
      <c r="Z622" s="245"/>
    </row>
    <row r="623" spans="1:26">
      <c r="A623" s="245"/>
      <c r="B623" s="245"/>
      <c r="C623" s="245"/>
      <c r="D623" s="245"/>
      <c r="E623" s="245"/>
      <c r="F623" s="245"/>
      <c r="G623" s="245"/>
      <c r="H623" s="245"/>
      <c r="I623" s="245"/>
      <c r="J623" s="245"/>
      <c r="K623" s="245"/>
      <c r="L623" s="245"/>
      <c r="M623" s="245"/>
      <c r="N623" s="245"/>
      <c r="O623" s="245"/>
      <c r="P623" s="245"/>
      <c r="Q623" s="245"/>
      <c r="R623" s="245"/>
      <c r="S623" s="245"/>
      <c r="T623" s="245"/>
      <c r="U623" s="245"/>
      <c r="V623" s="245"/>
      <c r="W623" s="245"/>
      <c r="X623" s="245"/>
      <c r="Y623" s="245"/>
      <c r="Z623" s="245"/>
    </row>
    <row r="624" spans="1:26">
      <c r="A624" s="245"/>
      <c r="B624" s="245"/>
      <c r="C624" s="245"/>
      <c r="D624" s="245"/>
      <c r="E624" s="245"/>
      <c r="F624" s="245"/>
      <c r="G624" s="245"/>
      <c r="H624" s="245"/>
      <c r="I624" s="245"/>
      <c r="J624" s="245"/>
      <c r="K624" s="245"/>
      <c r="L624" s="245"/>
      <c r="M624" s="245"/>
      <c r="N624" s="245"/>
      <c r="O624" s="245"/>
      <c r="P624" s="245"/>
      <c r="Q624" s="245"/>
      <c r="R624" s="245"/>
      <c r="S624" s="245"/>
      <c r="T624" s="245"/>
      <c r="U624" s="245"/>
      <c r="V624" s="245"/>
      <c r="W624" s="245"/>
      <c r="X624" s="245"/>
      <c r="Y624" s="245"/>
      <c r="Z624" s="245"/>
    </row>
    <row r="625" spans="1:26">
      <c r="A625" s="245"/>
      <c r="B625" s="245"/>
      <c r="C625" s="245"/>
      <c r="D625" s="245"/>
      <c r="E625" s="245"/>
      <c r="F625" s="245"/>
      <c r="G625" s="245"/>
      <c r="H625" s="245"/>
      <c r="I625" s="245"/>
      <c r="J625" s="245"/>
      <c r="K625" s="245"/>
      <c r="L625" s="245"/>
      <c r="M625" s="245"/>
      <c r="N625" s="245"/>
      <c r="O625" s="245"/>
      <c r="P625" s="245"/>
      <c r="Q625" s="245"/>
      <c r="R625" s="245"/>
      <c r="S625" s="245"/>
      <c r="T625" s="245"/>
      <c r="U625" s="245"/>
      <c r="V625" s="245"/>
      <c r="W625" s="245"/>
      <c r="X625" s="245"/>
      <c r="Y625" s="245"/>
      <c r="Z625" s="245"/>
    </row>
    <row r="626" spans="1:26">
      <c r="A626" s="245"/>
      <c r="B626" s="245"/>
      <c r="C626" s="245"/>
      <c r="D626" s="245"/>
      <c r="E626" s="245"/>
      <c r="F626" s="245"/>
      <c r="G626" s="245"/>
      <c r="H626" s="245"/>
      <c r="I626" s="245"/>
      <c r="J626" s="245"/>
      <c r="K626" s="245"/>
      <c r="L626" s="245"/>
      <c r="M626" s="245"/>
      <c r="N626" s="245"/>
      <c r="O626" s="245"/>
      <c r="P626" s="245"/>
      <c r="Q626" s="245"/>
      <c r="R626" s="245"/>
      <c r="S626" s="245"/>
      <c r="T626" s="245"/>
      <c r="U626" s="245"/>
      <c r="V626" s="245"/>
      <c r="W626" s="245"/>
      <c r="X626" s="245"/>
      <c r="Y626" s="245"/>
      <c r="Z626" s="245"/>
    </row>
    <row r="627" spans="1:26">
      <c r="A627" s="245"/>
      <c r="B627" s="245"/>
      <c r="C627" s="245"/>
      <c r="D627" s="245"/>
      <c r="E627" s="245"/>
      <c r="F627" s="245"/>
      <c r="G627" s="245"/>
      <c r="H627" s="245"/>
      <c r="I627" s="245"/>
      <c r="J627" s="245"/>
      <c r="K627" s="245"/>
      <c r="L627" s="245"/>
      <c r="M627" s="245"/>
      <c r="N627" s="245"/>
      <c r="O627" s="245"/>
      <c r="P627" s="245"/>
      <c r="Q627" s="245"/>
      <c r="R627" s="245"/>
      <c r="S627" s="245"/>
      <c r="T627" s="245"/>
      <c r="U627" s="245"/>
      <c r="V627" s="245"/>
      <c r="W627" s="245"/>
      <c r="X627" s="245"/>
      <c r="Y627" s="245"/>
      <c r="Z627" s="245"/>
    </row>
    <row r="628" spans="1:26">
      <c r="A628" s="245"/>
      <c r="B628" s="245"/>
      <c r="C628" s="245"/>
      <c r="D628" s="245"/>
      <c r="E628" s="245"/>
      <c r="F628" s="245"/>
      <c r="G628" s="245"/>
      <c r="H628" s="245"/>
      <c r="I628" s="245"/>
      <c r="J628" s="245"/>
      <c r="K628" s="245"/>
      <c r="L628" s="245"/>
      <c r="M628" s="245"/>
      <c r="N628" s="245"/>
      <c r="O628" s="245"/>
      <c r="P628" s="245"/>
      <c r="Q628" s="245"/>
      <c r="R628" s="245"/>
      <c r="S628" s="245"/>
      <c r="T628" s="245"/>
      <c r="U628" s="245"/>
      <c r="V628" s="245"/>
      <c r="W628" s="245"/>
      <c r="X628" s="245"/>
      <c r="Y628" s="245"/>
      <c r="Z628" s="245"/>
    </row>
    <row r="629" spans="1:26">
      <c r="A629" s="245"/>
      <c r="B629" s="245"/>
      <c r="C629" s="245"/>
      <c r="D629" s="245"/>
      <c r="E629" s="245"/>
      <c r="F629" s="245"/>
      <c r="G629" s="245"/>
      <c r="H629" s="245"/>
      <c r="I629" s="245"/>
      <c r="J629" s="245"/>
      <c r="K629" s="245"/>
      <c r="L629" s="245"/>
      <c r="M629" s="245"/>
      <c r="N629" s="245"/>
      <c r="O629" s="245"/>
      <c r="P629" s="245"/>
      <c r="Q629" s="245"/>
      <c r="R629" s="245"/>
      <c r="S629" s="245"/>
      <c r="T629" s="245"/>
      <c r="U629" s="245"/>
      <c r="V629" s="245"/>
      <c r="W629" s="245"/>
      <c r="X629" s="245"/>
      <c r="Y629" s="245"/>
      <c r="Z629" s="245"/>
    </row>
    <row r="630" spans="1:26">
      <c r="A630" s="245"/>
      <c r="B630" s="245"/>
      <c r="C630" s="245"/>
      <c r="D630" s="245"/>
      <c r="E630" s="245"/>
      <c r="F630" s="245"/>
      <c r="G630" s="245"/>
      <c r="H630" s="245"/>
      <c r="I630" s="245"/>
      <c r="J630" s="245"/>
      <c r="K630" s="245"/>
      <c r="L630" s="245"/>
      <c r="M630" s="245"/>
      <c r="N630" s="245"/>
      <c r="O630" s="245"/>
      <c r="P630" s="245"/>
      <c r="Q630" s="245"/>
      <c r="R630" s="245"/>
      <c r="S630" s="245"/>
      <c r="T630" s="245"/>
      <c r="U630" s="245"/>
      <c r="V630" s="245"/>
      <c r="W630" s="245"/>
      <c r="X630" s="245"/>
      <c r="Y630" s="245"/>
      <c r="Z630" s="245"/>
    </row>
    <row r="631" spans="1:26">
      <c r="A631" s="245"/>
      <c r="B631" s="245"/>
      <c r="C631" s="245"/>
      <c r="D631" s="245"/>
      <c r="E631" s="245"/>
      <c r="F631" s="245"/>
      <c r="G631" s="245"/>
      <c r="H631" s="245"/>
      <c r="I631" s="245"/>
      <c r="J631" s="245"/>
      <c r="K631" s="245"/>
      <c r="L631" s="245"/>
      <c r="M631" s="245"/>
      <c r="N631" s="245"/>
      <c r="O631" s="245"/>
      <c r="P631" s="245"/>
      <c r="Q631" s="245"/>
      <c r="R631" s="245"/>
      <c r="S631" s="245"/>
      <c r="T631" s="245"/>
      <c r="U631" s="245"/>
      <c r="V631" s="245"/>
      <c r="W631" s="245"/>
      <c r="X631" s="245"/>
      <c r="Y631" s="245"/>
      <c r="Z631" s="245"/>
    </row>
    <row r="632" spans="1:26">
      <c r="A632" s="245"/>
      <c r="B632" s="245"/>
      <c r="C632" s="245"/>
      <c r="D632" s="245"/>
      <c r="E632" s="245"/>
      <c r="F632" s="245"/>
      <c r="G632" s="245"/>
      <c r="H632" s="245"/>
      <c r="I632" s="245"/>
      <c r="J632" s="245"/>
      <c r="K632" s="245"/>
      <c r="L632" s="245"/>
      <c r="M632" s="245"/>
      <c r="N632" s="245"/>
      <c r="O632" s="245"/>
      <c r="P632" s="245"/>
      <c r="Q632" s="245"/>
      <c r="R632" s="245"/>
      <c r="S632" s="245"/>
      <c r="T632" s="245"/>
      <c r="U632" s="245"/>
      <c r="V632" s="245"/>
      <c r="W632" s="245"/>
      <c r="X632" s="245"/>
      <c r="Y632" s="245"/>
      <c r="Z632" s="245"/>
    </row>
    <row r="633" spans="1:26">
      <c r="A633" s="245"/>
      <c r="B633" s="245"/>
      <c r="C633" s="245"/>
      <c r="D633" s="245"/>
      <c r="E633" s="245"/>
      <c r="F633" s="245"/>
      <c r="G633" s="245"/>
      <c r="H633" s="245"/>
      <c r="I633" s="245"/>
      <c r="J633" s="245"/>
      <c r="K633" s="245"/>
      <c r="L633" s="245"/>
      <c r="M633" s="245"/>
      <c r="N633" s="245"/>
      <c r="O633" s="245"/>
      <c r="P633" s="245"/>
      <c r="Q633" s="245"/>
      <c r="R633" s="245"/>
      <c r="S633" s="245"/>
      <c r="T633" s="245"/>
      <c r="U633" s="245"/>
      <c r="V633" s="245"/>
      <c r="W633" s="245"/>
      <c r="X633" s="245"/>
      <c r="Y633" s="245"/>
      <c r="Z633" s="245"/>
    </row>
    <row r="634" spans="1:26">
      <c r="A634" s="245"/>
      <c r="B634" s="245"/>
      <c r="C634" s="245"/>
      <c r="D634" s="245"/>
      <c r="E634" s="245"/>
      <c r="F634" s="245"/>
      <c r="G634" s="245"/>
      <c r="H634" s="245"/>
      <c r="I634" s="245"/>
      <c r="J634" s="245"/>
      <c r="K634" s="245"/>
      <c r="L634" s="245"/>
      <c r="M634" s="245"/>
      <c r="N634" s="245"/>
      <c r="O634" s="245"/>
      <c r="P634" s="245"/>
      <c r="Q634" s="245"/>
      <c r="R634" s="245"/>
      <c r="S634" s="245"/>
      <c r="T634" s="245"/>
      <c r="U634" s="245"/>
      <c r="V634" s="245"/>
      <c r="W634" s="245"/>
      <c r="X634" s="245"/>
      <c r="Y634" s="245"/>
      <c r="Z634" s="245"/>
    </row>
    <row r="635" spans="1:26">
      <c r="A635" s="245"/>
      <c r="B635" s="245"/>
      <c r="C635" s="245"/>
      <c r="D635" s="245"/>
      <c r="E635" s="245"/>
      <c r="F635" s="245"/>
      <c r="G635" s="245"/>
      <c r="H635" s="245"/>
      <c r="I635" s="245"/>
      <c r="J635" s="245"/>
      <c r="K635" s="245"/>
      <c r="L635" s="245"/>
      <c r="M635" s="245"/>
      <c r="N635" s="245"/>
      <c r="O635" s="245"/>
      <c r="P635" s="245"/>
      <c r="Q635" s="245"/>
      <c r="R635" s="245"/>
      <c r="S635" s="245"/>
      <c r="T635" s="245"/>
      <c r="U635" s="245"/>
      <c r="V635" s="245"/>
      <c r="W635" s="245"/>
      <c r="X635" s="245"/>
      <c r="Y635" s="245"/>
      <c r="Z635" s="245"/>
    </row>
    <row r="636" spans="1:26">
      <c r="A636" s="245"/>
      <c r="B636" s="245"/>
      <c r="C636" s="245"/>
      <c r="D636" s="245"/>
      <c r="E636" s="245"/>
      <c r="F636" s="245"/>
      <c r="G636" s="245"/>
      <c r="H636" s="245"/>
      <c r="I636" s="245"/>
      <c r="J636" s="245"/>
      <c r="K636" s="245"/>
      <c r="L636" s="245"/>
      <c r="M636" s="245"/>
      <c r="N636" s="245"/>
      <c r="O636" s="245"/>
      <c r="P636" s="245"/>
      <c r="Q636" s="245"/>
      <c r="R636" s="245"/>
      <c r="S636" s="245"/>
      <c r="T636" s="245"/>
      <c r="U636" s="245"/>
      <c r="V636" s="245"/>
      <c r="W636" s="245"/>
      <c r="X636" s="245"/>
      <c r="Y636" s="245"/>
      <c r="Z636" s="245"/>
    </row>
    <row r="637" spans="1:26">
      <c r="A637" s="245"/>
      <c r="B637" s="245"/>
      <c r="C637" s="245"/>
      <c r="D637" s="245"/>
      <c r="E637" s="245"/>
      <c r="F637" s="245"/>
      <c r="G637" s="245"/>
      <c r="H637" s="245"/>
      <c r="I637" s="245"/>
      <c r="J637" s="245"/>
      <c r="K637" s="245"/>
      <c r="L637" s="245"/>
      <c r="M637" s="245"/>
      <c r="N637" s="245"/>
      <c r="O637" s="245"/>
      <c r="P637" s="245"/>
      <c r="Q637" s="245"/>
      <c r="R637" s="245"/>
      <c r="S637" s="245"/>
      <c r="T637" s="245"/>
      <c r="U637" s="245"/>
      <c r="V637" s="245"/>
      <c r="W637" s="245"/>
      <c r="X637" s="245"/>
      <c r="Y637" s="245"/>
      <c r="Z637" s="245"/>
    </row>
    <row r="638" spans="1:26">
      <c r="A638" s="245"/>
      <c r="B638" s="245"/>
      <c r="C638" s="245"/>
      <c r="D638" s="245"/>
      <c r="E638" s="245"/>
      <c r="F638" s="245"/>
      <c r="G638" s="245"/>
      <c r="H638" s="245"/>
      <c r="I638" s="245"/>
      <c r="J638" s="245"/>
      <c r="K638" s="245"/>
      <c r="L638" s="245"/>
      <c r="M638" s="245"/>
      <c r="N638" s="245"/>
      <c r="O638" s="245"/>
      <c r="P638" s="245"/>
      <c r="Q638" s="245"/>
      <c r="R638" s="245"/>
      <c r="S638" s="245"/>
      <c r="T638" s="245"/>
      <c r="U638" s="245"/>
      <c r="V638" s="245"/>
      <c r="W638" s="245"/>
      <c r="X638" s="245"/>
      <c r="Y638" s="245"/>
      <c r="Z638" s="245"/>
    </row>
    <row r="639" spans="1:26">
      <c r="A639" s="245"/>
      <c r="B639" s="245"/>
      <c r="C639" s="245"/>
      <c r="D639" s="245"/>
      <c r="E639" s="245"/>
      <c r="F639" s="245"/>
      <c r="G639" s="245"/>
      <c r="H639" s="245"/>
      <c r="I639" s="245"/>
      <c r="J639" s="245"/>
      <c r="K639" s="245"/>
      <c r="L639" s="245"/>
      <c r="M639" s="245"/>
      <c r="N639" s="245"/>
      <c r="O639" s="245"/>
      <c r="P639" s="245"/>
      <c r="Q639" s="245"/>
      <c r="R639" s="245"/>
      <c r="S639" s="245"/>
      <c r="T639" s="245"/>
      <c r="U639" s="245"/>
      <c r="V639" s="245"/>
      <c r="W639" s="245"/>
      <c r="X639" s="245"/>
      <c r="Y639" s="245"/>
      <c r="Z639" s="245"/>
    </row>
    <row r="640" spans="1:26">
      <c r="A640" s="245"/>
      <c r="B640" s="245"/>
      <c r="C640" s="245"/>
      <c r="D640" s="245"/>
      <c r="E640" s="245"/>
      <c r="F640" s="245"/>
      <c r="G640" s="245"/>
      <c r="H640" s="245"/>
      <c r="I640" s="245"/>
      <c r="J640" s="245"/>
      <c r="K640" s="245"/>
      <c r="L640" s="245"/>
      <c r="M640" s="245"/>
      <c r="N640" s="245"/>
      <c r="O640" s="245"/>
      <c r="P640" s="245"/>
      <c r="Q640" s="245"/>
      <c r="R640" s="245"/>
      <c r="S640" s="245"/>
      <c r="T640" s="245"/>
      <c r="U640" s="245"/>
      <c r="V640" s="245"/>
      <c r="W640" s="245"/>
      <c r="X640" s="245"/>
      <c r="Y640" s="245"/>
      <c r="Z640" s="245"/>
    </row>
    <row r="641" spans="1:26">
      <c r="A641" s="245"/>
      <c r="B641" s="245"/>
      <c r="C641" s="245"/>
      <c r="D641" s="245"/>
      <c r="E641" s="245"/>
      <c r="F641" s="245"/>
      <c r="G641" s="245"/>
      <c r="H641" s="245"/>
      <c r="I641" s="245"/>
      <c r="J641" s="245"/>
      <c r="K641" s="245"/>
      <c r="L641" s="245"/>
      <c r="M641" s="245"/>
      <c r="N641" s="245"/>
      <c r="O641" s="245"/>
      <c r="P641" s="245"/>
      <c r="Q641" s="245"/>
      <c r="R641" s="245"/>
      <c r="S641" s="245"/>
      <c r="T641" s="245"/>
      <c r="U641" s="245"/>
      <c r="V641" s="245"/>
      <c r="W641" s="245"/>
      <c r="X641" s="245"/>
      <c r="Y641" s="245"/>
      <c r="Z641" s="245"/>
    </row>
    <row r="642" spans="1:26">
      <c r="A642" s="245"/>
      <c r="B642" s="245"/>
      <c r="C642" s="245"/>
      <c r="D642" s="245"/>
      <c r="E642" s="245"/>
      <c r="F642" s="245"/>
      <c r="G642" s="245"/>
      <c r="H642" s="245"/>
      <c r="I642" s="245"/>
      <c r="J642" s="245"/>
      <c r="K642" s="245"/>
      <c r="L642" s="245"/>
      <c r="M642" s="245"/>
      <c r="N642" s="245"/>
      <c r="O642" s="245"/>
      <c r="P642" s="245"/>
      <c r="Q642" s="245"/>
      <c r="R642" s="245"/>
      <c r="S642" s="245"/>
      <c r="T642" s="245"/>
      <c r="U642" s="245"/>
      <c r="V642" s="245"/>
      <c r="W642" s="245"/>
      <c r="X642" s="245"/>
      <c r="Y642" s="245"/>
      <c r="Z642" s="245"/>
    </row>
    <row r="643" spans="1:26">
      <c r="A643" s="245"/>
      <c r="B643" s="245"/>
      <c r="C643" s="245"/>
      <c r="D643" s="245"/>
      <c r="E643" s="245"/>
      <c r="F643" s="245"/>
      <c r="G643" s="245"/>
      <c r="H643" s="245"/>
      <c r="I643" s="245"/>
      <c r="J643" s="245"/>
      <c r="K643" s="245"/>
      <c r="L643" s="245"/>
      <c r="M643" s="245"/>
      <c r="N643" s="245"/>
      <c r="O643" s="245"/>
      <c r="P643" s="245"/>
      <c r="Q643" s="245"/>
      <c r="R643" s="245"/>
      <c r="S643" s="245"/>
      <c r="T643" s="245"/>
      <c r="U643" s="245"/>
      <c r="V643" s="245"/>
      <c r="W643" s="245"/>
      <c r="X643" s="245"/>
      <c r="Y643" s="245"/>
      <c r="Z643" s="245"/>
    </row>
    <row r="644" spans="1:26">
      <c r="A644" s="245"/>
      <c r="B644" s="245"/>
      <c r="C644" s="245"/>
      <c r="D644" s="245"/>
      <c r="E644" s="245"/>
      <c r="F644" s="245"/>
      <c r="G644" s="245"/>
      <c r="H644" s="245"/>
      <c r="I644" s="245"/>
      <c r="J644" s="245"/>
      <c r="K644" s="245"/>
      <c r="L644" s="245"/>
      <c r="M644" s="245"/>
      <c r="N644" s="245"/>
      <c r="O644" s="245"/>
      <c r="P644" s="245"/>
      <c r="Q644" s="245"/>
      <c r="R644" s="245"/>
      <c r="S644" s="245"/>
      <c r="T644" s="245"/>
      <c r="U644" s="245"/>
      <c r="V644" s="245"/>
      <c r="W644" s="245"/>
      <c r="X644" s="245"/>
      <c r="Y644" s="245"/>
      <c r="Z644" s="245"/>
    </row>
    <row r="645" spans="1:26">
      <c r="A645" s="245"/>
      <c r="B645" s="245"/>
      <c r="C645" s="245"/>
      <c r="D645" s="245"/>
      <c r="E645" s="245"/>
      <c r="F645" s="245"/>
      <c r="G645" s="245"/>
      <c r="H645" s="245"/>
      <c r="I645" s="245"/>
      <c r="J645" s="245"/>
      <c r="K645" s="245"/>
      <c r="L645" s="245"/>
      <c r="M645" s="245"/>
      <c r="N645" s="245"/>
      <c r="O645" s="245"/>
      <c r="P645" s="245"/>
      <c r="Q645" s="245"/>
      <c r="R645" s="245"/>
      <c r="S645" s="245"/>
      <c r="T645" s="245"/>
      <c r="U645" s="245"/>
      <c r="V645" s="245"/>
      <c r="W645" s="245"/>
      <c r="X645" s="245"/>
      <c r="Y645" s="245"/>
      <c r="Z645" s="245"/>
    </row>
    <row r="646" spans="1:26">
      <c r="A646" s="245"/>
      <c r="B646" s="245"/>
      <c r="C646" s="245"/>
      <c r="D646" s="245"/>
      <c r="E646" s="245"/>
      <c r="F646" s="245"/>
      <c r="G646" s="245"/>
      <c r="H646" s="245"/>
      <c r="I646" s="245"/>
      <c r="J646" s="245"/>
      <c r="K646" s="245"/>
      <c r="L646" s="245"/>
      <c r="M646" s="245"/>
      <c r="N646" s="245"/>
      <c r="O646" s="245"/>
      <c r="P646" s="245"/>
      <c r="Q646" s="245"/>
      <c r="R646" s="245"/>
      <c r="S646" s="245"/>
      <c r="T646" s="245"/>
      <c r="U646" s="245"/>
      <c r="V646" s="245"/>
      <c r="W646" s="245"/>
      <c r="X646" s="245"/>
      <c r="Y646" s="245"/>
      <c r="Z646" s="245"/>
    </row>
    <row r="647" spans="1:26">
      <c r="A647" s="245"/>
      <c r="B647" s="245"/>
      <c r="C647" s="245"/>
      <c r="D647" s="245"/>
      <c r="E647" s="245"/>
      <c r="F647" s="245"/>
      <c r="G647" s="245"/>
      <c r="H647" s="245"/>
      <c r="I647" s="245"/>
      <c r="J647" s="245"/>
      <c r="K647" s="245"/>
      <c r="L647" s="245"/>
      <c r="M647" s="245"/>
      <c r="N647" s="245"/>
      <c r="O647" s="245"/>
      <c r="P647" s="245"/>
      <c r="Q647" s="245"/>
      <c r="R647" s="245"/>
      <c r="S647" s="245"/>
      <c r="T647" s="245"/>
      <c r="U647" s="245"/>
      <c r="V647" s="245"/>
      <c r="W647" s="245"/>
      <c r="X647" s="245"/>
      <c r="Y647" s="245"/>
      <c r="Z647" s="245"/>
    </row>
    <row r="648" spans="1:26">
      <c r="A648" s="245"/>
      <c r="B648" s="245"/>
      <c r="C648" s="245"/>
      <c r="D648" s="245"/>
      <c r="E648" s="245"/>
      <c r="F648" s="245"/>
      <c r="G648" s="245"/>
      <c r="H648" s="245"/>
      <c r="I648" s="245"/>
      <c r="J648" s="245"/>
      <c r="K648" s="245"/>
      <c r="L648" s="245"/>
      <c r="M648" s="245"/>
      <c r="N648" s="245"/>
      <c r="O648" s="245"/>
      <c r="P648" s="245"/>
      <c r="Q648" s="245"/>
      <c r="R648" s="245"/>
      <c r="S648" s="245"/>
      <c r="T648" s="245"/>
      <c r="U648" s="245"/>
      <c r="V648" s="245"/>
      <c r="W648" s="245"/>
      <c r="X648" s="245"/>
      <c r="Y648" s="245"/>
      <c r="Z648" s="245"/>
    </row>
    <row r="649" spans="1:26">
      <c r="A649" s="245"/>
      <c r="B649" s="245"/>
      <c r="C649" s="245"/>
      <c r="D649" s="245"/>
      <c r="E649" s="245"/>
      <c r="F649" s="245"/>
      <c r="G649" s="245"/>
      <c r="H649" s="245"/>
      <c r="I649" s="245"/>
      <c r="J649" s="245"/>
      <c r="K649" s="245"/>
      <c r="L649" s="245"/>
      <c r="M649" s="245"/>
      <c r="N649" s="245"/>
      <c r="O649" s="245"/>
      <c r="P649" s="245"/>
      <c r="Q649" s="245"/>
      <c r="R649" s="245"/>
      <c r="S649" s="245"/>
      <c r="T649" s="245"/>
      <c r="U649" s="245"/>
      <c r="V649" s="245"/>
      <c r="W649" s="245"/>
      <c r="X649" s="245"/>
      <c r="Y649" s="245"/>
      <c r="Z649" s="245"/>
    </row>
    <row r="650" spans="1:26">
      <c r="A650" s="245"/>
      <c r="B650" s="245"/>
      <c r="C650" s="245"/>
      <c r="D650" s="245"/>
      <c r="E650" s="245"/>
      <c r="F650" s="245"/>
      <c r="G650" s="245"/>
      <c r="H650" s="245"/>
      <c r="I650" s="245"/>
      <c r="J650" s="245"/>
      <c r="K650" s="245"/>
      <c r="L650" s="245"/>
      <c r="M650" s="245"/>
      <c r="N650" s="245"/>
      <c r="O650" s="245"/>
      <c r="P650" s="245"/>
      <c r="Q650" s="245"/>
      <c r="R650" s="245"/>
      <c r="S650" s="245"/>
      <c r="T650" s="245"/>
      <c r="U650" s="245"/>
      <c r="V650" s="245"/>
      <c r="W650" s="245"/>
      <c r="X650" s="245"/>
      <c r="Y650" s="245"/>
      <c r="Z650" s="245"/>
    </row>
    <row r="651" spans="1:26">
      <c r="A651" s="245"/>
      <c r="B651" s="245"/>
      <c r="C651" s="245"/>
      <c r="D651" s="245"/>
      <c r="E651" s="245"/>
      <c r="F651" s="245"/>
      <c r="G651" s="245"/>
      <c r="H651" s="245"/>
      <c r="I651" s="245"/>
      <c r="J651" s="245"/>
      <c r="K651" s="245"/>
      <c r="L651" s="245"/>
      <c r="M651" s="245"/>
      <c r="N651" s="245"/>
      <c r="O651" s="245"/>
      <c r="P651" s="245"/>
      <c r="Q651" s="245"/>
      <c r="R651" s="245"/>
      <c r="S651" s="245"/>
      <c r="T651" s="245"/>
      <c r="U651" s="245"/>
      <c r="V651" s="245"/>
      <c r="W651" s="245"/>
      <c r="X651" s="245"/>
      <c r="Y651" s="245"/>
      <c r="Z651" s="245"/>
    </row>
    <row r="652" spans="1:26">
      <c r="A652" s="245"/>
      <c r="B652" s="245"/>
      <c r="C652" s="245"/>
      <c r="D652" s="245"/>
      <c r="E652" s="245"/>
      <c r="F652" s="245"/>
      <c r="G652" s="245"/>
      <c r="H652" s="245"/>
      <c r="I652" s="245"/>
      <c r="J652" s="245"/>
      <c r="K652" s="245"/>
      <c r="L652" s="245"/>
      <c r="M652" s="245"/>
      <c r="N652" s="245"/>
      <c r="O652" s="245"/>
      <c r="P652" s="245"/>
      <c r="Q652" s="245"/>
      <c r="R652" s="245"/>
      <c r="S652" s="245"/>
      <c r="T652" s="245"/>
      <c r="U652" s="245"/>
      <c r="V652" s="245"/>
      <c r="W652" s="245"/>
      <c r="X652" s="245"/>
      <c r="Y652" s="245"/>
      <c r="Z652" s="245"/>
    </row>
    <row r="653" spans="1:26">
      <c r="A653" s="245"/>
      <c r="B653" s="245"/>
      <c r="C653" s="245"/>
      <c r="D653" s="245"/>
      <c r="E653" s="245"/>
      <c r="F653" s="245"/>
      <c r="G653" s="245"/>
      <c r="H653" s="245"/>
      <c r="I653" s="245"/>
      <c r="J653" s="245"/>
      <c r="K653" s="245"/>
      <c r="L653" s="245"/>
      <c r="M653" s="245"/>
      <c r="N653" s="245"/>
      <c r="O653" s="245"/>
      <c r="P653" s="245"/>
      <c r="Q653" s="245"/>
      <c r="R653" s="245"/>
      <c r="S653" s="245"/>
      <c r="T653" s="245"/>
      <c r="U653" s="245"/>
      <c r="V653" s="245"/>
      <c r="W653" s="245"/>
      <c r="X653" s="245"/>
      <c r="Y653" s="245"/>
      <c r="Z653" s="245"/>
    </row>
    <row r="654" spans="1:26">
      <c r="A654" s="245"/>
      <c r="B654" s="245"/>
      <c r="C654" s="245"/>
      <c r="D654" s="245"/>
      <c r="E654" s="245"/>
      <c r="F654" s="245"/>
      <c r="G654" s="245"/>
      <c r="H654" s="245"/>
      <c r="I654" s="245"/>
      <c r="J654" s="245"/>
      <c r="K654" s="245"/>
      <c r="L654" s="245"/>
      <c r="M654" s="245"/>
      <c r="N654" s="245"/>
      <c r="O654" s="245"/>
      <c r="P654" s="245"/>
      <c r="Q654" s="245"/>
      <c r="R654" s="245"/>
      <c r="S654" s="245"/>
      <c r="T654" s="245"/>
      <c r="U654" s="245"/>
      <c r="V654" s="245"/>
      <c r="W654" s="245"/>
      <c r="X654" s="245"/>
      <c r="Y654" s="245"/>
      <c r="Z654" s="245"/>
    </row>
    <row r="655" spans="1:26">
      <c r="A655" s="245"/>
      <c r="B655" s="245"/>
      <c r="C655" s="245"/>
      <c r="D655" s="245"/>
      <c r="E655" s="245"/>
      <c r="F655" s="245"/>
      <c r="G655" s="245"/>
      <c r="H655" s="245"/>
      <c r="I655" s="245"/>
      <c r="J655" s="245"/>
      <c r="K655" s="245"/>
      <c r="L655" s="245"/>
      <c r="M655" s="245"/>
      <c r="N655" s="245"/>
      <c r="O655" s="245"/>
      <c r="P655" s="245"/>
      <c r="Q655" s="245"/>
      <c r="R655" s="245"/>
      <c r="S655" s="245"/>
      <c r="T655" s="245"/>
      <c r="U655" s="245"/>
      <c r="V655" s="245"/>
      <c r="W655" s="245"/>
      <c r="X655" s="245"/>
      <c r="Y655" s="245"/>
      <c r="Z655" s="245"/>
    </row>
    <row r="656" spans="1:26">
      <c r="A656" s="245"/>
      <c r="B656" s="245"/>
      <c r="C656" s="245"/>
      <c r="D656" s="245"/>
      <c r="E656" s="245"/>
      <c r="F656" s="245"/>
      <c r="G656" s="245"/>
      <c r="H656" s="245"/>
      <c r="I656" s="245"/>
      <c r="J656" s="245"/>
      <c r="K656" s="245"/>
      <c r="L656" s="245"/>
      <c r="M656" s="245"/>
      <c r="N656" s="245"/>
      <c r="O656" s="245"/>
      <c r="P656" s="245"/>
      <c r="Q656" s="245"/>
      <c r="R656" s="245"/>
      <c r="S656" s="245"/>
      <c r="T656" s="245"/>
      <c r="U656" s="245"/>
      <c r="V656" s="245"/>
      <c r="W656" s="245"/>
      <c r="X656" s="245"/>
      <c r="Y656" s="245"/>
      <c r="Z656" s="245"/>
    </row>
    <row r="657" spans="1:26">
      <c r="A657" s="245"/>
      <c r="B657" s="245"/>
      <c r="C657" s="245"/>
      <c r="D657" s="245"/>
      <c r="E657" s="245"/>
      <c r="F657" s="245"/>
      <c r="G657" s="245"/>
      <c r="H657" s="245"/>
      <c r="I657" s="245"/>
      <c r="J657" s="245"/>
      <c r="K657" s="245"/>
      <c r="L657" s="245"/>
      <c r="M657" s="245"/>
      <c r="N657" s="245"/>
      <c r="O657" s="245"/>
      <c r="P657" s="245"/>
      <c r="Q657" s="245"/>
      <c r="R657" s="245"/>
      <c r="S657" s="245"/>
      <c r="T657" s="245"/>
      <c r="U657" s="245"/>
      <c r="V657" s="245"/>
      <c r="W657" s="245"/>
      <c r="X657" s="245"/>
      <c r="Y657" s="245"/>
      <c r="Z657" s="245"/>
    </row>
    <row r="658" spans="1:26">
      <c r="A658" s="245"/>
      <c r="B658" s="245"/>
      <c r="C658" s="245"/>
      <c r="D658" s="245"/>
      <c r="E658" s="245"/>
      <c r="F658" s="245"/>
      <c r="G658" s="245"/>
      <c r="H658" s="245"/>
      <c r="I658" s="245"/>
      <c r="J658" s="245"/>
      <c r="K658" s="245"/>
      <c r="L658" s="245"/>
      <c r="M658" s="245"/>
      <c r="N658" s="245"/>
      <c r="O658" s="245"/>
      <c r="P658" s="245"/>
      <c r="Q658" s="245"/>
      <c r="R658" s="245"/>
      <c r="S658" s="245"/>
      <c r="T658" s="245"/>
      <c r="U658" s="245"/>
      <c r="V658" s="245"/>
      <c r="W658" s="245"/>
      <c r="X658" s="245"/>
      <c r="Y658" s="245"/>
      <c r="Z658" s="245"/>
    </row>
    <row r="659" spans="1:26">
      <c r="A659" s="245"/>
      <c r="B659" s="245"/>
      <c r="C659" s="245"/>
      <c r="D659" s="245"/>
      <c r="E659" s="245"/>
      <c r="F659" s="245"/>
      <c r="G659" s="245"/>
      <c r="H659" s="245"/>
      <c r="I659" s="245"/>
      <c r="J659" s="245"/>
      <c r="K659" s="245"/>
      <c r="L659" s="245"/>
      <c r="M659" s="245"/>
      <c r="N659" s="245"/>
      <c r="O659" s="245"/>
      <c r="P659" s="245"/>
      <c r="Q659" s="245"/>
      <c r="R659" s="245"/>
      <c r="S659" s="245"/>
      <c r="T659" s="245"/>
      <c r="U659" s="245"/>
      <c r="V659" s="245"/>
      <c r="W659" s="245"/>
      <c r="X659" s="245"/>
      <c r="Y659" s="245"/>
      <c r="Z659" s="245"/>
    </row>
    <row r="660" spans="1:26">
      <c r="A660" s="245"/>
      <c r="B660" s="245"/>
      <c r="C660" s="245"/>
      <c r="D660" s="245"/>
      <c r="E660" s="245"/>
      <c r="F660" s="245"/>
      <c r="G660" s="245"/>
      <c r="H660" s="245"/>
      <c r="I660" s="245"/>
      <c r="J660" s="245"/>
      <c r="K660" s="245"/>
      <c r="L660" s="245"/>
      <c r="M660" s="245"/>
      <c r="N660" s="245"/>
      <c r="O660" s="245"/>
      <c r="P660" s="245"/>
      <c r="Q660" s="245"/>
      <c r="R660" s="245"/>
      <c r="S660" s="245"/>
      <c r="T660" s="245"/>
      <c r="U660" s="245"/>
      <c r="V660" s="245"/>
      <c r="W660" s="245"/>
      <c r="X660" s="245"/>
      <c r="Y660" s="245"/>
      <c r="Z660" s="245"/>
    </row>
    <row r="661" spans="1:26">
      <c r="A661" s="245"/>
      <c r="B661" s="245"/>
      <c r="C661" s="245"/>
      <c r="D661" s="245"/>
      <c r="E661" s="245"/>
      <c r="F661" s="245"/>
      <c r="G661" s="245"/>
      <c r="H661" s="245"/>
      <c r="I661" s="245"/>
      <c r="J661" s="245"/>
      <c r="K661" s="245"/>
      <c r="L661" s="245"/>
      <c r="M661" s="245"/>
      <c r="N661" s="245"/>
      <c r="O661" s="245"/>
      <c r="P661" s="245"/>
      <c r="Q661" s="245"/>
      <c r="R661" s="245"/>
      <c r="S661" s="245"/>
      <c r="T661" s="245"/>
      <c r="U661" s="245"/>
      <c r="V661" s="245"/>
      <c r="W661" s="245"/>
      <c r="X661" s="245"/>
      <c r="Y661" s="245"/>
      <c r="Z661" s="245"/>
    </row>
    <row r="662" spans="1:26">
      <c r="A662" s="245"/>
      <c r="B662" s="245"/>
      <c r="C662" s="245"/>
      <c r="D662" s="245"/>
      <c r="E662" s="245"/>
      <c r="F662" s="245"/>
      <c r="G662" s="245"/>
      <c r="H662" s="245"/>
      <c r="I662" s="245"/>
      <c r="J662" s="245"/>
      <c r="K662" s="245"/>
      <c r="L662" s="245"/>
      <c r="M662" s="245"/>
      <c r="N662" s="245"/>
      <c r="O662" s="245"/>
      <c r="P662" s="245"/>
      <c r="Q662" s="245"/>
      <c r="R662" s="245"/>
      <c r="S662" s="245"/>
      <c r="T662" s="245"/>
      <c r="U662" s="245"/>
      <c r="V662" s="245"/>
      <c r="W662" s="245"/>
      <c r="X662" s="245"/>
      <c r="Y662" s="245"/>
      <c r="Z662" s="245"/>
    </row>
    <row r="663" spans="1:26">
      <c r="A663" s="245"/>
      <c r="B663" s="245"/>
      <c r="C663" s="245"/>
      <c r="D663" s="245"/>
      <c r="E663" s="245"/>
      <c r="F663" s="245"/>
      <c r="G663" s="245"/>
      <c r="H663" s="245"/>
      <c r="I663" s="245"/>
      <c r="J663" s="245"/>
      <c r="K663" s="245"/>
      <c r="L663" s="245"/>
      <c r="M663" s="245"/>
      <c r="N663" s="245"/>
      <c r="O663" s="245"/>
      <c r="P663" s="245"/>
      <c r="Q663" s="245"/>
      <c r="R663" s="245"/>
      <c r="S663" s="245"/>
      <c r="T663" s="245"/>
      <c r="U663" s="245"/>
      <c r="V663" s="245"/>
      <c r="W663" s="245"/>
      <c r="X663" s="245"/>
      <c r="Y663" s="245"/>
      <c r="Z663" s="245"/>
    </row>
    <row r="664" spans="1:26">
      <c r="A664" s="245"/>
      <c r="B664" s="245"/>
      <c r="C664" s="245"/>
      <c r="D664" s="245"/>
      <c r="E664" s="245"/>
      <c r="F664" s="245"/>
      <c r="G664" s="245"/>
      <c r="H664" s="245"/>
      <c r="I664" s="245"/>
      <c r="J664" s="245"/>
      <c r="K664" s="245"/>
      <c r="L664" s="245"/>
      <c r="M664" s="245"/>
      <c r="N664" s="245"/>
      <c r="O664" s="245"/>
      <c r="P664" s="245"/>
      <c r="Q664" s="245"/>
      <c r="R664" s="245"/>
      <c r="S664" s="245"/>
      <c r="T664" s="245"/>
      <c r="U664" s="245"/>
      <c r="V664" s="245"/>
      <c r="W664" s="245"/>
      <c r="X664" s="245"/>
      <c r="Y664" s="245"/>
      <c r="Z664" s="245"/>
    </row>
    <row r="665" spans="1:26">
      <c r="A665" s="245"/>
      <c r="B665" s="245"/>
      <c r="C665" s="245"/>
      <c r="D665" s="245"/>
      <c r="E665" s="245"/>
      <c r="F665" s="245"/>
      <c r="G665" s="245"/>
      <c r="H665" s="245"/>
      <c r="I665" s="245"/>
      <c r="J665" s="245"/>
      <c r="K665" s="245"/>
      <c r="L665" s="245"/>
      <c r="M665" s="245"/>
      <c r="N665" s="245"/>
      <c r="O665" s="245"/>
      <c r="P665" s="245"/>
      <c r="Q665" s="245"/>
      <c r="R665" s="245"/>
      <c r="S665" s="245"/>
      <c r="T665" s="245"/>
      <c r="U665" s="245"/>
      <c r="V665" s="245"/>
      <c r="W665" s="245"/>
      <c r="X665" s="245"/>
      <c r="Y665" s="245"/>
      <c r="Z665" s="245"/>
    </row>
    <row r="666" spans="1:26">
      <c r="A666" s="245"/>
      <c r="B666" s="245"/>
      <c r="C666" s="245"/>
      <c r="D666" s="245"/>
      <c r="E666" s="245"/>
      <c r="F666" s="245"/>
      <c r="G666" s="245"/>
      <c r="H666" s="245"/>
      <c r="I666" s="245"/>
      <c r="J666" s="245"/>
      <c r="K666" s="245"/>
      <c r="L666" s="245"/>
      <c r="M666" s="245"/>
      <c r="N666" s="245"/>
      <c r="O666" s="245"/>
      <c r="P666" s="245"/>
      <c r="Q666" s="245"/>
      <c r="R666" s="245"/>
      <c r="S666" s="245"/>
      <c r="T666" s="245"/>
      <c r="U666" s="245"/>
      <c r="V666" s="245"/>
      <c r="W666" s="245"/>
      <c r="X666" s="245"/>
      <c r="Y666" s="245"/>
      <c r="Z666" s="245"/>
    </row>
    <row r="667" spans="1:26">
      <c r="A667" s="245"/>
      <c r="B667" s="245"/>
      <c r="C667" s="245"/>
      <c r="D667" s="245"/>
      <c r="E667" s="245"/>
      <c r="F667" s="245"/>
      <c r="G667" s="245"/>
      <c r="H667" s="245"/>
      <c r="I667" s="245"/>
      <c r="J667" s="245"/>
      <c r="K667" s="245"/>
      <c r="L667" s="245"/>
      <c r="M667" s="245"/>
      <c r="N667" s="245"/>
      <c r="O667" s="245"/>
      <c r="P667" s="245"/>
      <c r="Q667" s="245"/>
      <c r="R667" s="245"/>
      <c r="S667" s="245"/>
      <c r="T667" s="245"/>
      <c r="U667" s="245"/>
      <c r="V667" s="245"/>
      <c r="W667" s="245"/>
      <c r="X667" s="245"/>
      <c r="Y667" s="245"/>
      <c r="Z667" s="245"/>
    </row>
    <row r="668" spans="1:26">
      <c r="A668" s="245"/>
      <c r="B668" s="245"/>
      <c r="C668" s="245"/>
      <c r="D668" s="245"/>
      <c r="E668" s="245"/>
      <c r="F668" s="245"/>
      <c r="G668" s="245"/>
      <c r="H668" s="245"/>
      <c r="I668" s="245"/>
      <c r="J668" s="245"/>
      <c r="K668" s="245"/>
      <c r="L668" s="245"/>
      <c r="M668" s="245"/>
      <c r="N668" s="245"/>
      <c r="O668" s="245"/>
      <c r="P668" s="245"/>
      <c r="Q668" s="245"/>
      <c r="R668" s="245"/>
      <c r="S668" s="245"/>
      <c r="T668" s="245"/>
      <c r="U668" s="245"/>
      <c r="V668" s="245"/>
      <c r="W668" s="245"/>
      <c r="X668" s="245"/>
      <c r="Y668" s="245"/>
      <c r="Z668" s="245"/>
    </row>
    <row r="669" spans="1:26">
      <c r="A669" s="245"/>
      <c r="B669" s="245"/>
      <c r="C669" s="245"/>
      <c r="D669" s="245"/>
      <c r="E669" s="245"/>
      <c r="F669" s="245"/>
      <c r="G669" s="245"/>
      <c r="H669" s="245"/>
      <c r="I669" s="245"/>
      <c r="J669" s="245"/>
      <c r="K669" s="245"/>
      <c r="L669" s="245"/>
      <c r="M669" s="245"/>
      <c r="N669" s="245"/>
      <c r="O669" s="245"/>
      <c r="P669" s="245"/>
      <c r="Q669" s="245"/>
      <c r="R669" s="245"/>
      <c r="S669" s="245"/>
      <c r="T669" s="245"/>
      <c r="U669" s="245"/>
      <c r="V669" s="245"/>
      <c r="W669" s="245"/>
      <c r="X669" s="245"/>
      <c r="Y669" s="245"/>
      <c r="Z669" s="245"/>
    </row>
    <row r="670" spans="1:26">
      <c r="A670" s="245"/>
      <c r="B670" s="245"/>
      <c r="C670" s="245"/>
      <c r="D670" s="245"/>
      <c r="E670" s="245"/>
      <c r="F670" s="245"/>
      <c r="G670" s="245"/>
      <c r="H670" s="245"/>
      <c r="I670" s="245"/>
      <c r="J670" s="245"/>
      <c r="K670" s="245"/>
      <c r="L670" s="245"/>
      <c r="M670" s="245"/>
      <c r="N670" s="245"/>
      <c r="O670" s="245"/>
      <c r="P670" s="245"/>
      <c r="Q670" s="245"/>
      <c r="R670" s="245"/>
      <c r="S670" s="245"/>
      <c r="T670" s="245"/>
      <c r="U670" s="245"/>
      <c r="V670" s="245"/>
      <c r="W670" s="245"/>
      <c r="X670" s="245"/>
      <c r="Y670" s="245"/>
      <c r="Z670" s="245"/>
    </row>
    <row r="671" spans="1:26">
      <c r="A671" s="245"/>
      <c r="B671" s="245"/>
      <c r="C671" s="245"/>
      <c r="D671" s="245"/>
      <c r="E671" s="245"/>
      <c r="F671" s="245"/>
      <c r="G671" s="245"/>
      <c r="H671" s="245"/>
      <c r="I671" s="245"/>
      <c r="J671" s="245"/>
      <c r="K671" s="245"/>
      <c r="L671" s="245"/>
      <c r="M671" s="245"/>
      <c r="N671" s="245"/>
      <c r="O671" s="245"/>
      <c r="P671" s="245"/>
      <c r="Q671" s="245"/>
      <c r="R671" s="245"/>
      <c r="S671" s="245"/>
      <c r="T671" s="245"/>
      <c r="U671" s="245"/>
      <c r="V671" s="245"/>
      <c r="W671" s="245"/>
      <c r="X671" s="245"/>
      <c r="Y671" s="245"/>
      <c r="Z671" s="245"/>
    </row>
    <row r="672" spans="1:26">
      <c r="A672" s="245"/>
      <c r="B672" s="245"/>
      <c r="C672" s="245"/>
      <c r="D672" s="245"/>
      <c r="E672" s="245"/>
      <c r="F672" s="245"/>
      <c r="G672" s="245"/>
      <c r="H672" s="245"/>
      <c r="I672" s="245"/>
      <c r="J672" s="245"/>
      <c r="K672" s="245"/>
      <c r="L672" s="245"/>
      <c r="M672" s="245"/>
      <c r="N672" s="245"/>
      <c r="O672" s="245"/>
      <c r="P672" s="245"/>
      <c r="Q672" s="245"/>
      <c r="R672" s="245"/>
      <c r="S672" s="245"/>
      <c r="T672" s="245"/>
      <c r="U672" s="245"/>
      <c r="V672" s="245"/>
      <c r="W672" s="245"/>
      <c r="X672" s="245"/>
      <c r="Y672" s="245"/>
      <c r="Z672" s="245"/>
    </row>
    <row r="673" spans="1:26">
      <c r="A673" s="245"/>
      <c r="B673" s="245"/>
      <c r="C673" s="245"/>
      <c r="D673" s="245"/>
      <c r="E673" s="245"/>
      <c r="F673" s="245"/>
      <c r="G673" s="245"/>
      <c r="H673" s="245"/>
      <c r="I673" s="245"/>
      <c r="J673" s="245"/>
      <c r="K673" s="245"/>
      <c r="L673" s="245"/>
      <c r="M673" s="245"/>
      <c r="N673" s="245"/>
      <c r="O673" s="245"/>
      <c r="P673" s="245"/>
      <c r="Q673" s="245"/>
      <c r="R673" s="245"/>
      <c r="S673" s="245"/>
      <c r="T673" s="245"/>
      <c r="U673" s="245"/>
      <c r="V673" s="245"/>
      <c r="W673" s="245"/>
      <c r="X673" s="245"/>
      <c r="Y673" s="245"/>
      <c r="Z673" s="245"/>
    </row>
    <row r="674" spans="1:26">
      <c r="A674" s="245"/>
      <c r="B674" s="245"/>
      <c r="C674" s="245"/>
      <c r="D674" s="245"/>
      <c r="E674" s="245"/>
      <c r="F674" s="245"/>
      <c r="G674" s="245"/>
      <c r="H674" s="245"/>
      <c r="I674" s="245"/>
      <c r="J674" s="245"/>
      <c r="K674" s="245"/>
      <c r="L674" s="245"/>
      <c r="M674" s="245"/>
      <c r="N674" s="245"/>
      <c r="O674" s="245"/>
      <c r="P674" s="245"/>
      <c r="Q674" s="245"/>
      <c r="R674" s="245"/>
      <c r="S674" s="245"/>
      <c r="T674" s="245"/>
      <c r="U674" s="245"/>
      <c r="V674" s="245"/>
      <c r="W674" s="245"/>
      <c r="X674" s="245"/>
      <c r="Y674" s="245"/>
      <c r="Z674" s="245"/>
    </row>
    <row r="675" spans="1:26">
      <c r="A675" s="245"/>
      <c r="B675" s="245"/>
      <c r="C675" s="245"/>
      <c r="D675" s="245"/>
      <c r="E675" s="245"/>
      <c r="F675" s="245"/>
      <c r="G675" s="245"/>
      <c r="H675" s="245"/>
      <c r="I675" s="245"/>
      <c r="J675" s="245"/>
      <c r="K675" s="245"/>
      <c r="L675" s="245"/>
      <c r="M675" s="245"/>
      <c r="N675" s="245"/>
      <c r="O675" s="245"/>
      <c r="P675" s="245"/>
      <c r="Q675" s="245"/>
      <c r="R675" s="245"/>
      <c r="S675" s="245"/>
      <c r="T675" s="245"/>
      <c r="U675" s="245"/>
      <c r="V675" s="245"/>
      <c r="W675" s="245"/>
      <c r="X675" s="245"/>
      <c r="Y675" s="245"/>
      <c r="Z675" s="245"/>
    </row>
    <row r="676" spans="1:26">
      <c r="A676" s="245"/>
      <c r="B676" s="245"/>
      <c r="C676" s="245"/>
      <c r="D676" s="245"/>
      <c r="E676" s="245"/>
      <c r="F676" s="245"/>
      <c r="G676" s="245"/>
      <c r="H676" s="245"/>
      <c r="I676" s="245"/>
      <c r="J676" s="245"/>
      <c r="K676" s="245"/>
      <c r="L676" s="245"/>
      <c r="M676" s="245"/>
      <c r="N676" s="245"/>
      <c r="O676" s="245"/>
      <c r="P676" s="245"/>
      <c r="Q676" s="245"/>
      <c r="R676" s="245"/>
      <c r="S676" s="245"/>
      <c r="T676" s="245"/>
      <c r="U676" s="245"/>
      <c r="V676" s="245"/>
      <c r="W676" s="245"/>
      <c r="X676" s="245"/>
      <c r="Y676" s="245"/>
      <c r="Z676" s="245"/>
    </row>
    <row r="677" spans="1:26">
      <c r="A677" s="245"/>
      <c r="B677" s="245"/>
      <c r="C677" s="245"/>
      <c r="D677" s="245"/>
      <c r="E677" s="245"/>
      <c r="F677" s="245"/>
      <c r="G677" s="245"/>
      <c r="H677" s="245"/>
      <c r="I677" s="245"/>
      <c r="J677" s="245"/>
      <c r="K677" s="245"/>
      <c r="L677" s="245"/>
      <c r="M677" s="245"/>
      <c r="N677" s="245"/>
      <c r="O677" s="245"/>
      <c r="P677" s="245"/>
      <c r="Q677" s="245"/>
      <c r="R677" s="245"/>
      <c r="S677" s="245"/>
      <c r="T677" s="245"/>
      <c r="U677" s="245"/>
      <c r="V677" s="245"/>
      <c r="W677" s="245"/>
      <c r="X677" s="245"/>
      <c r="Y677" s="245"/>
      <c r="Z677" s="245"/>
    </row>
    <row r="678" spans="1:26">
      <c r="A678" s="245"/>
      <c r="B678" s="245"/>
      <c r="C678" s="245"/>
      <c r="D678" s="245"/>
      <c r="E678" s="245"/>
      <c r="F678" s="245"/>
      <c r="G678" s="245"/>
      <c r="H678" s="245"/>
      <c r="I678" s="245"/>
      <c r="J678" s="245"/>
      <c r="K678" s="245"/>
      <c r="L678" s="245"/>
      <c r="M678" s="245"/>
      <c r="N678" s="245"/>
      <c r="O678" s="245"/>
      <c r="P678" s="245"/>
      <c r="Q678" s="245"/>
      <c r="R678" s="245"/>
      <c r="S678" s="245"/>
      <c r="T678" s="245"/>
      <c r="U678" s="245"/>
      <c r="V678" s="245"/>
      <c r="W678" s="245"/>
      <c r="X678" s="245"/>
      <c r="Y678" s="245"/>
      <c r="Z678" s="245"/>
    </row>
    <row r="679" spans="1:26">
      <c r="A679" s="245"/>
      <c r="B679" s="245"/>
      <c r="C679" s="245"/>
      <c r="D679" s="245"/>
      <c r="E679" s="245"/>
      <c r="F679" s="245"/>
      <c r="G679" s="245"/>
      <c r="H679" s="245"/>
      <c r="I679" s="245"/>
      <c r="J679" s="245"/>
      <c r="K679" s="245"/>
      <c r="L679" s="245"/>
      <c r="M679" s="245"/>
      <c r="N679" s="245"/>
      <c r="O679" s="245"/>
      <c r="P679" s="245"/>
      <c r="Q679" s="245"/>
      <c r="R679" s="245"/>
      <c r="S679" s="245"/>
      <c r="T679" s="245"/>
      <c r="U679" s="245"/>
      <c r="V679" s="245"/>
      <c r="W679" s="245"/>
      <c r="X679" s="245"/>
      <c r="Y679" s="245"/>
      <c r="Z679" s="245"/>
    </row>
    <row r="680" spans="1:26">
      <c r="A680" s="245"/>
      <c r="B680" s="245"/>
      <c r="C680" s="245"/>
      <c r="D680" s="245"/>
      <c r="E680" s="245"/>
      <c r="F680" s="245"/>
      <c r="G680" s="245"/>
      <c r="H680" s="245"/>
      <c r="I680" s="245"/>
      <c r="J680" s="245"/>
      <c r="K680" s="245"/>
      <c r="L680" s="245"/>
      <c r="M680" s="245"/>
      <c r="N680" s="245"/>
      <c r="O680" s="245"/>
      <c r="P680" s="245"/>
      <c r="Q680" s="245"/>
      <c r="R680" s="245"/>
      <c r="S680" s="245"/>
      <c r="T680" s="245"/>
      <c r="U680" s="245"/>
      <c r="V680" s="245"/>
      <c r="W680" s="245"/>
      <c r="X680" s="245"/>
      <c r="Y680" s="245"/>
      <c r="Z680" s="245"/>
    </row>
    <row r="681" spans="1:26">
      <c r="A681" s="245"/>
      <c r="B681" s="245"/>
      <c r="C681" s="245"/>
      <c r="D681" s="245"/>
      <c r="E681" s="245"/>
      <c r="F681" s="245"/>
      <c r="G681" s="245"/>
      <c r="H681" s="245"/>
      <c r="I681" s="245"/>
      <c r="J681" s="245"/>
      <c r="K681" s="245"/>
      <c r="L681" s="245"/>
      <c r="M681" s="245"/>
      <c r="N681" s="245"/>
      <c r="O681" s="245"/>
      <c r="P681" s="245"/>
      <c r="Q681" s="245"/>
      <c r="R681" s="245"/>
      <c r="S681" s="245"/>
      <c r="T681" s="245"/>
      <c r="U681" s="245"/>
      <c r="V681" s="245"/>
      <c r="W681" s="245"/>
      <c r="X681" s="245"/>
      <c r="Y681" s="245"/>
      <c r="Z681" s="245"/>
    </row>
    <row r="682" spans="1:26">
      <c r="A682" s="245"/>
      <c r="B682" s="245"/>
      <c r="C682" s="245"/>
      <c r="D682" s="245"/>
      <c r="E682" s="245"/>
      <c r="F682" s="245"/>
      <c r="G682" s="245"/>
      <c r="H682" s="245"/>
      <c r="I682" s="245"/>
      <c r="J682" s="245"/>
      <c r="K682" s="245"/>
      <c r="L682" s="245"/>
      <c r="M682" s="245"/>
      <c r="N682" s="245"/>
      <c r="O682" s="245"/>
      <c r="P682" s="245"/>
      <c r="Q682" s="245"/>
      <c r="R682" s="245"/>
      <c r="S682" s="245"/>
      <c r="T682" s="245"/>
      <c r="U682" s="245"/>
      <c r="V682" s="245"/>
      <c r="W682" s="245"/>
      <c r="X682" s="245"/>
      <c r="Y682" s="245"/>
      <c r="Z682" s="245"/>
    </row>
    <row r="683" spans="1:26">
      <c r="A683" s="245"/>
      <c r="B683" s="245"/>
      <c r="C683" s="245"/>
      <c r="D683" s="245"/>
      <c r="E683" s="245"/>
      <c r="F683" s="245"/>
      <c r="G683" s="245"/>
      <c r="H683" s="245"/>
      <c r="I683" s="245"/>
      <c r="J683" s="245"/>
      <c r="K683" s="245"/>
      <c r="L683" s="245"/>
      <c r="M683" s="245"/>
      <c r="N683" s="245"/>
      <c r="O683" s="245"/>
      <c r="P683" s="245"/>
      <c r="Q683" s="245"/>
      <c r="R683" s="245"/>
      <c r="S683" s="245"/>
      <c r="T683" s="245"/>
      <c r="U683" s="245"/>
      <c r="V683" s="245"/>
      <c r="W683" s="245"/>
      <c r="X683" s="245"/>
      <c r="Y683" s="245"/>
      <c r="Z683" s="245"/>
    </row>
    <row r="684" spans="1:26">
      <c r="A684" s="245"/>
      <c r="B684" s="245"/>
      <c r="C684" s="245"/>
      <c r="D684" s="245"/>
      <c r="E684" s="245"/>
      <c r="F684" s="245"/>
      <c r="G684" s="245"/>
      <c r="H684" s="245"/>
      <c r="I684" s="245"/>
      <c r="J684" s="245"/>
      <c r="K684" s="245"/>
      <c r="L684" s="245"/>
      <c r="M684" s="245"/>
      <c r="N684" s="245"/>
      <c r="O684" s="245"/>
      <c r="P684" s="245"/>
      <c r="Q684" s="245"/>
      <c r="R684" s="245"/>
      <c r="S684" s="245"/>
      <c r="T684" s="245"/>
      <c r="U684" s="245"/>
      <c r="V684" s="245"/>
      <c r="W684" s="245"/>
      <c r="X684" s="245"/>
      <c r="Y684" s="245"/>
      <c r="Z684" s="245"/>
    </row>
    <row r="685" spans="1:26">
      <c r="A685" s="245"/>
      <c r="B685" s="245"/>
      <c r="C685" s="245"/>
      <c r="D685" s="245"/>
      <c r="E685" s="245"/>
      <c r="F685" s="245"/>
      <c r="G685" s="245"/>
      <c r="H685" s="245"/>
      <c r="I685" s="245"/>
      <c r="J685" s="245"/>
      <c r="K685" s="245"/>
      <c r="L685" s="245"/>
      <c r="M685" s="245"/>
      <c r="N685" s="245"/>
      <c r="O685" s="245"/>
      <c r="P685" s="245"/>
      <c r="Q685" s="245"/>
      <c r="R685" s="245"/>
      <c r="S685" s="245"/>
      <c r="T685" s="245"/>
      <c r="U685" s="245"/>
      <c r="V685" s="245"/>
      <c r="W685" s="245"/>
      <c r="X685" s="245"/>
      <c r="Y685" s="245"/>
      <c r="Z685" s="245"/>
    </row>
    <row r="686" spans="1:26">
      <c r="A686" s="245"/>
      <c r="B686" s="245"/>
      <c r="C686" s="245"/>
      <c r="D686" s="245"/>
      <c r="E686" s="245"/>
      <c r="F686" s="245"/>
      <c r="G686" s="245"/>
      <c r="H686" s="245"/>
      <c r="I686" s="245"/>
      <c r="J686" s="245"/>
      <c r="K686" s="245"/>
      <c r="L686" s="245"/>
      <c r="M686" s="245"/>
      <c r="N686" s="245"/>
      <c r="O686" s="245"/>
      <c r="P686" s="245"/>
      <c r="Q686" s="245"/>
      <c r="R686" s="245"/>
      <c r="S686" s="245"/>
      <c r="T686" s="245"/>
      <c r="U686" s="245"/>
      <c r="V686" s="245"/>
      <c r="W686" s="245"/>
      <c r="X686" s="245"/>
      <c r="Y686" s="245"/>
      <c r="Z686" s="245"/>
    </row>
    <row r="687" spans="1:26">
      <c r="A687" s="245"/>
      <c r="B687" s="245"/>
      <c r="C687" s="245"/>
      <c r="D687" s="245"/>
      <c r="E687" s="245"/>
      <c r="F687" s="245"/>
      <c r="G687" s="245"/>
      <c r="H687" s="245"/>
      <c r="I687" s="245"/>
      <c r="J687" s="245"/>
      <c r="K687" s="245"/>
      <c r="L687" s="245"/>
      <c r="M687" s="245"/>
      <c r="N687" s="245"/>
      <c r="O687" s="245"/>
      <c r="P687" s="245"/>
      <c r="Q687" s="245"/>
      <c r="R687" s="245"/>
      <c r="S687" s="245"/>
      <c r="T687" s="245"/>
      <c r="U687" s="245"/>
      <c r="V687" s="245"/>
      <c r="W687" s="245"/>
      <c r="X687" s="245"/>
      <c r="Y687" s="245"/>
      <c r="Z687" s="245"/>
    </row>
    <row r="688" spans="1:26">
      <c r="A688" s="245"/>
      <c r="B688" s="245"/>
      <c r="C688" s="245"/>
      <c r="D688" s="245"/>
      <c r="E688" s="245"/>
      <c r="F688" s="245"/>
      <c r="G688" s="245"/>
      <c r="H688" s="245"/>
      <c r="I688" s="245"/>
      <c r="J688" s="245"/>
      <c r="K688" s="245"/>
      <c r="L688" s="245"/>
      <c r="M688" s="245"/>
      <c r="N688" s="245"/>
      <c r="O688" s="245"/>
      <c r="P688" s="245"/>
      <c r="Q688" s="245"/>
      <c r="R688" s="245"/>
      <c r="S688" s="245"/>
      <c r="T688" s="245"/>
      <c r="U688" s="245"/>
      <c r="V688" s="245"/>
      <c r="W688" s="245"/>
      <c r="X688" s="245"/>
      <c r="Y688" s="245"/>
      <c r="Z688" s="245"/>
    </row>
    <row r="689" spans="1:26">
      <c r="A689" s="245"/>
      <c r="B689" s="245"/>
      <c r="C689" s="245"/>
      <c r="D689" s="245"/>
      <c r="E689" s="245"/>
      <c r="F689" s="245"/>
      <c r="G689" s="245"/>
      <c r="H689" s="245"/>
      <c r="I689" s="245"/>
      <c r="J689" s="245"/>
      <c r="K689" s="245"/>
      <c r="L689" s="245"/>
      <c r="M689" s="245"/>
      <c r="N689" s="245"/>
      <c r="O689" s="245"/>
      <c r="P689" s="245"/>
      <c r="Q689" s="245"/>
      <c r="R689" s="245"/>
      <c r="S689" s="245"/>
      <c r="T689" s="245"/>
      <c r="U689" s="245"/>
      <c r="V689" s="245"/>
      <c r="W689" s="245"/>
      <c r="X689" s="245"/>
      <c r="Y689" s="245"/>
      <c r="Z689" s="245"/>
    </row>
    <row r="690" spans="1:26">
      <c r="A690" s="245"/>
      <c r="B690" s="245"/>
      <c r="C690" s="245"/>
      <c r="D690" s="245"/>
      <c r="E690" s="245"/>
      <c r="F690" s="245"/>
      <c r="G690" s="245"/>
      <c r="H690" s="245"/>
      <c r="I690" s="245"/>
      <c r="J690" s="245"/>
      <c r="K690" s="245"/>
      <c r="L690" s="245"/>
      <c r="M690" s="245"/>
      <c r="N690" s="245"/>
      <c r="O690" s="245"/>
      <c r="P690" s="245"/>
      <c r="Q690" s="245"/>
      <c r="R690" s="245"/>
      <c r="S690" s="245"/>
      <c r="T690" s="245"/>
      <c r="U690" s="245"/>
      <c r="V690" s="245"/>
      <c r="W690" s="245"/>
      <c r="X690" s="245"/>
      <c r="Y690" s="245"/>
      <c r="Z690" s="245"/>
    </row>
    <row r="691" spans="1:26">
      <c r="A691" s="245"/>
      <c r="B691" s="245"/>
      <c r="C691" s="245"/>
      <c r="D691" s="245"/>
      <c r="E691" s="245"/>
      <c r="F691" s="245"/>
      <c r="G691" s="245"/>
      <c r="H691" s="245"/>
      <c r="I691" s="245"/>
      <c r="J691" s="245"/>
      <c r="K691" s="245"/>
      <c r="L691" s="245"/>
      <c r="M691" s="245"/>
      <c r="N691" s="245"/>
      <c r="O691" s="245"/>
      <c r="P691" s="245"/>
      <c r="Q691" s="245"/>
      <c r="R691" s="245"/>
      <c r="S691" s="245"/>
      <c r="T691" s="245"/>
      <c r="U691" s="245"/>
      <c r="V691" s="245"/>
      <c r="W691" s="245"/>
      <c r="X691" s="245"/>
      <c r="Y691" s="245"/>
      <c r="Z691" s="245"/>
    </row>
    <row r="692" spans="1:26">
      <c r="A692" s="245"/>
      <c r="B692" s="245"/>
      <c r="C692" s="245"/>
      <c r="D692" s="245"/>
      <c r="E692" s="245"/>
      <c r="F692" s="245"/>
      <c r="G692" s="245"/>
      <c r="H692" s="245"/>
      <c r="I692" s="245"/>
      <c r="J692" s="245"/>
      <c r="K692" s="245"/>
      <c r="L692" s="245"/>
      <c r="M692" s="245"/>
      <c r="N692" s="245"/>
      <c r="O692" s="245"/>
      <c r="P692" s="245"/>
      <c r="Q692" s="245"/>
      <c r="R692" s="245"/>
      <c r="S692" s="245"/>
      <c r="T692" s="245"/>
      <c r="U692" s="245"/>
      <c r="V692" s="245"/>
      <c r="W692" s="245"/>
      <c r="X692" s="245"/>
      <c r="Y692" s="245"/>
      <c r="Z692" s="245"/>
    </row>
    <row r="693" spans="1:26">
      <c r="A693" s="245"/>
      <c r="B693" s="245"/>
      <c r="C693" s="245"/>
      <c r="D693" s="245"/>
      <c r="E693" s="245"/>
      <c r="F693" s="245"/>
      <c r="G693" s="245"/>
      <c r="H693" s="245"/>
      <c r="I693" s="245"/>
      <c r="J693" s="245"/>
      <c r="K693" s="245"/>
      <c r="L693" s="245"/>
      <c r="M693" s="245"/>
      <c r="N693" s="245"/>
      <c r="O693" s="245"/>
      <c r="P693" s="245"/>
      <c r="Q693" s="245"/>
      <c r="R693" s="245"/>
      <c r="S693" s="245"/>
      <c r="T693" s="245"/>
      <c r="U693" s="245"/>
      <c r="V693" s="245"/>
      <c r="W693" s="245"/>
      <c r="X693" s="245"/>
      <c r="Y693" s="245"/>
      <c r="Z693" s="245"/>
    </row>
    <row r="694" spans="1:26">
      <c r="A694" s="245"/>
      <c r="B694" s="245"/>
      <c r="C694" s="245"/>
      <c r="D694" s="245"/>
      <c r="E694" s="245"/>
      <c r="F694" s="245"/>
      <c r="G694" s="245"/>
      <c r="H694" s="245"/>
      <c r="I694" s="245"/>
      <c r="J694" s="245"/>
      <c r="K694" s="245"/>
      <c r="L694" s="245"/>
      <c r="M694" s="245"/>
      <c r="N694" s="245"/>
      <c r="O694" s="245"/>
      <c r="P694" s="245"/>
      <c r="Q694" s="245"/>
      <c r="R694" s="245"/>
      <c r="S694" s="245"/>
      <c r="T694" s="245"/>
      <c r="U694" s="245"/>
      <c r="V694" s="245"/>
      <c r="W694" s="245"/>
      <c r="X694" s="245"/>
      <c r="Y694" s="245"/>
      <c r="Z694" s="245"/>
    </row>
    <row r="695" spans="1:26">
      <c r="A695" s="245"/>
      <c r="B695" s="245"/>
      <c r="C695" s="245"/>
      <c r="D695" s="245"/>
      <c r="E695" s="245"/>
      <c r="F695" s="245"/>
      <c r="G695" s="245"/>
      <c r="H695" s="245"/>
      <c r="I695" s="245"/>
      <c r="J695" s="245"/>
      <c r="K695" s="245"/>
      <c r="L695" s="245"/>
      <c r="M695" s="245"/>
      <c r="N695" s="245"/>
      <c r="O695" s="245"/>
      <c r="P695" s="245"/>
      <c r="Q695" s="245"/>
      <c r="R695" s="245"/>
      <c r="S695" s="245"/>
      <c r="T695" s="245"/>
      <c r="U695" s="245"/>
      <c r="V695" s="245"/>
      <c r="W695" s="245"/>
      <c r="X695" s="245"/>
      <c r="Y695" s="245"/>
      <c r="Z695" s="245"/>
    </row>
    <row r="696" spans="1:26">
      <c r="A696" s="245"/>
      <c r="B696" s="245"/>
      <c r="C696" s="245"/>
      <c r="D696" s="245"/>
      <c r="E696" s="245"/>
      <c r="F696" s="245"/>
      <c r="G696" s="245"/>
      <c r="H696" s="245"/>
      <c r="I696" s="245"/>
      <c r="J696" s="245"/>
      <c r="K696" s="245"/>
      <c r="L696" s="245"/>
      <c r="M696" s="245"/>
      <c r="N696" s="245"/>
      <c r="O696" s="245"/>
      <c r="P696" s="245"/>
      <c r="Q696" s="245"/>
      <c r="R696" s="245"/>
      <c r="S696" s="245"/>
      <c r="T696" s="245"/>
      <c r="U696" s="245"/>
      <c r="V696" s="245"/>
      <c r="W696" s="245"/>
      <c r="X696" s="245"/>
      <c r="Y696" s="245"/>
      <c r="Z696" s="245"/>
    </row>
    <row r="697" spans="1:26">
      <c r="A697" s="245"/>
      <c r="B697" s="245"/>
      <c r="C697" s="245"/>
      <c r="D697" s="245"/>
      <c r="E697" s="245"/>
      <c r="F697" s="245"/>
      <c r="G697" s="245"/>
      <c r="H697" s="245"/>
      <c r="I697" s="245"/>
      <c r="J697" s="245"/>
      <c r="K697" s="245"/>
      <c r="L697" s="245"/>
      <c r="M697" s="245"/>
      <c r="N697" s="245"/>
      <c r="O697" s="245"/>
      <c r="P697" s="245"/>
      <c r="Q697" s="245"/>
      <c r="R697" s="245"/>
      <c r="S697" s="245"/>
      <c r="T697" s="245"/>
      <c r="U697" s="245"/>
      <c r="V697" s="245"/>
      <c r="W697" s="245"/>
      <c r="X697" s="245"/>
      <c r="Y697" s="245"/>
      <c r="Z697" s="245"/>
    </row>
    <row r="698" spans="1:26">
      <c r="A698" s="245"/>
      <c r="B698" s="245"/>
      <c r="C698" s="245"/>
      <c r="D698" s="245"/>
      <c r="E698" s="245"/>
      <c r="F698" s="245"/>
      <c r="G698" s="245"/>
      <c r="H698" s="245"/>
      <c r="I698" s="245"/>
      <c r="J698" s="245"/>
      <c r="K698" s="245"/>
      <c r="L698" s="245"/>
      <c r="M698" s="245"/>
      <c r="N698" s="245"/>
      <c r="O698" s="245"/>
      <c r="P698" s="245"/>
      <c r="Q698" s="245"/>
      <c r="R698" s="245"/>
      <c r="S698" s="245"/>
      <c r="T698" s="245"/>
      <c r="U698" s="245"/>
      <c r="V698" s="245"/>
      <c r="W698" s="245"/>
      <c r="X698" s="245"/>
      <c r="Y698" s="245"/>
      <c r="Z698" s="245"/>
    </row>
    <row r="699" spans="1:26">
      <c r="A699" s="245"/>
      <c r="B699" s="245"/>
      <c r="C699" s="245"/>
      <c r="D699" s="245"/>
      <c r="E699" s="245"/>
      <c r="F699" s="245"/>
      <c r="G699" s="245"/>
      <c r="H699" s="245"/>
      <c r="I699" s="245"/>
      <c r="J699" s="245"/>
      <c r="K699" s="245"/>
      <c r="L699" s="245"/>
      <c r="M699" s="245"/>
      <c r="N699" s="245"/>
      <c r="O699" s="245"/>
      <c r="P699" s="245"/>
      <c r="Q699" s="245"/>
      <c r="R699" s="245"/>
      <c r="S699" s="245"/>
      <c r="T699" s="245"/>
      <c r="U699" s="245"/>
      <c r="V699" s="245"/>
      <c r="W699" s="245"/>
      <c r="X699" s="245"/>
      <c r="Y699" s="245"/>
      <c r="Z699" s="245"/>
    </row>
    <row r="700" spans="1:26">
      <c r="A700" s="245"/>
      <c r="B700" s="245"/>
      <c r="C700" s="245"/>
      <c r="D700" s="245"/>
      <c r="E700" s="245"/>
      <c r="F700" s="245"/>
      <c r="G700" s="245"/>
      <c r="H700" s="245"/>
      <c r="I700" s="245"/>
      <c r="J700" s="245"/>
      <c r="K700" s="245"/>
      <c r="L700" s="245"/>
      <c r="M700" s="245"/>
      <c r="N700" s="245"/>
      <c r="O700" s="245"/>
      <c r="P700" s="245"/>
      <c r="Q700" s="245"/>
      <c r="R700" s="245"/>
      <c r="S700" s="245"/>
      <c r="T700" s="245"/>
      <c r="U700" s="245"/>
      <c r="V700" s="245"/>
      <c r="W700" s="245"/>
      <c r="X700" s="245"/>
      <c r="Y700" s="245"/>
      <c r="Z700" s="245"/>
    </row>
    <row r="701" spans="1:26">
      <c r="A701" s="245"/>
      <c r="B701" s="245"/>
      <c r="C701" s="245"/>
      <c r="D701" s="245"/>
      <c r="E701" s="245"/>
      <c r="F701" s="245"/>
      <c r="G701" s="245"/>
      <c r="H701" s="245"/>
      <c r="I701" s="245"/>
      <c r="J701" s="245"/>
      <c r="K701" s="245"/>
      <c r="L701" s="245"/>
      <c r="M701" s="245"/>
      <c r="N701" s="245"/>
      <c r="O701" s="245"/>
      <c r="P701" s="245"/>
      <c r="Q701" s="245"/>
      <c r="R701" s="245"/>
      <c r="S701" s="245"/>
      <c r="T701" s="245"/>
      <c r="U701" s="245"/>
      <c r="V701" s="245"/>
      <c r="W701" s="245"/>
      <c r="X701" s="245"/>
      <c r="Y701" s="245"/>
      <c r="Z701" s="245"/>
    </row>
    <row r="702" spans="1:26">
      <c r="A702" s="245"/>
      <c r="B702" s="245"/>
      <c r="C702" s="245"/>
      <c r="D702" s="245"/>
      <c r="E702" s="245"/>
      <c r="F702" s="245"/>
      <c r="G702" s="245"/>
      <c r="H702" s="245"/>
      <c r="I702" s="245"/>
      <c r="J702" s="245"/>
      <c r="K702" s="245"/>
      <c r="L702" s="245"/>
      <c r="M702" s="245"/>
      <c r="N702" s="245"/>
      <c r="O702" s="245"/>
      <c r="P702" s="245"/>
      <c r="Q702" s="245"/>
      <c r="R702" s="245"/>
      <c r="S702" s="245"/>
      <c r="T702" s="245"/>
      <c r="U702" s="245"/>
      <c r="V702" s="245"/>
      <c r="W702" s="245"/>
      <c r="X702" s="245"/>
      <c r="Y702" s="245"/>
      <c r="Z702" s="245"/>
    </row>
    <row r="703" spans="1:26">
      <c r="A703" s="245"/>
      <c r="B703" s="245"/>
      <c r="C703" s="245"/>
      <c r="D703" s="245"/>
      <c r="E703" s="245"/>
      <c r="F703" s="245"/>
      <c r="G703" s="245"/>
      <c r="H703" s="245"/>
      <c r="I703" s="245"/>
      <c r="J703" s="245"/>
      <c r="K703" s="245"/>
      <c r="L703" s="245"/>
      <c r="M703" s="245"/>
      <c r="N703" s="245"/>
      <c r="O703" s="245"/>
      <c r="P703" s="245"/>
      <c r="Q703" s="245"/>
      <c r="R703" s="245"/>
      <c r="S703" s="245"/>
      <c r="T703" s="245"/>
      <c r="U703" s="245"/>
      <c r="V703" s="245"/>
      <c r="W703" s="245"/>
      <c r="X703" s="245"/>
      <c r="Y703" s="245"/>
      <c r="Z703" s="245"/>
    </row>
    <row r="704" spans="1:26">
      <c r="A704" s="245"/>
      <c r="B704" s="245"/>
      <c r="C704" s="245"/>
      <c r="D704" s="245"/>
      <c r="E704" s="245"/>
      <c r="F704" s="245"/>
      <c r="G704" s="245"/>
      <c r="H704" s="245"/>
      <c r="I704" s="245"/>
      <c r="J704" s="245"/>
      <c r="K704" s="245"/>
      <c r="L704" s="245"/>
      <c r="M704" s="245"/>
      <c r="N704" s="245"/>
      <c r="O704" s="245"/>
      <c r="P704" s="245"/>
      <c r="Q704" s="245"/>
      <c r="R704" s="245"/>
      <c r="S704" s="245"/>
      <c r="T704" s="245"/>
      <c r="U704" s="245"/>
      <c r="V704" s="245"/>
      <c r="W704" s="245"/>
      <c r="X704" s="245"/>
      <c r="Y704" s="245"/>
      <c r="Z704" s="245"/>
    </row>
    <row r="705" spans="1:26">
      <c r="A705" s="245"/>
      <c r="B705" s="245"/>
      <c r="C705" s="245"/>
      <c r="D705" s="245"/>
      <c r="E705" s="245"/>
      <c r="F705" s="245"/>
      <c r="G705" s="245"/>
      <c r="H705" s="245"/>
      <c r="I705" s="245"/>
      <c r="J705" s="245"/>
      <c r="K705" s="245"/>
      <c r="L705" s="245"/>
      <c r="M705" s="245"/>
      <c r="N705" s="245"/>
      <c r="O705" s="245"/>
      <c r="P705" s="245"/>
      <c r="Q705" s="245"/>
      <c r="R705" s="245"/>
      <c r="S705" s="245"/>
      <c r="T705" s="245"/>
      <c r="U705" s="245"/>
      <c r="V705" s="245"/>
      <c r="W705" s="245"/>
      <c r="X705" s="245"/>
      <c r="Y705" s="245"/>
      <c r="Z705" s="245"/>
    </row>
    <row r="706" spans="1:26">
      <c r="A706" s="245"/>
      <c r="B706" s="245"/>
      <c r="C706" s="245"/>
      <c r="D706" s="245"/>
      <c r="E706" s="245"/>
      <c r="F706" s="245"/>
      <c r="G706" s="245"/>
      <c r="H706" s="245"/>
      <c r="I706" s="245"/>
      <c r="J706" s="245"/>
      <c r="K706" s="245"/>
      <c r="L706" s="245"/>
      <c r="M706" s="245"/>
      <c r="N706" s="245"/>
      <c r="O706" s="245"/>
      <c r="P706" s="245"/>
      <c r="Q706" s="245"/>
      <c r="R706" s="245"/>
      <c r="S706" s="245"/>
      <c r="T706" s="245"/>
      <c r="U706" s="245"/>
      <c r="V706" s="245"/>
      <c r="W706" s="245"/>
      <c r="X706" s="245"/>
      <c r="Y706" s="245"/>
      <c r="Z706" s="245"/>
    </row>
    <row r="707" spans="1:26">
      <c r="A707" s="245"/>
      <c r="B707" s="245"/>
      <c r="C707" s="245"/>
      <c r="D707" s="245"/>
      <c r="E707" s="245"/>
      <c r="F707" s="245"/>
      <c r="G707" s="245"/>
      <c r="H707" s="245"/>
      <c r="I707" s="245"/>
      <c r="J707" s="245"/>
      <c r="K707" s="245"/>
      <c r="L707" s="245"/>
      <c r="M707" s="245"/>
      <c r="N707" s="245"/>
      <c r="O707" s="245"/>
      <c r="P707" s="245"/>
      <c r="Q707" s="245"/>
      <c r="R707" s="245"/>
      <c r="S707" s="245"/>
      <c r="T707" s="245"/>
      <c r="U707" s="245"/>
      <c r="V707" s="245"/>
      <c r="W707" s="245"/>
      <c r="X707" s="245"/>
      <c r="Y707" s="245"/>
      <c r="Z707" s="245"/>
    </row>
    <row r="708" spans="1:26">
      <c r="A708" s="245"/>
      <c r="B708" s="245"/>
      <c r="C708" s="245"/>
      <c r="D708" s="245"/>
      <c r="E708" s="245"/>
      <c r="F708" s="245"/>
      <c r="G708" s="245"/>
      <c r="H708" s="245"/>
      <c r="I708" s="245"/>
      <c r="J708" s="245"/>
      <c r="K708" s="245"/>
      <c r="L708" s="245"/>
      <c r="M708" s="245"/>
      <c r="N708" s="245"/>
      <c r="O708" s="245"/>
      <c r="P708" s="245"/>
      <c r="Q708" s="245"/>
      <c r="R708" s="245"/>
      <c r="S708" s="245"/>
      <c r="T708" s="245"/>
      <c r="U708" s="245"/>
      <c r="V708" s="245"/>
      <c r="W708" s="245"/>
      <c r="X708" s="245"/>
      <c r="Y708" s="245"/>
      <c r="Z708" s="245"/>
    </row>
    <row r="709" spans="1:26">
      <c r="A709" s="245"/>
      <c r="B709" s="245"/>
      <c r="C709" s="245"/>
      <c r="D709" s="245"/>
      <c r="E709" s="245"/>
      <c r="F709" s="245"/>
      <c r="G709" s="245"/>
      <c r="H709" s="245"/>
      <c r="I709" s="245"/>
      <c r="J709" s="245"/>
      <c r="K709" s="245"/>
      <c r="L709" s="245"/>
      <c r="M709" s="245"/>
      <c r="N709" s="245"/>
      <c r="O709" s="245"/>
      <c r="P709" s="245"/>
      <c r="Q709" s="245"/>
      <c r="R709" s="245"/>
      <c r="S709" s="245"/>
      <c r="T709" s="245"/>
      <c r="U709" s="245"/>
      <c r="V709" s="245"/>
      <c r="W709" s="245"/>
      <c r="X709" s="245"/>
      <c r="Y709" s="245"/>
      <c r="Z709" s="245"/>
    </row>
    <row r="710" spans="1:26">
      <c r="A710" s="245"/>
      <c r="B710" s="245"/>
      <c r="C710" s="245"/>
      <c r="D710" s="245"/>
      <c r="E710" s="245"/>
      <c r="F710" s="245"/>
      <c r="G710" s="245"/>
      <c r="H710" s="245"/>
      <c r="I710" s="245"/>
      <c r="J710" s="245"/>
      <c r="K710" s="245"/>
      <c r="L710" s="245"/>
      <c r="M710" s="245"/>
      <c r="N710" s="245"/>
      <c r="O710" s="245"/>
      <c r="P710" s="245"/>
      <c r="Q710" s="245"/>
      <c r="R710" s="245"/>
      <c r="S710" s="245"/>
      <c r="T710" s="245"/>
      <c r="U710" s="245"/>
      <c r="V710" s="245"/>
      <c r="W710" s="245"/>
      <c r="X710" s="245"/>
      <c r="Y710" s="245"/>
      <c r="Z710" s="245"/>
    </row>
    <row r="711" spans="1:26">
      <c r="A711" s="245"/>
      <c r="B711" s="245"/>
      <c r="C711" s="245"/>
      <c r="D711" s="245"/>
      <c r="E711" s="245"/>
      <c r="F711" s="245"/>
      <c r="G711" s="245"/>
      <c r="H711" s="245"/>
      <c r="I711" s="245"/>
      <c r="J711" s="245"/>
      <c r="K711" s="245"/>
      <c r="L711" s="245"/>
      <c r="M711" s="245"/>
      <c r="N711" s="245"/>
      <c r="O711" s="245"/>
      <c r="P711" s="245"/>
      <c r="Q711" s="245"/>
      <c r="R711" s="245"/>
      <c r="S711" s="245"/>
      <c r="T711" s="245"/>
      <c r="U711" s="245"/>
      <c r="V711" s="245"/>
      <c r="W711" s="245"/>
      <c r="X711" s="245"/>
      <c r="Y711" s="245"/>
      <c r="Z711" s="245"/>
    </row>
    <row r="712" spans="1:26">
      <c r="A712" s="245"/>
      <c r="B712" s="245"/>
      <c r="C712" s="245"/>
      <c r="D712" s="245"/>
      <c r="E712" s="245"/>
      <c r="F712" s="245"/>
      <c r="G712" s="245"/>
      <c r="H712" s="245"/>
      <c r="I712" s="245"/>
      <c r="J712" s="245"/>
      <c r="K712" s="245"/>
      <c r="L712" s="245"/>
      <c r="M712" s="245"/>
      <c r="N712" s="245"/>
      <c r="O712" s="245"/>
      <c r="P712" s="245"/>
      <c r="Q712" s="245"/>
      <c r="R712" s="245"/>
      <c r="S712" s="245"/>
      <c r="T712" s="245"/>
      <c r="U712" s="245"/>
      <c r="V712" s="245"/>
      <c r="W712" s="245"/>
      <c r="X712" s="245"/>
      <c r="Y712" s="245"/>
      <c r="Z712" s="245"/>
    </row>
    <row r="713" spans="1:26">
      <c r="A713" s="245"/>
      <c r="B713" s="245"/>
      <c r="C713" s="245"/>
      <c r="D713" s="245"/>
      <c r="E713" s="245"/>
      <c r="F713" s="245"/>
      <c r="G713" s="245"/>
      <c r="H713" s="245"/>
      <c r="I713" s="245"/>
      <c r="J713" s="245"/>
      <c r="K713" s="245"/>
      <c r="L713" s="245"/>
      <c r="M713" s="245"/>
      <c r="N713" s="245"/>
      <c r="O713" s="245"/>
      <c r="P713" s="245"/>
      <c r="Q713" s="245"/>
      <c r="R713" s="245"/>
      <c r="S713" s="245"/>
      <c r="T713" s="245"/>
      <c r="U713" s="245"/>
      <c r="V713" s="245"/>
      <c r="W713" s="245"/>
      <c r="X713" s="245"/>
      <c r="Y713" s="245"/>
      <c r="Z713" s="245"/>
    </row>
    <row r="714" spans="1:26">
      <c r="A714" s="245"/>
      <c r="B714" s="245"/>
      <c r="C714" s="245"/>
      <c r="D714" s="245"/>
      <c r="E714" s="245"/>
      <c r="F714" s="245"/>
      <c r="G714" s="245"/>
      <c r="H714" s="245"/>
      <c r="I714" s="245"/>
      <c r="J714" s="245"/>
      <c r="K714" s="245"/>
      <c r="L714" s="245"/>
      <c r="M714" s="245"/>
      <c r="N714" s="245"/>
      <c r="O714" s="245"/>
      <c r="P714" s="245"/>
      <c r="Q714" s="245"/>
      <c r="R714" s="245"/>
      <c r="S714" s="245"/>
      <c r="T714" s="245"/>
      <c r="U714" s="245"/>
      <c r="V714" s="245"/>
      <c r="W714" s="245"/>
      <c r="X714" s="245"/>
      <c r="Y714" s="245"/>
      <c r="Z714" s="245"/>
    </row>
    <row r="715" spans="1:26">
      <c r="A715" s="245"/>
      <c r="B715" s="245"/>
      <c r="C715" s="245"/>
      <c r="D715" s="245"/>
      <c r="E715" s="245"/>
      <c r="F715" s="245"/>
      <c r="G715" s="245"/>
      <c r="H715" s="245"/>
      <c r="I715" s="245"/>
      <c r="J715" s="245"/>
      <c r="K715" s="245"/>
      <c r="L715" s="245"/>
      <c r="M715" s="245"/>
      <c r="N715" s="245"/>
      <c r="O715" s="245"/>
      <c r="P715" s="245"/>
      <c r="Q715" s="245"/>
      <c r="R715" s="245"/>
      <c r="S715" s="245"/>
      <c r="T715" s="245"/>
      <c r="U715" s="245"/>
      <c r="V715" s="245"/>
      <c r="W715" s="245"/>
      <c r="X715" s="245"/>
      <c r="Y715" s="245"/>
      <c r="Z715" s="245"/>
    </row>
    <row r="716" spans="1:26">
      <c r="A716" s="245"/>
      <c r="B716" s="245"/>
      <c r="C716" s="245"/>
      <c r="D716" s="245"/>
      <c r="E716" s="245"/>
      <c r="F716" s="245"/>
      <c r="G716" s="245"/>
      <c r="H716" s="245"/>
      <c r="I716" s="245"/>
      <c r="J716" s="245"/>
      <c r="K716" s="245"/>
      <c r="L716" s="245"/>
      <c r="M716" s="245"/>
      <c r="N716" s="245"/>
      <c r="O716" s="245"/>
      <c r="P716" s="245"/>
      <c r="Q716" s="245"/>
      <c r="R716" s="245"/>
      <c r="S716" s="245"/>
      <c r="T716" s="245"/>
      <c r="U716" s="245"/>
      <c r="V716" s="245"/>
      <c r="W716" s="245"/>
      <c r="X716" s="245"/>
      <c r="Y716" s="245"/>
      <c r="Z716" s="245"/>
    </row>
    <row r="717" spans="1:26">
      <c r="A717" s="245"/>
      <c r="B717" s="245"/>
      <c r="C717" s="245"/>
      <c r="D717" s="245"/>
      <c r="E717" s="245"/>
      <c r="F717" s="245"/>
      <c r="G717" s="245"/>
      <c r="H717" s="245"/>
      <c r="I717" s="245"/>
      <c r="J717" s="245"/>
      <c r="K717" s="245"/>
      <c r="L717" s="245"/>
      <c r="M717" s="245"/>
      <c r="N717" s="245"/>
      <c r="O717" s="245"/>
      <c r="P717" s="245"/>
      <c r="Q717" s="245"/>
      <c r="R717" s="245"/>
      <c r="S717" s="245"/>
      <c r="T717" s="245"/>
      <c r="U717" s="245"/>
      <c r="V717" s="245"/>
      <c r="W717" s="245"/>
      <c r="X717" s="245"/>
      <c r="Y717" s="245"/>
      <c r="Z717" s="245"/>
    </row>
    <row r="718" spans="1:26">
      <c r="A718" s="245"/>
      <c r="B718" s="245"/>
      <c r="C718" s="245"/>
      <c r="D718" s="245"/>
      <c r="E718" s="245"/>
      <c r="F718" s="245"/>
      <c r="G718" s="245"/>
      <c r="H718" s="245"/>
      <c r="I718" s="245"/>
      <c r="J718" s="245"/>
      <c r="K718" s="245"/>
      <c r="L718" s="245"/>
      <c r="M718" s="245"/>
      <c r="N718" s="245"/>
      <c r="O718" s="245"/>
      <c r="P718" s="245"/>
      <c r="Q718" s="245"/>
      <c r="R718" s="245"/>
      <c r="S718" s="245"/>
      <c r="T718" s="245"/>
      <c r="U718" s="245"/>
      <c r="V718" s="245"/>
      <c r="W718" s="245"/>
      <c r="X718" s="245"/>
      <c r="Y718" s="245"/>
      <c r="Z718" s="245"/>
    </row>
    <row r="719" spans="1:26">
      <c r="A719" s="245"/>
      <c r="B719" s="245"/>
      <c r="C719" s="245"/>
      <c r="D719" s="245"/>
      <c r="E719" s="245"/>
      <c r="F719" s="245"/>
      <c r="G719" s="245"/>
      <c r="H719" s="245"/>
      <c r="I719" s="245"/>
      <c r="J719" s="245"/>
      <c r="K719" s="245"/>
      <c r="L719" s="245"/>
      <c r="M719" s="245"/>
      <c r="N719" s="245"/>
      <c r="O719" s="245"/>
      <c r="P719" s="245"/>
      <c r="Q719" s="245"/>
      <c r="R719" s="245"/>
      <c r="S719" s="245"/>
      <c r="T719" s="245"/>
      <c r="U719" s="245"/>
      <c r="V719" s="245"/>
      <c r="W719" s="245"/>
      <c r="X719" s="245"/>
      <c r="Y719" s="245"/>
      <c r="Z719" s="245"/>
    </row>
    <row r="720" spans="1:26">
      <c r="A720" s="245"/>
      <c r="B720" s="245"/>
      <c r="C720" s="245"/>
      <c r="D720" s="245"/>
      <c r="E720" s="245"/>
      <c r="F720" s="245"/>
      <c r="G720" s="245"/>
      <c r="H720" s="245"/>
      <c r="I720" s="245"/>
      <c r="J720" s="245"/>
      <c r="K720" s="245"/>
      <c r="L720" s="245"/>
      <c r="M720" s="245"/>
      <c r="N720" s="245"/>
      <c r="O720" s="245"/>
      <c r="P720" s="245"/>
      <c r="Q720" s="245"/>
      <c r="R720" s="245"/>
      <c r="S720" s="245"/>
      <c r="T720" s="245"/>
      <c r="U720" s="245"/>
      <c r="V720" s="245"/>
      <c r="W720" s="245"/>
      <c r="X720" s="245"/>
      <c r="Y720" s="245"/>
      <c r="Z720" s="245"/>
    </row>
    <row r="721" spans="1:26">
      <c r="A721" s="245"/>
      <c r="B721" s="245"/>
      <c r="C721" s="245"/>
      <c r="D721" s="245"/>
      <c r="E721" s="245"/>
      <c r="F721" s="245"/>
      <c r="G721" s="245"/>
      <c r="H721" s="245"/>
      <c r="I721" s="245"/>
      <c r="J721" s="245"/>
      <c r="K721" s="245"/>
      <c r="L721" s="245"/>
      <c r="M721" s="245"/>
      <c r="N721" s="245"/>
      <c r="O721" s="245"/>
      <c r="P721" s="245"/>
      <c r="Q721" s="245"/>
      <c r="R721" s="245"/>
      <c r="S721" s="245"/>
      <c r="T721" s="245"/>
      <c r="U721" s="245"/>
      <c r="V721" s="245"/>
      <c r="W721" s="245"/>
      <c r="X721" s="245"/>
      <c r="Y721" s="245"/>
      <c r="Z721" s="245"/>
    </row>
    <row r="722" spans="1:26">
      <c r="A722" s="245"/>
      <c r="B722" s="245"/>
      <c r="C722" s="245"/>
      <c r="D722" s="245"/>
      <c r="E722" s="245"/>
      <c r="F722" s="245"/>
      <c r="G722" s="245"/>
      <c r="H722" s="245"/>
      <c r="I722" s="245"/>
      <c r="J722" s="245"/>
      <c r="K722" s="245"/>
      <c r="L722" s="245"/>
      <c r="M722" s="245"/>
      <c r="N722" s="245"/>
      <c r="O722" s="245"/>
      <c r="P722" s="245"/>
      <c r="Q722" s="245"/>
      <c r="R722" s="245"/>
      <c r="S722" s="245"/>
      <c r="T722" s="245"/>
      <c r="U722" s="245"/>
      <c r="V722" s="245"/>
      <c r="W722" s="245"/>
      <c r="X722" s="245"/>
      <c r="Y722" s="245"/>
      <c r="Z722" s="245"/>
    </row>
    <row r="723" spans="1:26">
      <c r="A723" s="245"/>
      <c r="B723" s="245"/>
      <c r="C723" s="245"/>
      <c r="D723" s="245"/>
      <c r="E723" s="245"/>
      <c r="F723" s="245"/>
      <c r="G723" s="245"/>
      <c r="H723" s="245"/>
      <c r="I723" s="245"/>
      <c r="J723" s="245"/>
      <c r="K723" s="245"/>
      <c r="L723" s="245"/>
      <c r="M723" s="245"/>
      <c r="N723" s="245"/>
      <c r="O723" s="245"/>
      <c r="P723" s="245"/>
      <c r="Q723" s="245"/>
      <c r="R723" s="245"/>
      <c r="S723" s="245"/>
      <c r="T723" s="245"/>
      <c r="U723" s="245"/>
      <c r="V723" s="245"/>
      <c r="W723" s="245"/>
      <c r="X723" s="245"/>
      <c r="Y723" s="245"/>
      <c r="Z723" s="245"/>
    </row>
    <row r="724" spans="1:26">
      <c r="A724" s="245"/>
      <c r="B724" s="245"/>
      <c r="C724" s="245"/>
      <c r="D724" s="245"/>
      <c r="E724" s="245"/>
      <c r="F724" s="245"/>
      <c r="G724" s="245"/>
      <c r="H724" s="245"/>
      <c r="I724" s="245"/>
      <c r="J724" s="245"/>
      <c r="K724" s="245"/>
      <c r="L724" s="245"/>
      <c r="M724" s="245"/>
      <c r="N724" s="245"/>
      <c r="O724" s="245"/>
      <c r="P724" s="245"/>
      <c r="Q724" s="245"/>
      <c r="R724" s="245"/>
      <c r="S724" s="245"/>
      <c r="T724" s="245"/>
      <c r="U724" s="245"/>
      <c r="V724" s="245"/>
      <c r="W724" s="245"/>
      <c r="X724" s="245"/>
      <c r="Y724" s="245"/>
      <c r="Z724" s="245"/>
    </row>
    <row r="725" spans="1:26">
      <c r="A725" s="245"/>
      <c r="B725" s="245"/>
      <c r="C725" s="245"/>
      <c r="D725" s="245"/>
      <c r="E725" s="245"/>
      <c r="F725" s="245"/>
      <c r="G725" s="245"/>
      <c r="H725" s="245"/>
      <c r="I725" s="245"/>
      <c r="J725" s="245"/>
      <c r="K725" s="245"/>
      <c r="L725" s="245"/>
      <c r="M725" s="245"/>
      <c r="N725" s="245"/>
      <c r="O725" s="245"/>
      <c r="P725" s="245"/>
      <c r="Q725" s="245"/>
      <c r="R725" s="245"/>
      <c r="S725" s="245"/>
      <c r="T725" s="245"/>
      <c r="U725" s="245"/>
      <c r="V725" s="245"/>
      <c r="W725" s="245"/>
      <c r="X725" s="245"/>
      <c r="Y725" s="245"/>
      <c r="Z725" s="245"/>
    </row>
    <row r="726" spans="1:26">
      <c r="A726" s="245"/>
      <c r="B726" s="245"/>
      <c r="C726" s="245"/>
      <c r="D726" s="245"/>
      <c r="E726" s="245"/>
      <c r="F726" s="245"/>
      <c r="G726" s="245"/>
      <c r="H726" s="245"/>
      <c r="I726" s="245"/>
      <c r="J726" s="245"/>
      <c r="K726" s="245"/>
      <c r="L726" s="245"/>
      <c r="M726" s="245"/>
      <c r="N726" s="245"/>
      <c r="O726" s="245"/>
      <c r="P726" s="245"/>
      <c r="Q726" s="245"/>
      <c r="R726" s="245"/>
      <c r="S726" s="245"/>
      <c r="T726" s="245"/>
      <c r="U726" s="245"/>
      <c r="V726" s="245"/>
      <c r="W726" s="245"/>
      <c r="X726" s="245"/>
      <c r="Y726" s="245"/>
      <c r="Z726" s="245"/>
    </row>
    <row r="727" spans="1:26">
      <c r="A727" s="245"/>
      <c r="B727" s="245"/>
      <c r="C727" s="245"/>
      <c r="D727" s="245"/>
      <c r="E727" s="245"/>
      <c r="F727" s="245"/>
      <c r="G727" s="245"/>
      <c r="H727" s="245"/>
      <c r="I727" s="245"/>
      <c r="J727" s="245"/>
      <c r="K727" s="245"/>
      <c r="L727" s="245"/>
      <c r="M727" s="245"/>
      <c r="N727" s="245"/>
      <c r="O727" s="245"/>
      <c r="P727" s="245"/>
      <c r="Q727" s="245"/>
      <c r="R727" s="245"/>
      <c r="S727" s="245"/>
      <c r="T727" s="245"/>
      <c r="U727" s="245"/>
      <c r="V727" s="245"/>
      <c r="W727" s="245"/>
      <c r="X727" s="245"/>
      <c r="Y727" s="245"/>
      <c r="Z727" s="245"/>
    </row>
    <row r="728" spans="1:26">
      <c r="A728" s="245"/>
      <c r="B728" s="245"/>
      <c r="C728" s="245"/>
      <c r="D728" s="245"/>
      <c r="E728" s="245"/>
      <c r="F728" s="245"/>
      <c r="G728" s="245"/>
      <c r="H728" s="245"/>
      <c r="I728" s="245"/>
      <c r="J728" s="245"/>
      <c r="K728" s="245"/>
      <c r="L728" s="245"/>
      <c r="M728" s="245"/>
      <c r="N728" s="245"/>
      <c r="O728" s="245"/>
      <c r="P728" s="245"/>
      <c r="Q728" s="245"/>
      <c r="R728" s="245"/>
      <c r="S728" s="245"/>
      <c r="T728" s="245"/>
      <c r="U728" s="245"/>
      <c r="V728" s="245"/>
      <c r="W728" s="245"/>
      <c r="X728" s="245"/>
      <c r="Y728" s="245"/>
      <c r="Z728" s="245"/>
    </row>
    <row r="729" spans="1:26">
      <c r="A729" s="245"/>
      <c r="B729" s="245"/>
      <c r="C729" s="245"/>
      <c r="D729" s="245"/>
      <c r="E729" s="245"/>
      <c r="F729" s="245"/>
      <c r="G729" s="245"/>
      <c r="H729" s="245"/>
      <c r="I729" s="245"/>
      <c r="J729" s="245"/>
      <c r="K729" s="245"/>
      <c r="L729" s="245"/>
      <c r="M729" s="245"/>
      <c r="N729" s="245"/>
      <c r="O729" s="245"/>
      <c r="P729" s="245"/>
      <c r="Q729" s="245"/>
      <c r="R729" s="245"/>
      <c r="S729" s="245"/>
      <c r="T729" s="245"/>
      <c r="U729" s="245"/>
      <c r="V729" s="245"/>
      <c r="W729" s="245"/>
      <c r="X729" s="245"/>
      <c r="Y729" s="245"/>
      <c r="Z729" s="245"/>
    </row>
    <row r="730" spans="1:26">
      <c r="A730" s="245"/>
      <c r="B730" s="245"/>
      <c r="C730" s="245"/>
      <c r="D730" s="245"/>
      <c r="E730" s="245"/>
      <c r="F730" s="245"/>
      <c r="G730" s="245"/>
      <c r="H730" s="245"/>
      <c r="I730" s="245"/>
      <c r="J730" s="245"/>
      <c r="K730" s="245"/>
      <c r="L730" s="245"/>
      <c r="M730" s="245"/>
      <c r="N730" s="245"/>
      <c r="O730" s="245"/>
      <c r="P730" s="245"/>
      <c r="Q730" s="245"/>
      <c r="R730" s="245"/>
      <c r="S730" s="245"/>
      <c r="T730" s="245"/>
      <c r="U730" s="245"/>
      <c r="V730" s="245"/>
      <c r="W730" s="245"/>
      <c r="X730" s="245"/>
      <c r="Y730" s="245"/>
      <c r="Z730" s="245"/>
    </row>
    <row r="731" spans="1:26">
      <c r="A731" s="245"/>
      <c r="B731" s="245"/>
      <c r="C731" s="245"/>
      <c r="D731" s="245"/>
      <c r="E731" s="245"/>
      <c r="F731" s="245"/>
      <c r="G731" s="245"/>
      <c r="H731" s="245"/>
      <c r="I731" s="245"/>
      <c r="J731" s="245"/>
      <c r="K731" s="245"/>
      <c r="L731" s="245"/>
      <c r="M731" s="245"/>
      <c r="N731" s="245"/>
      <c r="O731" s="245"/>
      <c r="P731" s="245"/>
      <c r="Q731" s="245"/>
      <c r="R731" s="245"/>
      <c r="S731" s="245"/>
      <c r="T731" s="245"/>
      <c r="U731" s="245"/>
      <c r="V731" s="245"/>
      <c r="W731" s="245"/>
      <c r="X731" s="245"/>
      <c r="Y731" s="245"/>
      <c r="Z731" s="245"/>
    </row>
    <row r="732" spans="1:26">
      <c r="A732" s="245"/>
      <c r="B732" s="245"/>
      <c r="C732" s="245"/>
      <c r="D732" s="245"/>
      <c r="E732" s="245"/>
      <c r="F732" s="245"/>
      <c r="G732" s="245"/>
      <c r="H732" s="245"/>
      <c r="I732" s="245"/>
      <c r="J732" s="245"/>
      <c r="K732" s="245"/>
      <c r="L732" s="245"/>
      <c r="M732" s="245"/>
      <c r="N732" s="245"/>
      <c r="O732" s="245"/>
      <c r="P732" s="245"/>
      <c r="Q732" s="245"/>
      <c r="R732" s="245"/>
      <c r="S732" s="245"/>
      <c r="T732" s="245"/>
      <c r="U732" s="245"/>
      <c r="V732" s="245"/>
      <c r="W732" s="245"/>
      <c r="X732" s="245"/>
      <c r="Y732" s="245"/>
      <c r="Z732" s="245"/>
    </row>
    <row r="733" spans="1:26">
      <c r="A733" s="245"/>
      <c r="B733" s="245"/>
      <c r="C733" s="245"/>
      <c r="D733" s="245"/>
      <c r="E733" s="245"/>
      <c r="F733" s="245"/>
      <c r="G733" s="245"/>
      <c r="H733" s="245"/>
      <c r="I733" s="245"/>
      <c r="J733" s="245"/>
      <c r="K733" s="245"/>
      <c r="L733" s="245"/>
      <c r="M733" s="245"/>
      <c r="N733" s="245"/>
      <c r="O733" s="245"/>
      <c r="P733" s="245"/>
      <c r="Q733" s="245"/>
      <c r="R733" s="245"/>
      <c r="S733" s="245"/>
      <c r="T733" s="245"/>
      <c r="U733" s="245"/>
      <c r="V733" s="245"/>
      <c r="W733" s="245"/>
      <c r="X733" s="245"/>
      <c r="Y733" s="245"/>
      <c r="Z733" s="245"/>
    </row>
    <row r="734" spans="1:26">
      <c r="A734" s="245"/>
      <c r="B734" s="245"/>
      <c r="C734" s="245"/>
      <c r="D734" s="245"/>
      <c r="E734" s="245"/>
      <c r="F734" s="245"/>
      <c r="G734" s="245"/>
      <c r="H734" s="245"/>
      <c r="I734" s="245"/>
      <c r="J734" s="245"/>
      <c r="K734" s="245"/>
      <c r="L734" s="245"/>
      <c r="M734" s="245"/>
      <c r="N734" s="245"/>
      <c r="O734" s="245"/>
      <c r="P734" s="245"/>
      <c r="Q734" s="245"/>
      <c r="R734" s="245"/>
      <c r="S734" s="245"/>
      <c r="T734" s="245"/>
      <c r="U734" s="245"/>
      <c r="V734" s="245"/>
      <c r="W734" s="245"/>
      <c r="X734" s="245"/>
      <c r="Y734" s="245"/>
      <c r="Z734" s="245"/>
    </row>
    <row r="735" spans="1:26">
      <c r="A735" s="245"/>
      <c r="B735" s="245"/>
      <c r="C735" s="245"/>
      <c r="D735" s="245"/>
      <c r="E735" s="245"/>
      <c r="F735" s="245"/>
      <c r="G735" s="245"/>
      <c r="H735" s="245"/>
      <c r="I735" s="245"/>
      <c r="J735" s="245"/>
      <c r="K735" s="245"/>
      <c r="L735" s="245"/>
      <c r="M735" s="245"/>
      <c r="N735" s="245"/>
      <c r="O735" s="245"/>
      <c r="P735" s="245"/>
      <c r="Q735" s="245"/>
      <c r="R735" s="245"/>
      <c r="S735" s="245"/>
      <c r="T735" s="245"/>
      <c r="U735" s="245"/>
      <c r="V735" s="245"/>
      <c r="W735" s="245"/>
      <c r="X735" s="245"/>
      <c r="Y735" s="245"/>
      <c r="Z735" s="245"/>
    </row>
    <row r="736" spans="1:26">
      <c r="A736" s="245"/>
      <c r="B736" s="245"/>
      <c r="C736" s="245"/>
      <c r="D736" s="245"/>
      <c r="E736" s="245"/>
      <c r="F736" s="245"/>
      <c r="G736" s="245"/>
      <c r="H736" s="245"/>
      <c r="I736" s="245"/>
      <c r="J736" s="245"/>
      <c r="K736" s="245"/>
      <c r="L736" s="245"/>
      <c r="M736" s="245"/>
      <c r="N736" s="245"/>
      <c r="O736" s="245"/>
      <c r="P736" s="245"/>
      <c r="Q736" s="245"/>
      <c r="R736" s="245"/>
      <c r="S736" s="245"/>
      <c r="T736" s="245"/>
      <c r="U736" s="245"/>
      <c r="V736" s="245"/>
      <c r="W736" s="245"/>
      <c r="X736" s="245"/>
      <c r="Y736" s="245"/>
      <c r="Z736" s="245"/>
    </row>
    <row r="737" spans="1:26">
      <c r="A737" s="245"/>
      <c r="B737" s="245"/>
      <c r="C737" s="245"/>
      <c r="D737" s="245"/>
      <c r="E737" s="245"/>
      <c r="F737" s="245"/>
      <c r="G737" s="245"/>
      <c r="H737" s="245"/>
      <c r="I737" s="245"/>
      <c r="J737" s="245"/>
      <c r="K737" s="245"/>
      <c r="L737" s="245"/>
      <c r="M737" s="245"/>
      <c r="N737" s="245"/>
      <c r="O737" s="245"/>
      <c r="P737" s="245"/>
      <c r="Q737" s="245"/>
      <c r="R737" s="245"/>
      <c r="S737" s="245"/>
      <c r="T737" s="245"/>
      <c r="U737" s="245"/>
      <c r="V737" s="245"/>
      <c r="W737" s="245"/>
      <c r="X737" s="245"/>
      <c r="Y737" s="245"/>
      <c r="Z737" s="245"/>
    </row>
    <row r="738" spans="1:26">
      <c r="A738" s="245"/>
      <c r="B738" s="245"/>
      <c r="C738" s="245"/>
      <c r="D738" s="245"/>
      <c r="E738" s="245"/>
      <c r="F738" s="245"/>
      <c r="G738" s="245"/>
      <c r="H738" s="245"/>
      <c r="I738" s="245"/>
      <c r="J738" s="245"/>
      <c r="K738" s="245"/>
      <c r="L738" s="245"/>
      <c r="M738" s="245"/>
      <c r="N738" s="245"/>
      <c r="O738" s="245"/>
      <c r="P738" s="245"/>
      <c r="Q738" s="245"/>
      <c r="R738" s="245"/>
      <c r="S738" s="245"/>
      <c r="T738" s="245"/>
      <c r="U738" s="245"/>
      <c r="V738" s="245"/>
      <c r="W738" s="245"/>
      <c r="X738" s="245"/>
      <c r="Y738" s="245"/>
      <c r="Z738" s="245"/>
    </row>
    <row r="739" spans="1:26">
      <c r="A739" s="245"/>
      <c r="B739" s="245"/>
      <c r="C739" s="245"/>
      <c r="D739" s="245"/>
      <c r="E739" s="245"/>
      <c r="F739" s="245"/>
      <c r="G739" s="245"/>
      <c r="H739" s="245"/>
      <c r="I739" s="245"/>
      <c r="J739" s="245"/>
      <c r="K739" s="245"/>
      <c r="L739" s="245"/>
      <c r="M739" s="245"/>
      <c r="N739" s="245"/>
      <c r="O739" s="245"/>
      <c r="P739" s="245"/>
      <c r="Q739" s="245"/>
      <c r="R739" s="245"/>
      <c r="S739" s="245"/>
      <c r="T739" s="245"/>
      <c r="U739" s="245"/>
      <c r="V739" s="245"/>
      <c r="W739" s="245"/>
      <c r="X739" s="245"/>
      <c r="Y739" s="245"/>
      <c r="Z739" s="245"/>
    </row>
    <row r="740" spans="1:26">
      <c r="A740" s="245"/>
      <c r="B740" s="245"/>
      <c r="C740" s="245"/>
      <c r="D740" s="245"/>
      <c r="E740" s="245"/>
      <c r="F740" s="245"/>
      <c r="G740" s="245"/>
      <c r="H740" s="245"/>
      <c r="I740" s="245"/>
      <c r="J740" s="245"/>
      <c r="K740" s="245"/>
      <c r="L740" s="245"/>
      <c r="M740" s="245"/>
      <c r="N740" s="245"/>
      <c r="O740" s="245"/>
      <c r="P740" s="245"/>
      <c r="Q740" s="245"/>
      <c r="R740" s="245"/>
      <c r="S740" s="245"/>
      <c r="T740" s="245"/>
      <c r="U740" s="245"/>
      <c r="V740" s="245"/>
      <c r="W740" s="245"/>
      <c r="X740" s="245"/>
      <c r="Y740" s="245"/>
      <c r="Z740" s="245"/>
    </row>
    <row r="741" spans="1:26">
      <c r="A741" s="245"/>
      <c r="B741" s="245"/>
      <c r="C741" s="245"/>
      <c r="D741" s="245"/>
      <c r="E741" s="245"/>
      <c r="F741" s="245"/>
      <c r="G741" s="245"/>
      <c r="H741" s="245"/>
      <c r="I741" s="245"/>
      <c r="J741" s="245"/>
      <c r="K741" s="245"/>
      <c r="L741" s="245"/>
      <c r="M741" s="245"/>
      <c r="N741" s="245"/>
      <c r="O741" s="245"/>
      <c r="P741" s="245"/>
      <c r="Q741" s="245"/>
      <c r="R741" s="245"/>
      <c r="S741" s="245"/>
      <c r="T741" s="245"/>
      <c r="U741" s="245"/>
      <c r="V741" s="245"/>
      <c r="W741" s="245"/>
      <c r="X741" s="245"/>
      <c r="Y741" s="245"/>
      <c r="Z741" s="245"/>
    </row>
    <row r="742" spans="1:26">
      <c r="A742" s="245"/>
      <c r="B742" s="245"/>
      <c r="C742" s="245"/>
      <c r="D742" s="245"/>
      <c r="E742" s="245"/>
      <c r="F742" s="245"/>
      <c r="G742" s="245"/>
      <c r="H742" s="245"/>
      <c r="I742" s="245"/>
      <c r="J742" s="245"/>
      <c r="K742" s="245"/>
      <c r="L742" s="245"/>
      <c r="M742" s="245"/>
      <c r="N742" s="245"/>
      <c r="O742" s="245"/>
      <c r="P742" s="245"/>
      <c r="Q742" s="245"/>
      <c r="R742" s="245"/>
      <c r="S742" s="245"/>
      <c r="T742" s="245"/>
      <c r="U742" s="245"/>
      <c r="V742" s="245"/>
      <c r="W742" s="245"/>
      <c r="X742" s="245"/>
      <c r="Y742" s="245"/>
      <c r="Z742" s="245"/>
    </row>
    <row r="743" spans="1:26">
      <c r="A743" s="245"/>
      <c r="B743" s="245"/>
      <c r="C743" s="245"/>
      <c r="D743" s="245"/>
      <c r="E743" s="245"/>
      <c r="F743" s="245"/>
      <c r="G743" s="245"/>
      <c r="H743" s="245"/>
      <c r="I743" s="245"/>
      <c r="J743" s="245"/>
      <c r="K743" s="245"/>
      <c r="L743" s="245"/>
      <c r="M743" s="245"/>
      <c r="N743" s="245"/>
      <c r="O743" s="245"/>
      <c r="P743" s="245"/>
      <c r="Q743" s="245"/>
      <c r="R743" s="245"/>
      <c r="S743" s="245"/>
      <c r="T743" s="245"/>
      <c r="U743" s="245"/>
      <c r="V743" s="245"/>
      <c r="W743" s="245"/>
      <c r="X743" s="245"/>
      <c r="Y743" s="245"/>
      <c r="Z743" s="245"/>
    </row>
    <row r="744" spans="1:26">
      <c r="A744" s="245"/>
      <c r="B744" s="245"/>
      <c r="C744" s="245"/>
      <c r="D744" s="245"/>
      <c r="E744" s="245"/>
      <c r="F744" s="245"/>
      <c r="G744" s="245"/>
      <c r="H744" s="245"/>
      <c r="I744" s="245"/>
      <c r="J744" s="245"/>
      <c r="K744" s="245"/>
      <c r="L744" s="245"/>
      <c r="M744" s="245"/>
      <c r="N744" s="245"/>
      <c r="O744" s="245"/>
      <c r="P744" s="245"/>
      <c r="Q744" s="245"/>
      <c r="R744" s="245"/>
      <c r="S744" s="245"/>
      <c r="T744" s="245"/>
      <c r="U744" s="245"/>
      <c r="V744" s="245"/>
      <c r="W744" s="245"/>
      <c r="X744" s="245"/>
      <c r="Y744" s="245"/>
      <c r="Z744" s="245"/>
    </row>
    <row r="745" spans="1:26">
      <c r="A745" s="245"/>
      <c r="B745" s="245"/>
      <c r="C745" s="245"/>
      <c r="D745" s="245"/>
      <c r="E745" s="245"/>
      <c r="F745" s="245"/>
      <c r="G745" s="245"/>
      <c r="H745" s="245"/>
      <c r="I745" s="245"/>
      <c r="J745" s="245"/>
      <c r="K745" s="245"/>
      <c r="L745" s="245"/>
      <c r="M745" s="245"/>
      <c r="N745" s="245"/>
      <c r="O745" s="245"/>
      <c r="P745" s="245"/>
      <c r="Q745" s="245"/>
      <c r="R745" s="245"/>
      <c r="S745" s="245"/>
      <c r="T745" s="245"/>
      <c r="U745" s="245"/>
      <c r="V745" s="245"/>
      <c r="W745" s="245"/>
      <c r="X745" s="245"/>
      <c r="Y745" s="245"/>
      <c r="Z745" s="245"/>
    </row>
    <row r="746" spans="1:26">
      <c r="A746" s="245"/>
      <c r="B746" s="245"/>
      <c r="C746" s="245"/>
      <c r="D746" s="245"/>
      <c r="E746" s="245"/>
      <c r="F746" s="245"/>
      <c r="G746" s="245"/>
      <c r="H746" s="245"/>
      <c r="I746" s="245"/>
      <c r="J746" s="245"/>
      <c r="K746" s="245"/>
      <c r="L746" s="245"/>
      <c r="M746" s="245"/>
      <c r="N746" s="245"/>
      <c r="O746" s="245"/>
      <c r="P746" s="245"/>
      <c r="Q746" s="245"/>
      <c r="R746" s="245"/>
      <c r="S746" s="245"/>
      <c r="T746" s="245"/>
      <c r="U746" s="245"/>
      <c r="V746" s="245"/>
      <c r="W746" s="245"/>
      <c r="X746" s="245"/>
      <c r="Y746" s="245"/>
      <c r="Z746" s="245"/>
    </row>
    <row r="747" spans="1:26">
      <c r="A747" s="245"/>
      <c r="B747" s="245"/>
      <c r="C747" s="245"/>
      <c r="D747" s="245"/>
      <c r="E747" s="245"/>
      <c r="F747" s="245"/>
      <c r="G747" s="245"/>
      <c r="H747" s="245"/>
      <c r="I747" s="245"/>
      <c r="J747" s="245"/>
      <c r="K747" s="245"/>
      <c r="L747" s="245"/>
      <c r="M747" s="245"/>
      <c r="N747" s="245"/>
      <c r="O747" s="245"/>
      <c r="P747" s="245"/>
      <c r="Q747" s="245"/>
      <c r="R747" s="245"/>
      <c r="S747" s="245"/>
      <c r="T747" s="245"/>
      <c r="U747" s="245"/>
      <c r="V747" s="245"/>
      <c r="W747" s="245"/>
      <c r="X747" s="245"/>
      <c r="Y747" s="245"/>
      <c r="Z747" s="245"/>
    </row>
    <row r="748" spans="1:26">
      <c r="A748" s="245"/>
      <c r="B748" s="245"/>
      <c r="C748" s="245"/>
      <c r="D748" s="245"/>
      <c r="E748" s="245"/>
      <c r="F748" s="245"/>
      <c r="G748" s="245"/>
      <c r="H748" s="245"/>
      <c r="I748" s="245"/>
      <c r="J748" s="245"/>
      <c r="K748" s="245"/>
      <c r="L748" s="245"/>
      <c r="M748" s="245"/>
      <c r="N748" s="245"/>
      <c r="O748" s="245"/>
      <c r="P748" s="245"/>
      <c r="Q748" s="245"/>
      <c r="R748" s="245"/>
      <c r="S748" s="245"/>
      <c r="T748" s="245"/>
      <c r="U748" s="245"/>
      <c r="V748" s="245"/>
      <c r="W748" s="245"/>
      <c r="X748" s="245"/>
      <c r="Y748" s="245"/>
      <c r="Z748" s="245"/>
    </row>
    <row r="749" spans="1:26">
      <c r="A749" s="245"/>
      <c r="B749" s="245"/>
      <c r="C749" s="245"/>
      <c r="D749" s="245"/>
      <c r="E749" s="245"/>
      <c r="F749" s="245"/>
      <c r="G749" s="245"/>
      <c r="H749" s="245"/>
      <c r="I749" s="245"/>
      <c r="J749" s="245"/>
      <c r="K749" s="245"/>
      <c r="L749" s="245"/>
      <c r="M749" s="245"/>
      <c r="N749" s="245"/>
      <c r="O749" s="245"/>
      <c r="P749" s="245"/>
      <c r="Q749" s="245"/>
      <c r="R749" s="245"/>
      <c r="S749" s="245"/>
      <c r="T749" s="245"/>
      <c r="U749" s="245"/>
      <c r="V749" s="245"/>
      <c r="W749" s="245"/>
      <c r="X749" s="245"/>
      <c r="Y749" s="245"/>
      <c r="Z749" s="245"/>
    </row>
    <row r="750" spans="1:26">
      <c r="A750" s="245"/>
      <c r="B750" s="245"/>
      <c r="C750" s="245"/>
      <c r="D750" s="245"/>
      <c r="E750" s="245"/>
      <c r="F750" s="245"/>
      <c r="G750" s="245"/>
      <c r="H750" s="245"/>
      <c r="I750" s="245"/>
      <c r="J750" s="245"/>
      <c r="K750" s="245"/>
      <c r="L750" s="245"/>
      <c r="M750" s="245"/>
      <c r="N750" s="245"/>
      <c r="O750" s="245"/>
      <c r="P750" s="245"/>
      <c r="Q750" s="245"/>
      <c r="R750" s="245"/>
      <c r="S750" s="245"/>
      <c r="T750" s="245"/>
      <c r="U750" s="245"/>
      <c r="V750" s="245"/>
      <c r="W750" s="245"/>
      <c r="X750" s="245"/>
      <c r="Y750" s="245"/>
      <c r="Z750" s="245"/>
    </row>
    <row r="751" spans="1:26">
      <c r="A751" s="245"/>
      <c r="B751" s="245"/>
      <c r="C751" s="245"/>
      <c r="D751" s="245"/>
      <c r="E751" s="245"/>
      <c r="F751" s="245"/>
      <c r="G751" s="245"/>
      <c r="H751" s="245"/>
      <c r="I751" s="245"/>
      <c r="J751" s="245"/>
      <c r="K751" s="245"/>
      <c r="L751" s="245"/>
      <c r="M751" s="245"/>
      <c r="N751" s="245"/>
      <c r="O751" s="245"/>
      <c r="P751" s="245"/>
      <c r="Q751" s="245"/>
      <c r="R751" s="245"/>
      <c r="S751" s="245"/>
      <c r="T751" s="245"/>
      <c r="U751" s="245"/>
      <c r="V751" s="245"/>
      <c r="W751" s="245"/>
      <c r="X751" s="245"/>
      <c r="Y751" s="245"/>
      <c r="Z751" s="245"/>
    </row>
    <row r="752" spans="1:26">
      <c r="A752" s="245"/>
      <c r="B752" s="245"/>
      <c r="C752" s="245"/>
      <c r="D752" s="245"/>
      <c r="E752" s="245"/>
      <c r="F752" s="245"/>
      <c r="G752" s="245"/>
      <c r="H752" s="245"/>
      <c r="I752" s="245"/>
      <c r="J752" s="245"/>
      <c r="K752" s="245"/>
      <c r="L752" s="245"/>
      <c r="M752" s="245"/>
      <c r="N752" s="245"/>
      <c r="O752" s="245"/>
      <c r="P752" s="245"/>
      <c r="Q752" s="245"/>
      <c r="R752" s="245"/>
      <c r="S752" s="245"/>
      <c r="T752" s="245"/>
      <c r="U752" s="245"/>
      <c r="V752" s="245"/>
      <c r="W752" s="245"/>
      <c r="X752" s="245"/>
      <c r="Y752" s="245"/>
      <c r="Z752" s="245"/>
    </row>
    <row r="753" spans="1:26">
      <c r="A753" s="245"/>
      <c r="B753" s="245"/>
      <c r="C753" s="245"/>
      <c r="D753" s="245"/>
      <c r="E753" s="245"/>
      <c r="F753" s="245"/>
      <c r="G753" s="245"/>
      <c r="H753" s="245"/>
      <c r="I753" s="245"/>
      <c r="J753" s="245"/>
      <c r="K753" s="245"/>
      <c r="L753" s="245"/>
      <c r="M753" s="245"/>
      <c r="N753" s="245"/>
      <c r="O753" s="245"/>
      <c r="P753" s="245"/>
      <c r="Q753" s="245"/>
      <c r="R753" s="245"/>
      <c r="S753" s="245"/>
      <c r="T753" s="245"/>
      <c r="U753" s="245"/>
      <c r="V753" s="245"/>
      <c r="W753" s="245"/>
      <c r="X753" s="245"/>
      <c r="Y753" s="245"/>
      <c r="Z753" s="245"/>
    </row>
    <row r="754" spans="1:26">
      <c r="A754" s="245"/>
      <c r="B754" s="245"/>
      <c r="C754" s="245"/>
      <c r="D754" s="245"/>
      <c r="E754" s="245"/>
      <c r="F754" s="245"/>
      <c r="G754" s="245"/>
      <c r="H754" s="245"/>
      <c r="I754" s="245"/>
      <c r="J754" s="245"/>
      <c r="K754" s="245"/>
      <c r="L754" s="245"/>
      <c r="M754" s="245"/>
      <c r="N754" s="245"/>
      <c r="O754" s="245"/>
      <c r="P754" s="245"/>
      <c r="Q754" s="245"/>
      <c r="R754" s="245"/>
      <c r="S754" s="245"/>
      <c r="T754" s="245"/>
      <c r="U754" s="245"/>
      <c r="V754" s="245"/>
      <c r="W754" s="245"/>
      <c r="X754" s="245"/>
      <c r="Y754" s="245"/>
      <c r="Z754" s="245"/>
    </row>
    <row r="755" spans="1:26">
      <c r="A755" s="245"/>
      <c r="B755" s="245"/>
      <c r="C755" s="245"/>
      <c r="D755" s="245"/>
      <c r="E755" s="245"/>
      <c r="F755" s="245"/>
      <c r="G755" s="245"/>
      <c r="H755" s="245"/>
      <c r="I755" s="245"/>
      <c r="J755" s="245"/>
      <c r="K755" s="245"/>
      <c r="L755" s="245"/>
      <c r="M755" s="245"/>
      <c r="N755" s="245"/>
      <c r="O755" s="245"/>
      <c r="P755" s="245"/>
      <c r="Q755" s="245"/>
      <c r="R755" s="245"/>
      <c r="S755" s="245"/>
      <c r="T755" s="245"/>
      <c r="U755" s="245"/>
      <c r="V755" s="245"/>
      <c r="W755" s="245"/>
      <c r="X755" s="245"/>
      <c r="Y755" s="245"/>
      <c r="Z755" s="245"/>
    </row>
    <row r="756" spans="1:26">
      <c r="A756" s="245"/>
      <c r="B756" s="245"/>
      <c r="C756" s="245"/>
      <c r="D756" s="245"/>
      <c r="E756" s="245"/>
      <c r="F756" s="245"/>
      <c r="G756" s="245"/>
      <c r="H756" s="245"/>
      <c r="I756" s="245"/>
      <c r="J756" s="245"/>
      <c r="K756" s="245"/>
      <c r="L756" s="245"/>
      <c r="M756" s="245"/>
      <c r="N756" s="245"/>
      <c r="O756" s="245"/>
      <c r="P756" s="245"/>
      <c r="Q756" s="245"/>
      <c r="R756" s="245"/>
      <c r="S756" s="245"/>
      <c r="T756" s="245"/>
      <c r="U756" s="245"/>
      <c r="V756" s="245"/>
      <c r="W756" s="245"/>
      <c r="X756" s="245"/>
      <c r="Y756" s="245"/>
      <c r="Z756" s="245"/>
    </row>
    <row r="757" spans="1:26">
      <c r="A757" s="245"/>
      <c r="B757" s="245"/>
      <c r="C757" s="245"/>
      <c r="D757" s="245"/>
      <c r="E757" s="245"/>
      <c r="F757" s="245"/>
      <c r="G757" s="245"/>
      <c r="H757" s="245"/>
      <c r="I757" s="245"/>
      <c r="J757" s="245"/>
      <c r="K757" s="245"/>
      <c r="L757" s="245"/>
      <c r="M757" s="245"/>
      <c r="N757" s="245"/>
      <c r="O757" s="245"/>
      <c r="P757" s="245"/>
      <c r="Q757" s="245"/>
      <c r="R757" s="245"/>
      <c r="S757" s="245"/>
      <c r="T757" s="245"/>
      <c r="U757" s="245"/>
      <c r="V757" s="245"/>
      <c r="W757" s="245"/>
      <c r="X757" s="245"/>
      <c r="Y757" s="245"/>
      <c r="Z757" s="245"/>
    </row>
    <row r="758" spans="1:26">
      <c r="A758" s="245"/>
      <c r="B758" s="245"/>
      <c r="C758" s="245"/>
      <c r="D758" s="245"/>
      <c r="E758" s="245"/>
      <c r="F758" s="245"/>
      <c r="G758" s="245"/>
      <c r="H758" s="245"/>
      <c r="I758" s="245"/>
      <c r="J758" s="245"/>
      <c r="K758" s="245"/>
      <c r="L758" s="245"/>
      <c r="M758" s="245"/>
      <c r="N758" s="245"/>
      <c r="O758" s="245"/>
      <c r="P758" s="245"/>
      <c r="Q758" s="245"/>
      <c r="R758" s="245"/>
      <c r="S758" s="245"/>
      <c r="T758" s="245"/>
      <c r="U758" s="245"/>
      <c r="V758" s="245"/>
      <c r="W758" s="245"/>
      <c r="X758" s="245"/>
      <c r="Y758" s="245"/>
      <c r="Z758" s="245"/>
    </row>
    <row r="759" spans="1:26">
      <c r="A759" s="245"/>
      <c r="B759" s="245"/>
      <c r="C759" s="245"/>
      <c r="D759" s="245"/>
      <c r="E759" s="245"/>
      <c r="F759" s="245"/>
      <c r="G759" s="245"/>
      <c r="H759" s="245"/>
      <c r="I759" s="245"/>
      <c r="J759" s="245"/>
      <c r="K759" s="245"/>
      <c r="L759" s="245"/>
      <c r="M759" s="245"/>
      <c r="N759" s="245"/>
      <c r="O759" s="245"/>
      <c r="P759" s="245"/>
      <c r="Q759" s="245"/>
      <c r="R759" s="245"/>
      <c r="S759" s="245"/>
      <c r="T759" s="245"/>
      <c r="U759" s="245"/>
      <c r="V759" s="245"/>
      <c r="W759" s="245"/>
      <c r="X759" s="245"/>
      <c r="Y759" s="245"/>
      <c r="Z759" s="245"/>
    </row>
    <row r="760" spans="1:26">
      <c r="A760" s="245"/>
      <c r="B760" s="245"/>
      <c r="C760" s="245"/>
      <c r="D760" s="245"/>
      <c r="E760" s="245"/>
      <c r="F760" s="245"/>
      <c r="G760" s="245"/>
      <c r="H760" s="245"/>
      <c r="I760" s="245"/>
      <c r="J760" s="245"/>
      <c r="K760" s="245"/>
      <c r="L760" s="245"/>
      <c r="M760" s="245"/>
      <c r="N760" s="245"/>
      <c r="O760" s="245"/>
      <c r="P760" s="245"/>
      <c r="Q760" s="245"/>
      <c r="R760" s="245"/>
      <c r="S760" s="245"/>
      <c r="T760" s="245"/>
      <c r="U760" s="245"/>
      <c r="V760" s="245"/>
      <c r="W760" s="245"/>
      <c r="X760" s="245"/>
      <c r="Y760" s="245"/>
      <c r="Z760" s="245"/>
    </row>
    <row r="761" spans="1:26">
      <c r="A761" s="245"/>
      <c r="B761" s="245"/>
      <c r="C761" s="245"/>
      <c r="D761" s="245"/>
      <c r="E761" s="245"/>
      <c r="F761" s="245"/>
      <c r="G761" s="245"/>
      <c r="H761" s="245"/>
      <c r="I761" s="245"/>
      <c r="J761" s="245"/>
      <c r="K761" s="245"/>
      <c r="L761" s="245"/>
      <c r="M761" s="245"/>
      <c r="N761" s="245"/>
      <c r="O761" s="245"/>
      <c r="P761" s="245"/>
      <c r="Q761" s="245"/>
      <c r="R761" s="245"/>
      <c r="S761" s="245"/>
      <c r="T761" s="245"/>
      <c r="U761" s="245"/>
      <c r="V761" s="245"/>
      <c r="W761" s="245"/>
      <c r="X761" s="245"/>
      <c r="Y761" s="245"/>
      <c r="Z761" s="245"/>
    </row>
    <row r="762" spans="1:26">
      <c r="A762" s="245"/>
      <c r="B762" s="245"/>
      <c r="C762" s="245"/>
      <c r="D762" s="245"/>
      <c r="E762" s="245"/>
      <c r="F762" s="245"/>
      <c r="G762" s="245"/>
      <c r="H762" s="245"/>
      <c r="I762" s="245"/>
      <c r="J762" s="245"/>
      <c r="K762" s="245"/>
      <c r="L762" s="245"/>
      <c r="M762" s="245"/>
      <c r="N762" s="245"/>
      <c r="O762" s="245"/>
      <c r="P762" s="245"/>
      <c r="Q762" s="245"/>
      <c r="R762" s="245"/>
      <c r="S762" s="245"/>
      <c r="T762" s="245"/>
      <c r="U762" s="245"/>
      <c r="V762" s="245"/>
      <c r="W762" s="245"/>
      <c r="X762" s="245"/>
      <c r="Y762" s="245"/>
      <c r="Z762" s="245"/>
    </row>
    <row r="763" spans="1:26">
      <c r="A763" s="245"/>
      <c r="B763" s="245"/>
      <c r="C763" s="245"/>
      <c r="D763" s="245"/>
      <c r="E763" s="245"/>
      <c r="F763" s="245"/>
      <c r="G763" s="245"/>
      <c r="H763" s="245"/>
      <c r="I763" s="245"/>
      <c r="J763" s="245"/>
      <c r="K763" s="245"/>
      <c r="L763" s="245"/>
      <c r="M763" s="245"/>
      <c r="N763" s="245"/>
      <c r="O763" s="245"/>
      <c r="P763" s="245"/>
      <c r="Q763" s="245"/>
      <c r="R763" s="245"/>
      <c r="S763" s="245"/>
      <c r="T763" s="245"/>
      <c r="U763" s="245"/>
      <c r="V763" s="245"/>
      <c r="W763" s="245"/>
      <c r="X763" s="245"/>
      <c r="Y763" s="245"/>
      <c r="Z763" s="245"/>
    </row>
    <row r="764" spans="1:26">
      <c r="A764" s="245"/>
      <c r="B764" s="245"/>
      <c r="C764" s="245"/>
      <c r="D764" s="245"/>
      <c r="E764" s="245"/>
      <c r="F764" s="245"/>
      <c r="G764" s="245"/>
      <c r="H764" s="245"/>
      <c r="I764" s="245"/>
      <c r="J764" s="245"/>
      <c r="K764" s="245"/>
      <c r="L764" s="245"/>
      <c r="M764" s="245"/>
      <c r="N764" s="245"/>
      <c r="O764" s="245"/>
      <c r="P764" s="245"/>
      <c r="Q764" s="245"/>
      <c r="R764" s="245"/>
      <c r="S764" s="245"/>
      <c r="T764" s="245"/>
      <c r="U764" s="245"/>
      <c r="V764" s="245"/>
      <c r="W764" s="245"/>
      <c r="X764" s="245"/>
      <c r="Y764" s="245"/>
      <c r="Z764" s="245"/>
    </row>
    <row r="765" spans="1:26">
      <c r="A765" s="245"/>
      <c r="B765" s="245"/>
      <c r="C765" s="245"/>
      <c r="D765" s="245"/>
      <c r="E765" s="245"/>
      <c r="F765" s="245"/>
      <c r="G765" s="245"/>
      <c r="H765" s="245"/>
      <c r="I765" s="245"/>
      <c r="J765" s="245"/>
      <c r="K765" s="245"/>
      <c r="L765" s="245"/>
      <c r="M765" s="245"/>
      <c r="N765" s="245"/>
      <c r="O765" s="245"/>
      <c r="P765" s="245"/>
      <c r="Q765" s="245"/>
      <c r="R765" s="245"/>
      <c r="S765" s="245"/>
      <c r="T765" s="245"/>
      <c r="U765" s="245"/>
      <c r="V765" s="245"/>
      <c r="W765" s="245"/>
      <c r="X765" s="245"/>
      <c r="Y765" s="245"/>
      <c r="Z765" s="245"/>
    </row>
    <row r="766" spans="1:26">
      <c r="A766" s="245"/>
      <c r="B766" s="245"/>
      <c r="C766" s="245"/>
      <c r="D766" s="245"/>
      <c r="E766" s="245"/>
      <c r="F766" s="245"/>
      <c r="G766" s="245"/>
      <c r="H766" s="245"/>
      <c r="I766" s="245"/>
      <c r="J766" s="245"/>
      <c r="K766" s="245"/>
      <c r="L766" s="245"/>
      <c r="M766" s="245"/>
      <c r="N766" s="245"/>
      <c r="O766" s="245"/>
      <c r="P766" s="245"/>
      <c r="Q766" s="245"/>
      <c r="R766" s="245"/>
      <c r="S766" s="245"/>
      <c r="T766" s="245"/>
      <c r="U766" s="245"/>
      <c r="V766" s="245"/>
      <c r="W766" s="245"/>
      <c r="X766" s="245"/>
      <c r="Y766" s="245"/>
      <c r="Z766" s="245"/>
    </row>
    <row r="767" spans="1:26">
      <c r="A767" s="245"/>
      <c r="B767" s="245"/>
      <c r="C767" s="245"/>
      <c r="D767" s="245"/>
      <c r="E767" s="245"/>
      <c r="F767" s="245"/>
      <c r="G767" s="245"/>
      <c r="H767" s="245"/>
      <c r="I767" s="245"/>
      <c r="J767" s="245"/>
      <c r="K767" s="245"/>
      <c r="L767" s="245"/>
      <c r="M767" s="245"/>
      <c r="N767" s="245"/>
      <c r="O767" s="245"/>
      <c r="P767" s="245"/>
      <c r="Q767" s="245"/>
      <c r="R767" s="245"/>
      <c r="S767" s="245"/>
      <c r="T767" s="245"/>
      <c r="U767" s="245"/>
      <c r="V767" s="245"/>
      <c r="W767" s="245"/>
      <c r="X767" s="245"/>
      <c r="Y767" s="245"/>
      <c r="Z767" s="245"/>
    </row>
    <row r="768" spans="1:26">
      <c r="A768" s="245"/>
      <c r="B768" s="245"/>
      <c r="C768" s="245"/>
      <c r="D768" s="245"/>
      <c r="E768" s="245"/>
      <c r="F768" s="245"/>
      <c r="G768" s="245"/>
      <c r="H768" s="245"/>
      <c r="I768" s="245"/>
      <c r="J768" s="245"/>
      <c r="K768" s="245"/>
      <c r="L768" s="245"/>
      <c r="M768" s="245"/>
      <c r="N768" s="245"/>
      <c r="O768" s="245"/>
      <c r="P768" s="245"/>
      <c r="Q768" s="245"/>
      <c r="R768" s="245"/>
      <c r="S768" s="245"/>
      <c r="T768" s="245"/>
      <c r="U768" s="245"/>
      <c r="V768" s="245"/>
      <c r="W768" s="245"/>
      <c r="X768" s="245"/>
      <c r="Y768" s="245"/>
      <c r="Z768" s="245"/>
    </row>
    <row r="769" spans="1:26">
      <c r="A769" s="245"/>
      <c r="B769" s="245"/>
      <c r="C769" s="245"/>
      <c r="D769" s="245"/>
      <c r="E769" s="245"/>
      <c r="F769" s="245"/>
      <c r="G769" s="245"/>
      <c r="H769" s="245"/>
      <c r="I769" s="245"/>
      <c r="J769" s="245"/>
      <c r="K769" s="245"/>
      <c r="L769" s="245"/>
      <c r="M769" s="245"/>
      <c r="N769" s="245"/>
      <c r="O769" s="245"/>
      <c r="P769" s="245"/>
      <c r="Q769" s="245"/>
      <c r="R769" s="245"/>
      <c r="S769" s="245"/>
      <c r="T769" s="245"/>
      <c r="U769" s="245"/>
      <c r="V769" s="245"/>
      <c r="W769" s="245"/>
      <c r="X769" s="245"/>
      <c r="Y769" s="245"/>
      <c r="Z769" s="245"/>
    </row>
    <row r="770" spans="1:26">
      <c r="A770" s="245"/>
      <c r="B770" s="245"/>
      <c r="C770" s="245"/>
      <c r="D770" s="245"/>
      <c r="E770" s="245"/>
      <c r="F770" s="245"/>
      <c r="G770" s="245"/>
      <c r="H770" s="245"/>
      <c r="I770" s="245"/>
      <c r="J770" s="245"/>
      <c r="K770" s="245"/>
      <c r="L770" s="245"/>
      <c r="M770" s="245"/>
      <c r="N770" s="245"/>
      <c r="O770" s="245"/>
      <c r="P770" s="245"/>
      <c r="Q770" s="245"/>
      <c r="R770" s="245"/>
      <c r="S770" s="245"/>
      <c r="T770" s="245"/>
      <c r="U770" s="245"/>
      <c r="V770" s="245"/>
      <c r="W770" s="245"/>
      <c r="X770" s="245"/>
      <c r="Y770" s="245"/>
      <c r="Z770" s="245"/>
    </row>
    <row r="771" spans="1:26">
      <c r="A771" s="245"/>
      <c r="B771" s="245"/>
      <c r="C771" s="245"/>
      <c r="D771" s="245"/>
      <c r="E771" s="245"/>
      <c r="F771" s="245"/>
      <c r="G771" s="245"/>
      <c r="H771" s="245"/>
      <c r="I771" s="245"/>
      <c r="J771" s="245"/>
      <c r="K771" s="245"/>
      <c r="L771" s="245"/>
      <c r="M771" s="245"/>
      <c r="N771" s="245"/>
      <c r="O771" s="245"/>
      <c r="P771" s="245"/>
      <c r="Q771" s="245"/>
      <c r="R771" s="245"/>
      <c r="S771" s="245"/>
      <c r="T771" s="245"/>
      <c r="U771" s="245"/>
      <c r="V771" s="245"/>
      <c r="W771" s="245"/>
      <c r="X771" s="245"/>
      <c r="Y771" s="245"/>
      <c r="Z771" s="245"/>
    </row>
    <row r="772" spans="1:26">
      <c r="A772" s="245"/>
      <c r="B772" s="245"/>
      <c r="C772" s="245"/>
      <c r="D772" s="245"/>
      <c r="E772" s="245"/>
      <c r="F772" s="245"/>
      <c r="G772" s="245"/>
      <c r="H772" s="245"/>
      <c r="I772" s="245"/>
      <c r="J772" s="245"/>
      <c r="K772" s="245"/>
      <c r="L772" s="245"/>
      <c r="M772" s="245"/>
      <c r="N772" s="245"/>
      <c r="O772" s="245"/>
      <c r="P772" s="245"/>
      <c r="Q772" s="245"/>
      <c r="R772" s="245"/>
      <c r="S772" s="245"/>
      <c r="T772" s="245"/>
      <c r="U772" s="245"/>
      <c r="V772" s="245"/>
      <c r="W772" s="245"/>
      <c r="X772" s="245"/>
      <c r="Y772" s="245"/>
      <c r="Z772" s="245"/>
    </row>
    <row r="773" spans="1:26">
      <c r="A773" s="245"/>
      <c r="B773" s="245"/>
      <c r="C773" s="245"/>
      <c r="D773" s="245"/>
      <c r="E773" s="245"/>
      <c r="F773" s="245"/>
      <c r="G773" s="245"/>
      <c r="H773" s="245"/>
      <c r="I773" s="245"/>
      <c r="J773" s="245"/>
      <c r="K773" s="245"/>
      <c r="L773" s="245"/>
      <c r="M773" s="245"/>
      <c r="N773" s="245"/>
      <c r="O773" s="245"/>
      <c r="P773" s="245"/>
      <c r="Q773" s="245"/>
      <c r="R773" s="245"/>
      <c r="S773" s="245"/>
      <c r="T773" s="245"/>
      <c r="U773" s="245"/>
      <c r="V773" s="245"/>
      <c r="W773" s="245"/>
      <c r="X773" s="245"/>
      <c r="Y773" s="245"/>
      <c r="Z773" s="245"/>
    </row>
    <row r="774" spans="1:26">
      <c r="A774" s="245"/>
      <c r="B774" s="245"/>
      <c r="C774" s="245"/>
      <c r="D774" s="245"/>
      <c r="E774" s="245"/>
      <c r="F774" s="245"/>
      <c r="G774" s="245"/>
      <c r="H774" s="245"/>
      <c r="I774" s="245"/>
      <c r="J774" s="245"/>
      <c r="K774" s="245"/>
      <c r="L774" s="245"/>
      <c r="M774" s="245"/>
      <c r="N774" s="245"/>
      <c r="O774" s="245"/>
      <c r="P774" s="245"/>
      <c r="Q774" s="245"/>
      <c r="R774" s="245"/>
      <c r="S774" s="245"/>
      <c r="T774" s="245"/>
      <c r="U774" s="245"/>
      <c r="V774" s="245"/>
      <c r="W774" s="245"/>
      <c r="X774" s="245"/>
      <c r="Y774" s="245"/>
      <c r="Z774" s="245"/>
    </row>
    <row r="775" spans="1:26">
      <c r="A775" s="245"/>
      <c r="B775" s="245"/>
      <c r="C775" s="245"/>
      <c r="D775" s="245"/>
      <c r="E775" s="245"/>
      <c r="F775" s="245"/>
      <c r="G775" s="245"/>
      <c r="H775" s="245"/>
      <c r="I775" s="245"/>
      <c r="J775" s="245"/>
      <c r="K775" s="245"/>
      <c r="L775" s="245"/>
      <c r="M775" s="245"/>
      <c r="N775" s="245"/>
      <c r="O775" s="245"/>
      <c r="P775" s="245"/>
      <c r="Q775" s="245"/>
      <c r="R775" s="245"/>
      <c r="S775" s="245"/>
      <c r="T775" s="245"/>
      <c r="U775" s="245"/>
      <c r="V775" s="245"/>
      <c r="W775" s="245"/>
      <c r="X775" s="245"/>
      <c r="Y775" s="245"/>
      <c r="Z775" s="245"/>
    </row>
    <row r="776" spans="1:26">
      <c r="A776" s="245"/>
      <c r="B776" s="245"/>
      <c r="C776" s="245"/>
      <c r="D776" s="245"/>
      <c r="E776" s="245"/>
      <c r="F776" s="245"/>
      <c r="G776" s="245"/>
      <c r="H776" s="245"/>
      <c r="I776" s="245"/>
      <c r="J776" s="245"/>
      <c r="K776" s="245"/>
      <c r="L776" s="245"/>
      <c r="M776" s="245"/>
      <c r="N776" s="245"/>
      <c r="O776" s="245"/>
      <c r="P776" s="245"/>
      <c r="Q776" s="245"/>
      <c r="R776" s="245"/>
      <c r="S776" s="245"/>
      <c r="T776" s="245"/>
      <c r="U776" s="245"/>
      <c r="V776" s="245"/>
      <c r="W776" s="245"/>
      <c r="X776" s="245"/>
      <c r="Y776" s="245"/>
      <c r="Z776" s="245"/>
    </row>
    <row r="777" spans="1:26">
      <c r="A777" s="245"/>
      <c r="B777" s="245"/>
      <c r="C777" s="245"/>
      <c r="D777" s="245"/>
      <c r="E777" s="245"/>
      <c r="F777" s="245"/>
      <c r="G777" s="245"/>
      <c r="H777" s="245"/>
      <c r="I777" s="245"/>
      <c r="J777" s="245"/>
      <c r="K777" s="245"/>
      <c r="L777" s="245"/>
      <c r="M777" s="245"/>
      <c r="N777" s="245"/>
      <c r="O777" s="245"/>
      <c r="P777" s="245"/>
      <c r="Q777" s="245"/>
      <c r="R777" s="245"/>
      <c r="S777" s="245"/>
      <c r="T777" s="245"/>
      <c r="U777" s="245"/>
      <c r="V777" s="245"/>
      <c r="W777" s="245"/>
      <c r="X777" s="245"/>
      <c r="Y777" s="245"/>
      <c r="Z777" s="245"/>
    </row>
    <row r="778" spans="1:26">
      <c r="A778" s="245"/>
      <c r="B778" s="245"/>
      <c r="C778" s="245"/>
      <c r="D778" s="245"/>
      <c r="E778" s="245"/>
      <c r="F778" s="245"/>
      <c r="G778" s="245"/>
      <c r="H778" s="245"/>
      <c r="I778" s="245"/>
      <c r="J778" s="245"/>
      <c r="K778" s="245"/>
      <c r="L778" s="245"/>
      <c r="M778" s="245"/>
      <c r="N778" s="245"/>
      <c r="O778" s="245"/>
      <c r="P778" s="245"/>
      <c r="Q778" s="245"/>
      <c r="R778" s="245"/>
      <c r="S778" s="245"/>
      <c r="T778" s="245"/>
      <c r="U778" s="245"/>
      <c r="V778" s="245"/>
      <c r="W778" s="245"/>
      <c r="X778" s="245"/>
      <c r="Y778" s="245"/>
      <c r="Z778" s="245"/>
    </row>
    <row r="779" spans="1:26">
      <c r="A779" s="245"/>
      <c r="B779" s="245"/>
      <c r="C779" s="245"/>
      <c r="D779" s="245"/>
      <c r="E779" s="245"/>
      <c r="F779" s="245"/>
      <c r="G779" s="245"/>
      <c r="H779" s="245"/>
      <c r="I779" s="245"/>
      <c r="J779" s="245"/>
      <c r="K779" s="245"/>
      <c r="L779" s="245"/>
      <c r="M779" s="245"/>
      <c r="N779" s="245"/>
      <c r="O779" s="245"/>
      <c r="P779" s="245"/>
      <c r="Q779" s="245"/>
      <c r="R779" s="245"/>
      <c r="S779" s="245"/>
      <c r="T779" s="245"/>
      <c r="U779" s="245"/>
      <c r="V779" s="245"/>
      <c r="W779" s="245"/>
      <c r="X779" s="245"/>
      <c r="Y779" s="245"/>
      <c r="Z779" s="245"/>
    </row>
    <row r="780" spans="1:26">
      <c r="A780" s="245"/>
      <c r="B780" s="245"/>
      <c r="C780" s="245"/>
      <c r="D780" s="245"/>
      <c r="E780" s="245"/>
      <c r="F780" s="245"/>
      <c r="G780" s="245"/>
      <c r="H780" s="245"/>
      <c r="I780" s="245"/>
      <c r="J780" s="245"/>
      <c r="K780" s="245"/>
      <c r="L780" s="245"/>
      <c r="M780" s="245"/>
      <c r="N780" s="245"/>
      <c r="O780" s="245"/>
      <c r="P780" s="245"/>
      <c r="Q780" s="245"/>
      <c r="R780" s="245"/>
      <c r="S780" s="245"/>
      <c r="T780" s="245"/>
      <c r="U780" s="245"/>
      <c r="V780" s="245"/>
      <c r="W780" s="245"/>
      <c r="X780" s="245"/>
      <c r="Y780" s="245"/>
      <c r="Z780" s="245"/>
    </row>
    <row r="781" spans="1:26">
      <c r="A781" s="245"/>
      <c r="B781" s="245"/>
      <c r="C781" s="245"/>
      <c r="D781" s="245"/>
      <c r="E781" s="245"/>
      <c r="F781" s="245"/>
      <c r="G781" s="245"/>
      <c r="H781" s="245"/>
      <c r="I781" s="245"/>
      <c r="J781" s="245"/>
      <c r="K781" s="245"/>
      <c r="L781" s="245"/>
      <c r="M781" s="245"/>
      <c r="N781" s="245"/>
      <c r="O781" s="245"/>
      <c r="P781" s="245"/>
      <c r="Q781" s="245"/>
      <c r="R781" s="245"/>
      <c r="S781" s="245"/>
      <c r="T781" s="245"/>
      <c r="U781" s="245"/>
      <c r="V781" s="245"/>
      <c r="W781" s="245"/>
      <c r="X781" s="245"/>
      <c r="Y781" s="245"/>
      <c r="Z781" s="245"/>
    </row>
    <row r="782" spans="1:26">
      <c r="A782" s="245"/>
      <c r="B782" s="245"/>
      <c r="C782" s="245"/>
      <c r="D782" s="245"/>
      <c r="E782" s="245"/>
      <c r="F782" s="245"/>
      <c r="G782" s="245"/>
      <c r="H782" s="245"/>
      <c r="I782" s="245"/>
      <c r="J782" s="245"/>
      <c r="K782" s="245"/>
      <c r="L782" s="245"/>
      <c r="M782" s="245"/>
      <c r="N782" s="245"/>
      <c r="O782" s="245"/>
      <c r="P782" s="245"/>
      <c r="Q782" s="245"/>
      <c r="R782" s="245"/>
      <c r="S782" s="245"/>
      <c r="T782" s="245"/>
      <c r="U782" s="245"/>
      <c r="V782" s="245"/>
      <c r="W782" s="245"/>
      <c r="X782" s="245"/>
      <c r="Y782" s="245"/>
      <c r="Z782" s="245"/>
    </row>
    <row r="783" spans="1:26">
      <c r="A783" s="245"/>
      <c r="B783" s="245"/>
      <c r="C783" s="245"/>
      <c r="D783" s="245"/>
      <c r="E783" s="245"/>
      <c r="F783" s="245"/>
      <c r="G783" s="245"/>
      <c r="H783" s="245"/>
      <c r="I783" s="245"/>
      <c r="J783" s="245"/>
      <c r="K783" s="245"/>
      <c r="L783" s="245"/>
      <c r="M783" s="245"/>
      <c r="N783" s="245"/>
      <c r="O783" s="245"/>
      <c r="P783" s="245"/>
      <c r="Q783" s="245"/>
      <c r="R783" s="245"/>
      <c r="S783" s="245"/>
      <c r="T783" s="245"/>
      <c r="U783" s="245"/>
      <c r="V783" s="245"/>
      <c r="W783" s="245"/>
      <c r="X783" s="245"/>
      <c r="Y783" s="245"/>
      <c r="Z783" s="245"/>
    </row>
    <row r="784" spans="1:26">
      <c r="A784" s="245"/>
      <c r="B784" s="245"/>
      <c r="C784" s="245"/>
      <c r="D784" s="245"/>
      <c r="E784" s="245"/>
      <c r="F784" s="245"/>
      <c r="G784" s="245"/>
      <c r="H784" s="245"/>
      <c r="I784" s="245"/>
      <c r="J784" s="245"/>
      <c r="K784" s="245"/>
      <c r="L784" s="245"/>
      <c r="M784" s="245"/>
      <c r="N784" s="245"/>
      <c r="O784" s="245"/>
      <c r="P784" s="245"/>
      <c r="Q784" s="245"/>
      <c r="R784" s="245"/>
      <c r="S784" s="245"/>
      <c r="T784" s="245"/>
      <c r="U784" s="245"/>
      <c r="V784" s="245"/>
      <c r="W784" s="245"/>
      <c r="X784" s="245"/>
      <c r="Y784" s="245"/>
      <c r="Z784" s="245"/>
    </row>
    <row r="785" spans="1:26">
      <c r="A785" s="245"/>
      <c r="B785" s="245"/>
      <c r="C785" s="245"/>
      <c r="D785" s="245"/>
      <c r="E785" s="245"/>
      <c r="F785" s="245"/>
      <c r="G785" s="245"/>
      <c r="H785" s="245"/>
      <c r="I785" s="245"/>
      <c r="J785" s="245"/>
      <c r="K785" s="245"/>
      <c r="L785" s="245"/>
      <c r="M785" s="245"/>
      <c r="N785" s="245"/>
      <c r="O785" s="245"/>
      <c r="P785" s="245"/>
      <c r="Q785" s="245"/>
      <c r="R785" s="245"/>
      <c r="S785" s="245"/>
      <c r="T785" s="245"/>
      <c r="U785" s="245"/>
      <c r="V785" s="245"/>
      <c r="W785" s="245"/>
      <c r="X785" s="245"/>
      <c r="Y785" s="245"/>
      <c r="Z785" s="245"/>
    </row>
    <row r="786" spans="1:26">
      <c r="A786" s="245"/>
      <c r="B786" s="245"/>
      <c r="C786" s="245"/>
      <c r="D786" s="245"/>
      <c r="E786" s="245"/>
      <c r="F786" s="245"/>
      <c r="G786" s="245"/>
      <c r="H786" s="245"/>
      <c r="I786" s="245"/>
      <c r="J786" s="245"/>
      <c r="K786" s="245"/>
      <c r="L786" s="245"/>
      <c r="M786" s="245"/>
      <c r="N786" s="245"/>
      <c r="O786" s="245"/>
      <c r="P786" s="245"/>
      <c r="Q786" s="245"/>
      <c r="R786" s="245"/>
      <c r="S786" s="245"/>
      <c r="T786" s="245"/>
      <c r="U786" s="245"/>
      <c r="V786" s="245"/>
      <c r="W786" s="245"/>
      <c r="X786" s="245"/>
      <c r="Y786" s="245"/>
      <c r="Z786" s="245"/>
    </row>
    <row r="787" spans="1:26">
      <c r="A787" s="245"/>
      <c r="B787" s="245"/>
      <c r="C787" s="245"/>
      <c r="D787" s="245"/>
      <c r="E787" s="245"/>
      <c r="F787" s="245"/>
      <c r="G787" s="245"/>
      <c r="H787" s="245"/>
      <c r="I787" s="245"/>
      <c r="J787" s="245"/>
      <c r="K787" s="245"/>
      <c r="L787" s="245"/>
      <c r="M787" s="245"/>
      <c r="N787" s="245"/>
      <c r="O787" s="245"/>
      <c r="P787" s="245"/>
      <c r="Q787" s="245"/>
      <c r="R787" s="245"/>
      <c r="S787" s="245"/>
      <c r="T787" s="245"/>
      <c r="U787" s="245"/>
      <c r="V787" s="245"/>
      <c r="W787" s="245"/>
      <c r="X787" s="245"/>
      <c r="Y787" s="245"/>
      <c r="Z787" s="245"/>
    </row>
    <row r="788" spans="1:26">
      <c r="A788" s="245"/>
      <c r="B788" s="245"/>
      <c r="C788" s="245"/>
      <c r="D788" s="245"/>
      <c r="E788" s="245"/>
      <c r="F788" s="245"/>
      <c r="G788" s="245"/>
      <c r="H788" s="245"/>
      <c r="I788" s="245"/>
      <c r="J788" s="245"/>
      <c r="K788" s="245"/>
      <c r="L788" s="245"/>
      <c r="M788" s="245"/>
      <c r="N788" s="245"/>
      <c r="O788" s="245"/>
      <c r="P788" s="245"/>
      <c r="Q788" s="245"/>
      <c r="R788" s="245"/>
      <c r="S788" s="245"/>
      <c r="T788" s="245"/>
      <c r="U788" s="245"/>
      <c r="V788" s="245"/>
      <c r="W788" s="245"/>
      <c r="X788" s="245"/>
      <c r="Y788" s="245"/>
      <c r="Z788" s="245"/>
    </row>
    <row r="789" spans="1:26">
      <c r="A789" s="245"/>
      <c r="B789" s="245"/>
      <c r="C789" s="245"/>
      <c r="D789" s="245"/>
      <c r="E789" s="245"/>
      <c r="F789" s="245"/>
      <c r="G789" s="245"/>
      <c r="H789" s="245"/>
      <c r="I789" s="245"/>
      <c r="J789" s="245"/>
      <c r="K789" s="245"/>
      <c r="L789" s="245"/>
      <c r="M789" s="245"/>
      <c r="N789" s="245"/>
      <c r="O789" s="245"/>
      <c r="P789" s="245"/>
      <c r="Q789" s="245"/>
      <c r="R789" s="245"/>
      <c r="S789" s="245"/>
      <c r="T789" s="245"/>
      <c r="U789" s="245"/>
      <c r="V789" s="245"/>
      <c r="W789" s="245"/>
      <c r="X789" s="245"/>
      <c r="Y789" s="245"/>
      <c r="Z789" s="245"/>
    </row>
    <row r="790" spans="1:26">
      <c r="A790" s="245"/>
      <c r="B790" s="245"/>
      <c r="C790" s="245"/>
      <c r="D790" s="245"/>
      <c r="E790" s="245"/>
      <c r="F790" s="245"/>
      <c r="G790" s="245"/>
      <c r="H790" s="245"/>
      <c r="I790" s="245"/>
      <c r="J790" s="245"/>
      <c r="K790" s="245"/>
      <c r="L790" s="245"/>
      <c r="M790" s="245"/>
      <c r="N790" s="245"/>
      <c r="O790" s="245"/>
      <c r="P790" s="245"/>
      <c r="Q790" s="245"/>
      <c r="R790" s="245"/>
      <c r="S790" s="245"/>
      <c r="T790" s="245"/>
      <c r="U790" s="245"/>
      <c r="V790" s="245"/>
      <c r="W790" s="245"/>
      <c r="X790" s="245"/>
      <c r="Y790" s="245"/>
      <c r="Z790" s="245"/>
    </row>
    <row r="791" spans="1:26">
      <c r="A791" s="245"/>
      <c r="B791" s="245"/>
      <c r="C791" s="245"/>
      <c r="D791" s="245"/>
      <c r="E791" s="245"/>
      <c r="F791" s="245"/>
      <c r="G791" s="245"/>
      <c r="H791" s="245"/>
      <c r="I791" s="245"/>
      <c r="J791" s="245"/>
      <c r="K791" s="245"/>
      <c r="L791" s="245"/>
      <c r="M791" s="245"/>
      <c r="N791" s="245"/>
      <c r="O791" s="245"/>
      <c r="P791" s="245"/>
      <c r="Q791" s="245"/>
      <c r="R791" s="245"/>
      <c r="S791" s="245"/>
      <c r="T791" s="245"/>
      <c r="U791" s="245"/>
      <c r="V791" s="245"/>
      <c r="W791" s="245"/>
      <c r="X791" s="245"/>
      <c r="Y791" s="245"/>
      <c r="Z791" s="245"/>
    </row>
    <row r="792" spans="1:26">
      <c r="A792" s="245"/>
      <c r="B792" s="245"/>
      <c r="C792" s="245"/>
      <c r="D792" s="245"/>
      <c r="E792" s="245"/>
      <c r="F792" s="245"/>
      <c r="G792" s="245"/>
      <c r="H792" s="245"/>
      <c r="I792" s="245"/>
      <c r="J792" s="245"/>
      <c r="K792" s="245"/>
      <c r="L792" s="245"/>
      <c r="M792" s="245"/>
      <c r="N792" s="245"/>
      <c r="O792" s="245"/>
      <c r="P792" s="245"/>
      <c r="Q792" s="245"/>
      <c r="R792" s="245"/>
      <c r="S792" s="245"/>
      <c r="T792" s="245"/>
      <c r="U792" s="245"/>
      <c r="V792" s="245"/>
      <c r="W792" s="245"/>
      <c r="X792" s="245"/>
      <c r="Y792" s="245"/>
      <c r="Z792" s="245"/>
    </row>
    <row r="793" spans="1:26">
      <c r="A793" s="245"/>
      <c r="B793" s="245"/>
      <c r="C793" s="245"/>
      <c r="D793" s="245"/>
      <c r="E793" s="245"/>
      <c r="F793" s="245"/>
      <c r="G793" s="245"/>
      <c r="H793" s="245"/>
      <c r="I793" s="245"/>
      <c r="J793" s="245"/>
      <c r="K793" s="245"/>
      <c r="L793" s="245"/>
      <c r="M793" s="245"/>
      <c r="N793" s="245"/>
      <c r="O793" s="245"/>
      <c r="P793" s="245"/>
      <c r="Q793" s="245"/>
      <c r="R793" s="245"/>
      <c r="S793" s="245"/>
      <c r="T793" s="245"/>
      <c r="U793" s="245"/>
      <c r="V793" s="245"/>
      <c r="W793" s="245"/>
      <c r="X793" s="245"/>
      <c r="Y793" s="245"/>
      <c r="Z793" s="245"/>
    </row>
    <row r="794" spans="1:26">
      <c r="A794" s="245"/>
      <c r="B794" s="245"/>
      <c r="C794" s="245"/>
      <c r="D794" s="245"/>
      <c r="E794" s="245"/>
      <c r="F794" s="245"/>
      <c r="G794" s="245"/>
      <c r="H794" s="245"/>
      <c r="I794" s="245"/>
      <c r="J794" s="245"/>
      <c r="K794" s="245"/>
      <c r="L794" s="245"/>
      <c r="M794" s="245"/>
      <c r="N794" s="245"/>
      <c r="O794" s="245"/>
      <c r="P794" s="245"/>
      <c r="Q794" s="245"/>
      <c r="R794" s="245"/>
      <c r="S794" s="245"/>
      <c r="T794" s="245"/>
      <c r="U794" s="245"/>
      <c r="V794" s="245"/>
      <c r="W794" s="245"/>
      <c r="X794" s="245"/>
      <c r="Y794" s="245"/>
      <c r="Z794" s="245"/>
    </row>
    <row r="795" spans="1:26">
      <c r="A795" s="245"/>
      <c r="B795" s="245"/>
      <c r="C795" s="245"/>
      <c r="D795" s="245"/>
      <c r="E795" s="245"/>
      <c r="F795" s="245"/>
      <c r="G795" s="245"/>
      <c r="H795" s="245"/>
      <c r="I795" s="245"/>
      <c r="J795" s="245"/>
      <c r="K795" s="245"/>
      <c r="L795" s="245"/>
      <c r="M795" s="245"/>
      <c r="N795" s="245"/>
      <c r="O795" s="245"/>
      <c r="P795" s="245"/>
      <c r="Q795" s="245"/>
      <c r="R795" s="245"/>
      <c r="S795" s="245"/>
      <c r="T795" s="245"/>
      <c r="U795" s="245"/>
      <c r="V795" s="245"/>
      <c r="W795" s="245"/>
      <c r="X795" s="245"/>
      <c r="Y795" s="245"/>
      <c r="Z795" s="245"/>
    </row>
    <row r="796" spans="1:26">
      <c r="A796" s="245"/>
      <c r="B796" s="245"/>
      <c r="C796" s="245"/>
      <c r="D796" s="245"/>
      <c r="E796" s="245"/>
      <c r="F796" s="245"/>
      <c r="G796" s="245"/>
      <c r="H796" s="245"/>
      <c r="I796" s="245"/>
      <c r="J796" s="245"/>
      <c r="K796" s="245"/>
      <c r="L796" s="245"/>
      <c r="M796" s="245"/>
      <c r="N796" s="245"/>
      <c r="O796" s="245"/>
      <c r="P796" s="245"/>
      <c r="Q796" s="245"/>
      <c r="R796" s="245"/>
      <c r="S796" s="245"/>
      <c r="T796" s="245"/>
      <c r="U796" s="245"/>
      <c r="V796" s="245"/>
      <c r="W796" s="245"/>
      <c r="X796" s="245"/>
      <c r="Y796" s="245"/>
      <c r="Z796" s="245"/>
    </row>
    <row r="797" spans="1:26">
      <c r="A797" s="245"/>
      <c r="B797" s="245"/>
      <c r="C797" s="245"/>
      <c r="D797" s="245"/>
      <c r="E797" s="245"/>
      <c r="F797" s="245"/>
      <c r="G797" s="245"/>
      <c r="H797" s="245"/>
      <c r="I797" s="245"/>
      <c r="J797" s="245"/>
      <c r="K797" s="245"/>
      <c r="L797" s="245"/>
      <c r="M797" s="245"/>
      <c r="N797" s="245"/>
      <c r="O797" s="245"/>
      <c r="P797" s="245"/>
      <c r="Q797" s="245"/>
      <c r="R797" s="245"/>
      <c r="S797" s="245"/>
      <c r="T797" s="245"/>
      <c r="U797" s="245"/>
      <c r="V797" s="245"/>
      <c r="W797" s="245"/>
      <c r="X797" s="245"/>
      <c r="Y797" s="245"/>
      <c r="Z797" s="245"/>
    </row>
    <row r="798" spans="1:26">
      <c r="A798" s="245"/>
      <c r="B798" s="245"/>
      <c r="C798" s="245"/>
      <c r="D798" s="245"/>
      <c r="E798" s="245"/>
      <c r="F798" s="245"/>
      <c r="G798" s="245"/>
      <c r="H798" s="245"/>
      <c r="I798" s="245"/>
      <c r="J798" s="245"/>
      <c r="K798" s="245"/>
      <c r="L798" s="245"/>
      <c r="M798" s="245"/>
      <c r="N798" s="245"/>
      <c r="O798" s="245"/>
      <c r="P798" s="245"/>
      <c r="Q798" s="245"/>
      <c r="R798" s="245"/>
      <c r="S798" s="245"/>
      <c r="T798" s="245"/>
      <c r="U798" s="245"/>
      <c r="V798" s="245"/>
      <c r="W798" s="245"/>
      <c r="X798" s="245"/>
      <c r="Y798" s="245"/>
      <c r="Z798" s="245"/>
    </row>
    <row r="799" spans="1:26">
      <c r="A799" s="245"/>
      <c r="B799" s="245"/>
      <c r="C799" s="245"/>
      <c r="D799" s="245"/>
      <c r="E799" s="245"/>
      <c r="F799" s="245"/>
      <c r="G799" s="245"/>
      <c r="H799" s="245"/>
      <c r="I799" s="245"/>
      <c r="J799" s="245"/>
      <c r="K799" s="245"/>
      <c r="L799" s="245"/>
      <c r="M799" s="245"/>
      <c r="N799" s="245"/>
      <c r="O799" s="245"/>
      <c r="P799" s="245"/>
      <c r="Q799" s="245"/>
      <c r="R799" s="245"/>
      <c r="S799" s="245"/>
      <c r="T799" s="245"/>
      <c r="U799" s="245"/>
      <c r="V799" s="245"/>
      <c r="W799" s="245"/>
      <c r="X799" s="245"/>
      <c r="Y799" s="245"/>
      <c r="Z799" s="245"/>
    </row>
    <row r="800" spans="1:26">
      <c r="A800" s="245"/>
      <c r="B800" s="245"/>
      <c r="C800" s="245"/>
      <c r="D800" s="245"/>
      <c r="E800" s="245"/>
      <c r="F800" s="245"/>
      <c r="G800" s="245"/>
      <c r="H800" s="245"/>
      <c r="I800" s="245"/>
      <c r="J800" s="245"/>
      <c r="K800" s="245"/>
      <c r="L800" s="245"/>
      <c r="M800" s="245"/>
      <c r="N800" s="245"/>
      <c r="O800" s="245"/>
      <c r="P800" s="245"/>
      <c r="Q800" s="245"/>
      <c r="R800" s="245"/>
      <c r="S800" s="245"/>
      <c r="T800" s="245"/>
      <c r="U800" s="245"/>
      <c r="V800" s="245"/>
      <c r="W800" s="245"/>
      <c r="X800" s="245"/>
      <c r="Y800" s="245"/>
      <c r="Z800" s="245"/>
    </row>
    <row r="801" spans="1:26">
      <c r="A801" s="245"/>
      <c r="B801" s="245"/>
      <c r="C801" s="245"/>
      <c r="D801" s="245"/>
      <c r="E801" s="245"/>
      <c r="F801" s="245"/>
      <c r="G801" s="245"/>
      <c r="H801" s="245"/>
      <c r="I801" s="245"/>
      <c r="J801" s="245"/>
      <c r="K801" s="245"/>
      <c r="L801" s="245"/>
      <c r="M801" s="245"/>
      <c r="N801" s="245"/>
      <c r="O801" s="245"/>
      <c r="P801" s="245"/>
      <c r="Q801" s="245"/>
      <c r="R801" s="245"/>
      <c r="S801" s="245"/>
      <c r="T801" s="245"/>
      <c r="U801" s="245"/>
      <c r="V801" s="245"/>
      <c r="W801" s="245"/>
      <c r="X801" s="245"/>
      <c r="Y801" s="245"/>
      <c r="Z801" s="245"/>
    </row>
    <row r="802" spans="1:26">
      <c r="A802" s="245"/>
      <c r="B802" s="245"/>
      <c r="C802" s="245"/>
      <c r="D802" s="245"/>
      <c r="E802" s="245"/>
      <c r="F802" s="245"/>
      <c r="G802" s="245"/>
      <c r="H802" s="245"/>
      <c r="I802" s="245"/>
      <c r="J802" s="245"/>
      <c r="K802" s="245"/>
      <c r="L802" s="245"/>
      <c r="M802" s="245"/>
      <c r="N802" s="245"/>
      <c r="O802" s="245"/>
      <c r="P802" s="245"/>
      <c r="Q802" s="245"/>
      <c r="R802" s="245"/>
      <c r="S802" s="245"/>
      <c r="T802" s="245"/>
      <c r="U802" s="245"/>
      <c r="V802" s="245"/>
      <c r="W802" s="245"/>
      <c r="X802" s="245"/>
      <c r="Y802" s="245"/>
      <c r="Z802" s="245"/>
    </row>
    <row r="803" spans="1:26">
      <c r="A803" s="245"/>
      <c r="B803" s="245"/>
      <c r="C803" s="245"/>
      <c r="D803" s="245"/>
      <c r="E803" s="245"/>
      <c r="F803" s="245"/>
      <c r="G803" s="245"/>
      <c r="H803" s="245"/>
      <c r="I803" s="245"/>
      <c r="J803" s="245"/>
      <c r="K803" s="245"/>
      <c r="L803" s="245"/>
      <c r="M803" s="245"/>
      <c r="N803" s="245"/>
      <c r="O803" s="245"/>
      <c r="P803" s="245"/>
      <c r="Q803" s="245"/>
      <c r="R803" s="245"/>
      <c r="S803" s="245"/>
      <c r="T803" s="245"/>
      <c r="U803" s="245"/>
      <c r="V803" s="245"/>
      <c r="W803" s="245"/>
      <c r="X803" s="245"/>
      <c r="Y803" s="245"/>
      <c r="Z803" s="245"/>
    </row>
    <row r="804" spans="1:26">
      <c r="A804" s="245"/>
      <c r="B804" s="245"/>
      <c r="C804" s="245"/>
      <c r="D804" s="245"/>
      <c r="E804" s="245"/>
      <c r="F804" s="245"/>
      <c r="G804" s="245"/>
      <c r="H804" s="245"/>
      <c r="I804" s="245"/>
      <c r="J804" s="245"/>
      <c r="K804" s="245"/>
      <c r="L804" s="245"/>
      <c r="M804" s="245"/>
      <c r="N804" s="245"/>
      <c r="O804" s="245"/>
      <c r="P804" s="245"/>
      <c r="Q804" s="245"/>
      <c r="R804" s="245"/>
      <c r="S804" s="245"/>
      <c r="T804" s="245"/>
      <c r="U804" s="245"/>
      <c r="V804" s="245"/>
      <c r="W804" s="245"/>
      <c r="X804" s="245"/>
      <c r="Y804" s="245"/>
      <c r="Z804" s="245"/>
    </row>
    <row r="805" spans="1:26">
      <c r="A805" s="245"/>
      <c r="B805" s="245"/>
      <c r="C805" s="245"/>
      <c r="D805" s="245"/>
      <c r="E805" s="245"/>
      <c r="F805" s="245"/>
      <c r="G805" s="245"/>
      <c r="H805" s="245"/>
      <c r="I805" s="245"/>
      <c r="J805" s="245"/>
      <c r="K805" s="245"/>
      <c r="L805" s="245"/>
      <c r="M805" s="245"/>
      <c r="N805" s="245"/>
      <c r="O805" s="245"/>
      <c r="P805" s="245"/>
      <c r="Q805" s="245"/>
      <c r="R805" s="245"/>
      <c r="S805" s="245"/>
      <c r="T805" s="245"/>
      <c r="U805" s="245"/>
      <c r="V805" s="245"/>
      <c r="W805" s="245"/>
      <c r="X805" s="245"/>
      <c r="Y805" s="245"/>
      <c r="Z805" s="245"/>
    </row>
    <row r="806" spans="1:26">
      <c r="A806" s="245"/>
      <c r="B806" s="245"/>
      <c r="C806" s="245"/>
      <c r="D806" s="245"/>
      <c r="E806" s="245"/>
      <c r="F806" s="245"/>
      <c r="G806" s="245"/>
      <c r="H806" s="245"/>
      <c r="I806" s="245"/>
      <c r="J806" s="245"/>
      <c r="K806" s="245"/>
      <c r="L806" s="245"/>
      <c r="M806" s="245"/>
      <c r="N806" s="245"/>
      <c r="O806" s="245"/>
      <c r="P806" s="245"/>
      <c r="Q806" s="245"/>
      <c r="R806" s="245"/>
      <c r="S806" s="245"/>
      <c r="T806" s="245"/>
      <c r="U806" s="245"/>
      <c r="V806" s="245"/>
      <c r="W806" s="245"/>
      <c r="X806" s="245"/>
      <c r="Y806" s="245"/>
      <c r="Z806" s="245"/>
    </row>
    <row r="807" spans="1:26">
      <c r="A807" s="245"/>
      <c r="B807" s="245"/>
      <c r="C807" s="245"/>
      <c r="D807" s="245"/>
      <c r="E807" s="245"/>
      <c r="F807" s="245"/>
      <c r="G807" s="245"/>
      <c r="H807" s="245"/>
      <c r="I807" s="245"/>
      <c r="J807" s="245"/>
      <c r="K807" s="245"/>
      <c r="L807" s="245"/>
      <c r="M807" s="245"/>
      <c r="N807" s="245"/>
      <c r="O807" s="245"/>
      <c r="P807" s="245"/>
      <c r="Q807" s="245"/>
      <c r="R807" s="245"/>
      <c r="S807" s="245"/>
      <c r="T807" s="245"/>
      <c r="U807" s="245"/>
      <c r="V807" s="245"/>
      <c r="W807" s="245"/>
      <c r="X807" s="245"/>
      <c r="Y807" s="245"/>
      <c r="Z807" s="245"/>
    </row>
    <row r="808" spans="1:26">
      <c r="A808" s="245"/>
      <c r="B808" s="245"/>
      <c r="C808" s="245"/>
      <c r="D808" s="245"/>
      <c r="E808" s="245"/>
      <c r="F808" s="245"/>
      <c r="G808" s="245"/>
      <c r="H808" s="245"/>
      <c r="I808" s="245"/>
      <c r="J808" s="245"/>
      <c r="K808" s="245"/>
      <c r="L808" s="245"/>
      <c r="M808" s="245"/>
      <c r="N808" s="245"/>
      <c r="O808" s="245"/>
      <c r="P808" s="245"/>
      <c r="Q808" s="245"/>
      <c r="R808" s="245"/>
      <c r="S808" s="245"/>
      <c r="T808" s="245"/>
      <c r="U808" s="245"/>
      <c r="V808" s="245"/>
      <c r="W808" s="245"/>
      <c r="X808" s="245"/>
      <c r="Y808" s="245"/>
      <c r="Z808" s="245"/>
    </row>
    <row r="809" spans="1:26">
      <c r="A809" s="245"/>
      <c r="B809" s="245"/>
      <c r="C809" s="245"/>
      <c r="D809" s="245"/>
      <c r="E809" s="245"/>
      <c r="F809" s="245"/>
      <c r="G809" s="245"/>
      <c r="H809" s="245"/>
      <c r="I809" s="245"/>
      <c r="J809" s="245"/>
      <c r="K809" s="245"/>
      <c r="L809" s="245"/>
      <c r="M809" s="245"/>
      <c r="N809" s="245"/>
      <c r="O809" s="245"/>
      <c r="P809" s="245"/>
      <c r="Q809" s="245"/>
      <c r="R809" s="245"/>
      <c r="S809" s="245"/>
      <c r="T809" s="245"/>
      <c r="U809" s="245"/>
      <c r="V809" s="245"/>
      <c r="W809" s="245"/>
      <c r="X809" s="245"/>
      <c r="Y809" s="245"/>
      <c r="Z809" s="245"/>
    </row>
    <row r="810" spans="1:26">
      <c r="A810" s="245"/>
      <c r="B810" s="245"/>
      <c r="C810" s="245"/>
      <c r="D810" s="245"/>
      <c r="E810" s="245"/>
      <c r="F810" s="245"/>
      <c r="G810" s="245"/>
      <c r="H810" s="245"/>
      <c r="I810" s="245"/>
      <c r="J810" s="245"/>
      <c r="K810" s="245"/>
      <c r="L810" s="245"/>
      <c r="M810" s="245"/>
      <c r="N810" s="245"/>
      <c r="O810" s="245"/>
      <c r="P810" s="245"/>
      <c r="Q810" s="245"/>
      <c r="R810" s="245"/>
      <c r="S810" s="245"/>
      <c r="T810" s="245"/>
      <c r="U810" s="245"/>
      <c r="V810" s="245"/>
      <c r="W810" s="245"/>
      <c r="X810" s="245"/>
      <c r="Y810" s="245"/>
      <c r="Z810" s="245"/>
    </row>
    <row r="811" spans="1:26">
      <c r="A811" s="245"/>
      <c r="B811" s="245"/>
      <c r="C811" s="245"/>
      <c r="D811" s="245"/>
      <c r="E811" s="245"/>
      <c r="F811" s="245"/>
      <c r="G811" s="245"/>
      <c r="H811" s="245"/>
      <c r="I811" s="245"/>
      <c r="J811" s="245"/>
      <c r="K811" s="245"/>
      <c r="L811" s="245"/>
      <c r="M811" s="245"/>
      <c r="N811" s="245"/>
      <c r="O811" s="245"/>
      <c r="P811" s="245"/>
      <c r="Q811" s="245"/>
      <c r="R811" s="245"/>
      <c r="S811" s="245"/>
      <c r="T811" s="245"/>
      <c r="U811" s="245"/>
      <c r="V811" s="245"/>
      <c r="W811" s="245"/>
      <c r="X811" s="245"/>
      <c r="Y811" s="245"/>
      <c r="Z811" s="245"/>
    </row>
    <row r="812" spans="1:26">
      <c r="A812" s="245"/>
      <c r="B812" s="245"/>
      <c r="C812" s="245"/>
      <c r="D812" s="245"/>
      <c r="E812" s="245"/>
      <c r="F812" s="245"/>
      <c r="G812" s="245"/>
      <c r="H812" s="245"/>
      <c r="I812" s="245"/>
      <c r="J812" s="245"/>
      <c r="K812" s="245"/>
      <c r="L812" s="245"/>
      <c r="M812" s="245"/>
      <c r="N812" s="245"/>
      <c r="O812" s="245"/>
      <c r="P812" s="245"/>
      <c r="Q812" s="245"/>
      <c r="R812" s="245"/>
      <c r="S812" s="245"/>
      <c r="T812" s="245"/>
      <c r="U812" s="245"/>
      <c r="V812" s="245"/>
      <c r="W812" s="245"/>
      <c r="X812" s="245"/>
      <c r="Y812" s="245"/>
      <c r="Z812" s="245"/>
    </row>
    <row r="813" spans="1:26">
      <c r="A813" s="245"/>
      <c r="B813" s="245"/>
      <c r="C813" s="245"/>
      <c r="D813" s="245"/>
      <c r="E813" s="245"/>
      <c r="F813" s="245"/>
      <c r="G813" s="245"/>
      <c r="H813" s="245"/>
      <c r="I813" s="245"/>
      <c r="J813" s="245"/>
      <c r="K813" s="245"/>
      <c r="L813" s="245"/>
      <c r="M813" s="245"/>
      <c r="N813" s="245"/>
      <c r="O813" s="245"/>
      <c r="P813" s="245"/>
      <c r="Q813" s="245"/>
      <c r="R813" s="245"/>
      <c r="S813" s="245"/>
      <c r="T813" s="245"/>
      <c r="U813" s="245"/>
      <c r="V813" s="245"/>
      <c r="W813" s="245"/>
      <c r="X813" s="245"/>
      <c r="Y813" s="245"/>
      <c r="Z813" s="245"/>
    </row>
    <row r="814" spans="1:26">
      <c r="A814" s="245"/>
      <c r="B814" s="245"/>
      <c r="C814" s="245"/>
      <c r="D814" s="245"/>
      <c r="E814" s="245"/>
      <c r="F814" s="245"/>
      <c r="G814" s="245"/>
      <c r="H814" s="245"/>
      <c r="I814" s="245"/>
      <c r="J814" s="245"/>
      <c r="K814" s="245"/>
      <c r="L814" s="245"/>
      <c r="M814" s="245"/>
      <c r="N814" s="245"/>
      <c r="O814" s="245"/>
      <c r="P814" s="245"/>
      <c r="Q814" s="245"/>
      <c r="R814" s="245"/>
      <c r="S814" s="245"/>
      <c r="T814" s="245"/>
      <c r="U814" s="245"/>
      <c r="V814" s="245"/>
      <c r="W814" s="245"/>
      <c r="X814" s="245"/>
      <c r="Y814" s="245"/>
      <c r="Z814" s="245"/>
    </row>
    <row r="815" spans="1:26">
      <c r="A815" s="245"/>
      <c r="B815" s="245"/>
      <c r="C815" s="245"/>
      <c r="D815" s="245"/>
      <c r="E815" s="245"/>
      <c r="F815" s="245"/>
      <c r="G815" s="245"/>
      <c r="H815" s="245"/>
      <c r="I815" s="245"/>
      <c r="J815" s="245"/>
      <c r="K815" s="245"/>
      <c r="L815" s="245"/>
      <c r="M815" s="245"/>
      <c r="N815" s="245"/>
      <c r="O815" s="245"/>
      <c r="P815" s="245"/>
      <c r="Q815" s="245"/>
      <c r="R815" s="245"/>
      <c r="S815" s="245"/>
      <c r="T815" s="245"/>
      <c r="U815" s="245"/>
      <c r="V815" s="245"/>
      <c r="W815" s="245"/>
      <c r="X815" s="245"/>
      <c r="Y815" s="245"/>
      <c r="Z815" s="245"/>
    </row>
    <row r="816" spans="1:26">
      <c r="A816" s="245"/>
      <c r="B816" s="245"/>
      <c r="C816" s="245"/>
      <c r="D816" s="245"/>
      <c r="E816" s="245"/>
      <c r="F816" s="245"/>
      <c r="G816" s="245"/>
      <c r="H816" s="245"/>
      <c r="I816" s="245"/>
      <c r="J816" s="245"/>
      <c r="K816" s="245"/>
      <c r="L816" s="245"/>
      <c r="M816" s="245"/>
      <c r="N816" s="245"/>
      <c r="O816" s="245"/>
      <c r="P816" s="245"/>
      <c r="Q816" s="245"/>
      <c r="R816" s="245"/>
      <c r="S816" s="245"/>
      <c r="T816" s="245"/>
      <c r="U816" s="245"/>
      <c r="V816" s="245"/>
      <c r="W816" s="245"/>
      <c r="X816" s="245"/>
      <c r="Y816" s="245"/>
      <c r="Z816" s="245"/>
    </row>
    <row r="817" spans="1:26">
      <c r="A817" s="245"/>
      <c r="B817" s="245"/>
      <c r="C817" s="245"/>
      <c r="D817" s="245"/>
      <c r="E817" s="245"/>
      <c r="F817" s="245"/>
      <c r="G817" s="245"/>
      <c r="H817" s="245"/>
      <c r="I817" s="245"/>
      <c r="J817" s="245"/>
      <c r="K817" s="245"/>
      <c r="L817" s="245"/>
      <c r="M817" s="245"/>
      <c r="N817" s="245"/>
      <c r="O817" s="245"/>
      <c r="P817" s="245"/>
      <c r="Q817" s="245"/>
      <c r="R817" s="245"/>
      <c r="S817" s="245"/>
      <c r="T817" s="245"/>
      <c r="U817" s="245"/>
      <c r="V817" s="245"/>
      <c r="W817" s="245"/>
      <c r="X817" s="245"/>
      <c r="Y817" s="245"/>
      <c r="Z817" s="245"/>
    </row>
    <row r="818" spans="1:26">
      <c r="A818" s="245"/>
      <c r="B818" s="245"/>
      <c r="C818" s="245"/>
      <c r="D818" s="245"/>
      <c r="E818" s="245"/>
      <c r="F818" s="245"/>
      <c r="G818" s="245"/>
      <c r="H818" s="245"/>
      <c r="I818" s="245"/>
      <c r="J818" s="245"/>
      <c r="K818" s="245"/>
      <c r="L818" s="245"/>
      <c r="M818" s="245"/>
      <c r="N818" s="245"/>
      <c r="O818" s="245"/>
      <c r="P818" s="245"/>
      <c r="Q818" s="245"/>
      <c r="R818" s="245"/>
      <c r="S818" s="245"/>
      <c r="T818" s="245"/>
      <c r="U818" s="245"/>
      <c r="V818" s="245"/>
      <c r="W818" s="245"/>
      <c r="X818" s="245"/>
      <c r="Y818" s="245"/>
      <c r="Z818" s="245"/>
    </row>
    <row r="819" spans="1:26">
      <c r="A819" s="245"/>
      <c r="B819" s="245"/>
      <c r="C819" s="245"/>
      <c r="D819" s="245"/>
      <c r="E819" s="245"/>
      <c r="F819" s="245"/>
      <c r="G819" s="245"/>
      <c r="H819" s="245"/>
      <c r="I819" s="245"/>
      <c r="J819" s="245"/>
      <c r="K819" s="245"/>
      <c r="L819" s="245"/>
      <c r="M819" s="245"/>
      <c r="N819" s="245"/>
      <c r="O819" s="245"/>
      <c r="P819" s="245"/>
      <c r="Q819" s="245"/>
      <c r="R819" s="245"/>
      <c r="S819" s="245"/>
      <c r="T819" s="245"/>
      <c r="U819" s="245"/>
      <c r="V819" s="245"/>
      <c r="W819" s="245"/>
      <c r="X819" s="245"/>
      <c r="Y819" s="245"/>
      <c r="Z819" s="245"/>
    </row>
    <row r="820" spans="1:26">
      <c r="A820" s="245"/>
      <c r="B820" s="245"/>
      <c r="C820" s="245"/>
      <c r="D820" s="245"/>
      <c r="E820" s="245"/>
      <c r="F820" s="245"/>
      <c r="G820" s="245"/>
      <c r="H820" s="245"/>
      <c r="I820" s="245"/>
      <c r="J820" s="245"/>
      <c r="K820" s="245"/>
      <c r="L820" s="245"/>
      <c r="M820" s="245"/>
      <c r="N820" s="245"/>
      <c r="O820" s="245"/>
      <c r="P820" s="245"/>
      <c r="Q820" s="245"/>
      <c r="R820" s="245"/>
      <c r="S820" s="245"/>
      <c r="T820" s="245"/>
      <c r="U820" s="245"/>
      <c r="V820" s="245"/>
      <c r="W820" s="245"/>
      <c r="X820" s="245"/>
      <c r="Y820" s="245"/>
      <c r="Z820" s="245"/>
    </row>
    <row r="821" spans="1:26">
      <c r="A821" s="245"/>
      <c r="B821" s="245"/>
      <c r="C821" s="245"/>
      <c r="D821" s="245"/>
      <c r="E821" s="245"/>
      <c r="F821" s="245"/>
      <c r="G821" s="245"/>
      <c r="H821" s="245"/>
      <c r="I821" s="245"/>
      <c r="J821" s="245"/>
      <c r="K821" s="245"/>
      <c r="L821" s="245"/>
      <c r="M821" s="245"/>
      <c r="N821" s="245"/>
      <c r="O821" s="245"/>
      <c r="P821" s="245"/>
      <c r="Q821" s="245"/>
      <c r="R821" s="245"/>
      <c r="S821" s="245"/>
      <c r="T821" s="245"/>
      <c r="U821" s="245"/>
      <c r="V821" s="245"/>
      <c r="W821" s="245"/>
      <c r="X821" s="245"/>
      <c r="Y821" s="245"/>
      <c r="Z821" s="245"/>
    </row>
    <row r="822" spans="1:26">
      <c r="A822" s="245"/>
      <c r="B822" s="245"/>
      <c r="C822" s="245"/>
      <c r="D822" s="245"/>
      <c r="E822" s="245"/>
      <c r="F822" s="245"/>
      <c r="G822" s="245"/>
      <c r="H822" s="245"/>
      <c r="I822" s="245"/>
      <c r="J822" s="245"/>
      <c r="K822" s="245"/>
      <c r="L822" s="245"/>
      <c r="M822" s="245"/>
      <c r="N822" s="245"/>
      <c r="O822" s="245"/>
      <c r="P822" s="245"/>
      <c r="Q822" s="245"/>
      <c r="R822" s="245"/>
      <c r="S822" s="245"/>
      <c r="T822" s="245"/>
      <c r="U822" s="245"/>
      <c r="V822" s="245"/>
      <c r="W822" s="245"/>
      <c r="X822" s="245"/>
      <c r="Y822" s="245"/>
      <c r="Z822" s="245"/>
    </row>
    <row r="823" spans="1:26">
      <c r="A823" s="245"/>
      <c r="B823" s="245"/>
      <c r="C823" s="245"/>
      <c r="D823" s="245"/>
      <c r="E823" s="245"/>
      <c r="F823" s="245"/>
      <c r="G823" s="245"/>
      <c r="H823" s="245"/>
      <c r="I823" s="245"/>
      <c r="J823" s="245"/>
      <c r="K823" s="245"/>
      <c r="L823" s="245"/>
      <c r="M823" s="245"/>
      <c r="N823" s="245"/>
      <c r="O823" s="245"/>
      <c r="P823" s="245"/>
      <c r="Q823" s="245"/>
      <c r="R823" s="245"/>
      <c r="S823" s="245"/>
      <c r="T823" s="245"/>
      <c r="U823" s="245"/>
      <c r="V823" s="245"/>
      <c r="W823" s="245"/>
      <c r="X823" s="245"/>
      <c r="Y823" s="245"/>
      <c r="Z823" s="245"/>
    </row>
    <row r="824" spans="1:26">
      <c r="A824" s="245"/>
      <c r="B824" s="245"/>
      <c r="C824" s="245"/>
      <c r="D824" s="245"/>
      <c r="E824" s="245"/>
      <c r="F824" s="245"/>
      <c r="G824" s="245"/>
      <c r="H824" s="245"/>
      <c r="I824" s="245"/>
      <c r="J824" s="245"/>
      <c r="K824" s="245"/>
      <c r="L824" s="245"/>
      <c r="M824" s="245"/>
      <c r="N824" s="245"/>
      <c r="O824" s="245"/>
      <c r="P824" s="245"/>
      <c r="Q824" s="245"/>
      <c r="R824" s="245"/>
      <c r="S824" s="245"/>
      <c r="T824" s="245"/>
      <c r="U824" s="245"/>
      <c r="V824" s="245"/>
      <c r="W824" s="245"/>
      <c r="X824" s="245"/>
      <c r="Y824" s="245"/>
      <c r="Z824" s="245"/>
    </row>
    <row r="825" spans="1:26">
      <c r="A825" s="245"/>
      <c r="B825" s="245"/>
      <c r="C825" s="245"/>
      <c r="D825" s="245"/>
      <c r="E825" s="245"/>
      <c r="F825" s="245"/>
      <c r="G825" s="245"/>
      <c r="H825" s="245"/>
      <c r="I825" s="245"/>
      <c r="J825" s="245"/>
      <c r="K825" s="245"/>
      <c r="L825" s="245"/>
      <c r="M825" s="245"/>
      <c r="N825" s="245"/>
      <c r="O825" s="245"/>
      <c r="P825" s="245"/>
      <c r="Q825" s="245"/>
      <c r="R825" s="245"/>
      <c r="S825" s="245"/>
      <c r="T825" s="245"/>
      <c r="U825" s="245"/>
      <c r="V825" s="245"/>
      <c r="W825" s="245"/>
      <c r="X825" s="245"/>
      <c r="Y825" s="245"/>
      <c r="Z825" s="245"/>
    </row>
    <row r="826" spans="1:26">
      <c r="A826" s="245"/>
      <c r="B826" s="245"/>
      <c r="C826" s="245"/>
      <c r="D826" s="245"/>
      <c r="E826" s="245"/>
      <c r="F826" s="245"/>
      <c r="G826" s="245"/>
      <c r="H826" s="245"/>
      <c r="I826" s="245"/>
      <c r="J826" s="245"/>
      <c r="K826" s="245"/>
      <c r="L826" s="245"/>
      <c r="M826" s="245"/>
      <c r="N826" s="245"/>
      <c r="O826" s="245"/>
      <c r="P826" s="245"/>
      <c r="Q826" s="245"/>
      <c r="R826" s="245"/>
      <c r="S826" s="245"/>
      <c r="T826" s="245"/>
      <c r="U826" s="245"/>
      <c r="V826" s="245"/>
      <c r="W826" s="245"/>
      <c r="X826" s="245"/>
      <c r="Y826" s="245"/>
      <c r="Z826" s="245"/>
    </row>
    <row r="827" spans="1:26">
      <c r="A827" s="245"/>
      <c r="B827" s="245"/>
      <c r="C827" s="245"/>
      <c r="D827" s="245"/>
      <c r="E827" s="245"/>
      <c r="F827" s="245"/>
      <c r="G827" s="245"/>
      <c r="H827" s="245"/>
      <c r="I827" s="245"/>
      <c r="J827" s="245"/>
      <c r="K827" s="245"/>
      <c r="L827" s="245"/>
      <c r="M827" s="245"/>
      <c r="N827" s="245"/>
      <c r="O827" s="245"/>
      <c r="P827" s="245"/>
      <c r="Q827" s="245"/>
      <c r="R827" s="245"/>
      <c r="S827" s="245"/>
      <c r="T827" s="245"/>
      <c r="U827" s="245"/>
      <c r="V827" s="245"/>
      <c r="W827" s="245"/>
      <c r="X827" s="245"/>
      <c r="Y827" s="245"/>
      <c r="Z827" s="245"/>
    </row>
    <row r="828" spans="1:26">
      <c r="A828" s="245"/>
      <c r="B828" s="245"/>
      <c r="C828" s="245"/>
      <c r="D828" s="245"/>
      <c r="E828" s="245"/>
      <c r="F828" s="245"/>
      <c r="G828" s="245"/>
      <c r="H828" s="245"/>
      <c r="I828" s="245"/>
      <c r="J828" s="245"/>
      <c r="K828" s="245"/>
      <c r="L828" s="245"/>
      <c r="M828" s="245"/>
      <c r="N828" s="245"/>
      <c r="O828" s="245"/>
      <c r="P828" s="245"/>
      <c r="Q828" s="245"/>
      <c r="R828" s="245"/>
      <c r="S828" s="245"/>
      <c r="T828" s="245"/>
      <c r="U828" s="245"/>
      <c r="V828" s="245"/>
      <c r="W828" s="245"/>
      <c r="X828" s="245"/>
      <c r="Y828" s="245"/>
      <c r="Z828" s="245"/>
    </row>
    <row r="829" spans="1:26">
      <c r="A829" s="245"/>
      <c r="B829" s="245"/>
      <c r="C829" s="245"/>
      <c r="D829" s="245"/>
      <c r="E829" s="245"/>
      <c r="F829" s="245"/>
      <c r="G829" s="245"/>
      <c r="H829" s="245"/>
      <c r="I829" s="245"/>
      <c r="J829" s="245"/>
      <c r="K829" s="245"/>
      <c r="L829" s="245"/>
      <c r="M829" s="245"/>
      <c r="N829" s="245"/>
      <c r="O829" s="245"/>
      <c r="P829" s="245"/>
      <c r="Q829" s="245"/>
      <c r="R829" s="245"/>
      <c r="S829" s="245"/>
      <c r="T829" s="245"/>
      <c r="U829" s="245"/>
      <c r="V829" s="245"/>
      <c r="W829" s="245"/>
      <c r="X829" s="245"/>
      <c r="Y829" s="245"/>
      <c r="Z829" s="245"/>
    </row>
    <row r="830" spans="1:26">
      <c r="A830" s="245"/>
      <c r="B830" s="245"/>
      <c r="C830" s="245"/>
      <c r="D830" s="245"/>
      <c r="E830" s="245"/>
      <c r="F830" s="245"/>
      <c r="G830" s="245"/>
      <c r="H830" s="245"/>
      <c r="I830" s="245"/>
      <c r="J830" s="245"/>
      <c r="K830" s="245"/>
      <c r="L830" s="245"/>
      <c r="M830" s="245"/>
      <c r="N830" s="245"/>
      <c r="O830" s="245"/>
      <c r="P830" s="245"/>
      <c r="Q830" s="245"/>
      <c r="R830" s="245"/>
      <c r="S830" s="245"/>
      <c r="T830" s="245"/>
      <c r="U830" s="245"/>
      <c r="V830" s="245"/>
      <c r="W830" s="245"/>
      <c r="X830" s="245"/>
      <c r="Y830" s="245"/>
      <c r="Z830" s="245"/>
    </row>
    <row r="831" spans="1:26">
      <c r="A831" s="245"/>
      <c r="B831" s="245"/>
      <c r="C831" s="245"/>
      <c r="D831" s="245"/>
      <c r="E831" s="245"/>
      <c r="F831" s="245"/>
      <c r="G831" s="245"/>
      <c r="H831" s="245"/>
      <c r="I831" s="245"/>
      <c r="J831" s="245"/>
      <c r="K831" s="245"/>
      <c r="L831" s="245"/>
      <c r="M831" s="245"/>
      <c r="N831" s="245"/>
      <c r="O831" s="245"/>
      <c r="P831" s="245"/>
      <c r="Q831" s="245"/>
      <c r="R831" s="245"/>
      <c r="S831" s="245"/>
      <c r="T831" s="245"/>
      <c r="U831" s="245"/>
      <c r="V831" s="245"/>
      <c r="W831" s="245"/>
      <c r="X831" s="245"/>
      <c r="Y831" s="245"/>
      <c r="Z831" s="245"/>
    </row>
    <row r="832" spans="1:26">
      <c r="A832" s="245"/>
      <c r="B832" s="245"/>
      <c r="C832" s="245"/>
      <c r="D832" s="245"/>
      <c r="E832" s="245"/>
      <c r="F832" s="245"/>
      <c r="G832" s="245"/>
      <c r="H832" s="245"/>
      <c r="I832" s="245"/>
      <c r="J832" s="245"/>
      <c r="K832" s="245"/>
      <c r="L832" s="245"/>
      <c r="M832" s="245"/>
      <c r="N832" s="245"/>
      <c r="O832" s="245"/>
      <c r="P832" s="245"/>
      <c r="Q832" s="245"/>
      <c r="R832" s="245"/>
      <c r="S832" s="245"/>
      <c r="T832" s="245"/>
      <c r="U832" s="245"/>
      <c r="V832" s="245"/>
      <c r="W832" s="245"/>
      <c r="X832" s="245"/>
      <c r="Y832" s="245"/>
      <c r="Z832" s="245"/>
    </row>
    <row r="833" spans="1:26">
      <c r="A833" s="245"/>
      <c r="B833" s="245"/>
      <c r="C833" s="245"/>
      <c r="D833" s="245"/>
      <c r="E833" s="245"/>
      <c r="F833" s="245"/>
      <c r="G833" s="245"/>
      <c r="H833" s="245"/>
      <c r="I833" s="245"/>
      <c r="J833" s="245"/>
      <c r="K833" s="245"/>
      <c r="L833" s="245"/>
      <c r="M833" s="245"/>
      <c r="N833" s="245"/>
      <c r="O833" s="245"/>
      <c r="P833" s="245"/>
      <c r="Q833" s="245"/>
      <c r="R833" s="245"/>
      <c r="S833" s="245"/>
      <c r="T833" s="245"/>
      <c r="U833" s="245"/>
      <c r="V833" s="245"/>
      <c r="W833" s="245"/>
      <c r="X833" s="245"/>
      <c r="Y833" s="245"/>
      <c r="Z833" s="245"/>
    </row>
    <row r="834" spans="1:26">
      <c r="A834" s="245"/>
      <c r="B834" s="245"/>
      <c r="C834" s="245"/>
      <c r="D834" s="245"/>
      <c r="E834" s="245"/>
      <c r="F834" s="245"/>
      <c r="G834" s="245"/>
      <c r="H834" s="245"/>
      <c r="I834" s="245"/>
      <c r="J834" s="245"/>
      <c r="K834" s="245"/>
      <c r="L834" s="245"/>
      <c r="M834" s="245"/>
      <c r="N834" s="245"/>
      <c r="O834" s="245"/>
      <c r="P834" s="245"/>
      <c r="Q834" s="245"/>
      <c r="R834" s="245"/>
      <c r="S834" s="245"/>
      <c r="T834" s="245"/>
      <c r="U834" s="245"/>
      <c r="V834" s="245"/>
      <c r="W834" s="245"/>
      <c r="X834" s="245"/>
      <c r="Y834" s="245"/>
      <c r="Z834" s="245"/>
    </row>
    <row r="835" spans="1:26">
      <c r="A835" s="245"/>
      <c r="B835" s="245"/>
      <c r="C835" s="245"/>
      <c r="D835" s="245"/>
      <c r="E835" s="245"/>
      <c r="F835" s="245"/>
      <c r="G835" s="245"/>
      <c r="H835" s="245"/>
      <c r="I835" s="245"/>
      <c r="J835" s="245"/>
      <c r="K835" s="245"/>
      <c r="L835" s="245"/>
      <c r="M835" s="245"/>
      <c r="N835" s="245"/>
      <c r="O835" s="245"/>
      <c r="P835" s="245"/>
      <c r="Q835" s="245"/>
      <c r="R835" s="245"/>
      <c r="S835" s="245"/>
      <c r="T835" s="245"/>
      <c r="U835" s="245"/>
      <c r="V835" s="245"/>
      <c r="W835" s="245"/>
      <c r="X835" s="245"/>
      <c r="Y835" s="245"/>
      <c r="Z835" s="245"/>
    </row>
    <row r="836" spans="1:26">
      <c r="A836" s="245"/>
      <c r="B836" s="245"/>
      <c r="C836" s="245"/>
      <c r="D836" s="245"/>
      <c r="E836" s="245"/>
      <c r="F836" s="245"/>
      <c r="G836" s="245"/>
      <c r="H836" s="245"/>
      <c r="I836" s="245"/>
      <c r="J836" s="245"/>
      <c r="K836" s="245"/>
      <c r="L836" s="245"/>
      <c r="M836" s="245"/>
      <c r="N836" s="245"/>
      <c r="O836" s="245"/>
      <c r="P836" s="245"/>
      <c r="Q836" s="245"/>
      <c r="R836" s="245"/>
      <c r="S836" s="245"/>
      <c r="T836" s="245"/>
      <c r="U836" s="245"/>
      <c r="V836" s="245"/>
      <c r="W836" s="245"/>
      <c r="X836" s="245"/>
      <c r="Y836" s="245"/>
      <c r="Z836" s="245"/>
    </row>
    <row r="837" spans="1:26">
      <c r="A837" s="245"/>
      <c r="B837" s="245"/>
      <c r="C837" s="245"/>
      <c r="D837" s="245"/>
      <c r="E837" s="245"/>
      <c r="F837" s="245"/>
      <c r="G837" s="245"/>
      <c r="H837" s="245"/>
      <c r="I837" s="245"/>
      <c r="J837" s="245"/>
      <c r="K837" s="245"/>
      <c r="L837" s="245"/>
      <c r="M837" s="245"/>
      <c r="N837" s="245"/>
      <c r="O837" s="245"/>
      <c r="P837" s="245"/>
      <c r="Q837" s="245"/>
      <c r="R837" s="245"/>
      <c r="S837" s="245"/>
      <c r="T837" s="245"/>
      <c r="U837" s="245"/>
      <c r="V837" s="245"/>
      <c r="W837" s="245"/>
      <c r="X837" s="245"/>
      <c r="Y837" s="245"/>
      <c r="Z837" s="245"/>
    </row>
    <row r="838" spans="1:26">
      <c r="A838" s="245"/>
      <c r="B838" s="245"/>
      <c r="C838" s="245"/>
      <c r="D838" s="245"/>
      <c r="E838" s="245"/>
      <c r="F838" s="245"/>
      <c r="G838" s="245"/>
      <c r="H838" s="245"/>
      <c r="I838" s="245"/>
      <c r="J838" s="245"/>
      <c r="K838" s="245"/>
      <c r="L838" s="245"/>
      <c r="M838" s="245"/>
      <c r="N838" s="245"/>
      <c r="O838" s="245"/>
      <c r="P838" s="245"/>
      <c r="Q838" s="245"/>
      <c r="R838" s="245"/>
      <c r="S838" s="245"/>
      <c r="T838" s="245"/>
      <c r="U838" s="245"/>
      <c r="V838" s="245"/>
      <c r="W838" s="245"/>
      <c r="X838" s="245"/>
      <c r="Y838" s="245"/>
      <c r="Z838" s="245"/>
    </row>
    <row r="839" spans="1:26">
      <c r="A839" s="245"/>
      <c r="B839" s="245"/>
      <c r="C839" s="245"/>
      <c r="D839" s="245"/>
      <c r="E839" s="245"/>
      <c r="F839" s="245"/>
      <c r="G839" s="245"/>
      <c r="H839" s="245"/>
      <c r="I839" s="245"/>
      <c r="J839" s="245"/>
      <c r="K839" s="245"/>
      <c r="L839" s="245"/>
      <c r="M839" s="245"/>
      <c r="N839" s="245"/>
      <c r="O839" s="245"/>
      <c r="P839" s="245"/>
      <c r="Q839" s="245"/>
      <c r="R839" s="245"/>
      <c r="S839" s="245"/>
      <c r="T839" s="245"/>
      <c r="U839" s="245"/>
      <c r="V839" s="245"/>
      <c r="W839" s="245"/>
      <c r="X839" s="245"/>
      <c r="Y839" s="245"/>
      <c r="Z839" s="245"/>
    </row>
    <row r="840" spans="1:26">
      <c r="A840" s="245"/>
      <c r="B840" s="245"/>
      <c r="C840" s="245"/>
      <c r="D840" s="245"/>
      <c r="E840" s="245"/>
      <c r="F840" s="245"/>
      <c r="G840" s="245"/>
      <c r="H840" s="245"/>
      <c r="I840" s="245"/>
      <c r="J840" s="245"/>
      <c r="K840" s="245"/>
      <c r="L840" s="245"/>
      <c r="M840" s="245"/>
      <c r="N840" s="245"/>
      <c r="O840" s="245"/>
      <c r="P840" s="245"/>
      <c r="Q840" s="245"/>
      <c r="R840" s="245"/>
      <c r="S840" s="245"/>
      <c r="T840" s="245"/>
      <c r="U840" s="245"/>
      <c r="V840" s="245"/>
      <c r="W840" s="245"/>
      <c r="X840" s="245"/>
      <c r="Y840" s="245"/>
      <c r="Z840" s="245"/>
    </row>
    <row r="841" spans="1:26">
      <c r="A841" s="245"/>
      <c r="B841" s="245"/>
      <c r="C841" s="245"/>
      <c r="D841" s="245"/>
      <c r="E841" s="245"/>
      <c r="F841" s="245"/>
      <c r="G841" s="245"/>
      <c r="H841" s="245"/>
      <c r="I841" s="245"/>
      <c r="J841" s="245"/>
      <c r="K841" s="245"/>
      <c r="L841" s="245"/>
      <c r="M841" s="245"/>
      <c r="N841" s="245"/>
      <c r="O841" s="245"/>
      <c r="P841" s="245"/>
      <c r="Q841" s="245"/>
      <c r="R841" s="245"/>
      <c r="S841" s="245"/>
      <c r="T841" s="245"/>
      <c r="U841" s="245"/>
      <c r="V841" s="245"/>
      <c r="W841" s="245"/>
      <c r="X841" s="245"/>
      <c r="Y841" s="245"/>
      <c r="Z841" s="245"/>
    </row>
    <row r="842" spans="1:26">
      <c r="A842" s="245"/>
      <c r="B842" s="245"/>
      <c r="C842" s="245"/>
      <c r="D842" s="245"/>
      <c r="E842" s="245"/>
      <c r="F842" s="245"/>
      <c r="G842" s="245"/>
      <c r="H842" s="245"/>
      <c r="I842" s="245"/>
      <c r="J842" s="245"/>
      <c r="K842" s="245"/>
      <c r="L842" s="245"/>
      <c r="M842" s="245"/>
      <c r="N842" s="245"/>
      <c r="O842" s="245"/>
      <c r="P842" s="245"/>
      <c r="Q842" s="245"/>
      <c r="R842" s="245"/>
      <c r="S842" s="245"/>
      <c r="T842" s="245"/>
      <c r="U842" s="245"/>
      <c r="V842" s="245"/>
      <c r="W842" s="245"/>
      <c r="X842" s="245"/>
      <c r="Y842" s="245"/>
      <c r="Z842" s="245"/>
    </row>
    <row r="843" spans="1:26">
      <c r="A843" s="245"/>
      <c r="B843" s="245"/>
      <c r="C843" s="245"/>
      <c r="D843" s="245"/>
      <c r="E843" s="245"/>
      <c r="F843" s="245"/>
      <c r="G843" s="245"/>
      <c r="H843" s="245"/>
      <c r="I843" s="245"/>
      <c r="J843" s="245"/>
      <c r="K843" s="245"/>
      <c r="L843" s="245"/>
      <c r="M843" s="245"/>
      <c r="N843" s="245"/>
      <c r="O843" s="245"/>
      <c r="P843" s="245"/>
      <c r="Q843" s="245"/>
      <c r="R843" s="245"/>
      <c r="S843" s="245"/>
      <c r="T843" s="245"/>
      <c r="U843" s="245"/>
      <c r="V843" s="245"/>
      <c r="W843" s="245"/>
      <c r="X843" s="245"/>
      <c r="Y843" s="245"/>
      <c r="Z843" s="245"/>
    </row>
    <row r="844" spans="1:26">
      <c r="A844" s="245"/>
      <c r="B844" s="245"/>
      <c r="C844" s="245"/>
      <c r="D844" s="245"/>
      <c r="E844" s="245"/>
      <c r="F844" s="245"/>
      <c r="G844" s="245"/>
      <c r="H844" s="245"/>
      <c r="I844" s="245"/>
      <c r="J844" s="245"/>
      <c r="K844" s="245"/>
      <c r="L844" s="245"/>
      <c r="M844" s="245"/>
      <c r="N844" s="245"/>
      <c r="O844" s="245"/>
      <c r="P844" s="245"/>
      <c r="Q844" s="245"/>
      <c r="R844" s="245"/>
      <c r="S844" s="245"/>
      <c r="T844" s="245"/>
      <c r="U844" s="245"/>
      <c r="V844" s="245"/>
      <c r="W844" s="245"/>
      <c r="X844" s="245"/>
      <c r="Y844" s="245"/>
      <c r="Z844" s="245"/>
    </row>
    <row r="845" spans="1:26">
      <c r="A845" s="245"/>
      <c r="B845" s="245"/>
      <c r="C845" s="245"/>
      <c r="D845" s="245"/>
      <c r="E845" s="245"/>
      <c r="F845" s="245"/>
      <c r="G845" s="245"/>
      <c r="H845" s="245"/>
      <c r="I845" s="245"/>
      <c r="J845" s="245"/>
      <c r="K845" s="245"/>
      <c r="L845" s="245"/>
      <c r="M845" s="245"/>
      <c r="N845" s="245"/>
      <c r="O845" s="245"/>
      <c r="P845" s="245"/>
      <c r="Q845" s="245"/>
      <c r="R845" s="245"/>
      <c r="S845" s="245"/>
      <c r="T845" s="245"/>
      <c r="U845" s="245"/>
      <c r="V845" s="245"/>
      <c r="W845" s="245"/>
      <c r="X845" s="245"/>
      <c r="Y845" s="245"/>
      <c r="Z845" s="245"/>
    </row>
    <row r="846" spans="1:26">
      <c r="A846" s="245"/>
      <c r="B846" s="245"/>
      <c r="C846" s="245"/>
      <c r="D846" s="245"/>
      <c r="E846" s="245"/>
      <c r="F846" s="245"/>
      <c r="G846" s="245"/>
      <c r="H846" s="245"/>
      <c r="I846" s="245"/>
      <c r="J846" s="245"/>
      <c r="K846" s="245"/>
      <c r="L846" s="245"/>
      <c r="M846" s="245"/>
      <c r="N846" s="245"/>
      <c r="O846" s="245"/>
      <c r="P846" s="245"/>
      <c r="Q846" s="245"/>
      <c r="R846" s="245"/>
      <c r="S846" s="245"/>
      <c r="T846" s="245"/>
      <c r="U846" s="245"/>
      <c r="V846" s="245"/>
      <c r="W846" s="245"/>
      <c r="X846" s="245"/>
      <c r="Y846" s="245"/>
      <c r="Z846" s="245"/>
    </row>
    <row r="847" spans="1:26">
      <c r="A847" s="245"/>
      <c r="B847" s="245"/>
      <c r="C847" s="245"/>
      <c r="D847" s="245"/>
      <c r="E847" s="245"/>
      <c r="F847" s="245"/>
      <c r="G847" s="245"/>
      <c r="H847" s="245"/>
      <c r="I847" s="245"/>
      <c r="J847" s="245"/>
      <c r="K847" s="245"/>
      <c r="L847" s="245"/>
      <c r="M847" s="245"/>
      <c r="N847" s="245"/>
      <c r="O847" s="245"/>
      <c r="P847" s="245"/>
      <c r="Q847" s="245"/>
      <c r="R847" s="245"/>
      <c r="S847" s="245"/>
      <c r="T847" s="245"/>
      <c r="U847" s="245"/>
      <c r="V847" s="245"/>
      <c r="W847" s="245"/>
      <c r="X847" s="245"/>
      <c r="Y847" s="245"/>
      <c r="Z847" s="245"/>
    </row>
    <row r="848" spans="1:26">
      <c r="A848" s="245"/>
      <c r="B848" s="245"/>
      <c r="C848" s="245"/>
      <c r="D848" s="245"/>
      <c r="E848" s="245"/>
      <c r="F848" s="245"/>
      <c r="G848" s="245"/>
      <c r="H848" s="245"/>
      <c r="I848" s="245"/>
      <c r="J848" s="245"/>
      <c r="K848" s="245"/>
      <c r="L848" s="245"/>
      <c r="M848" s="245"/>
      <c r="N848" s="245"/>
      <c r="O848" s="245"/>
      <c r="P848" s="245"/>
      <c r="Q848" s="245"/>
      <c r="R848" s="245"/>
      <c r="S848" s="245"/>
      <c r="T848" s="245"/>
      <c r="U848" s="245"/>
      <c r="V848" s="245"/>
      <c r="W848" s="245"/>
      <c r="X848" s="245"/>
      <c r="Y848" s="245"/>
      <c r="Z848" s="245"/>
    </row>
    <row r="849" spans="1:26">
      <c r="A849" s="245"/>
      <c r="B849" s="245"/>
      <c r="C849" s="245"/>
      <c r="D849" s="245"/>
      <c r="E849" s="245"/>
      <c r="F849" s="245"/>
      <c r="G849" s="245"/>
      <c r="H849" s="245"/>
      <c r="I849" s="245"/>
      <c r="J849" s="245"/>
      <c r="K849" s="245"/>
      <c r="L849" s="245"/>
      <c r="M849" s="245"/>
      <c r="N849" s="245"/>
      <c r="O849" s="245"/>
      <c r="P849" s="245"/>
      <c r="Q849" s="245"/>
      <c r="R849" s="245"/>
      <c r="S849" s="245"/>
      <c r="T849" s="245"/>
      <c r="U849" s="245"/>
      <c r="V849" s="245"/>
      <c r="W849" s="245"/>
      <c r="X849" s="245"/>
      <c r="Y849" s="245"/>
      <c r="Z849" s="245"/>
    </row>
    <row r="850" spans="1:26">
      <c r="A850" s="245"/>
      <c r="B850" s="245"/>
      <c r="C850" s="245"/>
      <c r="D850" s="245"/>
      <c r="E850" s="245"/>
      <c r="F850" s="245"/>
      <c r="G850" s="245"/>
      <c r="H850" s="245"/>
      <c r="I850" s="245"/>
      <c r="J850" s="245"/>
      <c r="K850" s="245"/>
      <c r="L850" s="245"/>
      <c r="M850" s="245"/>
      <c r="N850" s="245"/>
      <c r="O850" s="245"/>
      <c r="P850" s="245"/>
      <c r="Q850" s="245"/>
      <c r="R850" s="245"/>
      <c r="S850" s="245"/>
      <c r="T850" s="245"/>
      <c r="U850" s="245"/>
      <c r="V850" s="245"/>
      <c r="W850" s="245"/>
      <c r="X850" s="245"/>
      <c r="Y850" s="245"/>
      <c r="Z850" s="245"/>
    </row>
    <row r="851" spans="1:26">
      <c r="A851" s="245"/>
      <c r="B851" s="245"/>
      <c r="C851" s="245"/>
      <c r="D851" s="245"/>
      <c r="E851" s="245"/>
      <c r="F851" s="245"/>
      <c r="G851" s="245"/>
      <c r="H851" s="245"/>
      <c r="I851" s="245"/>
      <c r="J851" s="245"/>
      <c r="K851" s="245"/>
      <c r="L851" s="245"/>
      <c r="M851" s="245"/>
      <c r="N851" s="245"/>
      <c r="O851" s="245"/>
      <c r="P851" s="245"/>
      <c r="Q851" s="245"/>
      <c r="R851" s="245"/>
      <c r="S851" s="245"/>
      <c r="T851" s="245"/>
      <c r="U851" s="245"/>
      <c r="V851" s="245"/>
      <c r="W851" s="245"/>
      <c r="X851" s="245"/>
      <c r="Y851" s="245"/>
      <c r="Z851" s="245"/>
    </row>
    <row r="852" spans="1:26">
      <c r="A852" s="245"/>
      <c r="B852" s="245"/>
      <c r="C852" s="245"/>
      <c r="D852" s="245"/>
      <c r="E852" s="245"/>
      <c r="F852" s="245"/>
      <c r="G852" s="245"/>
      <c r="H852" s="245"/>
      <c r="I852" s="245"/>
      <c r="J852" s="245"/>
      <c r="K852" s="245"/>
      <c r="L852" s="245"/>
      <c r="M852" s="245"/>
      <c r="N852" s="245"/>
      <c r="O852" s="245"/>
      <c r="P852" s="245"/>
      <c r="Q852" s="245"/>
      <c r="R852" s="245"/>
      <c r="S852" s="245"/>
      <c r="T852" s="245"/>
      <c r="U852" s="245"/>
      <c r="V852" s="245"/>
      <c r="W852" s="245"/>
      <c r="X852" s="245"/>
      <c r="Y852" s="245"/>
      <c r="Z852" s="245"/>
    </row>
    <row r="853" spans="1:26">
      <c r="A853" s="245"/>
      <c r="B853" s="245"/>
      <c r="C853" s="245"/>
      <c r="D853" s="245"/>
      <c r="E853" s="245"/>
      <c r="F853" s="245"/>
      <c r="G853" s="245"/>
      <c r="H853" s="245"/>
      <c r="I853" s="245"/>
      <c r="J853" s="245"/>
      <c r="K853" s="245"/>
      <c r="L853" s="245"/>
      <c r="M853" s="245"/>
      <c r="N853" s="245"/>
      <c r="O853" s="245"/>
      <c r="P853" s="245"/>
      <c r="Q853" s="245"/>
      <c r="R853" s="245"/>
      <c r="S853" s="245"/>
      <c r="T853" s="245"/>
      <c r="U853" s="245"/>
      <c r="V853" s="245"/>
      <c r="W853" s="245"/>
      <c r="X853" s="245"/>
      <c r="Y853" s="245"/>
      <c r="Z853" s="245"/>
    </row>
    <row r="854" spans="1:26">
      <c r="A854" s="245"/>
      <c r="B854" s="245"/>
      <c r="C854" s="245"/>
      <c r="D854" s="245"/>
      <c r="E854" s="245"/>
      <c r="F854" s="245"/>
      <c r="G854" s="245"/>
      <c r="H854" s="245"/>
      <c r="I854" s="245"/>
      <c r="J854" s="245"/>
      <c r="K854" s="245"/>
      <c r="L854" s="245"/>
      <c r="M854" s="245"/>
      <c r="N854" s="245"/>
      <c r="O854" s="245"/>
      <c r="P854" s="245"/>
      <c r="Q854" s="245"/>
      <c r="R854" s="245"/>
      <c r="S854" s="245"/>
      <c r="T854" s="245"/>
      <c r="U854" s="245"/>
      <c r="V854" s="245"/>
      <c r="W854" s="245"/>
      <c r="X854" s="245"/>
      <c r="Y854" s="245"/>
      <c r="Z854" s="245"/>
    </row>
    <row r="855" spans="1:26">
      <c r="A855" s="245"/>
      <c r="B855" s="245"/>
      <c r="C855" s="245"/>
      <c r="D855" s="245"/>
      <c r="E855" s="245"/>
      <c r="F855" s="245"/>
      <c r="G855" s="245"/>
      <c r="H855" s="245"/>
      <c r="I855" s="245"/>
      <c r="J855" s="245"/>
      <c r="K855" s="245"/>
      <c r="L855" s="245"/>
      <c r="M855" s="245"/>
      <c r="N855" s="245"/>
      <c r="O855" s="245"/>
      <c r="P855" s="245"/>
      <c r="Q855" s="245"/>
      <c r="R855" s="245"/>
      <c r="S855" s="245"/>
      <c r="T855" s="245"/>
      <c r="U855" s="245"/>
      <c r="V855" s="245"/>
      <c r="W855" s="245"/>
      <c r="X855" s="245"/>
      <c r="Y855" s="245"/>
      <c r="Z855" s="245"/>
    </row>
    <row r="856" spans="1:26">
      <c r="A856" s="245"/>
      <c r="B856" s="245"/>
      <c r="C856" s="245"/>
      <c r="D856" s="245"/>
      <c r="E856" s="245"/>
      <c r="F856" s="245"/>
      <c r="G856" s="245"/>
      <c r="H856" s="245"/>
      <c r="I856" s="245"/>
      <c r="J856" s="245"/>
      <c r="K856" s="245"/>
      <c r="L856" s="245"/>
      <c r="M856" s="245"/>
      <c r="N856" s="245"/>
      <c r="O856" s="245"/>
      <c r="P856" s="245"/>
      <c r="Q856" s="245"/>
      <c r="R856" s="245"/>
      <c r="S856" s="245"/>
      <c r="T856" s="245"/>
      <c r="U856" s="245"/>
      <c r="V856" s="245"/>
      <c r="W856" s="245"/>
      <c r="X856" s="245"/>
      <c r="Y856" s="245"/>
      <c r="Z856" s="245"/>
    </row>
    <row r="857" spans="1:26">
      <c r="A857" s="245"/>
      <c r="B857" s="245"/>
      <c r="C857" s="245"/>
      <c r="D857" s="245"/>
      <c r="E857" s="245"/>
      <c r="F857" s="245"/>
      <c r="G857" s="245"/>
      <c r="H857" s="245"/>
      <c r="I857" s="245"/>
      <c r="J857" s="245"/>
      <c r="K857" s="245"/>
      <c r="L857" s="245"/>
      <c r="M857" s="245"/>
      <c r="N857" s="245"/>
      <c r="O857" s="245"/>
      <c r="P857" s="245"/>
      <c r="Q857" s="245"/>
      <c r="R857" s="245"/>
      <c r="S857" s="245"/>
      <c r="T857" s="245"/>
      <c r="U857" s="245"/>
      <c r="V857" s="245"/>
      <c r="W857" s="245"/>
      <c r="X857" s="245"/>
      <c r="Y857" s="245"/>
      <c r="Z857" s="245"/>
    </row>
    <row r="858" spans="1:26">
      <c r="A858" s="245"/>
      <c r="B858" s="245"/>
      <c r="C858" s="245"/>
      <c r="D858" s="245"/>
      <c r="E858" s="245"/>
      <c r="F858" s="245"/>
      <c r="G858" s="245"/>
      <c r="H858" s="245"/>
      <c r="I858" s="245"/>
      <c r="J858" s="245"/>
      <c r="K858" s="245"/>
      <c r="L858" s="245"/>
      <c r="M858" s="245"/>
      <c r="N858" s="245"/>
      <c r="O858" s="245"/>
      <c r="P858" s="245"/>
      <c r="Q858" s="245"/>
      <c r="R858" s="245"/>
      <c r="S858" s="245"/>
      <c r="T858" s="245"/>
      <c r="U858" s="245"/>
      <c r="V858" s="245"/>
      <c r="W858" s="245"/>
      <c r="X858" s="245"/>
      <c r="Y858" s="245"/>
      <c r="Z858" s="245"/>
    </row>
    <row r="859" spans="1:26">
      <c r="A859" s="245"/>
      <c r="B859" s="245"/>
      <c r="C859" s="245"/>
      <c r="D859" s="245"/>
      <c r="E859" s="245"/>
      <c r="F859" s="245"/>
      <c r="G859" s="245"/>
      <c r="H859" s="245"/>
      <c r="I859" s="245"/>
      <c r="J859" s="245"/>
      <c r="K859" s="245"/>
      <c r="L859" s="245"/>
      <c r="M859" s="245"/>
      <c r="N859" s="245"/>
      <c r="O859" s="245"/>
      <c r="P859" s="245"/>
      <c r="Q859" s="245"/>
      <c r="R859" s="245"/>
      <c r="S859" s="245"/>
      <c r="T859" s="245"/>
      <c r="U859" s="245"/>
      <c r="V859" s="245"/>
      <c r="W859" s="245"/>
      <c r="X859" s="245"/>
      <c r="Y859" s="245"/>
      <c r="Z859" s="245"/>
    </row>
    <row r="860" spans="1:26">
      <c r="A860" s="245"/>
      <c r="B860" s="245"/>
      <c r="C860" s="245"/>
      <c r="D860" s="245"/>
      <c r="E860" s="245"/>
      <c r="F860" s="245"/>
      <c r="G860" s="245"/>
      <c r="H860" s="245"/>
      <c r="I860" s="245"/>
      <c r="J860" s="245"/>
      <c r="K860" s="245"/>
      <c r="L860" s="245"/>
      <c r="M860" s="245"/>
      <c r="N860" s="245"/>
      <c r="O860" s="245"/>
      <c r="P860" s="245"/>
      <c r="Q860" s="245"/>
      <c r="R860" s="245"/>
      <c r="S860" s="245"/>
      <c r="T860" s="245"/>
      <c r="U860" s="245"/>
      <c r="V860" s="245"/>
      <c r="W860" s="245"/>
      <c r="X860" s="245"/>
      <c r="Y860" s="245"/>
      <c r="Z860" s="245"/>
    </row>
    <row r="861" spans="1:26">
      <c r="A861" s="245"/>
      <c r="B861" s="245"/>
      <c r="C861" s="245"/>
      <c r="D861" s="245"/>
      <c r="E861" s="245"/>
      <c r="F861" s="245"/>
      <c r="G861" s="245"/>
      <c r="H861" s="245"/>
      <c r="I861" s="245"/>
      <c r="J861" s="245"/>
      <c r="K861" s="245"/>
      <c r="L861" s="245"/>
      <c r="M861" s="245"/>
      <c r="N861" s="245"/>
      <c r="O861" s="245"/>
      <c r="P861" s="245"/>
      <c r="Q861" s="245"/>
      <c r="R861" s="245"/>
      <c r="S861" s="245"/>
      <c r="T861" s="245"/>
      <c r="U861" s="245"/>
      <c r="V861" s="245"/>
      <c r="W861" s="245"/>
      <c r="X861" s="245"/>
      <c r="Y861" s="245"/>
      <c r="Z861" s="245"/>
    </row>
    <row r="862" spans="1:26">
      <c r="A862" s="245"/>
      <c r="B862" s="245"/>
      <c r="C862" s="245"/>
      <c r="D862" s="245"/>
      <c r="E862" s="245"/>
      <c r="F862" s="245"/>
      <c r="G862" s="245"/>
      <c r="H862" s="245"/>
      <c r="I862" s="245"/>
      <c r="J862" s="245"/>
      <c r="K862" s="245"/>
      <c r="L862" s="245"/>
      <c r="M862" s="245"/>
      <c r="N862" s="245"/>
      <c r="O862" s="245"/>
      <c r="P862" s="245"/>
      <c r="Q862" s="245"/>
      <c r="R862" s="245"/>
      <c r="S862" s="245"/>
      <c r="T862" s="245"/>
      <c r="U862" s="245"/>
      <c r="V862" s="245"/>
      <c r="W862" s="245"/>
      <c r="X862" s="245"/>
      <c r="Y862" s="245"/>
      <c r="Z862" s="245"/>
    </row>
    <row r="863" spans="1:26">
      <c r="A863" s="245"/>
      <c r="B863" s="245"/>
      <c r="C863" s="245"/>
      <c r="D863" s="245"/>
      <c r="E863" s="245"/>
      <c r="F863" s="245"/>
      <c r="G863" s="245"/>
      <c r="H863" s="245"/>
      <c r="I863" s="245"/>
      <c r="J863" s="245"/>
      <c r="K863" s="245"/>
      <c r="L863" s="245"/>
      <c r="M863" s="245"/>
      <c r="N863" s="245"/>
      <c r="O863" s="245"/>
      <c r="P863" s="245"/>
      <c r="Q863" s="245"/>
      <c r="R863" s="245"/>
      <c r="S863" s="245"/>
      <c r="T863" s="245"/>
      <c r="U863" s="245"/>
      <c r="V863" s="245"/>
      <c r="W863" s="245"/>
      <c r="X863" s="245"/>
      <c r="Y863" s="245"/>
      <c r="Z863" s="245"/>
    </row>
    <row r="864" spans="1:26">
      <c r="A864" s="245"/>
      <c r="B864" s="245"/>
      <c r="C864" s="245"/>
      <c r="D864" s="245"/>
      <c r="E864" s="245"/>
      <c r="F864" s="245"/>
      <c r="G864" s="245"/>
      <c r="H864" s="245"/>
      <c r="I864" s="245"/>
      <c r="J864" s="245"/>
      <c r="K864" s="245"/>
      <c r="L864" s="245"/>
      <c r="M864" s="245"/>
      <c r="N864" s="245"/>
      <c r="O864" s="245"/>
      <c r="P864" s="245"/>
      <c r="Q864" s="245"/>
      <c r="R864" s="245"/>
      <c r="S864" s="245"/>
      <c r="T864" s="245"/>
      <c r="U864" s="245"/>
      <c r="V864" s="245"/>
      <c r="W864" s="245"/>
      <c r="X864" s="245"/>
      <c r="Y864" s="245"/>
      <c r="Z864" s="245"/>
    </row>
    <row r="865" spans="1:26">
      <c r="A865" s="245"/>
      <c r="B865" s="245"/>
      <c r="C865" s="245"/>
      <c r="D865" s="245"/>
      <c r="E865" s="245"/>
      <c r="F865" s="245"/>
      <c r="G865" s="245"/>
      <c r="H865" s="245"/>
      <c r="I865" s="245"/>
      <c r="J865" s="245"/>
      <c r="K865" s="245"/>
      <c r="L865" s="245"/>
      <c r="M865" s="245"/>
      <c r="N865" s="245"/>
      <c r="O865" s="245"/>
      <c r="P865" s="245"/>
      <c r="Q865" s="245"/>
      <c r="R865" s="245"/>
      <c r="S865" s="245"/>
      <c r="T865" s="245"/>
      <c r="U865" s="245"/>
      <c r="V865" s="245"/>
      <c r="W865" s="245"/>
      <c r="X865" s="245"/>
      <c r="Y865" s="245"/>
      <c r="Z865" s="245"/>
    </row>
    <row r="866" spans="1:26">
      <c r="A866" s="245"/>
      <c r="B866" s="245"/>
      <c r="C866" s="245"/>
      <c r="D866" s="245"/>
      <c r="E866" s="245"/>
      <c r="F866" s="245"/>
      <c r="G866" s="245"/>
      <c r="H866" s="245"/>
      <c r="I866" s="245"/>
      <c r="J866" s="245"/>
      <c r="K866" s="245"/>
      <c r="L866" s="245"/>
      <c r="M866" s="245"/>
      <c r="N866" s="245"/>
      <c r="O866" s="245"/>
      <c r="P866" s="245"/>
      <c r="Q866" s="245"/>
      <c r="R866" s="245"/>
      <c r="S866" s="245"/>
      <c r="T866" s="245"/>
      <c r="U866" s="245"/>
      <c r="V866" s="245"/>
      <c r="W866" s="245"/>
      <c r="X866" s="245"/>
      <c r="Y866" s="245"/>
      <c r="Z866" s="245"/>
    </row>
    <row r="867" spans="1:26">
      <c r="A867" s="245"/>
      <c r="B867" s="245"/>
      <c r="C867" s="245"/>
      <c r="D867" s="245"/>
      <c r="E867" s="245"/>
      <c r="F867" s="245"/>
      <c r="G867" s="245"/>
      <c r="H867" s="245"/>
      <c r="I867" s="245"/>
      <c r="J867" s="245"/>
      <c r="K867" s="245"/>
      <c r="L867" s="245"/>
      <c r="M867" s="245"/>
      <c r="N867" s="245"/>
      <c r="O867" s="245"/>
      <c r="P867" s="245"/>
      <c r="Q867" s="245"/>
      <c r="R867" s="245"/>
      <c r="S867" s="245"/>
      <c r="T867" s="245"/>
      <c r="U867" s="245"/>
      <c r="V867" s="245"/>
      <c r="W867" s="245"/>
      <c r="X867" s="245"/>
      <c r="Y867" s="245"/>
      <c r="Z867" s="245"/>
    </row>
    <row r="868" spans="1:26">
      <c r="A868" s="245"/>
      <c r="B868" s="245"/>
      <c r="C868" s="245"/>
      <c r="D868" s="245"/>
      <c r="E868" s="245"/>
      <c r="F868" s="245"/>
      <c r="G868" s="245"/>
      <c r="H868" s="245"/>
      <c r="I868" s="245"/>
      <c r="J868" s="245"/>
      <c r="K868" s="245"/>
      <c r="L868" s="245"/>
      <c r="M868" s="245"/>
      <c r="N868" s="245"/>
      <c r="O868" s="245"/>
      <c r="P868" s="245"/>
      <c r="Q868" s="245"/>
      <c r="R868" s="245"/>
      <c r="S868" s="245"/>
      <c r="T868" s="245"/>
      <c r="U868" s="245"/>
      <c r="V868" s="245"/>
      <c r="W868" s="245"/>
      <c r="X868" s="245"/>
      <c r="Y868" s="245"/>
      <c r="Z868" s="245"/>
    </row>
    <row r="869" spans="1:26">
      <c r="A869" s="245"/>
      <c r="B869" s="245"/>
      <c r="C869" s="245"/>
      <c r="D869" s="245"/>
      <c r="E869" s="245"/>
      <c r="F869" s="245"/>
      <c r="G869" s="245"/>
      <c r="H869" s="245"/>
      <c r="I869" s="245"/>
      <c r="J869" s="245"/>
      <c r="K869" s="245"/>
      <c r="L869" s="245"/>
      <c r="M869" s="245"/>
      <c r="N869" s="245"/>
      <c r="O869" s="245"/>
      <c r="P869" s="245"/>
      <c r="Q869" s="245"/>
      <c r="R869" s="245"/>
      <c r="S869" s="245"/>
      <c r="T869" s="245"/>
      <c r="U869" s="245"/>
      <c r="V869" s="245"/>
      <c r="W869" s="245"/>
      <c r="X869" s="245"/>
      <c r="Y869" s="245"/>
      <c r="Z869" s="245"/>
    </row>
    <row r="870" spans="1:26">
      <c r="A870" s="245"/>
      <c r="B870" s="245"/>
      <c r="C870" s="245"/>
      <c r="D870" s="245"/>
      <c r="E870" s="245"/>
      <c r="F870" s="245"/>
      <c r="G870" s="245"/>
      <c r="H870" s="245"/>
      <c r="I870" s="245"/>
      <c r="J870" s="245"/>
      <c r="K870" s="245"/>
      <c r="L870" s="245"/>
      <c r="M870" s="245"/>
      <c r="N870" s="245"/>
      <c r="O870" s="245"/>
      <c r="P870" s="245"/>
      <c r="Q870" s="245"/>
      <c r="R870" s="245"/>
      <c r="S870" s="245"/>
      <c r="T870" s="245"/>
      <c r="U870" s="245"/>
      <c r="V870" s="245"/>
      <c r="W870" s="245"/>
      <c r="X870" s="245"/>
      <c r="Y870" s="245"/>
      <c r="Z870" s="245"/>
    </row>
    <row r="871" spans="1:26">
      <c r="A871" s="245"/>
      <c r="B871" s="245"/>
      <c r="C871" s="245"/>
      <c r="D871" s="245"/>
      <c r="E871" s="245"/>
      <c r="F871" s="245"/>
      <c r="G871" s="245"/>
      <c r="H871" s="245"/>
      <c r="I871" s="245"/>
      <c r="J871" s="245"/>
      <c r="K871" s="245"/>
      <c r="L871" s="245"/>
      <c r="M871" s="245"/>
      <c r="N871" s="245"/>
      <c r="O871" s="245"/>
      <c r="P871" s="245"/>
      <c r="Q871" s="245"/>
      <c r="R871" s="245"/>
      <c r="S871" s="245"/>
      <c r="T871" s="245"/>
      <c r="U871" s="245"/>
      <c r="V871" s="245"/>
      <c r="W871" s="245"/>
      <c r="X871" s="245"/>
      <c r="Y871" s="245"/>
      <c r="Z871" s="245"/>
    </row>
    <row r="872" spans="1:26">
      <c r="A872" s="245"/>
      <c r="B872" s="245"/>
      <c r="C872" s="245"/>
      <c r="D872" s="245"/>
      <c r="E872" s="245"/>
      <c r="F872" s="245"/>
      <c r="G872" s="245"/>
      <c r="H872" s="245"/>
      <c r="I872" s="245"/>
      <c r="J872" s="245"/>
      <c r="K872" s="245"/>
      <c r="L872" s="245"/>
      <c r="M872" s="245"/>
      <c r="N872" s="245"/>
      <c r="O872" s="245"/>
      <c r="P872" s="245"/>
      <c r="Q872" s="245"/>
      <c r="R872" s="245"/>
      <c r="S872" s="245"/>
      <c r="T872" s="245"/>
      <c r="U872" s="245"/>
      <c r="V872" s="245"/>
      <c r="W872" s="245"/>
      <c r="X872" s="245"/>
      <c r="Y872" s="245"/>
      <c r="Z872" s="245"/>
    </row>
    <row r="873" spans="1:26">
      <c r="A873" s="245"/>
      <c r="B873" s="245"/>
      <c r="C873" s="245"/>
      <c r="D873" s="245"/>
      <c r="E873" s="245"/>
      <c r="F873" s="245"/>
      <c r="G873" s="245"/>
      <c r="H873" s="245"/>
      <c r="I873" s="245"/>
      <c r="J873" s="245"/>
      <c r="K873" s="245"/>
      <c r="L873" s="245"/>
      <c r="M873" s="245"/>
      <c r="N873" s="245"/>
      <c r="O873" s="245"/>
      <c r="P873" s="245"/>
      <c r="Q873" s="245"/>
      <c r="R873" s="245"/>
      <c r="S873" s="245"/>
      <c r="T873" s="245"/>
      <c r="U873" s="245"/>
      <c r="V873" s="245"/>
      <c r="W873" s="245"/>
      <c r="X873" s="245"/>
      <c r="Y873" s="245"/>
      <c r="Z873" s="245"/>
    </row>
    <row r="874" spans="1:26">
      <c r="A874" s="245"/>
      <c r="B874" s="245"/>
      <c r="C874" s="245"/>
      <c r="D874" s="245"/>
      <c r="E874" s="245"/>
      <c r="F874" s="245"/>
      <c r="G874" s="245"/>
      <c r="H874" s="245"/>
      <c r="I874" s="245"/>
      <c r="J874" s="245"/>
      <c r="K874" s="245"/>
      <c r="L874" s="245"/>
      <c r="M874" s="245"/>
      <c r="N874" s="245"/>
      <c r="O874" s="245"/>
      <c r="P874" s="245"/>
      <c r="Q874" s="245"/>
      <c r="R874" s="245"/>
      <c r="S874" s="245"/>
      <c r="T874" s="245"/>
      <c r="U874" s="245"/>
      <c r="V874" s="245"/>
      <c r="W874" s="245"/>
      <c r="X874" s="245"/>
      <c r="Y874" s="245"/>
      <c r="Z874" s="245"/>
    </row>
    <row r="875" spans="1:26">
      <c r="A875" s="245"/>
      <c r="B875" s="245"/>
      <c r="C875" s="245"/>
      <c r="D875" s="245"/>
      <c r="E875" s="245"/>
      <c r="F875" s="245"/>
      <c r="G875" s="245"/>
      <c r="H875" s="245"/>
      <c r="I875" s="245"/>
      <c r="J875" s="245"/>
      <c r="K875" s="245"/>
      <c r="L875" s="245"/>
      <c r="M875" s="245"/>
      <c r="N875" s="245"/>
      <c r="O875" s="245"/>
      <c r="P875" s="245"/>
      <c r="Q875" s="245"/>
      <c r="R875" s="245"/>
      <c r="S875" s="245"/>
      <c r="T875" s="245"/>
      <c r="U875" s="245"/>
      <c r="V875" s="245"/>
      <c r="W875" s="245"/>
      <c r="X875" s="245"/>
      <c r="Y875" s="245"/>
      <c r="Z875" s="245"/>
    </row>
    <row r="876" spans="1:26">
      <c r="A876" s="245"/>
      <c r="B876" s="245"/>
      <c r="C876" s="245"/>
      <c r="D876" s="245"/>
      <c r="E876" s="245"/>
      <c r="F876" s="245"/>
      <c r="G876" s="245"/>
      <c r="H876" s="245"/>
      <c r="I876" s="245"/>
      <c r="J876" s="245"/>
      <c r="K876" s="245"/>
      <c r="L876" s="245"/>
      <c r="M876" s="245"/>
      <c r="N876" s="245"/>
      <c r="O876" s="245"/>
      <c r="P876" s="245"/>
      <c r="Q876" s="245"/>
      <c r="R876" s="245"/>
      <c r="S876" s="245"/>
      <c r="T876" s="245"/>
      <c r="U876" s="245"/>
      <c r="V876" s="245"/>
      <c r="W876" s="245"/>
      <c r="X876" s="245"/>
      <c r="Y876" s="245"/>
      <c r="Z876" s="245"/>
    </row>
    <row r="877" spans="1:26">
      <c r="A877" s="245"/>
      <c r="B877" s="245"/>
      <c r="C877" s="245"/>
      <c r="D877" s="245"/>
      <c r="E877" s="245"/>
      <c r="F877" s="245"/>
      <c r="G877" s="245"/>
      <c r="H877" s="245"/>
      <c r="I877" s="245"/>
      <c r="J877" s="245"/>
      <c r="K877" s="245"/>
      <c r="L877" s="245"/>
      <c r="M877" s="245"/>
      <c r="N877" s="245"/>
      <c r="O877" s="245"/>
      <c r="P877" s="245"/>
      <c r="Q877" s="245"/>
      <c r="R877" s="245"/>
      <c r="S877" s="245"/>
      <c r="T877" s="245"/>
      <c r="U877" s="245"/>
      <c r="V877" s="245"/>
      <c r="W877" s="245"/>
      <c r="X877" s="245"/>
      <c r="Y877" s="245"/>
      <c r="Z877" s="245"/>
    </row>
    <row r="878" spans="1:26">
      <c r="A878" s="245"/>
      <c r="B878" s="245"/>
      <c r="C878" s="245"/>
      <c r="D878" s="245"/>
      <c r="E878" s="245"/>
      <c r="F878" s="245"/>
      <c r="G878" s="245"/>
      <c r="H878" s="245"/>
      <c r="I878" s="245"/>
      <c r="J878" s="245"/>
      <c r="K878" s="245"/>
      <c r="L878" s="245"/>
      <c r="M878" s="245"/>
      <c r="N878" s="245"/>
      <c r="O878" s="245"/>
      <c r="P878" s="245"/>
      <c r="Q878" s="245"/>
      <c r="R878" s="245"/>
      <c r="S878" s="245"/>
      <c r="T878" s="245"/>
      <c r="U878" s="245"/>
      <c r="V878" s="245"/>
      <c r="W878" s="245"/>
      <c r="X878" s="245"/>
      <c r="Y878" s="245"/>
      <c r="Z878" s="245"/>
    </row>
    <row r="879" spans="1:26">
      <c r="A879" s="245"/>
      <c r="B879" s="245"/>
      <c r="C879" s="245"/>
      <c r="D879" s="245"/>
      <c r="E879" s="245"/>
      <c r="F879" s="245"/>
      <c r="G879" s="245"/>
      <c r="H879" s="245"/>
      <c r="I879" s="245"/>
      <c r="J879" s="245"/>
      <c r="K879" s="245"/>
      <c r="L879" s="245"/>
      <c r="M879" s="245"/>
      <c r="N879" s="245"/>
      <c r="O879" s="245"/>
      <c r="P879" s="245"/>
      <c r="Q879" s="245"/>
      <c r="R879" s="245"/>
      <c r="S879" s="245"/>
      <c r="T879" s="245"/>
      <c r="U879" s="245"/>
      <c r="V879" s="245"/>
      <c r="W879" s="245"/>
      <c r="X879" s="245"/>
      <c r="Y879" s="245"/>
      <c r="Z879" s="245"/>
    </row>
    <row r="880" spans="1:26">
      <c r="A880" s="245"/>
      <c r="B880" s="245"/>
      <c r="C880" s="245"/>
      <c r="D880" s="245"/>
      <c r="E880" s="245"/>
      <c r="F880" s="245"/>
      <c r="G880" s="245"/>
      <c r="H880" s="245"/>
      <c r="I880" s="245"/>
      <c r="J880" s="245"/>
      <c r="K880" s="245"/>
      <c r="L880" s="245"/>
      <c r="M880" s="245"/>
      <c r="N880" s="245"/>
      <c r="O880" s="245"/>
      <c r="P880" s="245"/>
      <c r="Q880" s="245"/>
      <c r="R880" s="245"/>
      <c r="S880" s="245"/>
      <c r="T880" s="245"/>
      <c r="U880" s="245"/>
      <c r="V880" s="245"/>
      <c r="W880" s="245"/>
      <c r="X880" s="245"/>
      <c r="Y880" s="245"/>
      <c r="Z880" s="245"/>
    </row>
    <row r="881" spans="1:26">
      <c r="A881" s="245"/>
      <c r="B881" s="245"/>
      <c r="C881" s="245"/>
      <c r="D881" s="245"/>
      <c r="E881" s="245"/>
      <c r="F881" s="245"/>
      <c r="G881" s="245"/>
      <c r="H881" s="245"/>
      <c r="I881" s="245"/>
      <c r="J881" s="245"/>
      <c r="K881" s="245"/>
      <c r="L881" s="245"/>
      <c r="M881" s="245"/>
      <c r="N881" s="245"/>
      <c r="O881" s="245"/>
      <c r="P881" s="245"/>
      <c r="Q881" s="245"/>
      <c r="R881" s="245"/>
      <c r="S881" s="245"/>
      <c r="T881" s="245"/>
      <c r="U881" s="245"/>
      <c r="V881" s="245"/>
      <c r="W881" s="245"/>
      <c r="X881" s="245"/>
      <c r="Y881" s="245"/>
      <c r="Z881" s="245"/>
    </row>
    <row r="882" spans="1:26">
      <c r="A882" s="245"/>
      <c r="B882" s="245"/>
      <c r="C882" s="245"/>
      <c r="D882" s="245"/>
      <c r="E882" s="245"/>
      <c r="F882" s="245"/>
      <c r="G882" s="245"/>
      <c r="H882" s="245"/>
      <c r="I882" s="245"/>
      <c r="J882" s="245"/>
      <c r="K882" s="245"/>
      <c r="L882" s="245"/>
      <c r="M882" s="245"/>
      <c r="N882" s="245"/>
      <c r="O882" s="245"/>
      <c r="P882" s="245"/>
      <c r="Q882" s="245"/>
      <c r="R882" s="245"/>
      <c r="S882" s="245"/>
      <c r="T882" s="245"/>
      <c r="U882" s="245"/>
      <c r="V882" s="245"/>
      <c r="W882" s="245"/>
      <c r="X882" s="245"/>
      <c r="Y882" s="245"/>
      <c r="Z882" s="245"/>
    </row>
    <row r="883" spans="1:26">
      <c r="A883" s="245"/>
      <c r="B883" s="245"/>
      <c r="C883" s="245"/>
      <c r="D883" s="245"/>
      <c r="E883" s="245"/>
      <c r="F883" s="245"/>
      <c r="G883" s="245"/>
      <c r="H883" s="245"/>
      <c r="I883" s="245"/>
      <c r="J883" s="245"/>
      <c r="K883" s="245"/>
      <c r="L883" s="245"/>
      <c r="M883" s="245"/>
      <c r="N883" s="245"/>
      <c r="O883" s="245"/>
      <c r="P883" s="245"/>
      <c r="Q883" s="245"/>
      <c r="R883" s="245"/>
      <c r="S883" s="245"/>
      <c r="T883" s="245"/>
      <c r="U883" s="245"/>
      <c r="V883" s="245"/>
      <c r="W883" s="245"/>
      <c r="X883" s="245"/>
      <c r="Y883" s="245"/>
      <c r="Z883" s="245"/>
    </row>
    <row r="884" spans="1:26">
      <c r="A884" s="245"/>
      <c r="B884" s="245"/>
      <c r="C884" s="245"/>
      <c r="D884" s="245"/>
      <c r="E884" s="245"/>
      <c r="F884" s="245"/>
      <c r="G884" s="245"/>
      <c r="H884" s="245"/>
      <c r="I884" s="245"/>
      <c r="J884" s="245"/>
      <c r="K884" s="245"/>
      <c r="L884" s="245"/>
      <c r="M884" s="245"/>
      <c r="N884" s="245"/>
      <c r="O884" s="245"/>
      <c r="P884" s="245"/>
      <c r="Q884" s="245"/>
      <c r="R884" s="245"/>
      <c r="S884" s="245"/>
      <c r="T884" s="245"/>
      <c r="U884" s="245"/>
      <c r="V884" s="245"/>
      <c r="W884" s="245"/>
      <c r="X884" s="245"/>
      <c r="Y884" s="245"/>
      <c r="Z884" s="245"/>
    </row>
    <row r="885" spans="1:26">
      <c r="A885" s="245"/>
      <c r="B885" s="245"/>
      <c r="C885" s="245"/>
      <c r="D885" s="245"/>
      <c r="E885" s="245"/>
      <c r="F885" s="245"/>
      <c r="G885" s="245"/>
      <c r="H885" s="245"/>
      <c r="I885" s="245"/>
      <c r="J885" s="245"/>
      <c r="K885" s="245"/>
      <c r="L885" s="245"/>
      <c r="M885" s="245"/>
      <c r="N885" s="245"/>
      <c r="O885" s="245"/>
      <c r="P885" s="245"/>
      <c r="Q885" s="245"/>
      <c r="R885" s="245"/>
      <c r="S885" s="245"/>
      <c r="T885" s="245"/>
      <c r="U885" s="245"/>
      <c r="V885" s="245"/>
      <c r="W885" s="245"/>
      <c r="X885" s="245"/>
      <c r="Y885" s="245"/>
      <c r="Z885" s="245"/>
    </row>
    <row r="886" spans="1:26">
      <c r="A886" s="245"/>
      <c r="B886" s="245"/>
      <c r="C886" s="245"/>
      <c r="D886" s="245"/>
      <c r="E886" s="245"/>
      <c r="F886" s="245"/>
      <c r="G886" s="245"/>
      <c r="H886" s="245"/>
      <c r="I886" s="245"/>
      <c r="J886" s="245"/>
      <c r="K886" s="245"/>
      <c r="L886" s="245"/>
      <c r="M886" s="245"/>
      <c r="N886" s="245"/>
      <c r="O886" s="245"/>
      <c r="P886" s="245"/>
      <c r="Q886" s="245"/>
      <c r="R886" s="245"/>
      <c r="S886" s="245"/>
      <c r="T886" s="245"/>
      <c r="U886" s="245"/>
      <c r="V886" s="245"/>
      <c r="W886" s="245"/>
      <c r="X886" s="245"/>
      <c r="Y886" s="245"/>
      <c r="Z886" s="245"/>
    </row>
    <row r="887" spans="1:26">
      <c r="A887" s="245"/>
      <c r="B887" s="245"/>
      <c r="C887" s="245"/>
      <c r="D887" s="245"/>
      <c r="E887" s="245"/>
      <c r="F887" s="245"/>
      <c r="G887" s="245"/>
      <c r="H887" s="245"/>
      <c r="I887" s="245"/>
      <c r="J887" s="245"/>
      <c r="K887" s="245"/>
      <c r="L887" s="245"/>
      <c r="M887" s="245"/>
      <c r="N887" s="245"/>
      <c r="O887" s="245"/>
      <c r="P887" s="245"/>
      <c r="Q887" s="245"/>
      <c r="R887" s="245"/>
      <c r="S887" s="245"/>
      <c r="T887" s="245"/>
      <c r="U887" s="245"/>
      <c r="V887" s="245"/>
      <c r="W887" s="245"/>
      <c r="X887" s="245"/>
      <c r="Y887" s="245"/>
      <c r="Z887" s="245"/>
    </row>
    <row r="888" spans="1:26">
      <c r="A888" s="245"/>
      <c r="B888" s="245"/>
      <c r="C888" s="245"/>
      <c r="D888" s="245"/>
      <c r="E888" s="245"/>
      <c r="F888" s="245"/>
      <c r="G888" s="245"/>
      <c r="H888" s="245"/>
      <c r="I888" s="245"/>
      <c r="J888" s="245"/>
      <c r="K888" s="245"/>
      <c r="L888" s="245"/>
      <c r="M888" s="245"/>
      <c r="N888" s="245"/>
      <c r="O888" s="245"/>
      <c r="P888" s="245"/>
      <c r="Q888" s="245"/>
      <c r="R888" s="245"/>
      <c r="S888" s="245"/>
      <c r="T888" s="245"/>
      <c r="U888" s="245"/>
      <c r="V888" s="245"/>
      <c r="W888" s="245"/>
      <c r="X888" s="245"/>
      <c r="Y888" s="245"/>
      <c r="Z888" s="245"/>
    </row>
    <row r="889" spans="1:26">
      <c r="A889" s="245"/>
      <c r="B889" s="245"/>
      <c r="C889" s="245"/>
      <c r="D889" s="245"/>
      <c r="E889" s="245"/>
      <c r="F889" s="245"/>
      <c r="G889" s="245"/>
      <c r="H889" s="245"/>
      <c r="I889" s="245"/>
      <c r="J889" s="245"/>
      <c r="K889" s="245"/>
      <c r="L889" s="245"/>
      <c r="M889" s="245"/>
      <c r="N889" s="245"/>
      <c r="O889" s="245"/>
      <c r="P889" s="245"/>
      <c r="Q889" s="245"/>
      <c r="R889" s="245"/>
      <c r="S889" s="245"/>
      <c r="T889" s="245"/>
      <c r="U889" s="245"/>
      <c r="V889" s="245"/>
      <c r="W889" s="245"/>
      <c r="X889" s="245"/>
      <c r="Y889" s="245"/>
      <c r="Z889" s="245"/>
    </row>
    <row r="890" spans="1:26">
      <c r="A890" s="245"/>
      <c r="B890" s="245"/>
      <c r="C890" s="245"/>
      <c r="D890" s="245"/>
      <c r="E890" s="245"/>
      <c r="F890" s="245"/>
      <c r="G890" s="245"/>
      <c r="H890" s="245"/>
      <c r="I890" s="245"/>
      <c r="J890" s="245"/>
      <c r="K890" s="245"/>
      <c r="L890" s="245"/>
      <c r="M890" s="245"/>
      <c r="N890" s="245"/>
      <c r="O890" s="245"/>
      <c r="P890" s="245"/>
      <c r="Q890" s="245"/>
      <c r="R890" s="245"/>
      <c r="S890" s="245"/>
      <c r="T890" s="245"/>
      <c r="U890" s="245"/>
      <c r="V890" s="245"/>
      <c r="W890" s="245"/>
      <c r="X890" s="245"/>
      <c r="Y890" s="245"/>
      <c r="Z890" s="245"/>
    </row>
    <row r="891" spans="1:26">
      <c r="A891" s="245"/>
      <c r="B891" s="245"/>
      <c r="C891" s="245"/>
      <c r="D891" s="245"/>
      <c r="E891" s="245"/>
      <c r="F891" s="245"/>
      <c r="G891" s="245"/>
      <c r="H891" s="245"/>
      <c r="I891" s="245"/>
      <c r="J891" s="245"/>
      <c r="K891" s="245"/>
      <c r="L891" s="245"/>
      <c r="M891" s="245"/>
      <c r="N891" s="245"/>
      <c r="O891" s="245"/>
      <c r="P891" s="245"/>
      <c r="Q891" s="245"/>
      <c r="R891" s="245"/>
      <c r="S891" s="245"/>
      <c r="T891" s="245"/>
      <c r="U891" s="245"/>
      <c r="V891" s="245"/>
      <c r="W891" s="245"/>
      <c r="X891" s="245"/>
      <c r="Y891" s="245"/>
      <c r="Z891" s="245"/>
    </row>
    <row r="892" spans="1:26">
      <c r="A892" s="245"/>
      <c r="B892" s="245"/>
      <c r="C892" s="245"/>
      <c r="D892" s="245"/>
      <c r="E892" s="245"/>
      <c r="F892" s="245"/>
      <c r="G892" s="245"/>
      <c r="H892" s="245"/>
      <c r="I892" s="245"/>
      <c r="J892" s="245"/>
      <c r="K892" s="245"/>
      <c r="L892" s="245"/>
      <c r="M892" s="245"/>
      <c r="N892" s="245"/>
      <c r="O892" s="245"/>
      <c r="P892" s="245"/>
      <c r="Q892" s="245"/>
      <c r="R892" s="245"/>
      <c r="S892" s="245"/>
      <c r="T892" s="245"/>
      <c r="U892" s="245"/>
      <c r="V892" s="245"/>
      <c r="W892" s="245"/>
      <c r="X892" s="245"/>
      <c r="Y892" s="245"/>
      <c r="Z892" s="245"/>
    </row>
    <row r="893" spans="1:26">
      <c r="A893" s="245"/>
      <c r="B893" s="245"/>
      <c r="C893" s="245"/>
      <c r="D893" s="245"/>
      <c r="E893" s="245"/>
      <c r="F893" s="245"/>
      <c r="G893" s="245"/>
      <c r="H893" s="245"/>
      <c r="I893" s="245"/>
      <c r="J893" s="245"/>
      <c r="K893" s="245"/>
      <c r="L893" s="245"/>
      <c r="M893" s="245"/>
      <c r="N893" s="245"/>
      <c r="O893" s="245"/>
      <c r="P893" s="245"/>
      <c r="Q893" s="245"/>
      <c r="R893" s="245"/>
      <c r="S893" s="245"/>
      <c r="T893" s="245"/>
      <c r="U893" s="245"/>
      <c r="V893" s="245"/>
      <c r="W893" s="245"/>
      <c r="X893" s="245"/>
      <c r="Y893" s="245"/>
      <c r="Z893" s="245"/>
    </row>
    <row r="894" spans="1:26">
      <c r="A894" s="245"/>
      <c r="B894" s="245"/>
      <c r="C894" s="245"/>
      <c r="D894" s="245"/>
      <c r="E894" s="245"/>
      <c r="F894" s="245"/>
      <c r="G894" s="245"/>
      <c r="H894" s="245"/>
      <c r="I894" s="245"/>
      <c r="J894" s="245"/>
      <c r="K894" s="245"/>
      <c r="L894" s="245"/>
      <c r="M894" s="245"/>
      <c r="N894" s="245"/>
      <c r="O894" s="245"/>
      <c r="P894" s="245"/>
      <c r="Q894" s="245"/>
      <c r="R894" s="245"/>
      <c r="S894" s="245"/>
      <c r="T894" s="245"/>
      <c r="U894" s="245"/>
      <c r="V894" s="245"/>
      <c r="W894" s="245"/>
      <c r="X894" s="245"/>
      <c r="Y894" s="245"/>
      <c r="Z894" s="245"/>
    </row>
    <row r="895" spans="1:26">
      <c r="A895" s="245"/>
      <c r="B895" s="245"/>
      <c r="C895" s="245"/>
      <c r="D895" s="245"/>
      <c r="E895" s="245"/>
      <c r="F895" s="245"/>
      <c r="G895" s="245"/>
      <c r="H895" s="245"/>
      <c r="I895" s="245"/>
      <c r="J895" s="245"/>
      <c r="K895" s="245"/>
      <c r="L895" s="245"/>
      <c r="M895" s="245"/>
      <c r="N895" s="245"/>
      <c r="O895" s="245"/>
      <c r="P895" s="245"/>
      <c r="Q895" s="245"/>
      <c r="R895" s="245"/>
      <c r="S895" s="245"/>
      <c r="T895" s="245"/>
      <c r="U895" s="245"/>
      <c r="V895" s="245"/>
      <c r="W895" s="245"/>
      <c r="X895" s="245"/>
      <c r="Y895" s="245"/>
      <c r="Z895" s="245"/>
    </row>
    <row r="896" spans="1:26">
      <c r="A896" s="245"/>
      <c r="B896" s="245"/>
      <c r="C896" s="245"/>
      <c r="D896" s="245"/>
      <c r="E896" s="245"/>
      <c r="F896" s="245"/>
      <c r="G896" s="245"/>
      <c r="H896" s="245"/>
      <c r="I896" s="245"/>
      <c r="J896" s="245"/>
      <c r="K896" s="245"/>
      <c r="L896" s="245"/>
      <c r="M896" s="245"/>
      <c r="N896" s="245"/>
      <c r="O896" s="245"/>
      <c r="P896" s="245"/>
      <c r="Q896" s="245"/>
      <c r="R896" s="245"/>
      <c r="S896" s="245"/>
      <c r="T896" s="245"/>
      <c r="U896" s="245"/>
      <c r="V896" s="245"/>
      <c r="W896" s="245"/>
      <c r="X896" s="245"/>
      <c r="Y896" s="245"/>
      <c r="Z896" s="245"/>
    </row>
    <row r="897" spans="1:26">
      <c r="A897" s="245"/>
      <c r="B897" s="245"/>
      <c r="C897" s="245"/>
      <c r="D897" s="245"/>
      <c r="E897" s="245"/>
      <c r="F897" s="245"/>
      <c r="G897" s="245"/>
      <c r="H897" s="245"/>
      <c r="I897" s="245"/>
      <c r="J897" s="245"/>
      <c r="K897" s="245"/>
      <c r="L897" s="245"/>
      <c r="M897" s="245"/>
      <c r="N897" s="245"/>
      <c r="O897" s="245"/>
      <c r="P897" s="245"/>
      <c r="Q897" s="245"/>
      <c r="R897" s="245"/>
      <c r="S897" s="245"/>
      <c r="T897" s="245"/>
      <c r="U897" s="245"/>
      <c r="V897" s="245"/>
      <c r="W897" s="245"/>
      <c r="X897" s="245"/>
      <c r="Y897" s="245"/>
      <c r="Z897" s="245"/>
    </row>
    <row r="898" spans="1:26">
      <c r="A898" s="245"/>
      <c r="B898" s="245"/>
      <c r="C898" s="245"/>
      <c r="D898" s="245"/>
      <c r="E898" s="245"/>
      <c r="F898" s="245"/>
      <c r="G898" s="245"/>
      <c r="H898" s="245"/>
      <c r="I898" s="245"/>
      <c r="J898" s="245"/>
      <c r="K898" s="245"/>
      <c r="L898" s="245"/>
      <c r="M898" s="245"/>
      <c r="N898" s="245"/>
      <c r="O898" s="245"/>
      <c r="P898" s="245"/>
      <c r="Q898" s="245"/>
      <c r="R898" s="245"/>
      <c r="S898" s="245"/>
      <c r="T898" s="245"/>
      <c r="U898" s="245"/>
      <c r="V898" s="245"/>
      <c r="W898" s="245"/>
      <c r="X898" s="245"/>
      <c r="Y898" s="245"/>
      <c r="Z898" s="245"/>
    </row>
    <row r="899" spans="1:26">
      <c r="A899" s="245"/>
      <c r="B899" s="245"/>
      <c r="C899" s="245"/>
      <c r="D899" s="245"/>
      <c r="E899" s="245"/>
      <c r="F899" s="245"/>
      <c r="G899" s="245"/>
      <c r="H899" s="245"/>
      <c r="I899" s="245"/>
      <c r="J899" s="245"/>
      <c r="K899" s="245"/>
      <c r="L899" s="245"/>
      <c r="M899" s="245"/>
      <c r="N899" s="245"/>
      <c r="O899" s="245"/>
      <c r="P899" s="245"/>
      <c r="Q899" s="245"/>
      <c r="R899" s="245"/>
      <c r="S899" s="245"/>
      <c r="T899" s="245"/>
      <c r="U899" s="245"/>
      <c r="V899" s="245"/>
      <c r="W899" s="245"/>
      <c r="X899" s="245"/>
      <c r="Y899" s="245"/>
      <c r="Z899" s="245"/>
    </row>
    <row r="900" spans="1:26">
      <c r="A900" s="245"/>
      <c r="B900" s="245"/>
      <c r="C900" s="245"/>
      <c r="D900" s="245"/>
      <c r="E900" s="245"/>
      <c r="F900" s="245"/>
      <c r="G900" s="245"/>
      <c r="H900" s="245"/>
      <c r="I900" s="245"/>
      <c r="J900" s="245"/>
      <c r="K900" s="245"/>
      <c r="L900" s="245"/>
      <c r="M900" s="245"/>
      <c r="N900" s="245"/>
      <c r="O900" s="245"/>
      <c r="P900" s="245"/>
      <c r="Q900" s="245"/>
      <c r="R900" s="245"/>
      <c r="S900" s="245"/>
      <c r="T900" s="245"/>
      <c r="U900" s="245"/>
      <c r="V900" s="245"/>
      <c r="W900" s="245"/>
      <c r="X900" s="245"/>
      <c r="Y900" s="245"/>
      <c r="Z900" s="245"/>
    </row>
    <row r="901" spans="1:26">
      <c r="A901" s="245"/>
      <c r="B901" s="245"/>
      <c r="C901" s="245"/>
      <c r="D901" s="245"/>
      <c r="E901" s="245"/>
      <c r="F901" s="245"/>
      <c r="G901" s="245"/>
      <c r="H901" s="245"/>
      <c r="I901" s="245"/>
      <c r="J901" s="245"/>
      <c r="K901" s="245"/>
      <c r="L901" s="245"/>
      <c r="M901" s="245"/>
      <c r="N901" s="245"/>
      <c r="O901" s="245"/>
      <c r="P901" s="245"/>
      <c r="Q901" s="245"/>
      <c r="R901" s="245"/>
      <c r="S901" s="245"/>
      <c r="T901" s="245"/>
      <c r="U901" s="245"/>
      <c r="V901" s="245"/>
      <c r="W901" s="245"/>
      <c r="X901" s="245"/>
      <c r="Y901" s="245"/>
      <c r="Z901" s="245"/>
    </row>
    <row r="902" spans="1:26">
      <c r="A902" s="245"/>
      <c r="B902" s="245"/>
      <c r="C902" s="245"/>
      <c r="D902" s="245"/>
      <c r="E902" s="245"/>
      <c r="F902" s="245"/>
      <c r="G902" s="245"/>
      <c r="H902" s="245"/>
      <c r="I902" s="245"/>
      <c r="J902" s="245"/>
      <c r="K902" s="245"/>
      <c r="L902" s="245"/>
      <c r="M902" s="245"/>
      <c r="N902" s="245"/>
      <c r="O902" s="245"/>
      <c r="P902" s="245"/>
      <c r="Q902" s="245"/>
      <c r="R902" s="245"/>
      <c r="S902" s="245"/>
      <c r="T902" s="245"/>
      <c r="U902" s="245"/>
      <c r="V902" s="245"/>
      <c r="W902" s="245"/>
      <c r="X902" s="245"/>
      <c r="Y902" s="245"/>
      <c r="Z902" s="245"/>
    </row>
    <row r="903" spans="1:26">
      <c r="A903" s="245"/>
      <c r="B903" s="245"/>
      <c r="C903" s="245"/>
      <c r="D903" s="245"/>
      <c r="E903" s="245"/>
      <c r="F903" s="245"/>
      <c r="G903" s="245"/>
      <c r="H903" s="245"/>
      <c r="I903" s="245"/>
      <c r="J903" s="245"/>
      <c r="K903" s="245"/>
      <c r="L903" s="245"/>
      <c r="M903" s="245"/>
      <c r="N903" s="245"/>
      <c r="O903" s="245"/>
      <c r="P903" s="245"/>
      <c r="Q903" s="245"/>
      <c r="R903" s="245"/>
      <c r="S903" s="245"/>
      <c r="T903" s="245"/>
      <c r="U903" s="245"/>
      <c r="V903" s="245"/>
      <c r="W903" s="245"/>
      <c r="X903" s="245"/>
      <c r="Y903" s="245"/>
      <c r="Z903" s="245"/>
    </row>
    <row r="904" spans="1:26">
      <c r="A904" s="245"/>
      <c r="B904" s="245"/>
      <c r="C904" s="245"/>
      <c r="D904" s="245"/>
      <c r="E904" s="245"/>
      <c r="F904" s="245"/>
      <c r="G904" s="245"/>
      <c r="H904" s="245"/>
      <c r="I904" s="245"/>
      <c r="J904" s="245"/>
      <c r="K904" s="245"/>
      <c r="L904" s="245"/>
      <c r="M904" s="245"/>
      <c r="N904" s="245"/>
      <c r="O904" s="245"/>
      <c r="P904" s="245"/>
      <c r="Q904" s="245"/>
      <c r="R904" s="245"/>
      <c r="S904" s="245"/>
      <c r="T904" s="245"/>
      <c r="U904" s="245"/>
      <c r="V904" s="245"/>
      <c r="W904" s="245"/>
      <c r="X904" s="245"/>
      <c r="Y904" s="245"/>
      <c r="Z904" s="245"/>
    </row>
    <row r="905" spans="1:26">
      <c r="A905" s="245"/>
      <c r="B905" s="245"/>
      <c r="C905" s="245"/>
      <c r="D905" s="245"/>
      <c r="E905" s="245"/>
      <c r="F905" s="245"/>
      <c r="G905" s="245"/>
      <c r="H905" s="245"/>
      <c r="I905" s="245"/>
      <c r="J905" s="245"/>
      <c r="K905" s="245"/>
      <c r="L905" s="245"/>
      <c r="M905" s="245"/>
      <c r="N905" s="245"/>
      <c r="O905" s="245"/>
      <c r="P905" s="245"/>
      <c r="Q905" s="245"/>
      <c r="R905" s="245"/>
      <c r="S905" s="245"/>
      <c r="T905" s="245"/>
      <c r="U905" s="245"/>
      <c r="V905" s="245"/>
      <c r="W905" s="245"/>
      <c r="X905" s="245"/>
      <c r="Y905" s="245"/>
      <c r="Z905" s="245"/>
    </row>
    <row r="906" spans="1:26">
      <c r="A906" s="245"/>
      <c r="B906" s="245"/>
      <c r="C906" s="245"/>
      <c r="D906" s="245"/>
      <c r="E906" s="245"/>
      <c r="F906" s="245"/>
      <c r="G906" s="245"/>
      <c r="H906" s="245"/>
      <c r="I906" s="245"/>
      <c r="J906" s="245"/>
      <c r="K906" s="245"/>
      <c r="L906" s="245"/>
      <c r="M906" s="245"/>
      <c r="N906" s="245"/>
      <c r="O906" s="245"/>
      <c r="P906" s="245"/>
      <c r="Q906" s="245"/>
      <c r="R906" s="245"/>
      <c r="S906" s="245"/>
      <c r="T906" s="245"/>
      <c r="U906" s="245"/>
      <c r="V906" s="245"/>
      <c r="W906" s="245"/>
      <c r="X906" s="245"/>
      <c r="Y906" s="245"/>
      <c r="Z906" s="245"/>
    </row>
    <row r="907" spans="1:26">
      <c r="A907" s="245"/>
      <c r="B907" s="245"/>
      <c r="C907" s="245"/>
      <c r="D907" s="245"/>
      <c r="E907" s="245"/>
      <c r="F907" s="245"/>
      <c r="G907" s="245"/>
      <c r="H907" s="245"/>
      <c r="I907" s="245"/>
      <c r="J907" s="245"/>
      <c r="K907" s="245"/>
      <c r="L907" s="245"/>
      <c r="M907" s="245"/>
      <c r="N907" s="245"/>
      <c r="O907" s="245"/>
      <c r="P907" s="245"/>
      <c r="Q907" s="245"/>
      <c r="R907" s="245"/>
      <c r="S907" s="245"/>
      <c r="T907" s="245"/>
      <c r="U907" s="245"/>
      <c r="V907" s="245"/>
      <c r="W907" s="245"/>
      <c r="X907" s="245"/>
      <c r="Y907" s="245"/>
      <c r="Z907" s="245"/>
    </row>
    <row r="908" spans="1:26">
      <c r="A908" s="245"/>
      <c r="B908" s="245"/>
      <c r="C908" s="245"/>
      <c r="D908" s="245"/>
      <c r="E908" s="245"/>
      <c r="F908" s="245"/>
      <c r="G908" s="245"/>
      <c r="H908" s="245"/>
      <c r="I908" s="245"/>
      <c r="J908" s="245"/>
      <c r="K908" s="245"/>
      <c r="L908" s="245"/>
      <c r="M908" s="245"/>
      <c r="N908" s="245"/>
      <c r="O908" s="245"/>
      <c r="P908" s="245"/>
      <c r="Q908" s="245"/>
      <c r="R908" s="245"/>
      <c r="S908" s="245"/>
      <c r="T908" s="245"/>
      <c r="U908" s="245"/>
      <c r="V908" s="245"/>
      <c r="W908" s="245"/>
      <c r="X908" s="245"/>
      <c r="Y908" s="245"/>
      <c r="Z908" s="245"/>
    </row>
    <row r="909" spans="1:26">
      <c r="A909" s="245"/>
      <c r="B909" s="245"/>
      <c r="C909" s="245"/>
      <c r="D909" s="245"/>
      <c r="E909" s="245"/>
      <c r="F909" s="245"/>
      <c r="G909" s="245"/>
      <c r="H909" s="245"/>
      <c r="I909" s="245"/>
      <c r="J909" s="245"/>
      <c r="K909" s="245"/>
      <c r="L909" s="245"/>
      <c r="M909" s="245"/>
      <c r="N909" s="245"/>
      <c r="O909" s="245"/>
      <c r="P909" s="245"/>
      <c r="Q909" s="245"/>
      <c r="R909" s="245"/>
      <c r="S909" s="245"/>
      <c r="T909" s="245"/>
      <c r="U909" s="245"/>
      <c r="V909" s="245"/>
      <c r="W909" s="245"/>
      <c r="X909" s="245"/>
      <c r="Y909" s="245"/>
      <c r="Z909" s="245"/>
    </row>
    <row r="910" spans="1:26">
      <c r="A910" s="245"/>
      <c r="B910" s="245"/>
      <c r="C910" s="245"/>
      <c r="D910" s="245"/>
      <c r="E910" s="245"/>
      <c r="F910" s="245"/>
      <c r="G910" s="245"/>
      <c r="H910" s="245"/>
      <c r="I910" s="245"/>
      <c r="J910" s="245"/>
      <c r="K910" s="245"/>
      <c r="L910" s="245"/>
      <c r="M910" s="245"/>
      <c r="N910" s="245"/>
      <c r="O910" s="245"/>
      <c r="P910" s="245"/>
      <c r="Q910" s="245"/>
      <c r="R910" s="245"/>
      <c r="S910" s="245"/>
      <c r="T910" s="245"/>
      <c r="U910" s="245"/>
      <c r="V910" s="245"/>
      <c r="W910" s="245"/>
      <c r="X910" s="245"/>
      <c r="Y910" s="245"/>
      <c r="Z910" s="245"/>
    </row>
    <row r="911" spans="1:26">
      <c r="A911" s="245"/>
      <c r="B911" s="245"/>
      <c r="C911" s="245"/>
      <c r="D911" s="245"/>
      <c r="E911" s="245"/>
      <c r="F911" s="245"/>
      <c r="G911" s="245"/>
      <c r="H911" s="245"/>
      <c r="I911" s="245"/>
      <c r="J911" s="245"/>
      <c r="K911" s="245"/>
      <c r="L911" s="245"/>
      <c r="M911" s="245"/>
      <c r="N911" s="245"/>
      <c r="O911" s="245"/>
      <c r="P911" s="245"/>
      <c r="Q911" s="245"/>
      <c r="R911" s="245"/>
      <c r="S911" s="245"/>
      <c r="T911" s="245"/>
      <c r="U911" s="245"/>
      <c r="V911" s="245"/>
      <c r="W911" s="245"/>
      <c r="X911" s="245"/>
      <c r="Y911" s="245"/>
      <c r="Z911" s="245"/>
    </row>
    <row r="912" spans="1:26">
      <c r="A912" s="245"/>
      <c r="B912" s="245"/>
      <c r="C912" s="245"/>
      <c r="D912" s="245"/>
      <c r="E912" s="245"/>
      <c r="F912" s="245"/>
      <c r="G912" s="245"/>
      <c r="H912" s="245"/>
      <c r="I912" s="245"/>
      <c r="J912" s="245"/>
      <c r="K912" s="245"/>
      <c r="L912" s="245"/>
      <c r="M912" s="245"/>
      <c r="N912" s="245"/>
      <c r="O912" s="245"/>
      <c r="P912" s="245"/>
      <c r="Q912" s="245"/>
      <c r="R912" s="245"/>
      <c r="S912" s="245"/>
      <c r="T912" s="245"/>
      <c r="U912" s="245"/>
      <c r="V912" s="245"/>
      <c r="W912" s="245"/>
      <c r="X912" s="245"/>
      <c r="Y912" s="245"/>
      <c r="Z912" s="245"/>
    </row>
    <row r="913" spans="1:26">
      <c r="A913" s="245"/>
      <c r="B913" s="245"/>
      <c r="C913" s="245"/>
      <c r="D913" s="245"/>
      <c r="E913" s="245"/>
      <c r="F913" s="245"/>
      <c r="G913" s="245"/>
      <c r="H913" s="245"/>
      <c r="I913" s="245"/>
      <c r="J913" s="245"/>
      <c r="K913" s="245"/>
      <c r="L913" s="245"/>
      <c r="M913" s="245"/>
      <c r="N913" s="245"/>
      <c r="O913" s="245"/>
      <c r="P913" s="245"/>
      <c r="Q913" s="245"/>
      <c r="R913" s="245"/>
      <c r="S913" s="245"/>
      <c r="T913" s="245"/>
      <c r="U913" s="245"/>
      <c r="V913" s="245"/>
      <c r="W913" s="245"/>
      <c r="X913" s="245"/>
      <c r="Y913" s="245"/>
      <c r="Z913" s="245"/>
    </row>
    <row r="914" spans="1:26">
      <c r="A914" s="245"/>
      <c r="B914" s="245"/>
      <c r="C914" s="245"/>
      <c r="D914" s="245"/>
      <c r="E914" s="245"/>
      <c r="F914" s="245"/>
      <c r="G914" s="245"/>
      <c r="H914" s="245"/>
      <c r="I914" s="245"/>
      <c r="J914" s="245"/>
      <c r="K914" s="245"/>
      <c r="L914" s="245"/>
      <c r="M914" s="245"/>
      <c r="N914" s="245"/>
      <c r="O914" s="245"/>
      <c r="P914" s="245"/>
      <c r="Q914" s="245"/>
      <c r="R914" s="245"/>
      <c r="S914" s="245"/>
      <c r="T914" s="245"/>
      <c r="U914" s="245"/>
      <c r="V914" s="245"/>
      <c r="W914" s="245"/>
      <c r="X914" s="245"/>
      <c r="Y914" s="245"/>
      <c r="Z914" s="245"/>
    </row>
    <row r="915" spans="1:26">
      <c r="A915" s="245"/>
      <c r="B915" s="245"/>
      <c r="C915" s="245"/>
      <c r="D915" s="245"/>
      <c r="E915" s="245"/>
      <c r="F915" s="245"/>
      <c r="G915" s="245"/>
      <c r="H915" s="245"/>
      <c r="I915" s="245"/>
      <c r="J915" s="245"/>
      <c r="K915" s="245"/>
      <c r="L915" s="245"/>
      <c r="M915" s="245"/>
      <c r="N915" s="245"/>
      <c r="O915" s="245"/>
      <c r="P915" s="245"/>
      <c r="Q915" s="245"/>
      <c r="R915" s="245"/>
      <c r="S915" s="245"/>
      <c r="T915" s="245"/>
      <c r="U915" s="245"/>
      <c r="V915" s="245"/>
      <c r="W915" s="245"/>
      <c r="X915" s="245"/>
      <c r="Y915" s="245"/>
      <c r="Z915" s="245"/>
    </row>
    <row r="916" spans="1:26">
      <c r="A916" s="245"/>
      <c r="B916" s="245"/>
      <c r="C916" s="245"/>
      <c r="D916" s="245"/>
      <c r="E916" s="245"/>
      <c r="F916" s="245"/>
      <c r="G916" s="245"/>
      <c r="H916" s="245"/>
      <c r="I916" s="245"/>
      <c r="J916" s="245"/>
      <c r="K916" s="245"/>
      <c r="L916" s="245"/>
      <c r="M916" s="245"/>
      <c r="N916" s="245"/>
      <c r="O916" s="245"/>
      <c r="P916" s="245"/>
      <c r="Q916" s="245"/>
      <c r="R916" s="245"/>
      <c r="S916" s="245"/>
      <c r="T916" s="245"/>
      <c r="U916" s="245"/>
      <c r="V916" s="245"/>
      <c r="W916" s="245"/>
      <c r="X916" s="245"/>
      <c r="Y916" s="245"/>
      <c r="Z916" s="245"/>
    </row>
    <row r="917" spans="1:26">
      <c r="A917" s="245"/>
      <c r="B917" s="245"/>
      <c r="C917" s="245"/>
      <c r="D917" s="245"/>
      <c r="E917" s="245"/>
      <c r="F917" s="245"/>
      <c r="G917" s="245"/>
      <c r="H917" s="245"/>
      <c r="I917" s="245"/>
      <c r="J917" s="245"/>
      <c r="K917" s="245"/>
      <c r="L917" s="245"/>
      <c r="M917" s="245"/>
      <c r="N917" s="245"/>
      <c r="O917" s="245"/>
      <c r="P917" s="245"/>
      <c r="Q917" s="245"/>
      <c r="R917" s="245"/>
      <c r="S917" s="245"/>
      <c r="T917" s="245"/>
      <c r="U917" s="245"/>
      <c r="V917" s="245"/>
      <c r="W917" s="245"/>
      <c r="X917" s="245"/>
      <c r="Y917" s="245"/>
      <c r="Z917" s="245"/>
    </row>
    <row r="918" spans="1:26">
      <c r="A918" s="245"/>
      <c r="B918" s="245"/>
      <c r="C918" s="245"/>
      <c r="D918" s="245"/>
      <c r="E918" s="245"/>
      <c r="F918" s="245"/>
      <c r="G918" s="245"/>
      <c r="H918" s="245"/>
      <c r="I918" s="245"/>
      <c r="J918" s="245"/>
      <c r="K918" s="245"/>
      <c r="L918" s="245"/>
      <c r="M918" s="245"/>
      <c r="N918" s="245"/>
      <c r="O918" s="245"/>
      <c r="P918" s="245"/>
      <c r="Q918" s="245"/>
      <c r="R918" s="245"/>
      <c r="S918" s="245"/>
      <c r="T918" s="245"/>
      <c r="U918" s="245"/>
      <c r="V918" s="245"/>
      <c r="W918" s="245"/>
      <c r="X918" s="245"/>
      <c r="Y918" s="245"/>
      <c r="Z918" s="245"/>
    </row>
    <row r="919" spans="1:26">
      <c r="A919" s="245"/>
      <c r="B919" s="245"/>
      <c r="C919" s="245"/>
      <c r="D919" s="245"/>
      <c r="E919" s="245"/>
      <c r="F919" s="245"/>
      <c r="G919" s="245"/>
      <c r="H919" s="245"/>
      <c r="I919" s="245"/>
      <c r="J919" s="245"/>
      <c r="K919" s="245"/>
      <c r="L919" s="245"/>
      <c r="M919" s="245"/>
      <c r="N919" s="245"/>
      <c r="O919" s="245"/>
      <c r="P919" s="245"/>
      <c r="Q919" s="245"/>
      <c r="R919" s="245"/>
      <c r="S919" s="245"/>
      <c r="T919" s="245"/>
      <c r="U919" s="245"/>
      <c r="V919" s="245"/>
      <c r="W919" s="245"/>
      <c r="X919" s="245"/>
      <c r="Y919" s="245"/>
      <c r="Z919" s="245"/>
    </row>
    <row r="920" spans="1:26">
      <c r="A920" s="245"/>
      <c r="B920" s="245"/>
      <c r="C920" s="245"/>
      <c r="D920" s="245"/>
      <c r="E920" s="245"/>
      <c r="F920" s="245"/>
      <c r="G920" s="245"/>
      <c r="H920" s="245"/>
      <c r="I920" s="245"/>
      <c r="J920" s="245"/>
      <c r="K920" s="245"/>
      <c r="L920" s="245"/>
      <c r="M920" s="245"/>
      <c r="N920" s="245"/>
      <c r="O920" s="245"/>
      <c r="P920" s="245"/>
      <c r="Q920" s="245"/>
      <c r="R920" s="245"/>
      <c r="S920" s="245"/>
      <c r="T920" s="245"/>
      <c r="U920" s="245"/>
      <c r="V920" s="245"/>
      <c r="W920" s="245"/>
      <c r="X920" s="245"/>
      <c r="Y920" s="245"/>
      <c r="Z920" s="245"/>
    </row>
    <row r="921" spans="1:26">
      <c r="A921" s="245"/>
      <c r="B921" s="245"/>
      <c r="C921" s="245"/>
      <c r="D921" s="245"/>
      <c r="E921" s="245"/>
      <c r="F921" s="245"/>
      <c r="G921" s="245"/>
      <c r="H921" s="245"/>
      <c r="I921" s="245"/>
      <c r="J921" s="245"/>
      <c r="K921" s="245"/>
      <c r="L921" s="245"/>
      <c r="M921" s="245"/>
      <c r="N921" s="245"/>
      <c r="O921" s="245"/>
      <c r="P921" s="245"/>
      <c r="Q921" s="245"/>
      <c r="R921" s="245"/>
      <c r="S921" s="245"/>
      <c r="T921" s="245"/>
      <c r="U921" s="245"/>
      <c r="V921" s="245"/>
      <c r="W921" s="245"/>
      <c r="X921" s="245"/>
      <c r="Y921" s="245"/>
      <c r="Z921" s="245"/>
    </row>
    <row r="922" spans="1:26">
      <c r="A922" s="245"/>
      <c r="B922" s="245"/>
      <c r="C922" s="245"/>
      <c r="D922" s="245"/>
      <c r="E922" s="245"/>
      <c r="F922" s="245"/>
      <c r="G922" s="245"/>
      <c r="H922" s="245"/>
      <c r="I922" s="245"/>
      <c r="J922" s="245"/>
      <c r="K922" s="245"/>
      <c r="L922" s="245"/>
      <c r="M922" s="245"/>
      <c r="N922" s="245"/>
      <c r="O922" s="245"/>
      <c r="P922" s="245"/>
      <c r="Q922" s="245"/>
      <c r="R922" s="245"/>
      <c r="S922" s="245"/>
      <c r="T922" s="245"/>
      <c r="U922" s="245"/>
      <c r="V922" s="245"/>
      <c r="W922" s="245"/>
      <c r="X922" s="245"/>
      <c r="Y922" s="245"/>
      <c r="Z922" s="245"/>
    </row>
    <row r="923" spans="1:26">
      <c r="A923" s="245"/>
      <c r="B923" s="245"/>
      <c r="C923" s="245"/>
      <c r="D923" s="245"/>
      <c r="E923" s="245"/>
      <c r="F923" s="245"/>
      <c r="G923" s="245"/>
      <c r="H923" s="245"/>
      <c r="I923" s="245"/>
      <c r="J923" s="245"/>
      <c r="K923" s="245"/>
      <c r="L923" s="245"/>
      <c r="M923" s="245"/>
      <c r="N923" s="245"/>
      <c r="O923" s="245"/>
      <c r="P923" s="245"/>
      <c r="Q923" s="245"/>
      <c r="R923" s="245"/>
      <c r="S923" s="245"/>
      <c r="T923" s="245"/>
      <c r="U923" s="245"/>
      <c r="V923" s="245"/>
      <c r="W923" s="245"/>
      <c r="X923" s="245"/>
      <c r="Y923" s="245"/>
      <c r="Z923" s="245"/>
    </row>
    <row r="924" spans="1:26">
      <c r="A924" s="245"/>
      <c r="B924" s="245"/>
      <c r="C924" s="245"/>
      <c r="D924" s="245"/>
      <c r="E924" s="245"/>
      <c r="F924" s="245"/>
      <c r="G924" s="245"/>
      <c r="H924" s="245"/>
      <c r="I924" s="245"/>
      <c r="J924" s="245"/>
      <c r="K924" s="245"/>
      <c r="L924" s="245"/>
      <c r="M924" s="245"/>
      <c r="N924" s="245"/>
      <c r="O924" s="245"/>
      <c r="P924" s="245"/>
      <c r="Q924" s="245"/>
      <c r="R924" s="245"/>
      <c r="S924" s="245"/>
      <c r="T924" s="245"/>
      <c r="U924" s="245"/>
      <c r="V924" s="245"/>
      <c r="W924" s="245"/>
      <c r="X924" s="245"/>
      <c r="Y924" s="245"/>
      <c r="Z924" s="245"/>
    </row>
    <row r="925" spans="1:26">
      <c r="A925" s="245"/>
      <c r="B925" s="245"/>
      <c r="C925" s="245"/>
      <c r="D925" s="245"/>
      <c r="E925" s="245"/>
      <c r="F925" s="245"/>
      <c r="G925" s="245"/>
      <c r="H925" s="245"/>
      <c r="I925" s="245"/>
      <c r="J925" s="245"/>
      <c r="K925" s="245"/>
      <c r="L925" s="245"/>
      <c r="M925" s="245"/>
      <c r="N925" s="245"/>
      <c r="O925" s="245"/>
      <c r="P925" s="245"/>
      <c r="Q925" s="245"/>
      <c r="R925" s="245"/>
      <c r="S925" s="245"/>
      <c r="T925" s="245"/>
      <c r="U925" s="245"/>
      <c r="V925" s="245"/>
      <c r="W925" s="245"/>
      <c r="X925" s="245"/>
      <c r="Y925" s="245"/>
      <c r="Z925" s="245"/>
    </row>
    <row r="926" spans="1:26">
      <c r="A926" s="245"/>
      <c r="B926" s="245"/>
      <c r="C926" s="245"/>
      <c r="D926" s="245"/>
      <c r="E926" s="245"/>
      <c r="F926" s="245"/>
      <c r="G926" s="245"/>
      <c r="H926" s="245"/>
      <c r="I926" s="245"/>
      <c r="J926" s="245"/>
      <c r="K926" s="245"/>
      <c r="L926" s="245"/>
      <c r="M926" s="245"/>
      <c r="N926" s="245"/>
      <c r="O926" s="245"/>
      <c r="P926" s="245"/>
      <c r="Q926" s="245"/>
      <c r="R926" s="245"/>
      <c r="S926" s="245"/>
      <c r="T926" s="245"/>
      <c r="U926" s="245"/>
      <c r="V926" s="245"/>
      <c r="W926" s="245"/>
      <c r="X926" s="245"/>
      <c r="Y926" s="245"/>
      <c r="Z926" s="245"/>
    </row>
    <row r="927" spans="1:26">
      <c r="A927" s="245"/>
      <c r="B927" s="245"/>
      <c r="C927" s="245"/>
      <c r="D927" s="245"/>
      <c r="E927" s="245"/>
      <c r="F927" s="245"/>
      <c r="G927" s="245"/>
      <c r="H927" s="245"/>
      <c r="I927" s="245"/>
      <c r="J927" s="245"/>
      <c r="K927" s="245"/>
      <c r="L927" s="245"/>
      <c r="M927" s="245"/>
      <c r="N927" s="245"/>
      <c r="O927" s="245"/>
      <c r="P927" s="245"/>
      <c r="Q927" s="245"/>
      <c r="R927" s="245"/>
      <c r="S927" s="245"/>
      <c r="T927" s="245"/>
      <c r="U927" s="245"/>
      <c r="V927" s="245"/>
      <c r="W927" s="245"/>
      <c r="X927" s="245"/>
      <c r="Y927" s="245"/>
      <c r="Z927" s="245"/>
    </row>
    <row r="928" spans="1:26">
      <c r="A928" s="245"/>
      <c r="B928" s="245"/>
      <c r="C928" s="245"/>
      <c r="D928" s="245"/>
      <c r="E928" s="245"/>
      <c r="F928" s="245"/>
      <c r="G928" s="245"/>
      <c r="H928" s="245"/>
      <c r="I928" s="245"/>
      <c r="J928" s="245"/>
      <c r="K928" s="245"/>
      <c r="L928" s="245"/>
      <c r="M928" s="245"/>
      <c r="N928" s="245"/>
      <c r="O928" s="245"/>
      <c r="P928" s="245"/>
      <c r="Q928" s="245"/>
      <c r="R928" s="245"/>
      <c r="S928" s="245"/>
      <c r="T928" s="245"/>
      <c r="U928" s="245"/>
      <c r="V928" s="245"/>
      <c r="W928" s="245"/>
      <c r="X928" s="245"/>
      <c r="Y928" s="245"/>
      <c r="Z928" s="245"/>
    </row>
    <row r="929" spans="1:26">
      <c r="A929" s="245"/>
      <c r="B929" s="245"/>
      <c r="C929" s="245"/>
      <c r="D929" s="245"/>
      <c r="E929" s="245"/>
      <c r="F929" s="245"/>
      <c r="G929" s="245"/>
      <c r="H929" s="245"/>
      <c r="I929" s="245"/>
      <c r="J929" s="245"/>
      <c r="K929" s="245"/>
      <c r="L929" s="245"/>
      <c r="M929" s="245"/>
      <c r="N929" s="245"/>
      <c r="O929" s="245"/>
      <c r="P929" s="245"/>
      <c r="Q929" s="245"/>
      <c r="R929" s="245"/>
      <c r="S929" s="245"/>
      <c r="T929" s="245"/>
      <c r="U929" s="245"/>
      <c r="V929" s="245"/>
      <c r="W929" s="245"/>
      <c r="X929" s="245"/>
      <c r="Y929" s="245"/>
      <c r="Z929" s="245"/>
    </row>
    <row r="930" spans="1:26">
      <c r="A930" s="245"/>
      <c r="B930" s="245"/>
      <c r="C930" s="245"/>
      <c r="D930" s="245"/>
      <c r="E930" s="245"/>
      <c r="F930" s="245"/>
      <c r="G930" s="245"/>
      <c r="H930" s="245"/>
      <c r="I930" s="245"/>
      <c r="J930" s="245"/>
      <c r="K930" s="245"/>
      <c r="L930" s="245"/>
      <c r="M930" s="245"/>
      <c r="N930" s="245"/>
      <c r="O930" s="245"/>
      <c r="P930" s="245"/>
      <c r="Q930" s="245"/>
      <c r="R930" s="245"/>
      <c r="S930" s="245"/>
      <c r="T930" s="245"/>
      <c r="U930" s="245"/>
      <c r="V930" s="245"/>
      <c r="W930" s="245"/>
      <c r="X930" s="245"/>
      <c r="Y930" s="245"/>
      <c r="Z930" s="245"/>
    </row>
    <row r="931" spans="1:26">
      <c r="A931" s="245"/>
      <c r="B931" s="245"/>
      <c r="C931" s="245"/>
      <c r="D931" s="245"/>
      <c r="E931" s="245"/>
      <c r="F931" s="245"/>
      <c r="G931" s="245"/>
      <c r="H931" s="245"/>
      <c r="I931" s="245"/>
      <c r="J931" s="245"/>
      <c r="K931" s="245"/>
      <c r="L931" s="245"/>
      <c r="M931" s="245"/>
      <c r="N931" s="245"/>
      <c r="O931" s="245"/>
      <c r="P931" s="245"/>
      <c r="Q931" s="245"/>
      <c r="R931" s="245"/>
      <c r="S931" s="245"/>
      <c r="T931" s="245"/>
      <c r="U931" s="245"/>
      <c r="V931" s="245"/>
      <c r="W931" s="245"/>
      <c r="X931" s="245"/>
      <c r="Y931" s="245"/>
      <c r="Z931" s="245"/>
    </row>
    <row r="932" spans="1:26">
      <c r="A932" s="245"/>
      <c r="B932" s="245"/>
      <c r="C932" s="245"/>
      <c r="D932" s="245"/>
      <c r="E932" s="245"/>
      <c r="F932" s="245"/>
      <c r="G932" s="245"/>
      <c r="H932" s="245"/>
      <c r="I932" s="245"/>
      <c r="J932" s="245"/>
      <c r="K932" s="245"/>
      <c r="L932" s="245"/>
      <c r="M932" s="245"/>
      <c r="N932" s="245"/>
      <c r="O932" s="245"/>
      <c r="P932" s="245"/>
      <c r="Q932" s="245"/>
      <c r="R932" s="245"/>
      <c r="S932" s="245"/>
      <c r="T932" s="245"/>
      <c r="U932" s="245"/>
      <c r="V932" s="245"/>
      <c r="W932" s="245"/>
      <c r="X932" s="245"/>
      <c r="Y932" s="245"/>
      <c r="Z932" s="245"/>
    </row>
    <row r="933" spans="1:26">
      <c r="A933" s="245"/>
      <c r="B933" s="245"/>
      <c r="C933" s="245"/>
      <c r="D933" s="245"/>
      <c r="E933" s="245"/>
      <c r="F933" s="245"/>
      <c r="G933" s="245"/>
      <c r="H933" s="245"/>
      <c r="I933" s="245"/>
      <c r="J933" s="245"/>
      <c r="K933" s="245"/>
      <c r="L933" s="245"/>
      <c r="M933" s="245"/>
      <c r="N933" s="245"/>
      <c r="O933" s="245"/>
      <c r="P933" s="245"/>
      <c r="Q933" s="245"/>
      <c r="R933" s="245"/>
      <c r="S933" s="245"/>
      <c r="T933" s="245"/>
      <c r="U933" s="245"/>
      <c r="V933" s="245"/>
      <c r="W933" s="245"/>
      <c r="X933" s="245"/>
      <c r="Y933" s="245"/>
      <c r="Z933" s="245"/>
    </row>
    <row r="934" spans="1:26">
      <c r="A934" s="245"/>
      <c r="B934" s="245"/>
      <c r="C934" s="245"/>
      <c r="D934" s="245"/>
      <c r="E934" s="245"/>
      <c r="F934" s="245"/>
      <c r="G934" s="245"/>
      <c r="H934" s="245"/>
      <c r="I934" s="245"/>
      <c r="J934" s="245"/>
      <c r="K934" s="245"/>
      <c r="L934" s="245"/>
      <c r="M934" s="245"/>
      <c r="N934" s="245"/>
      <c r="O934" s="245"/>
      <c r="P934" s="245"/>
      <c r="Q934" s="245"/>
      <c r="R934" s="245"/>
      <c r="S934" s="245"/>
      <c r="T934" s="245"/>
      <c r="U934" s="245"/>
      <c r="V934" s="245"/>
      <c r="W934" s="245"/>
      <c r="X934" s="245"/>
      <c r="Y934" s="245"/>
      <c r="Z934" s="245"/>
    </row>
    <row r="935" spans="1:26">
      <c r="A935" s="245"/>
      <c r="B935" s="245"/>
      <c r="C935" s="245"/>
      <c r="D935" s="245"/>
      <c r="E935" s="245"/>
      <c r="F935" s="245"/>
      <c r="G935" s="245"/>
      <c r="H935" s="245"/>
      <c r="I935" s="245"/>
      <c r="J935" s="245"/>
      <c r="K935" s="245"/>
      <c r="L935" s="245"/>
      <c r="M935" s="245"/>
      <c r="N935" s="245"/>
      <c r="O935" s="245"/>
      <c r="P935" s="245"/>
      <c r="Q935" s="245"/>
      <c r="R935" s="245"/>
      <c r="S935" s="245"/>
      <c r="T935" s="245"/>
      <c r="U935" s="245"/>
      <c r="V935" s="245"/>
      <c r="W935" s="245"/>
      <c r="X935" s="245"/>
      <c r="Y935" s="245"/>
      <c r="Z935" s="245"/>
    </row>
    <row r="936" spans="1:26">
      <c r="A936" s="245"/>
      <c r="B936" s="245"/>
      <c r="C936" s="245"/>
      <c r="D936" s="245"/>
      <c r="E936" s="245"/>
      <c r="F936" s="245"/>
      <c r="G936" s="245"/>
      <c r="H936" s="245"/>
      <c r="I936" s="245"/>
      <c r="J936" s="245"/>
      <c r="K936" s="245"/>
      <c r="L936" s="245"/>
      <c r="M936" s="245"/>
      <c r="N936" s="245"/>
      <c r="O936" s="245"/>
      <c r="P936" s="245"/>
      <c r="Q936" s="245"/>
      <c r="R936" s="245"/>
      <c r="S936" s="245"/>
      <c r="T936" s="245"/>
      <c r="U936" s="245"/>
      <c r="V936" s="245"/>
      <c r="W936" s="245"/>
      <c r="X936" s="245"/>
      <c r="Y936" s="245"/>
      <c r="Z936" s="245"/>
    </row>
    <row r="937" spans="1:26">
      <c r="A937" s="245"/>
      <c r="B937" s="245"/>
      <c r="C937" s="245"/>
      <c r="D937" s="245"/>
      <c r="E937" s="245"/>
      <c r="F937" s="245"/>
      <c r="G937" s="245"/>
      <c r="H937" s="245"/>
      <c r="I937" s="245"/>
      <c r="J937" s="245"/>
      <c r="K937" s="245"/>
      <c r="L937" s="245"/>
      <c r="M937" s="245"/>
      <c r="N937" s="245"/>
      <c r="O937" s="245"/>
      <c r="P937" s="245"/>
      <c r="Q937" s="245"/>
      <c r="R937" s="245"/>
      <c r="S937" s="245"/>
      <c r="T937" s="245"/>
      <c r="U937" s="245"/>
      <c r="V937" s="245"/>
      <c r="W937" s="245"/>
      <c r="X937" s="245"/>
      <c r="Y937" s="245"/>
      <c r="Z937" s="245"/>
    </row>
    <row r="938" spans="1:26">
      <c r="A938" s="245"/>
      <c r="B938" s="245"/>
      <c r="C938" s="245"/>
      <c r="D938" s="245"/>
      <c r="E938" s="245"/>
      <c r="F938" s="245"/>
      <c r="G938" s="245"/>
      <c r="H938" s="245"/>
      <c r="I938" s="245"/>
      <c r="J938" s="245"/>
      <c r="K938" s="245"/>
      <c r="L938" s="245"/>
      <c r="M938" s="245"/>
      <c r="N938" s="245"/>
      <c r="O938" s="245"/>
      <c r="P938" s="245"/>
      <c r="Q938" s="245"/>
      <c r="R938" s="245"/>
      <c r="S938" s="245"/>
      <c r="T938" s="245"/>
      <c r="U938" s="245"/>
      <c r="V938" s="245"/>
      <c r="W938" s="245"/>
      <c r="X938" s="245"/>
      <c r="Y938" s="245"/>
      <c r="Z938" s="245"/>
    </row>
    <row r="939" spans="1:26">
      <c r="A939" s="245"/>
      <c r="B939" s="245"/>
      <c r="C939" s="245"/>
      <c r="D939" s="245"/>
      <c r="E939" s="245"/>
      <c r="F939" s="245"/>
      <c r="G939" s="245"/>
      <c r="H939" s="245"/>
      <c r="I939" s="245"/>
      <c r="J939" s="245"/>
      <c r="K939" s="245"/>
      <c r="L939" s="245"/>
      <c r="M939" s="245"/>
      <c r="N939" s="245"/>
      <c r="O939" s="245"/>
      <c r="P939" s="245"/>
      <c r="Q939" s="245"/>
      <c r="R939" s="245"/>
      <c r="S939" s="245"/>
      <c r="T939" s="245"/>
      <c r="U939" s="245"/>
      <c r="V939" s="245"/>
      <c r="W939" s="245"/>
      <c r="X939" s="245"/>
      <c r="Y939" s="245"/>
      <c r="Z939" s="245"/>
    </row>
    <row r="940" spans="1:26">
      <c r="A940" s="245"/>
      <c r="B940" s="245"/>
      <c r="C940" s="245"/>
      <c r="D940" s="245"/>
      <c r="E940" s="245"/>
      <c r="F940" s="245"/>
      <c r="G940" s="245"/>
      <c r="H940" s="245"/>
      <c r="I940" s="245"/>
      <c r="J940" s="245"/>
      <c r="K940" s="245"/>
      <c r="L940" s="245"/>
      <c r="M940" s="245"/>
      <c r="N940" s="245"/>
      <c r="O940" s="245"/>
      <c r="P940" s="245"/>
      <c r="Q940" s="245"/>
      <c r="R940" s="245"/>
      <c r="S940" s="245"/>
      <c r="T940" s="245"/>
      <c r="U940" s="245"/>
      <c r="V940" s="245"/>
      <c r="W940" s="245"/>
      <c r="X940" s="245"/>
      <c r="Y940" s="245"/>
      <c r="Z940" s="245"/>
    </row>
    <row r="941" spans="1:26">
      <c r="A941" s="245"/>
      <c r="B941" s="245"/>
      <c r="C941" s="245"/>
      <c r="D941" s="245"/>
      <c r="E941" s="245"/>
      <c r="F941" s="245"/>
      <c r="G941" s="245"/>
      <c r="H941" s="245"/>
      <c r="I941" s="245"/>
      <c r="J941" s="245"/>
      <c r="K941" s="245"/>
      <c r="L941" s="245"/>
      <c r="M941" s="245"/>
      <c r="N941" s="245"/>
      <c r="O941" s="245"/>
      <c r="P941" s="245"/>
      <c r="Q941" s="245"/>
      <c r="R941" s="245"/>
      <c r="S941" s="245"/>
      <c r="T941" s="245"/>
      <c r="U941" s="245"/>
      <c r="V941" s="245"/>
      <c r="W941" s="245"/>
      <c r="X941" s="245"/>
      <c r="Y941" s="245"/>
      <c r="Z941" s="245"/>
    </row>
    <row r="942" spans="1:26">
      <c r="A942" s="245"/>
      <c r="B942" s="245"/>
      <c r="C942" s="245"/>
      <c r="D942" s="245"/>
      <c r="E942" s="245"/>
      <c r="F942" s="245"/>
      <c r="G942" s="245"/>
      <c r="H942" s="245"/>
      <c r="I942" s="245"/>
      <c r="J942" s="245"/>
      <c r="K942" s="245"/>
      <c r="L942" s="245"/>
      <c r="M942" s="245"/>
      <c r="N942" s="245"/>
      <c r="O942" s="245"/>
      <c r="P942" s="245"/>
      <c r="Q942" s="245"/>
      <c r="R942" s="245"/>
      <c r="S942" s="245"/>
      <c r="T942" s="245"/>
      <c r="U942" s="245"/>
      <c r="V942" s="245"/>
      <c r="W942" s="245"/>
      <c r="X942" s="245"/>
      <c r="Y942" s="245"/>
      <c r="Z942" s="245"/>
    </row>
    <row r="943" spans="1:26">
      <c r="A943" s="245"/>
      <c r="B943" s="245"/>
      <c r="C943" s="245"/>
      <c r="D943" s="245"/>
      <c r="E943" s="245"/>
      <c r="F943" s="245"/>
      <c r="G943" s="245"/>
      <c r="H943" s="245"/>
      <c r="I943" s="245"/>
      <c r="J943" s="245"/>
      <c r="K943" s="245"/>
      <c r="L943" s="245"/>
      <c r="M943" s="245"/>
      <c r="N943" s="245"/>
      <c r="O943" s="245"/>
      <c r="P943" s="245"/>
      <c r="Q943" s="245"/>
      <c r="R943" s="245"/>
      <c r="S943" s="245"/>
      <c r="T943" s="245"/>
      <c r="U943" s="245"/>
      <c r="V943" s="245"/>
      <c r="W943" s="245"/>
      <c r="X943" s="245"/>
      <c r="Y943" s="245"/>
      <c r="Z943" s="245"/>
    </row>
    <row r="944" spans="1:26">
      <c r="A944" s="245"/>
      <c r="B944" s="245"/>
      <c r="C944" s="245"/>
      <c r="D944" s="245"/>
      <c r="E944" s="245"/>
      <c r="F944" s="245"/>
      <c r="G944" s="245"/>
      <c r="H944" s="245"/>
      <c r="I944" s="245"/>
      <c r="J944" s="245"/>
      <c r="K944" s="245"/>
      <c r="L944" s="245"/>
      <c r="M944" s="245"/>
      <c r="N944" s="245"/>
      <c r="O944" s="245"/>
      <c r="P944" s="245"/>
      <c r="Q944" s="245"/>
      <c r="R944" s="245"/>
      <c r="S944" s="245"/>
      <c r="T944" s="245"/>
      <c r="U944" s="245"/>
      <c r="V944" s="245"/>
      <c r="W944" s="245"/>
      <c r="X944" s="245"/>
      <c r="Y944" s="245"/>
      <c r="Z944" s="245"/>
    </row>
    <row r="945" spans="1:26">
      <c r="A945" s="245"/>
      <c r="B945" s="245"/>
      <c r="C945" s="245"/>
      <c r="D945" s="245"/>
      <c r="E945" s="245"/>
      <c r="F945" s="245"/>
      <c r="G945" s="245"/>
      <c r="H945" s="245"/>
      <c r="I945" s="245"/>
      <c r="J945" s="245"/>
      <c r="K945" s="245"/>
      <c r="L945" s="245"/>
      <c r="M945" s="245"/>
      <c r="N945" s="245"/>
      <c r="O945" s="245"/>
      <c r="P945" s="245"/>
      <c r="Q945" s="245"/>
      <c r="R945" s="245"/>
      <c r="S945" s="245"/>
      <c r="T945" s="245"/>
      <c r="U945" s="245"/>
      <c r="V945" s="245"/>
      <c r="W945" s="245"/>
      <c r="X945" s="245"/>
      <c r="Y945" s="245"/>
      <c r="Z945" s="245"/>
    </row>
    <row r="946" spans="1:26">
      <c r="A946" s="245"/>
      <c r="B946" s="245"/>
      <c r="C946" s="245"/>
      <c r="D946" s="245"/>
      <c r="E946" s="245"/>
      <c r="F946" s="245"/>
      <c r="G946" s="245"/>
      <c r="H946" s="245"/>
      <c r="I946" s="245"/>
      <c r="J946" s="245"/>
      <c r="K946" s="245"/>
      <c r="L946" s="245"/>
      <c r="M946" s="245"/>
      <c r="N946" s="245"/>
      <c r="O946" s="245"/>
      <c r="P946" s="245"/>
      <c r="Q946" s="245"/>
      <c r="R946" s="245"/>
      <c r="S946" s="245"/>
      <c r="T946" s="245"/>
      <c r="U946" s="245"/>
      <c r="V946" s="245"/>
      <c r="W946" s="245"/>
      <c r="X946" s="245"/>
      <c r="Y946" s="245"/>
      <c r="Z946" s="245"/>
    </row>
    <row r="947" spans="1:26">
      <c r="A947" s="245"/>
      <c r="B947" s="245"/>
      <c r="C947" s="245"/>
      <c r="D947" s="245"/>
      <c r="E947" s="245"/>
      <c r="F947" s="245"/>
      <c r="G947" s="245"/>
      <c r="H947" s="245"/>
      <c r="I947" s="245"/>
      <c r="J947" s="245"/>
      <c r="K947" s="245"/>
      <c r="L947" s="245"/>
      <c r="M947" s="245"/>
      <c r="N947" s="245"/>
      <c r="O947" s="245"/>
      <c r="P947" s="245"/>
      <c r="Q947" s="245"/>
      <c r="R947" s="245"/>
      <c r="S947" s="245"/>
      <c r="T947" s="245"/>
      <c r="U947" s="245"/>
      <c r="V947" s="245"/>
      <c r="W947" s="245"/>
      <c r="X947" s="245"/>
      <c r="Y947" s="245"/>
      <c r="Z947" s="245"/>
    </row>
    <row r="948" spans="1:26">
      <c r="A948" s="245"/>
      <c r="B948" s="245"/>
      <c r="C948" s="245"/>
      <c r="D948" s="245"/>
      <c r="E948" s="245"/>
      <c r="F948" s="245"/>
      <c r="G948" s="245"/>
      <c r="H948" s="245"/>
      <c r="I948" s="245"/>
      <c r="J948" s="245"/>
      <c r="K948" s="245"/>
      <c r="L948" s="245"/>
      <c r="M948" s="245"/>
      <c r="N948" s="245"/>
      <c r="O948" s="245"/>
      <c r="P948" s="245"/>
      <c r="Q948" s="245"/>
      <c r="R948" s="245"/>
      <c r="S948" s="245"/>
      <c r="T948" s="245"/>
      <c r="U948" s="245"/>
      <c r="V948" s="245"/>
      <c r="W948" s="245"/>
      <c r="X948" s="245"/>
      <c r="Y948" s="245"/>
      <c r="Z948" s="245"/>
    </row>
    <row r="949" spans="1:26">
      <c r="A949" s="245"/>
      <c r="B949" s="245"/>
      <c r="C949" s="245"/>
      <c r="D949" s="245"/>
      <c r="E949" s="245"/>
      <c r="F949" s="245"/>
      <c r="G949" s="245"/>
      <c r="H949" s="245"/>
      <c r="I949" s="245"/>
      <c r="J949" s="245"/>
      <c r="K949" s="245"/>
      <c r="L949" s="245"/>
      <c r="M949" s="245"/>
      <c r="N949" s="245"/>
      <c r="O949" s="245"/>
      <c r="P949" s="245"/>
      <c r="Q949" s="245"/>
      <c r="R949" s="245"/>
      <c r="S949" s="245"/>
      <c r="T949" s="245"/>
      <c r="U949" s="245"/>
      <c r="V949" s="245"/>
      <c r="W949" s="245"/>
      <c r="X949" s="245"/>
      <c r="Y949" s="245"/>
      <c r="Z949" s="245"/>
    </row>
    <row r="950" spans="1:26">
      <c r="A950" s="245"/>
      <c r="B950" s="245"/>
      <c r="C950" s="245"/>
      <c r="D950" s="245"/>
      <c r="E950" s="245"/>
      <c r="F950" s="245"/>
      <c r="G950" s="245"/>
      <c r="H950" s="245"/>
      <c r="I950" s="245"/>
      <c r="J950" s="245"/>
      <c r="K950" s="245"/>
      <c r="L950" s="245"/>
      <c r="M950" s="245"/>
      <c r="N950" s="245"/>
      <c r="O950" s="245"/>
      <c r="P950" s="245"/>
      <c r="Q950" s="245"/>
      <c r="R950" s="245"/>
      <c r="S950" s="245"/>
      <c r="T950" s="245"/>
      <c r="U950" s="245"/>
      <c r="V950" s="245"/>
      <c r="W950" s="245"/>
      <c r="X950" s="245"/>
      <c r="Y950" s="245"/>
      <c r="Z950" s="245"/>
    </row>
    <row r="951" spans="1:26">
      <c r="A951" s="245"/>
      <c r="B951" s="245"/>
      <c r="C951" s="245"/>
      <c r="D951" s="245"/>
      <c r="E951" s="245"/>
      <c r="F951" s="245"/>
      <c r="G951" s="245"/>
      <c r="H951" s="245"/>
      <c r="I951" s="245"/>
      <c r="J951" s="245"/>
      <c r="K951" s="245"/>
      <c r="L951" s="245"/>
      <c r="M951" s="245"/>
      <c r="N951" s="245"/>
      <c r="O951" s="245"/>
      <c r="P951" s="245"/>
      <c r="Q951" s="245"/>
      <c r="R951" s="245"/>
      <c r="S951" s="245"/>
      <c r="T951" s="245"/>
      <c r="U951" s="245"/>
      <c r="V951" s="245"/>
      <c r="W951" s="245"/>
      <c r="X951" s="245"/>
      <c r="Y951" s="245"/>
      <c r="Z951" s="245"/>
    </row>
    <row r="952" spans="1:26">
      <c r="A952" s="245"/>
      <c r="B952" s="245"/>
      <c r="C952" s="245"/>
      <c r="D952" s="245"/>
      <c r="E952" s="245"/>
      <c r="F952" s="245"/>
      <c r="G952" s="245"/>
      <c r="H952" s="245"/>
      <c r="I952" s="245"/>
      <c r="J952" s="245"/>
      <c r="K952" s="245"/>
      <c r="L952" s="245"/>
      <c r="M952" s="245"/>
      <c r="N952" s="245"/>
      <c r="O952" s="245"/>
      <c r="P952" s="245"/>
      <c r="Q952" s="245"/>
      <c r="R952" s="245"/>
      <c r="S952" s="245"/>
      <c r="T952" s="245"/>
      <c r="U952" s="245"/>
      <c r="V952" s="245"/>
      <c r="W952" s="245"/>
      <c r="X952" s="245"/>
      <c r="Y952" s="245"/>
      <c r="Z952" s="245"/>
    </row>
    <row r="953" spans="1:26">
      <c r="A953" s="245"/>
      <c r="B953" s="245"/>
      <c r="C953" s="245"/>
      <c r="D953" s="245"/>
      <c r="E953" s="245"/>
      <c r="F953" s="245"/>
      <c r="G953" s="245"/>
      <c r="H953" s="245"/>
      <c r="I953" s="245"/>
      <c r="J953" s="245"/>
      <c r="K953" s="245"/>
      <c r="L953" s="245"/>
      <c r="M953" s="245"/>
      <c r="N953" s="245"/>
      <c r="O953" s="245"/>
      <c r="P953" s="245"/>
      <c r="Q953" s="245"/>
      <c r="R953" s="245"/>
      <c r="S953" s="245"/>
      <c r="T953" s="245"/>
      <c r="U953" s="245"/>
      <c r="V953" s="245"/>
      <c r="W953" s="245"/>
      <c r="X953" s="245"/>
      <c r="Y953" s="245"/>
      <c r="Z953" s="245"/>
    </row>
    <row r="954" spans="1:26">
      <c r="A954" s="245"/>
      <c r="B954" s="245"/>
      <c r="C954" s="245"/>
      <c r="D954" s="245"/>
      <c r="E954" s="245"/>
      <c r="F954" s="245"/>
      <c r="G954" s="245"/>
      <c r="H954" s="245"/>
      <c r="I954" s="245"/>
      <c r="J954" s="245"/>
      <c r="K954" s="245"/>
      <c r="L954" s="245"/>
      <c r="M954" s="245"/>
      <c r="N954" s="245"/>
      <c r="O954" s="245"/>
      <c r="P954" s="245"/>
      <c r="Q954" s="245"/>
      <c r="R954" s="245"/>
      <c r="S954" s="245"/>
      <c r="T954" s="245"/>
      <c r="U954" s="245"/>
      <c r="V954" s="245"/>
      <c r="W954" s="245"/>
      <c r="X954" s="245"/>
      <c r="Y954" s="245"/>
      <c r="Z954" s="245"/>
    </row>
    <row r="955" spans="1:26">
      <c r="A955" s="245"/>
      <c r="B955" s="245"/>
      <c r="C955" s="245"/>
      <c r="D955" s="245"/>
      <c r="E955" s="245"/>
      <c r="F955" s="245"/>
      <c r="G955" s="245"/>
      <c r="H955" s="245"/>
      <c r="I955" s="245"/>
      <c r="J955" s="245"/>
      <c r="K955" s="245"/>
      <c r="L955" s="245"/>
      <c r="M955" s="245"/>
      <c r="N955" s="245"/>
      <c r="O955" s="245"/>
      <c r="P955" s="245"/>
      <c r="Q955" s="245"/>
      <c r="R955" s="245"/>
      <c r="S955" s="245"/>
      <c r="T955" s="245"/>
      <c r="U955" s="245"/>
      <c r="V955" s="245"/>
      <c r="W955" s="245"/>
      <c r="X955" s="245"/>
      <c r="Y955" s="245"/>
      <c r="Z955" s="245"/>
    </row>
    <row r="956" spans="1:26">
      <c r="A956" s="245"/>
      <c r="B956" s="245"/>
      <c r="C956" s="245"/>
      <c r="D956" s="245"/>
      <c r="E956" s="245"/>
      <c r="F956" s="245"/>
      <c r="G956" s="245"/>
      <c r="H956" s="245"/>
      <c r="I956" s="245"/>
      <c r="J956" s="245"/>
      <c r="K956" s="245"/>
      <c r="L956" s="245"/>
      <c r="M956" s="245"/>
      <c r="N956" s="245"/>
      <c r="O956" s="245"/>
      <c r="P956" s="245"/>
      <c r="Q956" s="245"/>
      <c r="R956" s="245"/>
      <c r="S956" s="245"/>
      <c r="T956" s="245"/>
      <c r="U956" s="245"/>
      <c r="V956" s="245"/>
      <c r="W956" s="245"/>
      <c r="X956" s="245"/>
      <c r="Y956" s="245"/>
      <c r="Z956" s="245"/>
    </row>
    <row r="957" spans="1:26">
      <c r="A957" s="245"/>
      <c r="B957" s="245"/>
      <c r="C957" s="245"/>
      <c r="D957" s="245"/>
      <c r="E957" s="245"/>
      <c r="F957" s="245"/>
      <c r="G957" s="245"/>
      <c r="H957" s="245"/>
      <c r="I957" s="245"/>
      <c r="J957" s="245"/>
      <c r="K957" s="245"/>
      <c r="L957" s="245"/>
      <c r="M957" s="245"/>
      <c r="N957" s="245"/>
      <c r="O957" s="245"/>
      <c r="P957" s="245"/>
      <c r="Q957" s="245"/>
      <c r="R957" s="245"/>
      <c r="S957" s="245"/>
      <c r="T957" s="245"/>
      <c r="U957" s="245"/>
      <c r="V957" s="245"/>
      <c r="W957" s="245"/>
      <c r="X957" s="245"/>
      <c r="Y957" s="245"/>
      <c r="Z957" s="245"/>
    </row>
    <row r="958" spans="1:26">
      <c r="A958" s="245"/>
      <c r="B958" s="245"/>
      <c r="C958" s="245"/>
      <c r="D958" s="245"/>
      <c r="E958" s="245"/>
      <c r="F958" s="245"/>
      <c r="G958" s="245"/>
      <c r="H958" s="245"/>
      <c r="I958" s="245"/>
      <c r="J958" s="245"/>
      <c r="K958" s="245"/>
      <c r="L958" s="245"/>
      <c r="M958" s="245"/>
      <c r="N958" s="245"/>
      <c r="O958" s="245"/>
      <c r="P958" s="245"/>
      <c r="Q958" s="245"/>
      <c r="R958" s="245"/>
      <c r="S958" s="245"/>
      <c r="T958" s="245"/>
      <c r="U958" s="245"/>
      <c r="V958" s="245"/>
      <c r="W958" s="245"/>
      <c r="X958" s="245"/>
      <c r="Y958" s="245"/>
      <c r="Z958" s="245"/>
    </row>
    <row r="959" spans="1:26">
      <c r="A959" s="245"/>
      <c r="B959" s="245"/>
      <c r="C959" s="245"/>
      <c r="D959" s="245"/>
      <c r="E959" s="245"/>
      <c r="F959" s="245"/>
      <c r="G959" s="245"/>
      <c r="H959" s="245"/>
      <c r="I959" s="245"/>
      <c r="J959" s="245"/>
      <c r="K959" s="245"/>
      <c r="L959" s="245"/>
      <c r="M959" s="245"/>
      <c r="N959" s="245"/>
      <c r="O959" s="245"/>
      <c r="P959" s="245"/>
      <c r="Q959" s="245"/>
      <c r="R959" s="245"/>
      <c r="S959" s="245"/>
      <c r="T959" s="245"/>
      <c r="U959" s="245"/>
      <c r="V959" s="245"/>
      <c r="W959" s="245"/>
      <c r="X959" s="245"/>
      <c r="Y959" s="245"/>
      <c r="Z959" s="245"/>
    </row>
    <row r="960" spans="1:26">
      <c r="A960" s="245"/>
      <c r="B960" s="245"/>
      <c r="C960" s="245"/>
      <c r="D960" s="245"/>
      <c r="E960" s="245"/>
      <c r="F960" s="245"/>
      <c r="G960" s="245"/>
      <c r="H960" s="245"/>
      <c r="I960" s="245"/>
      <c r="J960" s="245"/>
      <c r="K960" s="245"/>
      <c r="L960" s="245"/>
      <c r="M960" s="245"/>
      <c r="N960" s="245"/>
      <c r="O960" s="245"/>
      <c r="P960" s="245"/>
      <c r="Q960" s="245"/>
      <c r="R960" s="245"/>
      <c r="S960" s="245"/>
      <c r="T960" s="245"/>
      <c r="U960" s="245"/>
      <c r="V960" s="245"/>
      <c r="W960" s="245"/>
      <c r="X960" s="245"/>
      <c r="Y960" s="245"/>
      <c r="Z960" s="245"/>
    </row>
    <row r="961" spans="1:26">
      <c r="A961" s="245"/>
      <c r="B961" s="245"/>
      <c r="C961" s="245"/>
      <c r="D961" s="245"/>
      <c r="E961" s="245"/>
      <c r="F961" s="245"/>
      <c r="G961" s="245"/>
      <c r="H961" s="245"/>
      <c r="I961" s="245"/>
      <c r="J961" s="245"/>
      <c r="K961" s="245"/>
      <c r="L961" s="245"/>
      <c r="M961" s="245"/>
      <c r="N961" s="245"/>
      <c r="O961" s="245"/>
      <c r="P961" s="245"/>
      <c r="Q961" s="245"/>
      <c r="R961" s="245"/>
      <c r="S961" s="245"/>
      <c r="T961" s="245"/>
      <c r="U961" s="245"/>
      <c r="V961" s="245"/>
      <c r="W961" s="245"/>
      <c r="X961" s="245"/>
      <c r="Y961" s="245"/>
      <c r="Z961" s="245"/>
    </row>
    <row r="962" spans="1:26">
      <c r="A962" s="245"/>
      <c r="B962" s="245"/>
      <c r="C962" s="245"/>
      <c r="D962" s="245"/>
      <c r="E962" s="245"/>
      <c r="F962" s="245"/>
      <c r="G962" s="245"/>
      <c r="H962" s="245"/>
      <c r="I962" s="245"/>
      <c r="J962" s="245"/>
      <c r="K962" s="245"/>
      <c r="L962" s="245"/>
      <c r="M962" s="245"/>
      <c r="N962" s="245"/>
      <c r="O962" s="245"/>
      <c r="P962" s="245"/>
      <c r="Q962" s="245"/>
      <c r="R962" s="245"/>
      <c r="S962" s="245"/>
      <c r="T962" s="245"/>
      <c r="U962" s="245"/>
      <c r="V962" s="245"/>
      <c r="W962" s="245"/>
      <c r="X962" s="245"/>
      <c r="Y962" s="245"/>
      <c r="Z962" s="245"/>
    </row>
    <row r="963" spans="1:26">
      <c r="A963" s="245"/>
      <c r="B963" s="245"/>
      <c r="C963" s="245"/>
      <c r="D963" s="245"/>
      <c r="E963" s="245"/>
      <c r="F963" s="245"/>
      <c r="G963" s="245"/>
      <c r="H963" s="245"/>
      <c r="I963" s="245"/>
      <c r="J963" s="245"/>
      <c r="K963" s="245"/>
      <c r="L963" s="245"/>
      <c r="M963" s="245"/>
      <c r="N963" s="245"/>
      <c r="O963" s="245"/>
      <c r="P963" s="245"/>
      <c r="Q963" s="245"/>
      <c r="R963" s="245"/>
      <c r="S963" s="245"/>
      <c r="T963" s="245"/>
      <c r="U963" s="245"/>
      <c r="V963" s="245"/>
      <c r="W963" s="245"/>
      <c r="X963" s="245"/>
      <c r="Y963" s="245"/>
      <c r="Z963" s="245"/>
    </row>
    <row r="964" spans="1:26">
      <c r="A964" s="245"/>
      <c r="B964" s="245"/>
      <c r="C964" s="245"/>
      <c r="D964" s="245"/>
      <c r="E964" s="245"/>
      <c r="F964" s="245"/>
      <c r="G964" s="245"/>
      <c r="H964" s="245"/>
      <c r="I964" s="245"/>
      <c r="J964" s="245"/>
      <c r="K964" s="245"/>
      <c r="L964" s="245"/>
      <c r="M964" s="245"/>
      <c r="N964" s="245"/>
      <c r="O964" s="245"/>
      <c r="P964" s="245"/>
      <c r="Q964" s="245"/>
      <c r="R964" s="245"/>
      <c r="S964" s="245"/>
      <c r="T964" s="245"/>
      <c r="U964" s="245"/>
      <c r="V964" s="245"/>
      <c r="W964" s="245"/>
      <c r="X964" s="245"/>
      <c r="Y964" s="245"/>
      <c r="Z964" s="245"/>
    </row>
    <row r="965" spans="1:26">
      <c r="A965" s="245"/>
      <c r="B965" s="245"/>
      <c r="C965" s="245"/>
      <c r="D965" s="245"/>
      <c r="E965" s="245"/>
      <c r="F965" s="245"/>
      <c r="G965" s="245"/>
      <c r="H965" s="245"/>
      <c r="I965" s="245"/>
      <c r="J965" s="245"/>
      <c r="K965" s="245"/>
      <c r="L965" s="245"/>
      <c r="M965" s="245"/>
      <c r="N965" s="245"/>
      <c r="O965" s="245"/>
      <c r="P965" s="245"/>
      <c r="Q965" s="245"/>
      <c r="R965" s="245"/>
      <c r="S965" s="245"/>
      <c r="T965" s="245"/>
      <c r="U965" s="245"/>
      <c r="V965" s="245"/>
      <c r="W965" s="245"/>
      <c r="X965" s="245"/>
      <c r="Y965" s="245"/>
      <c r="Z965" s="245"/>
    </row>
    <row r="966" spans="1:26">
      <c r="A966" s="245"/>
      <c r="B966" s="245"/>
      <c r="C966" s="245"/>
      <c r="D966" s="245"/>
      <c r="E966" s="245"/>
      <c r="F966" s="245"/>
      <c r="G966" s="245"/>
      <c r="H966" s="245"/>
      <c r="I966" s="245"/>
      <c r="J966" s="245"/>
      <c r="K966" s="245"/>
      <c r="L966" s="245"/>
      <c r="M966" s="245"/>
      <c r="N966" s="245"/>
      <c r="O966" s="245"/>
      <c r="P966" s="245"/>
      <c r="Q966" s="245"/>
      <c r="R966" s="245"/>
      <c r="S966" s="245"/>
      <c r="T966" s="245"/>
      <c r="U966" s="245"/>
      <c r="V966" s="245"/>
      <c r="W966" s="245"/>
      <c r="X966" s="245"/>
      <c r="Y966" s="245"/>
      <c r="Z966" s="245"/>
    </row>
    <row r="967" spans="1:26">
      <c r="A967" s="245"/>
      <c r="B967" s="245"/>
      <c r="C967" s="245"/>
      <c r="D967" s="245"/>
      <c r="E967" s="245"/>
      <c r="F967" s="245"/>
      <c r="G967" s="245"/>
      <c r="H967" s="245"/>
      <c r="I967" s="245"/>
      <c r="J967" s="245"/>
      <c r="K967" s="245"/>
      <c r="L967" s="245"/>
      <c r="M967" s="245"/>
      <c r="N967" s="245"/>
      <c r="O967" s="245"/>
      <c r="P967" s="245"/>
      <c r="Q967" s="245"/>
      <c r="R967" s="245"/>
      <c r="S967" s="245"/>
      <c r="T967" s="245"/>
      <c r="U967" s="245"/>
      <c r="V967" s="245"/>
      <c r="W967" s="245"/>
      <c r="X967" s="245"/>
      <c r="Y967" s="245"/>
      <c r="Z967" s="245"/>
    </row>
    <row r="968" spans="1:26">
      <c r="A968" s="245"/>
      <c r="B968" s="245"/>
      <c r="C968" s="245"/>
      <c r="D968" s="245"/>
      <c r="E968" s="245"/>
      <c r="F968" s="245"/>
      <c r="G968" s="245"/>
      <c r="H968" s="245"/>
      <c r="I968" s="245"/>
      <c r="J968" s="245"/>
      <c r="K968" s="245"/>
      <c r="L968" s="245"/>
      <c r="M968" s="245"/>
      <c r="N968" s="245"/>
      <c r="O968" s="245"/>
      <c r="P968" s="245"/>
      <c r="Q968" s="245"/>
      <c r="R968" s="245"/>
      <c r="S968" s="245"/>
      <c r="T968" s="245"/>
      <c r="U968" s="245"/>
      <c r="V968" s="245"/>
      <c r="W968" s="245"/>
      <c r="X968" s="245"/>
      <c r="Y968" s="245"/>
      <c r="Z968" s="245"/>
    </row>
    <row r="969" spans="1:26">
      <c r="A969" s="245"/>
      <c r="B969" s="245"/>
      <c r="C969" s="245"/>
      <c r="D969" s="245"/>
      <c r="E969" s="245"/>
      <c r="F969" s="245"/>
      <c r="G969" s="245"/>
      <c r="H969" s="245"/>
      <c r="I969" s="245"/>
      <c r="J969" s="245"/>
      <c r="K969" s="245"/>
      <c r="L969" s="245"/>
      <c r="M969" s="245"/>
      <c r="N969" s="245"/>
      <c r="O969" s="245"/>
      <c r="P969" s="245"/>
      <c r="Q969" s="245"/>
      <c r="R969" s="245"/>
      <c r="S969" s="245"/>
      <c r="T969" s="245"/>
      <c r="U969" s="245"/>
      <c r="V969" s="245"/>
      <c r="W969" s="245"/>
      <c r="X969" s="245"/>
      <c r="Y969" s="245"/>
      <c r="Z969" s="245"/>
    </row>
    <row r="970" spans="1:26">
      <c r="A970" s="245"/>
      <c r="B970" s="245"/>
      <c r="C970" s="245"/>
      <c r="D970" s="245"/>
      <c r="E970" s="245"/>
      <c r="F970" s="245"/>
      <c r="G970" s="245"/>
      <c r="H970" s="245"/>
      <c r="I970" s="245"/>
      <c r="J970" s="245"/>
      <c r="K970" s="245"/>
      <c r="L970" s="245"/>
      <c r="M970" s="245"/>
      <c r="N970" s="245"/>
      <c r="O970" s="245"/>
      <c r="P970" s="245"/>
      <c r="Q970" s="245"/>
      <c r="R970" s="245"/>
      <c r="S970" s="245"/>
      <c r="T970" s="245"/>
      <c r="U970" s="245"/>
      <c r="V970" s="245"/>
      <c r="W970" s="245"/>
      <c r="X970" s="245"/>
      <c r="Y970" s="245"/>
      <c r="Z970" s="245"/>
    </row>
    <row r="971" spans="1:26">
      <c r="A971" s="245"/>
      <c r="B971" s="245"/>
      <c r="C971" s="245"/>
      <c r="D971" s="245"/>
      <c r="E971" s="245"/>
      <c r="F971" s="245"/>
      <c r="G971" s="245"/>
      <c r="H971" s="245"/>
      <c r="I971" s="245"/>
      <c r="J971" s="245"/>
      <c r="K971" s="245"/>
      <c r="L971" s="245"/>
      <c r="M971" s="245"/>
      <c r="N971" s="245"/>
      <c r="O971" s="245"/>
      <c r="P971" s="245"/>
      <c r="Q971" s="245"/>
      <c r="R971" s="245"/>
      <c r="S971" s="245"/>
      <c r="T971" s="245"/>
      <c r="U971" s="245"/>
      <c r="V971" s="245"/>
      <c r="W971" s="245"/>
      <c r="X971" s="245"/>
      <c r="Y971" s="245"/>
      <c r="Z971" s="245"/>
    </row>
    <row r="972" spans="1:26">
      <c r="A972" s="245"/>
      <c r="B972" s="245"/>
      <c r="C972" s="245"/>
      <c r="D972" s="245"/>
      <c r="E972" s="245"/>
      <c r="F972" s="245"/>
      <c r="G972" s="245"/>
      <c r="H972" s="245"/>
      <c r="I972" s="245"/>
      <c r="J972" s="245"/>
      <c r="K972" s="245"/>
      <c r="L972" s="245"/>
      <c r="M972" s="245"/>
      <c r="N972" s="245"/>
      <c r="O972" s="245"/>
      <c r="P972" s="245"/>
      <c r="Q972" s="245"/>
      <c r="R972" s="245"/>
      <c r="S972" s="245"/>
      <c r="T972" s="245"/>
      <c r="U972" s="245"/>
      <c r="V972" s="245"/>
      <c r="W972" s="245"/>
      <c r="X972" s="245"/>
      <c r="Y972" s="245"/>
      <c r="Z972" s="245"/>
    </row>
    <row r="973" spans="1:26">
      <c r="A973" s="245"/>
      <c r="B973" s="245"/>
      <c r="C973" s="245"/>
      <c r="D973" s="245"/>
      <c r="E973" s="245"/>
      <c r="F973" s="245"/>
      <c r="G973" s="245"/>
      <c r="H973" s="245"/>
      <c r="I973" s="245"/>
      <c r="J973" s="245"/>
      <c r="K973" s="245"/>
      <c r="L973" s="245"/>
      <c r="M973" s="245"/>
      <c r="N973" s="245"/>
      <c r="O973" s="245"/>
      <c r="P973" s="245"/>
      <c r="Q973" s="245"/>
      <c r="R973" s="245"/>
      <c r="S973" s="245"/>
      <c r="T973" s="245"/>
      <c r="U973" s="245"/>
      <c r="V973" s="245"/>
      <c r="W973" s="245"/>
      <c r="X973" s="245"/>
      <c r="Y973" s="245"/>
      <c r="Z973" s="245"/>
    </row>
    <row r="974" spans="1:26">
      <c r="A974" s="245"/>
      <c r="B974" s="245"/>
      <c r="C974" s="245"/>
      <c r="D974" s="245"/>
      <c r="E974" s="245"/>
      <c r="F974" s="245"/>
      <c r="G974" s="245"/>
      <c r="H974" s="245"/>
      <c r="I974" s="245"/>
      <c r="J974" s="245"/>
      <c r="K974" s="245"/>
      <c r="L974" s="245"/>
      <c r="M974" s="245"/>
      <c r="N974" s="245"/>
      <c r="O974" s="245"/>
      <c r="P974" s="245"/>
      <c r="Q974" s="245"/>
      <c r="R974" s="245"/>
      <c r="S974" s="245"/>
      <c r="T974" s="245"/>
      <c r="U974" s="245"/>
      <c r="V974" s="245"/>
      <c r="W974" s="245"/>
      <c r="X974" s="245"/>
      <c r="Y974" s="245"/>
      <c r="Z974" s="245"/>
    </row>
    <row r="975" spans="1:26">
      <c r="A975" s="245"/>
      <c r="B975" s="245"/>
      <c r="C975" s="245"/>
      <c r="D975" s="245"/>
      <c r="E975" s="245"/>
      <c r="F975" s="245"/>
      <c r="G975" s="245"/>
      <c r="H975" s="245"/>
      <c r="I975" s="245"/>
      <c r="J975" s="245"/>
      <c r="K975" s="245"/>
      <c r="L975" s="245"/>
      <c r="M975" s="245"/>
      <c r="N975" s="245"/>
      <c r="O975" s="245"/>
      <c r="P975" s="245"/>
      <c r="Q975" s="245"/>
      <c r="R975" s="245"/>
      <c r="S975" s="245"/>
      <c r="T975" s="245"/>
      <c r="U975" s="245"/>
      <c r="V975" s="245"/>
      <c r="W975" s="245"/>
      <c r="X975" s="245"/>
      <c r="Y975" s="245"/>
      <c r="Z975" s="245"/>
    </row>
    <row r="976" spans="1:26">
      <c r="A976" s="245"/>
      <c r="B976" s="245"/>
      <c r="C976" s="245"/>
      <c r="D976" s="245"/>
      <c r="E976" s="245"/>
      <c r="F976" s="245"/>
      <c r="G976" s="245"/>
      <c r="H976" s="245"/>
      <c r="I976" s="245"/>
      <c r="J976" s="245"/>
      <c r="K976" s="245"/>
      <c r="L976" s="245"/>
      <c r="M976" s="245"/>
      <c r="N976" s="245"/>
      <c r="O976" s="245"/>
      <c r="P976" s="245"/>
      <c r="Q976" s="245"/>
      <c r="R976" s="245"/>
      <c r="S976" s="245"/>
      <c r="T976" s="245"/>
      <c r="U976" s="245"/>
      <c r="V976" s="245"/>
      <c r="W976" s="245"/>
      <c r="X976" s="245"/>
      <c r="Y976" s="245"/>
      <c r="Z976" s="245"/>
    </row>
    <row r="977" spans="1:26">
      <c r="A977" s="245"/>
      <c r="B977" s="245"/>
      <c r="C977" s="245"/>
      <c r="D977" s="245"/>
      <c r="E977" s="245"/>
      <c r="F977" s="245"/>
      <c r="G977" s="245"/>
      <c r="H977" s="245"/>
      <c r="I977" s="245"/>
      <c r="J977" s="245"/>
      <c r="K977" s="245"/>
      <c r="L977" s="245"/>
      <c r="M977" s="245"/>
      <c r="N977" s="245"/>
      <c r="O977" s="245"/>
      <c r="P977" s="245"/>
      <c r="Q977" s="245"/>
      <c r="R977" s="245"/>
      <c r="S977" s="245"/>
      <c r="T977" s="245"/>
      <c r="U977" s="245"/>
      <c r="V977" s="245"/>
      <c r="W977" s="245"/>
      <c r="X977" s="245"/>
      <c r="Y977" s="245"/>
      <c r="Z977" s="245"/>
    </row>
    <row r="978" spans="1:26">
      <c r="A978" s="245"/>
      <c r="B978" s="245"/>
      <c r="C978" s="245"/>
      <c r="D978" s="245"/>
      <c r="E978" s="245"/>
      <c r="F978" s="245"/>
      <c r="G978" s="245"/>
      <c r="H978" s="245"/>
      <c r="I978" s="245"/>
      <c r="J978" s="245"/>
      <c r="K978" s="245"/>
      <c r="L978" s="245"/>
      <c r="M978" s="245"/>
      <c r="N978" s="245"/>
      <c r="O978" s="245"/>
      <c r="P978" s="245"/>
      <c r="Q978" s="245"/>
      <c r="R978" s="245"/>
      <c r="S978" s="245"/>
      <c r="T978" s="245"/>
      <c r="U978" s="245"/>
      <c r="V978" s="245"/>
      <c r="W978" s="245"/>
      <c r="X978" s="245"/>
      <c r="Y978" s="245"/>
      <c r="Z978" s="245"/>
    </row>
    <row r="979" spans="1:26">
      <c r="A979" s="245"/>
      <c r="B979" s="245"/>
      <c r="C979" s="245"/>
      <c r="D979" s="245"/>
      <c r="E979" s="245"/>
      <c r="F979" s="245"/>
      <c r="G979" s="245"/>
      <c r="H979" s="245"/>
      <c r="I979" s="245"/>
      <c r="J979" s="245"/>
      <c r="K979" s="245"/>
      <c r="L979" s="245"/>
      <c r="M979" s="245"/>
      <c r="N979" s="245"/>
      <c r="O979" s="245"/>
      <c r="P979" s="245"/>
      <c r="Q979" s="245"/>
      <c r="R979" s="245"/>
      <c r="S979" s="245"/>
      <c r="T979" s="245"/>
      <c r="U979" s="245"/>
      <c r="V979" s="245"/>
      <c r="W979" s="245"/>
      <c r="X979" s="245"/>
      <c r="Y979" s="245"/>
      <c r="Z979" s="245"/>
    </row>
    <row r="980" spans="1:26">
      <c r="A980" s="245"/>
      <c r="B980" s="245"/>
      <c r="C980" s="245"/>
      <c r="D980" s="245"/>
      <c r="E980" s="245"/>
      <c r="F980" s="245"/>
      <c r="G980" s="245"/>
      <c r="H980" s="245"/>
      <c r="I980" s="245"/>
      <c r="J980" s="245"/>
      <c r="K980" s="245"/>
      <c r="L980" s="245"/>
      <c r="M980" s="245"/>
      <c r="N980" s="245"/>
      <c r="O980" s="245"/>
      <c r="P980" s="245"/>
      <c r="Q980" s="245"/>
      <c r="R980" s="245"/>
      <c r="S980" s="245"/>
      <c r="T980" s="245"/>
      <c r="U980" s="245"/>
      <c r="V980" s="245"/>
      <c r="W980" s="245"/>
      <c r="X980" s="245"/>
      <c r="Y980" s="245"/>
      <c r="Z980" s="245"/>
    </row>
    <row r="981" spans="1:26">
      <c r="A981" s="245"/>
      <c r="B981" s="245"/>
      <c r="C981" s="245"/>
      <c r="D981" s="245"/>
      <c r="E981" s="245"/>
      <c r="F981" s="245"/>
      <c r="G981" s="245"/>
      <c r="H981" s="245"/>
      <c r="I981" s="245"/>
      <c r="J981" s="245"/>
      <c r="K981" s="245"/>
      <c r="L981" s="245"/>
      <c r="M981" s="245"/>
      <c r="N981" s="245"/>
      <c r="O981" s="245"/>
      <c r="P981" s="245"/>
      <c r="Q981" s="245"/>
      <c r="R981" s="245"/>
      <c r="S981" s="245"/>
      <c r="T981" s="245"/>
      <c r="U981" s="245"/>
      <c r="V981" s="245"/>
      <c r="W981" s="245"/>
      <c r="X981" s="245"/>
      <c r="Y981" s="245"/>
      <c r="Z981" s="245"/>
    </row>
    <row r="982" spans="1:26">
      <c r="A982" s="245"/>
      <c r="B982" s="245"/>
      <c r="C982" s="245"/>
      <c r="D982" s="245"/>
      <c r="E982" s="245"/>
      <c r="F982" s="245"/>
      <c r="G982" s="245"/>
      <c r="H982" s="245"/>
      <c r="I982" s="245"/>
      <c r="J982" s="245"/>
      <c r="K982" s="245"/>
      <c r="L982" s="245"/>
      <c r="M982" s="245"/>
      <c r="N982" s="245"/>
      <c r="O982" s="245"/>
      <c r="P982" s="245"/>
      <c r="Q982" s="245"/>
      <c r="R982" s="245"/>
      <c r="S982" s="245"/>
      <c r="T982" s="245"/>
      <c r="U982" s="245"/>
      <c r="V982" s="245"/>
      <c r="W982" s="245"/>
      <c r="X982" s="245"/>
      <c r="Y982" s="245"/>
      <c r="Z982" s="245"/>
    </row>
    <row r="983" spans="1:26">
      <c r="A983" s="245"/>
      <c r="B983" s="245"/>
      <c r="C983" s="245"/>
      <c r="D983" s="245"/>
      <c r="E983" s="245"/>
      <c r="F983" s="245"/>
      <c r="G983" s="245"/>
      <c r="H983" s="245"/>
      <c r="I983" s="245"/>
      <c r="J983" s="245"/>
      <c r="K983" s="245"/>
      <c r="L983" s="245"/>
      <c r="M983" s="245"/>
      <c r="N983" s="245"/>
      <c r="O983" s="245"/>
      <c r="P983" s="245"/>
      <c r="Q983" s="245"/>
      <c r="R983" s="245"/>
      <c r="S983" s="245"/>
      <c r="T983" s="245"/>
      <c r="U983" s="245"/>
      <c r="V983" s="245"/>
      <c r="W983" s="245"/>
      <c r="X983" s="245"/>
      <c r="Y983" s="245"/>
      <c r="Z983" s="245"/>
    </row>
    <row r="984" spans="1:26">
      <c r="A984" s="245"/>
      <c r="B984" s="245"/>
      <c r="C984" s="245"/>
      <c r="D984" s="245"/>
      <c r="E984" s="245"/>
      <c r="F984" s="245"/>
      <c r="G984" s="245"/>
      <c r="H984" s="245"/>
      <c r="I984" s="245"/>
      <c r="J984" s="245"/>
      <c r="K984" s="245"/>
      <c r="L984" s="245"/>
      <c r="M984" s="245"/>
      <c r="N984" s="245"/>
      <c r="O984" s="245"/>
      <c r="P984" s="245"/>
      <c r="Q984" s="245"/>
      <c r="R984" s="245"/>
      <c r="S984" s="245"/>
      <c r="T984" s="245"/>
      <c r="U984" s="245"/>
      <c r="V984" s="245"/>
      <c r="W984" s="245"/>
      <c r="X984" s="245"/>
      <c r="Y984" s="245"/>
      <c r="Z984" s="245"/>
    </row>
    <row r="985" spans="1:26">
      <c r="A985" s="245"/>
      <c r="B985" s="245"/>
      <c r="C985" s="245"/>
      <c r="D985" s="245"/>
      <c r="E985" s="245"/>
      <c r="F985" s="245"/>
      <c r="G985" s="245"/>
      <c r="H985" s="245"/>
      <c r="I985" s="245"/>
      <c r="J985" s="245"/>
      <c r="K985" s="245"/>
      <c r="L985" s="245"/>
      <c r="M985" s="245"/>
      <c r="N985" s="245"/>
      <c r="O985" s="245"/>
      <c r="P985" s="245"/>
      <c r="Q985" s="245"/>
      <c r="R985" s="245"/>
      <c r="S985" s="245"/>
      <c r="T985" s="245"/>
      <c r="U985" s="245"/>
      <c r="V985" s="245"/>
      <c r="W985" s="245"/>
      <c r="X985" s="245"/>
      <c r="Y985" s="245"/>
      <c r="Z985" s="245"/>
    </row>
    <row r="986" spans="1:26">
      <c r="A986" s="245"/>
      <c r="B986" s="245"/>
      <c r="C986" s="245"/>
      <c r="D986" s="245"/>
      <c r="E986" s="245"/>
      <c r="F986" s="245"/>
      <c r="G986" s="245"/>
      <c r="H986" s="245"/>
      <c r="I986" s="245"/>
      <c r="J986" s="245"/>
      <c r="K986" s="245"/>
      <c r="L986" s="245"/>
      <c r="M986" s="245"/>
      <c r="N986" s="245"/>
      <c r="O986" s="245"/>
      <c r="P986" s="245"/>
      <c r="Q986" s="245"/>
      <c r="R986" s="245"/>
      <c r="S986" s="245"/>
      <c r="T986" s="245"/>
      <c r="U986" s="245"/>
      <c r="V986" s="245"/>
      <c r="W986" s="245"/>
      <c r="X986" s="245"/>
      <c r="Y986" s="245"/>
      <c r="Z986" s="245"/>
    </row>
    <row r="987" spans="1:26">
      <c r="A987" s="245"/>
      <c r="B987" s="245"/>
      <c r="C987" s="245"/>
      <c r="D987" s="245"/>
      <c r="E987" s="245"/>
      <c r="F987" s="245"/>
      <c r="G987" s="245"/>
      <c r="H987" s="245"/>
      <c r="I987" s="245"/>
      <c r="J987" s="245"/>
      <c r="K987" s="245"/>
      <c r="L987" s="245"/>
      <c r="M987" s="245"/>
      <c r="N987" s="245"/>
      <c r="O987" s="245"/>
      <c r="P987" s="245"/>
      <c r="Q987" s="245"/>
      <c r="R987" s="245"/>
      <c r="S987" s="245"/>
      <c r="T987" s="245"/>
      <c r="U987" s="245"/>
      <c r="V987" s="245"/>
      <c r="W987" s="245"/>
      <c r="X987" s="245"/>
      <c r="Y987" s="245"/>
      <c r="Z987" s="245"/>
    </row>
    <row r="988" spans="1:26">
      <c r="A988" s="245"/>
      <c r="B988" s="245"/>
      <c r="C988" s="245"/>
      <c r="D988" s="245"/>
      <c r="E988" s="245"/>
      <c r="F988" s="245"/>
      <c r="G988" s="245"/>
      <c r="H988" s="245"/>
      <c r="I988" s="245"/>
      <c r="J988" s="245"/>
      <c r="K988" s="245"/>
      <c r="L988" s="245"/>
      <c r="M988" s="245"/>
      <c r="N988" s="245"/>
      <c r="O988" s="245"/>
      <c r="P988" s="245"/>
      <c r="Q988" s="245"/>
      <c r="R988" s="245"/>
      <c r="S988" s="245"/>
      <c r="T988" s="245"/>
      <c r="U988" s="245"/>
      <c r="V988" s="245"/>
      <c r="W988" s="245"/>
      <c r="X988" s="245"/>
      <c r="Y988" s="245"/>
      <c r="Z988" s="245"/>
    </row>
    <row r="989" spans="1:26">
      <c r="A989" s="245"/>
      <c r="B989" s="245"/>
      <c r="C989" s="245"/>
      <c r="D989" s="245"/>
      <c r="E989" s="245"/>
      <c r="F989" s="245"/>
      <c r="G989" s="245"/>
      <c r="H989" s="245"/>
      <c r="I989" s="245"/>
      <c r="J989" s="245"/>
      <c r="K989" s="245"/>
      <c r="L989" s="245"/>
      <c r="M989" s="245"/>
      <c r="N989" s="245"/>
      <c r="O989" s="245"/>
      <c r="P989" s="245"/>
      <c r="Q989" s="245"/>
      <c r="R989" s="245"/>
      <c r="S989" s="245"/>
      <c r="T989" s="245"/>
      <c r="U989" s="245"/>
      <c r="V989" s="245"/>
      <c r="W989" s="245"/>
      <c r="X989" s="245"/>
      <c r="Y989" s="245"/>
      <c r="Z989" s="245"/>
    </row>
    <row r="990" spans="1:26">
      <c r="A990" s="245"/>
      <c r="B990" s="245"/>
      <c r="C990" s="245"/>
      <c r="D990" s="245"/>
      <c r="E990" s="245"/>
      <c r="F990" s="245"/>
      <c r="G990" s="245"/>
      <c r="H990" s="245"/>
      <c r="I990" s="245"/>
      <c r="J990" s="245"/>
      <c r="K990" s="245"/>
      <c r="L990" s="245"/>
      <c r="M990" s="245"/>
      <c r="N990" s="245"/>
      <c r="O990" s="245"/>
      <c r="P990" s="245"/>
      <c r="Q990" s="245"/>
      <c r="R990" s="245"/>
      <c r="S990" s="245"/>
      <c r="T990" s="245"/>
      <c r="U990" s="245"/>
      <c r="V990" s="245"/>
      <c r="W990" s="245"/>
      <c r="X990" s="245"/>
      <c r="Y990" s="245"/>
      <c r="Z990" s="245"/>
    </row>
    <row r="991" spans="1:26">
      <c r="A991" s="245"/>
      <c r="B991" s="245"/>
      <c r="C991" s="245"/>
      <c r="D991" s="245"/>
      <c r="E991" s="245"/>
      <c r="F991" s="245"/>
      <c r="G991" s="245"/>
      <c r="H991" s="245"/>
      <c r="I991" s="245"/>
      <c r="J991" s="245"/>
      <c r="K991" s="245"/>
      <c r="L991" s="245"/>
      <c r="M991" s="245"/>
      <c r="N991" s="245"/>
      <c r="O991" s="245"/>
      <c r="P991" s="245"/>
      <c r="Q991" s="245"/>
      <c r="R991" s="245"/>
      <c r="S991" s="245"/>
      <c r="T991" s="245"/>
      <c r="U991" s="245"/>
      <c r="V991" s="245"/>
      <c r="W991" s="245"/>
      <c r="X991" s="245"/>
      <c r="Y991" s="245"/>
      <c r="Z991" s="245"/>
    </row>
    <row r="992" spans="1:26">
      <c r="A992" s="245"/>
      <c r="B992" s="245"/>
      <c r="C992" s="245"/>
      <c r="D992" s="245"/>
      <c r="E992" s="245"/>
      <c r="F992" s="245"/>
      <c r="G992" s="245"/>
      <c r="H992" s="245"/>
      <c r="I992" s="245"/>
      <c r="J992" s="245"/>
      <c r="K992" s="245"/>
      <c r="L992" s="245"/>
      <c r="M992" s="245"/>
      <c r="N992" s="245"/>
      <c r="O992" s="245"/>
      <c r="P992" s="245"/>
      <c r="Q992" s="245"/>
      <c r="R992" s="245"/>
      <c r="S992" s="245"/>
      <c r="T992" s="245"/>
      <c r="U992" s="245"/>
      <c r="V992" s="245"/>
      <c r="W992" s="245"/>
      <c r="X992" s="245"/>
      <c r="Y992" s="245"/>
      <c r="Z992" s="245"/>
    </row>
    <row r="993" spans="1:26">
      <c r="A993" s="245"/>
      <c r="B993" s="245"/>
      <c r="C993" s="245"/>
      <c r="D993" s="245"/>
      <c r="E993" s="245"/>
      <c r="F993" s="245"/>
      <c r="G993" s="245"/>
      <c r="H993" s="245"/>
      <c r="I993" s="245"/>
      <c r="J993" s="245"/>
      <c r="K993" s="245"/>
      <c r="L993" s="245"/>
      <c r="M993" s="245"/>
      <c r="N993" s="245"/>
      <c r="O993" s="245"/>
      <c r="P993" s="245"/>
      <c r="Q993" s="245"/>
      <c r="R993" s="245"/>
      <c r="S993" s="245"/>
      <c r="T993" s="245"/>
      <c r="U993" s="245"/>
      <c r="V993" s="245"/>
      <c r="W993" s="245"/>
      <c r="X993" s="245"/>
      <c r="Y993" s="245"/>
      <c r="Z993" s="245"/>
    </row>
    <row r="994" spans="1:26">
      <c r="A994" s="245"/>
      <c r="B994" s="245"/>
      <c r="C994" s="245"/>
      <c r="D994" s="245"/>
      <c r="E994" s="245"/>
      <c r="F994" s="245"/>
      <c r="G994" s="245"/>
      <c r="H994" s="245"/>
      <c r="I994" s="245"/>
      <c r="J994" s="245"/>
      <c r="K994" s="245"/>
      <c r="L994" s="245"/>
      <c r="M994" s="245"/>
      <c r="N994" s="245"/>
      <c r="O994" s="245"/>
      <c r="P994" s="245"/>
      <c r="Q994" s="245"/>
      <c r="R994" s="245"/>
      <c r="S994" s="245"/>
      <c r="T994" s="245"/>
      <c r="U994" s="245"/>
      <c r="V994" s="245"/>
      <c r="W994" s="245"/>
      <c r="X994" s="245"/>
      <c r="Y994" s="245"/>
      <c r="Z994" s="245"/>
    </row>
    <row r="995" spans="1:26">
      <c r="A995" s="245"/>
      <c r="B995" s="245"/>
      <c r="C995" s="245"/>
      <c r="D995" s="245"/>
      <c r="E995" s="245"/>
      <c r="F995" s="245"/>
      <c r="G995" s="245"/>
      <c r="H995" s="245"/>
      <c r="I995" s="245"/>
      <c r="J995" s="245"/>
      <c r="K995" s="245"/>
      <c r="L995" s="245"/>
      <c r="M995" s="245"/>
      <c r="N995" s="245"/>
      <c r="O995" s="245"/>
      <c r="P995" s="245"/>
      <c r="Q995" s="245"/>
      <c r="R995" s="245"/>
      <c r="S995" s="245"/>
      <c r="T995" s="245"/>
      <c r="U995" s="245"/>
      <c r="V995" s="245"/>
      <c r="W995" s="245"/>
      <c r="X995" s="245"/>
      <c r="Y995" s="245"/>
      <c r="Z995" s="245"/>
    </row>
    <row r="996" spans="1:26">
      <c r="A996" s="245"/>
      <c r="B996" s="245"/>
      <c r="C996" s="245"/>
      <c r="D996" s="245"/>
      <c r="E996" s="245"/>
      <c r="F996" s="245"/>
      <c r="G996" s="245"/>
      <c r="H996" s="245"/>
      <c r="I996" s="245"/>
      <c r="J996" s="245"/>
      <c r="K996" s="245"/>
      <c r="L996" s="245"/>
      <c r="M996" s="245"/>
      <c r="N996" s="245"/>
      <c r="O996" s="245"/>
      <c r="P996" s="245"/>
      <c r="Q996" s="245"/>
      <c r="R996" s="245"/>
      <c r="S996" s="245"/>
      <c r="T996" s="245"/>
      <c r="U996" s="245"/>
      <c r="V996" s="245"/>
      <c r="W996" s="245"/>
      <c r="X996" s="245"/>
      <c r="Y996" s="245"/>
      <c r="Z996" s="245"/>
    </row>
    <row r="997" spans="1:26">
      <c r="A997" s="245"/>
      <c r="B997" s="245"/>
      <c r="C997" s="245"/>
      <c r="D997" s="245"/>
      <c r="E997" s="245"/>
      <c r="F997" s="245"/>
      <c r="G997" s="245"/>
      <c r="H997" s="245"/>
      <c r="I997" s="245"/>
      <c r="J997" s="245"/>
      <c r="K997" s="245"/>
      <c r="L997" s="245"/>
      <c r="M997" s="245"/>
      <c r="N997" s="245"/>
      <c r="O997" s="245"/>
      <c r="P997" s="245"/>
      <c r="Q997" s="245"/>
      <c r="R997" s="245"/>
      <c r="S997" s="245"/>
      <c r="T997" s="245"/>
      <c r="U997" s="245"/>
      <c r="V997" s="245"/>
      <c r="W997" s="245"/>
      <c r="X997" s="245"/>
      <c r="Y997" s="245"/>
      <c r="Z997" s="245"/>
    </row>
    <row r="998" spans="1:26">
      <c r="A998" s="245"/>
      <c r="B998" s="245"/>
      <c r="C998" s="245"/>
      <c r="D998" s="245"/>
      <c r="E998" s="245"/>
      <c r="F998" s="245"/>
      <c r="G998" s="245"/>
      <c r="H998" s="245"/>
      <c r="I998" s="245"/>
      <c r="J998" s="245"/>
      <c r="K998" s="245"/>
      <c r="L998" s="245"/>
      <c r="M998" s="245"/>
      <c r="N998" s="245"/>
      <c r="O998" s="245"/>
      <c r="P998" s="245"/>
      <c r="Q998" s="245"/>
      <c r="R998" s="245"/>
      <c r="S998" s="245"/>
      <c r="T998" s="245"/>
      <c r="U998" s="245"/>
      <c r="V998" s="245"/>
      <c r="W998" s="245"/>
      <c r="X998" s="245"/>
      <c r="Y998" s="245"/>
      <c r="Z998" s="245"/>
    </row>
    <row r="999" spans="1:26">
      <c r="A999" s="245"/>
      <c r="B999" s="245"/>
      <c r="C999" s="245"/>
      <c r="D999" s="245"/>
      <c r="E999" s="245"/>
      <c r="F999" s="245"/>
      <c r="G999" s="245"/>
      <c r="H999" s="245"/>
      <c r="I999" s="245"/>
      <c r="J999" s="245"/>
      <c r="K999" s="245"/>
      <c r="L999" s="245"/>
      <c r="M999" s="245"/>
      <c r="N999" s="245"/>
      <c r="O999" s="245"/>
      <c r="P999" s="245"/>
      <c r="Q999" s="245"/>
      <c r="R999" s="245"/>
      <c r="S999" s="245"/>
      <c r="T999" s="245"/>
      <c r="U999" s="245"/>
      <c r="V999" s="245"/>
      <c r="W999" s="245"/>
      <c r="X999" s="245"/>
      <c r="Y999" s="245"/>
      <c r="Z999" s="245"/>
    </row>
    <row r="1000" spans="1:26">
      <c r="A1000" s="245"/>
      <c r="B1000" s="245"/>
      <c r="C1000" s="245"/>
      <c r="D1000" s="245"/>
      <c r="E1000" s="245"/>
      <c r="F1000" s="245"/>
      <c r="G1000" s="245"/>
      <c r="H1000" s="245"/>
      <c r="I1000" s="245"/>
      <c r="J1000" s="245"/>
      <c r="K1000" s="245"/>
      <c r="L1000" s="245"/>
      <c r="M1000" s="245"/>
      <c r="N1000" s="245"/>
      <c r="O1000" s="245"/>
      <c r="P1000" s="245"/>
      <c r="Q1000" s="245"/>
      <c r="R1000" s="245"/>
      <c r="S1000" s="245"/>
      <c r="T1000" s="245"/>
      <c r="U1000" s="245"/>
      <c r="V1000" s="245"/>
      <c r="W1000" s="245"/>
      <c r="X1000" s="245"/>
      <c r="Y1000" s="245"/>
      <c r="Z1000" s="245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2"/>
  <sheetViews>
    <sheetView workbookViewId="0">
      <selection activeCell="K15" sqref="K15"/>
    </sheetView>
  </sheetViews>
  <sheetFormatPr defaultRowHeight="12.75"/>
  <cols>
    <col min="1" max="1" width="5.5703125" bestFit="1" customWidth="1"/>
    <col min="2" max="2" width="14.42578125" bestFit="1" customWidth="1"/>
    <col min="3" max="3" width="14.7109375" bestFit="1" customWidth="1"/>
    <col min="4" max="4" width="14.140625" bestFit="1" customWidth="1"/>
    <col min="5" max="5" width="14.42578125" bestFit="1" customWidth="1"/>
  </cols>
  <sheetData>
    <row r="1" spans="1:5">
      <c r="A1" t="s">
        <v>9</v>
      </c>
      <c r="B1" t="s">
        <v>1210</v>
      </c>
      <c r="C1" t="s">
        <v>1211</v>
      </c>
      <c r="D1" t="s">
        <v>1212</v>
      </c>
      <c r="E1" t="s">
        <v>1213</v>
      </c>
    </row>
    <row r="2" spans="1:5">
      <c r="B2">
        <v>2.391</v>
      </c>
      <c r="C2">
        <v>16</v>
      </c>
      <c r="D2">
        <v>2.52</v>
      </c>
      <c r="E2">
        <v>0</v>
      </c>
    </row>
    <row r="3" spans="1:5">
      <c r="A3" t="s">
        <v>66</v>
      </c>
      <c r="B3">
        <v>2.9641999999999999</v>
      </c>
      <c r="C3">
        <v>243</v>
      </c>
      <c r="D3">
        <v>2.7717999999999998</v>
      </c>
      <c r="E3">
        <v>79</v>
      </c>
    </row>
    <row r="4" spans="1:5">
      <c r="A4" t="s">
        <v>60</v>
      </c>
      <c r="B4">
        <v>2.3631000000000002</v>
      </c>
      <c r="C4">
        <v>228</v>
      </c>
      <c r="D4">
        <v>2.5945999999999998</v>
      </c>
      <c r="E4">
        <v>94</v>
      </c>
    </row>
    <row r="5" spans="1:5">
      <c r="A5" t="s">
        <v>76</v>
      </c>
      <c r="B5">
        <v>2.3887</v>
      </c>
      <c r="C5">
        <v>229</v>
      </c>
      <c r="D5">
        <v>2.2519</v>
      </c>
      <c r="E5">
        <v>95</v>
      </c>
    </row>
    <row r="6" spans="1:5">
      <c r="A6" t="s">
        <v>72</v>
      </c>
      <c r="B6">
        <v>2.4899</v>
      </c>
      <c r="C6">
        <v>233</v>
      </c>
      <c r="D6">
        <v>2.4255</v>
      </c>
      <c r="E6">
        <v>91</v>
      </c>
    </row>
    <row r="7" spans="1:5">
      <c r="A7" t="s">
        <v>51</v>
      </c>
      <c r="B7">
        <v>2.6778</v>
      </c>
      <c r="C7">
        <v>246</v>
      </c>
      <c r="D7">
        <v>2.5392000000000001</v>
      </c>
      <c r="E7">
        <v>78</v>
      </c>
    </row>
    <row r="8" spans="1:5">
      <c r="A8" t="s">
        <v>88</v>
      </c>
      <c r="B8">
        <v>2.7724000000000002</v>
      </c>
      <c r="C8">
        <v>242</v>
      </c>
      <c r="D8">
        <v>2.7692000000000001</v>
      </c>
      <c r="E8">
        <v>82</v>
      </c>
    </row>
    <row r="9" spans="1:5">
      <c r="A9" t="s">
        <v>108</v>
      </c>
      <c r="B9">
        <v>2.6299000000000001</v>
      </c>
      <c r="C9">
        <v>250</v>
      </c>
      <c r="D9">
        <v>2.2581000000000002</v>
      </c>
      <c r="E9">
        <v>73</v>
      </c>
    </row>
    <row r="10" spans="1:5">
      <c r="A10" t="s">
        <v>80</v>
      </c>
      <c r="B10">
        <v>2.2725</v>
      </c>
      <c r="C10">
        <v>242</v>
      </c>
      <c r="D10">
        <v>2.3953000000000002</v>
      </c>
      <c r="E10">
        <v>81</v>
      </c>
    </row>
    <row r="11" spans="1:5">
      <c r="A11" t="s">
        <v>36</v>
      </c>
      <c r="B11">
        <v>2.2050999999999998</v>
      </c>
      <c r="C11">
        <v>236</v>
      </c>
      <c r="D11">
        <v>1.748</v>
      </c>
      <c r="E11">
        <v>86</v>
      </c>
    </row>
    <row r="12" spans="1:5">
      <c r="A12" t="s">
        <v>313</v>
      </c>
      <c r="B12">
        <v>2.0964</v>
      </c>
      <c r="C12">
        <v>242</v>
      </c>
      <c r="D12">
        <v>2.1301000000000001</v>
      </c>
      <c r="E12">
        <v>82</v>
      </c>
    </row>
    <row r="13" spans="1:5">
      <c r="A13" t="s">
        <v>44</v>
      </c>
      <c r="B13">
        <v>2.5606</v>
      </c>
      <c r="C13">
        <v>236</v>
      </c>
      <c r="D13">
        <v>2.7481</v>
      </c>
      <c r="E13">
        <v>88</v>
      </c>
    </row>
    <row r="14" spans="1:5">
      <c r="A14" t="s">
        <v>64</v>
      </c>
      <c r="B14">
        <v>2.3515000000000001</v>
      </c>
      <c r="C14">
        <v>221</v>
      </c>
      <c r="D14">
        <v>2.5163000000000002</v>
      </c>
      <c r="E14">
        <v>101</v>
      </c>
    </row>
    <row r="15" spans="1:5">
      <c r="A15" t="s">
        <v>46</v>
      </c>
      <c r="B15">
        <v>2.2132999999999998</v>
      </c>
      <c r="C15">
        <v>232</v>
      </c>
      <c r="D15">
        <v>2.5899000000000001</v>
      </c>
      <c r="E15">
        <v>92</v>
      </c>
    </row>
    <row r="16" spans="1:5">
      <c r="A16" t="s">
        <v>40</v>
      </c>
      <c r="B16">
        <v>2.3273999999999999</v>
      </c>
      <c r="C16">
        <v>228</v>
      </c>
      <c r="D16">
        <v>2.3946000000000001</v>
      </c>
      <c r="E16">
        <v>96</v>
      </c>
    </row>
    <row r="17" spans="1:5">
      <c r="A17" t="s">
        <v>143</v>
      </c>
      <c r="B17">
        <v>2.7522000000000002</v>
      </c>
      <c r="C17">
        <v>231</v>
      </c>
      <c r="D17">
        <v>3.1360999999999999</v>
      </c>
      <c r="E17">
        <v>93</v>
      </c>
    </row>
    <row r="18" spans="1:5">
      <c r="A18" t="s">
        <v>56</v>
      </c>
      <c r="B18">
        <v>2.3386999999999998</v>
      </c>
      <c r="C18">
        <v>243</v>
      </c>
      <c r="D18">
        <v>2.1503999999999999</v>
      </c>
      <c r="E18">
        <v>80</v>
      </c>
    </row>
    <row r="19" spans="1:5">
      <c r="A19" t="s">
        <v>70</v>
      </c>
      <c r="B19">
        <v>2.8982999999999999</v>
      </c>
      <c r="C19">
        <v>239</v>
      </c>
      <c r="D19">
        <v>2.6818</v>
      </c>
      <c r="E19">
        <v>85</v>
      </c>
    </row>
    <row r="20" spans="1:5">
      <c r="A20" t="s">
        <v>132</v>
      </c>
      <c r="B20">
        <v>2.3652000000000002</v>
      </c>
      <c r="C20">
        <v>275</v>
      </c>
      <c r="D20">
        <v>2.4209000000000001</v>
      </c>
      <c r="E20">
        <v>49</v>
      </c>
    </row>
    <row r="21" spans="1:5">
      <c r="A21" t="s">
        <v>91</v>
      </c>
      <c r="B21">
        <v>2.5</v>
      </c>
      <c r="C21">
        <v>233</v>
      </c>
      <c r="D21">
        <v>3.2968999999999999</v>
      </c>
      <c r="E21">
        <v>91</v>
      </c>
    </row>
    <row r="22" spans="1:5">
      <c r="A22" t="s">
        <v>42</v>
      </c>
      <c r="B22">
        <v>3.1168999999999998</v>
      </c>
      <c r="C22">
        <v>217</v>
      </c>
      <c r="D22">
        <v>2.8365</v>
      </c>
      <c r="E22">
        <v>106</v>
      </c>
    </row>
    <row r="23" spans="1:5">
      <c r="A23" t="s">
        <v>68</v>
      </c>
      <c r="B23">
        <v>2.609</v>
      </c>
      <c r="C23">
        <v>209</v>
      </c>
      <c r="D23">
        <v>2.5230000000000001</v>
      </c>
      <c r="E23">
        <v>115</v>
      </c>
    </row>
    <row r="24" spans="1:5">
      <c r="A24" t="s">
        <v>82</v>
      </c>
      <c r="B24">
        <v>2.1671</v>
      </c>
      <c r="C24">
        <v>242</v>
      </c>
      <c r="D24">
        <v>2.0661</v>
      </c>
      <c r="E24">
        <v>82</v>
      </c>
    </row>
    <row r="25" spans="1:5">
      <c r="A25" t="s">
        <v>49</v>
      </c>
      <c r="B25">
        <v>2.7486000000000002</v>
      </c>
      <c r="C25">
        <v>242</v>
      </c>
      <c r="D25">
        <v>2.1855000000000002</v>
      </c>
      <c r="E25">
        <v>82</v>
      </c>
    </row>
    <row r="26" spans="1:5">
      <c r="A26" t="s">
        <v>137</v>
      </c>
      <c r="B26">
        <v>2.4049</v>
      </c>
      <c r="C26">
        <v>275</v>
      </c>
      <c r="D26">
        <v>2.7978999999999998</v>
      </c>
      <c r="E26">
        <v>49</v>
      </c>
    </row>
    <row r="27" spans="1:5">
      <c r="A27" t="s">
        <v>126</v>
      </c>
      <c r="B27">
        <v>2.3782999999999999</v>
      </c>
      <c r="C27">
        <v>254</v>
      </c>
      <c r="D27">
        <v>2.5024999999999999</v>
      </c>
      <c r="E27">
        <v>70</v>
      </c>
    </row>
    <row r="28" spans="1:5">
      <c r="A28" t="s">
        <v>53</v>
      </c>
      <c r="B28">
        <v>2.3792</v>
      </c>
      <c r="C28">
        <v>241</v>
      </c>
      <c r="D28">
        <v>2.0691999999999999</v>
      </c>
      <c r="E28">
        <v>83</v>
      </c>
    </row>
    <row r="29" spans="1:5">
      <c r="A29" t="s">
        <v>100</v>
      </c>
      <c r="B29">
        <v>2.4683000000000002</v>
      </c>
      <c r="C29">
        <v>252</v>
      </c>
      <c r="D29">
        <v>2.2852999999999999</v>
      </c>
      <c r="E29">
        <v>72</v>
      </c>
    </row>
    <row r="30" spans="1:5">
      <c r="A30" t="s">
        <v>86</v>
      </c>
      <c r="B30">
        <v>2.4906000000000001</v>
      </c>
      <c r="C30">
        <v>249</v>
      </c>
      <c r="D30">
        <v>2.1215999999999999</v>
      </c>
      <c r="E30">
        <v>74</v>
      </c>
    </row>
    <row r="31" spans="1:5">
      <c r="A31" t="s">
        <v>93</v>
      </c>
      <c r="B31">
        <v>2.5886999999999998</v>
      </c>
      <c r="C31">
        <v>271</v>
      </c>
      <c r="D31">
        <v>2.3494000000000002</v>
      </c>
      <c r="E31">
        <v>53</v>
      </c>
    </row>
    <row r="32" spans="1:5">
      <c r="A32" t="s">
        <v>58</v>
      </c>
      <c r="B32">
        <v>2.3149000000000002</v>
      </c>
      <c r="C32">
        <v>200</v>
      </c>
      <c r="D32">
        <v>2.125</v>
      </c>
      <c r="E32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Version History</vt:lpstr>
      <vt:lpstr>Dashboard</vt:lpstr>
      <vt:lpstr>First 5 Innings</vt:lpstr>
      <vt:lpstr>daily_forecast</vt:lpstr>
      <vt:lpstr>Game 1 NegBin</vt:lpstr>
      <vt:lpstr>Game1NegBin</vt:lpstr>
      <vt:lpstr>Game2NegBin</vt:lpstr>
      <vt:lpstr>Game3NegBin</vt:lpstr>
      <vt:lpstr>Game4NegBin</vt:lpstr>
      <vt:lpstr>Game5NegBin</vt:lpstr>
      <vt:lpstr>Game6NegBin</vt:lpstr>
      <vt:lpstr>Game7NegBin</vt:lpstr>
      <vt:lpstr>Game8NegBin</vt:lpstr>
      <vt:lpstr>Game9NegBin</vt:lpstr>
      <vt:lpstr>Game10NegBin</vt:lpstr>
      <vt:lpstr>Game11NegBin</vt:lpstr>
      <vt:lpstr>Game12NegBin</vt:lpstr>
      <vt:lpstr>Game13NegBin</vt:lpstr>
      <vt:lpstr>Game14NegBin</vt:lpstr>
      <vt:lpstr>Game15NegBin</vt:lpstr>
      <vt:lpstr>Bets</vt:lpstr>
      <vt:lpstr>Game1Poisson</vt:lpstr>
      <vt:lpstr>Game2Poisson</vt:lpstr>
      <vt:lpstr>Game3Poisson</vt:lpstr>
      <vt:lpstr>Game4Poisson</vt:lpstr>
      <vt:lpstr>Game5Poisson</vt:lpstr>
      <vt:lpstr>Game6Poisson</vt:lpstr>
      <vt:lpstr>Game7Poisson</vt:lpstr>
      <vt:lpstr>Game8Poisson</vt:lpstr>
      <vt:lpstr>Game9Poisson</vt:lpstr>
      <vt:lpstr>Game10Poisson</vt:lpstr>
      <vt:lpstr>Game11Poisson</vt:lpstr>
      <vt:lpstr>Game12Poisson</vt:lpstr>
      <vt:lpstr>Game13Poisson</vt:lpstr>
      <vt:lpstr>Game14Poisson</vt:lpstr>
      <vt:lpstr>Game15Poisson</vt:lpstr>
      <vt:lpstr>Probables Rough</vt:lpstr>
      <vt:lpstr>Validations</vt:lpstr>
      <vt:lpstr>Park Factor</vt:lpstr>
      <vt:lpstr>Relief Pitchers</vt:lpstr>
      <vt:lpstr>Starting Pitchers</vt:lpstr>
      <vt:lpstr>Pitcher IP</vt:lpstr>
      <vt:lpstr>Team Batting vs R - Season</vt:lpstr>
      <vt:lpstr>Team Batting vs R - L7</vt:lpstr>
      <vt:lpstr>Team Batting vs L - Season</vt:lpstr>
      <vt:lpstr>Team Batting vs L - L14</vt:lpstr>
      <vt:lpstr>RunsGame Calculations</vt:lpstr>
      <vt:lpstr>F5RunPercentage</vt:lpstr>
      <vt:lpstr>MLOdds</vt:lpstr>
      <vt:lpstr>MLOddsP</vt:lpstr>
      <vt:lpstr>TotalsOdds</vt:lpstr>
      <vt:lpstr>WNBA Tracker</vt:lpstr>
      <vt:lpstr>Options</vt:lpstr>
      <vt:lpstr>Team Offense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Dunk</cp:lastModifiedBy>
  <dcterms:created xsi:type="dcterms:W3CDTF">2026-03-27T03:17:33Z</dcterms:created>
  <dcterms:modified xsi:type="dcterms:W3CDTF">2026-03-28T19:42:36Z</dcterms:modified>
</cp:coreProperties>
</file>